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abf54c2fe808e900/Documents/"/>
    </mc:Choice>
  </mc:AlternateContent>
  <xr:revisionPtr revIDLastSave="0" documentId="8_{A4D195E8-2511-4338-A05B-4CF838C15195}" xr6:coauthVersionLast="47" xr6:coauthVersionMax="47" xr10:uidLastSave="{00000000-0000-0000-0000-000000000000}"/>
  <bookViews>
    <workbookView xWindow="28680" yWindow="-120" windowWidth="29040" windowHeight="15720" firstSheet="4" activeTab="4" xr2:uid="{1D2560BB-AAFF-4149-8CAF-DAB67D4E1758}"/>
  </bookViews>
  <sheets>
    <sheet name="Cover Sheet" sheetId="2" r:id="rId1"/>
    <sheet name="Variables" sheetId="4" r:id="rId2"/>
    <sheet name="Database" sheetId="1" r:id="rId3"/>
    <sheet name="References" sheetId="3" r:id="rId4"/>
    <sheet name="Household Estimates" sheetId="5" r:id="rId5"/>
    <sheet name="Food Service Estimates" sheetId="6" r:id="rId6"/>
    <sheet name="Retail Estimates"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3" i="1" l="1"/>
  <c r="AN124" i="1"/>
  <c r="AI121" i="1"/>
  <c r="AR5" i="1"/>
  <c r="AR6" i="1"/>
  <c r="AR8" i="1"/>
  <c r="AR7" i="1"/>
  <c r="AR9" i="1"/>
  <c r="AR10" i="1"/>
  <c r="AR19" i="1"/>
  <c r="AR20" i="1"/>
  <c r="AR21" i="1"/>
  <c r="AR22" i="1"/>
  <c r="AR25" i="1"/>
  <c r="AR23" i="1"/>
  <c r="AR24" i="1"/>
  <c r="AR26" i="1"/>
  <c r="AR27" i="1"/>
  <c r="AR28" i="1"/>
  <c r="AR29" i="1"/>
  <c r="AR30" i="1"/>
  <c r="AR31" i="1"/>
  <c r="AR32" i="1"/>
  <c r="AR33" i="1"/>
  <c r="AR34" i="1"/>
  <c r="AR35" i="1"/>
  <c r="AR36" i="1"/>
  <c r="AR37" i="1"/>
  <c r="AR38" i="1"/>
  <c r="AR39" i="1"/>
  <c r="AR40" i="1"/>
  <c r="AR41" i="1"/>
  <c r="AR42" i="1"/>
  <c r="AR43" i="1"/>
  <c r="AR44" i="1"/>
  <c r="AR47" i="1"/>
  <c r="AR48" i="1"/>
  <c r="AR45" i="1"/>
  <c r="AR46" i="1"/>
  <c r="AR11" i="1"/>
  <c r="AR50" i="1"/>
  <c r="AR49" i="1"/>
  <c r="AR51" i="1"/>
  <c r="AR52" i="1"/>
  <c r="AR53" i="1"/>
  <c r="AR60" i="1"/>
  <c r="AR54" i="1"/>
  <c r="AR61" i="1"/>
  <c r="AR62" i="1"/>
  <c r="AR63" i="1"/>
  <c r="AR64" i="1"/>
  <c r="AR65" i="1"/>
  <c r="AR66" i="1"/>
  <c r="AR69" i="1"/>
  <c r="AR67" i="1"/>
  <c r="AR68" i="1"/>
  <c r="AR70" i="1"/>
  <c r="AR55" i="1"/>
  <c r="AR71" i="1"/>
  <c r="AR72" i="1"/>
  <c r="AR73" i="1"/>
  <c r="AR74" i="1"/>
  <c r="AR75" i="1"/>
  <c r="AR76" i="1"/>
  <c r="AR77" i="1"/>
  <c r="AR78" i="1"/>
  <c r="AR79" i="1"/>
  <c r="AR80" i="1"/>
  <c r="AR81" i="1"/>
  <c r="AR56" i="1"/>
  <c r="AR57" i="1"/>
  <c r="AR82" i="1"/>
  <c r="AR83" i="1"/>
  <c r="AR84" i="1"/>
  <c r="AR85" i="1"/>
  <c r="AR87" i="1"/>
  <c r="AR86" i="1"/>
  <c r="AR90" i="1"/>
  <c r="AR89" i="1"/>
  <c r="AR88" i="1"/>
  <c r="AR92" i="1"/>
  <c r="AR94" i="1"/>
  <c r="AR93" i="1"/>
  <c r="AR91" i="1"/>
  <c r="AR95" i="1"/>
  <c r="AR12" i="1"/>
  <c r="AR58" i="1"/>
  <c r="AR13" i="1"/>
  <c r="AR98" i="1"/>
  <c r="AR96" i="1"/>
  <c r="AR97" i="1"/>
  <c r="AR99" i="1"/>
  <c r="AR102" i="1"/>
  <c r="AR100" i="1"/>
  <c r="AR101" i="1"/>
  <c r="AR14" i="1"/>
  <c r="AR103" i="1"/>
  <c r="AR59" i="1"/>
  <c r="AR104" i="1"/>
  <c r="AR105" i="1"/>
  <c r="AR106" i="1"/>
  <c r="AR107" i="1"/>
  <c r="AR15" i="1"/>
  <c r="AR16" i="1"/>
  <c r="AR111" i="1"/>
  <c r="AR108" i="1"/>
  <c r="AR109" i="1"/>
  <c r="AR110" i="1"/>
  <c r="AR112" i="1"/>
  <c r="AR113" i="1"/>
  <c r="AR114" i="1"/>
  <c r="AR115" i="1"/>
  <c r="AR116" i="1"/>
  <c r="AR117" i="1"/>
  <c r="AR118" i="1"/>
  <c r="AR119" i="1"/>
  <c r="AR120" i="1"/>
  <c r="AR121" i="1"/>
  <c r="AR123" i="1"/>
  <c r="AR122" i="1"/>
  <c r="AR124" i="1"/>
  <c r="AR125" i="1"/>
  <c r="AR126" i="1"/>
  <c r="AR127" i="1"/>
  <c r="AR128" i="1"/>
  <c r="AR129" i="1"/>
  <c r="AR130" i="1"/>
  <c r="AR17" i="1"/>
  <c r="AR18" i="1"/>
  <c r="AR131" i="1"/>
  <c r="AR132" i="1"/>
  <c r="AR133" i="1"/>
  <c r="AR134" i="1"/>
  <c r="AR135" i="1"/>
  <c r="AR136" i="1"/>
  <c r="AR137" i="1"/>
  <c r="AR138" i="1"/>
  <c r="AR139" i="1"/>
  <c r="AR140" i="1"/>
  <c r="AR142" i="1"/>
  <c r="AR141" i="1"/>
  <c r="AR143" i="1"/>
  <c r="AR144" i="1"/>
  <c r="AR145" i="1"/>
  <c r="AR146" i="1"/>
  <c r="AR147" i="1"/>
  <c r="AR148" i="1"/>
  <c r="AR149" i="1"/>
  <c r="AR150" i="1"/>
  <c r="AR151" i="1"/>
  <c r="AR152" i="1"/>
  <c r="AR153" i="1"/>
  <c r="AR154" i="1"/>
  <c r="AR155" i="1"/>
  <c r="AR4" i="1"/>
  <c r="AQ4" i="1"/>
  <c r="AQ5" i="1"/>
  <c r="AQ6" i="1"/>
  <c r="AQ8" i="1"/>
  <c r="AQ7" i="1"/>
  <c r="AQ9" i="1"/>
  <c r="AQ10" i="1"/>
  <c r="AQ19" i="1"/>
  <c r="AQ20" i="1"/>
  <c r="AQ21" i="1"/>
  <c r="AQ22" i="1"/>
  <c r="AQ25" i="1"/>
  <c r="AQ23" i="1"/>
  <c r="AQ24" i="1"/>
  <c r="AQ26" i="1"/>
  <c r="AQ27" i="1"/>
  <c r="AQ28" i="1"/>
  <c r="AQ29" i="1"/>
  <c r="AQ30" i="1"/>
  <c r="AQ31" i="1"/>
  <c r="AQ32" i="1"/>
  <c r="AQ33" i="1"/>
  <c r="AQ34" i="1"/>
  <c r="AQ35" i="1"/>
  <c r="AQ36" i="1"/>
  <c r="AQ37" i="1"/>
  <c r="AQ38" i="1"/>
  <c r="AQ39" i="1"/>
  <c r="AQ40" i="1"/>
  <c r="AQ41" i="1"/>
  <c r="AQ42" i="1"/>
  <c r="AQ43" i="1"/>
  <c r="AQ44" i="1"/>
  <c r="AQ47" i="1"/>
  <c r="AQ48" i="1"/>
  <c r="AQ45" i="1"/>
  <c r="AQ46" i="1"/>
  <c r="AQ11" i="1"/>
  <c r="AQ50" i="1"/>
  <c r="AQ49" i="1"/>
  <c r="AQ51" i="1"/>
  <c r="AQ52" i="1"/>
  <c r="AQ53" i="1"/>
  <c r="AQ60" i="1"/>
  <c r="AQ54" i="1"/>
  <c r="AQ61" i="1"/>
  <c r="AQ62" i="1"/>
  <c r="AQ63" i="1"/>
  <c r="AQ64" i="1"/>
  <c r="AQ65" i="1"/>
  <c r="AQ66" i="1"/>
  <c r="AQ69" i="1"/>
  <c r="AQ67" i="1"/>
  <c r="AQ68" i="1"/>
  <c r="AQ70" i="1"/>
  <c r="AQ55" i="1"/>
  <c r="AQ71" i="1"/>
  <c r="AQ72" i="1"/>
  <c r="AQ73" i="1"/>
  <c r="AQ74" i="1"/>
  <c r="AQ75" i="1"/>
  <c r="AQ76" i="1"/>
  <c r="AQ77" i="1"/>
  <c r="AQ78" i="1"/>
  <c r="AQ79" i="1"/>
  <c r="AQ80" i="1"/>
  <c r="AQ81" i="1"/>
  <c r="AQ56" i="1"/>
  <c r="AQ57" i="1"/>
  <c r="AQ82" i="1"/>
  <c r="AQ83" i="1"/>
  <c r="AQ84" i="1"/>
  <c r="AQ85" i="1"/>
  <c r="AQ87" i="1"/>
  <c r="AQ86" i="1"/>
  <c r="AQ90" i="1"/>
  <c r="AQ89" i="1"/>
  <c r="AQ88" i="1"/>
  <c r="AQ92" i="1"/>
  <c r="AQ94" i="1"/>
  <c r="AQ93" i="1"/>
  <c r="AQ91" i="1"/>
  <c r="AQ95" i="1"/>
  <c r="AQ12" i="1"/>
  <c r="AQ58" i="1"/>
  <c r="AQ13" i="1"/>
  <c r="AQ98" i="1"/>
  <c r="AQ96" i="1"/>
  <c r="AQ97" i="1"/>
  <c r="AQ99" i="1"/>
  <c r="AQ102" i="1"/>
  <c r="AQ100" i="1"/>
  <c r="AQ101" i="1"/>
  <c r="AQ14" i="1"/>
  <c r="AQ103" i="1"/>
  <c r="AQ59" i="1"/>
  <c r="AQ104" i="1"/>
  <c r="AQ105" i="1"/>
  <c r="AQ106" i="1"/>
  <c r="AQ107" i="1"/>
  <c r="AQ15" i="1"/>
  <c r="AQ16" i="1"/>
  <c r="AQ111" i="1"/>
  <c r="AQ108" i="1"/>
  <c r="AQ109" i="1"/>
  <c r="AQ110" i="1"/>
  <c r="AQ112" i="1"/>
  <c r="AQ113" i="1"/>
  <c r="AQ114" i="1"/>
  <c r="AQ115" i="1"/>
  <c r="AQ116" i="1"/>
  <c r="AQ117" i="1"/>
  <c r="AQ118" i="1"/>
  <c r="AQ119" i="1"/>
  <c r="AQ120" i="1"/>
  <c r="AQ121" i="1"/>
  <c r="AQ123" i="1"/>
  <c r="AQ122" i="1"/>
  <c r="AQ124" i="1"/>
  <c r="AQ125" i="1"/>
  <c r="AQ126" i="1"/>
  <c r="AQ127" i="1"/>
  <c r="AQ128" i="1"/>
  <c r="AQ129" i="1"/>
  <c r="AQ130" i="1"/>
  <c r="AQ17" i="1"/>
  <c r="AQ18" i="1"/>
  <c r="AQ131" i="1"/>
  <c r="AQ132" i="1"/>
  <c r="AQ133" i="1"/>
  <c r="AQ134" i="1"/>
  <c r="AQ135" i="1"/>
  <c r="AQ136" i="1"/>
  <c r="AQ137" i="1"/>
  <c r="AQ138" i="1"/>
  <c r="AQ139" i="1"/>
  <c r="AQ140" i="1"/>
  <c r="AQ142" i="1"/>
  <c r="AQ141" i="1"/>
  <c r="AQ143" i="1"/>
  <c r="AQ144" i="1"/>
  <c r="AQ145" i="1"/>
  <c r="AQ146" i="1"/>
  <c r="AQ147" i="1"/>
  <c r="AQ148" i="1"/>
  <c r="AQ149" i="1"/>
  <c r="AQ150" i="1"/>
  <c r="AQ151" i="1"/>
  <c r="AQ152" i="1"/>
  <c r="AQ153" i="1"/>
  <c r="AQ154" i="1"/>
  <c r="AQ155" i="1"/>
  <c r="AP4" i="1"/>
  <c r="AP5" i="1"/>
  <c r="AP6" i="1"/>
  <c r="AP8" i="1"/>
  <c r="AP7" i="1"/>
  <c r="AP9" i="1"/>
  <c r="AP10" i="1"/>
  <c r="AP19" i="1"/>
  <c r="AP20" i="1"/>
  <c r="AP21" i="1"/>
  <c r="AP22" i="1"/>
  <c r="AP25" i="1"/>
  <c r="AP23" i="1"/>
  <c r="AP24" i="1"/>
  <c r="AP26" i="1"/>
  <c r="AP27" i="1"/>
  <c r="AP28" i="1"/>
  <c r="AP29" i="1"/>
  <c r="AP30" i="1"/>
  <c r="AP31" i="1"/>
  <c r="AP32" i="1"/>
  <c r="AP33" i="1"/>
  <c r="AP34" i="1"/>
  <c r="AP35" i="1"/>
  <c r="AP36" i="1"/>
  <c r="AP37" i="1"/>
  <c r="AP38" i="1"/>
  <c r="AP39" i="1"/>
  <c r="AP40" i="1"/>
  <c r="AP41" i="1"/>
  <c r="AP42" i="1"/>
  <c r="AP43" i="1"/>
  <c r="AP44" i="1"/>
  <c r="AP47" i="1"/>
  <c r="AP48" i="1"/>
  <c r="AP45" i="1"/>
  <c r="AP46" i="1"/>
  <c r="AP11" i="1"/>
  <c r="AP50" i="1"/>
  <c r="AP49" i="1"/>
  <c r="AP51" i="1"/>
  <c r="AP52" i="1"/>
  <c r="AP53" i="1"/>
  <c r="AP60" i="1"/>
  <c r="AP54" i="1"/>
  <c r="AP61" i="1"/>
  <c r="AP62" i="1"/>
  <c r="AP63" i="1"/>
  <c r="AP64" i="1"/>
  <c r="AP65" i="1"/>
  <c r="AP66" i="1"/>
  <c r="AP69" i="1"/>
  <c r="AP67" i="1"/>
  <c r="AP68" i="1"/>
  <c r="AP70" i="1"/>
  <c r="AP55" i="1"/>
  <c r="AP71" i="1"/>
  <c r="AP72" i="1"/>
  <c r="AP73" i="1"/>
  <c r="AP74" i="1"/>
  <c r="AP75" i="1"/>
  <c r="AP76" i="1"/>
  <c r="AP77" i="1"/>
  <c r="AP78" i="1"/>
  <c r="AP79" i="1"/>
  <c r="AP80" i="1"/>
  <c r="AP81" i="1"/>
  <c r="AP56" i="1"/>
  <c r="AP57" i="1"/>
  <c r="AP82" i="1"/>
  <c r="AP83" i="1"/>
  <c r="AP84" i="1"/>
  <c r="AP85" i="1"/>
  <c r="AP87" i="1"/>
  <c r="AP86" i="1"/>
  <c r="AP90" i="1"/>
  <c r="AP89" i="1"/>
  <c r="AP88" i="1"/>
  <c r="AP92" i="1"/>
  <c r="AP94" i="1"/>
  <c r="AP93" i="1"/>
  <c r="AP91" i="1"/>
  <c r="AP95" i="1"/>
  <c r="AP12" i="1"/>
  <c r="AP58" i="1"/>
  <c r="AP13" i="1"/>
  <c r="AP98" i="1"/>
  <c r="AP96" i="1"/>
  <c r="AP97" i="1"/>
  <c r="AP99" i="1"/>
  <c r="AP102" i="1"/>
  <c r="AP100" i="1"/>
  <c r="AP101" i="1"/>
  <c r="AP14" i="1"/>
  <c r="AP103" i="1"/>
  <c r="AP59" i="1"/>
  <c r="AP104" i="1"/>
  <c r="AP105" i="1"/>
  <c r="AP106" i="1"/>
  <c r="AP107" i="1"/>
  <c r="AP15" i="1"/>
  <c r="AP16" i="1"/>
  <c r="AP111" i="1"/>
  <c r="AP108" i="1"/>
  <c r="AP109" i="1"/>
  <c r="AP110" i="1"/>
  <c r="AP112" i="1"/>
  <c r="AP113" i="1"/>
  <c r="AP114" i="1"/>
  <c r="AP115" i="1"/>
  <c r="AP116" i="1"/>
  <c r="AP117" i="1"/>
  <c r="AP118" i="1"/>
  <c r="AP119" i="1"/>
  <c r="AP120" i="1"/>
  <c r="AP121" i="1"/>
  <c r="AP123" i="1"/>
  <c r="AP122" i="1"/>
  <c r="AP124" i="1"/>
  <c r="AP125" i="1"/>
  <c r="AP126" i="1"/>
  <c r="AP127" i="1"/>
  <c r="AP128" i="1"/>
  <c r="AP129" i="1"/>
  <c r="AP130" i="1"/>
  <c r="AP17" i="1"/>
  <c r="AP18" i="1"/>
  <c r="AP131" i="1"/>
  <c r="AP132" i="1"/>
  <c r="AP133" i="1"/>
  <c r="AP134" i="1"/>
  <c r="AP135" i="1"/>
  <c r="AP136" i="1"/>
  <c r="AP137" i="1"/>
  <c r="AP138" i="1"/>
  <c r="AP139" i="1"/>
  <c r="AP140" i="1"/>
  <c r="AP142" i="1"/>
  <c r="AP141" i="1"/>
  <c r="AP143" i="1"/>
  <c r="AP144" i="1"/>
  <c r="AP145" i="1"/>
  <c r="AP146" i="1"/>
  <c r="AP147" i="1"/>
  <c r="AP148" i="1"/>
  <c r="AP149" i="1"/>
  <c r="AP150" i="1"/>
  <c r="AP151" i="1"/>
  <c r="AP152" i="1"/>
  <c r="AP153" i="1"/>
  <c r="AP154" i="1"/>
  <c r="AP155" i="1"/>
  <c r="AO5" i="1" l="1"/>
  <c r="AS5" i="1" s="1"/>
  <c r="AO6" i="1"/>
  <c r="AO8" i="1"/>
  <c r="AO7" i="1"/>
  <c r="AO9" i="1"/>
  <c r="AO10" i="1"/>
  <c r="AO19" i="1"/>
  <c r="AO20" i="1"/>
  <c r="AO21" i="1"/>
  <c r="AS21" i="1" s="1"/>
  <c r="AO22" i="1"/>
  <c r="AO25" i="1"/>
  <c r="AO23" i="1"/>
  <c r="AO24" i="1"/>
  <c r="AO26" i="1"/>
  <c r="AO27" i="1"/>
  <c r="AO28" i="1"/>
  <c r="AO29" i="1"/>
  <c r="AS29" i="1" s="1"/>
  <c r="AO30" i="1"/>
  <c r="AO31" i="1"/>
  <c r="AO32" i="1"/>
  <c r="AO33" i="1"/>
  <c r="AO34" i="1"/>
  <c r="AO35" i="1"/>
  <c r="AS35" i="1" s="1"/>
  <c r="AO36" i="1"/>
  <c r="AO37" i="1"/>
  <c r="AS37" i="1" s="1"/>
  <c r="AO38" i="1"/>
  <c r="AO39" i="1"/>
  <c r="AO40" i="1"/>
  <c r="AO41" i="1"/>
  <c r="AO42" i="1"/>
  <c r="AO43" i="1"/>
  <c r="AO44" i="1"/>
  <c r="AO47" i="1"/>
  <c r="AS47" i="1" s="1"/>
  <c r="AO48" i="1"/>
  <c r="AO45" i="1"/>
  <c r="AO46" i="1"/>
  <c r="AO11" i="1"/>
  <c r="AO50" i="1"/>
  <c r="AO49" i="1"/>
  <c r="AO51" i="1"/>
  <c r="AO52" i="1"/>
  <c r="AS52" i="1" s="1"/>
  <c r="AO53" i="1"/>
  <c r="AO60" i="1"/>
  <c r="AO54" i="1"/>
  <c r="AO61" i="1"/>
  <c r="AO62" i="1"/>
  <c r="AO63" i="1"/>
  <c r="AS63" i="1" s="1"/>
  <c r="AO64" i="1"/>
  <c r="AO65" i="1"/>
  <c r="AS65" i="1" s="1"/>
  <c r="AO66" i="1"/>
  <c r="AO69" i="1"/>
  <c r="AO67" i="1"/>
  <c r="AO68" i="1"/>
  <c r="AO70" i="1"/>
  <c r="AO55" i="1"/>
  <c r="AO71" i="1"/>
  <c r="AO72" i="1"/>
  <c r="AS72" i="1" s="1"/>
  <c r="AO73" i="1"/>
  <c r="AO74" i="1"/>
  <c r="AO75" i="1"/>
  <c r="AO76" i="1"/>
  <c r="AO77" i="1"/>
  <c r="AO78" i="1"/>
  <c r="AO79" i="1"/>
  <c r="AO80" i="1"/>
  <c r="AS80" i="1" s="1"/>
  <c r="AO81" i="1"/>
  <c r="AO56" i="1"/>
  <c r="AO57" i="1"/>
  <c r="AO82" i="1"/>
  <c r="AO83" i="1"/>
  <c r="AO84" i="1"/>
  <c r="AO85" i="1"/>
  <c r="AO87" i="1"/>
  <c r="AS87" i="1" s="1"/>
  <c r="AO86" i="1"/>
  <c r="AO90" i="1"/>
  <c r="AO89" i="1"/>
  <c r="AO88" i="1"/>
  <c r="AO92" i="1"/>
  <c r="AO94" i="1"/>
  <c r="AO93" i="1"/>
  <c r="AO91" i="1"/>
  <c r="AS91" i="1" s="1"/>
  <c r="AO95" i="1"/>
  <c r="AO12" i="1"/>
  <c r="AO58" i="1"/>
  <c r="AO13" i="1"/>
  <c r="AO98" i="1"/>
  <c r="AO96" i="1"/>
  <c r="AO97" i="1"/>
  <c r="AO99" i="1"/>
  <c r="AS99" i="1" s="1"/>
  <c r="AO102" i="1"/>
  <c r="AO100" i="1"/>
  <c r="AO101" i="1"/>
  <c r="AO14" i="1"/>
  <c r="AO103" i="1"/>
  <c r="AO59" i="1"/>
  <c r="AO104" i="1"/>
  <c r="AO105" i="1"/>
  <c r="AS105" i="1" s="1"/>
  <c r="AO106" i="1"/>
  <c r="AO107" i="1"/>
  <c r="AO15" i="1"/>
  <c r="AS15" i="1" s="1"/>
  <c r="AO16" i="1"/>
  <c r="AS16" i="1" s="1"/>
  <c r="AO111" i="1"/>
  <c r="AO108" i="1"/>
  <c r="AS108" i="1" s="1"/>
  <c r="AO109" i="1"/>
  <c r="AO110" i="1"/>
  <c r="AS110" i="1" s="1"/>
  <c r="AO112" i="1"/>
  <c r="AO113" i="1"/>
  <c r="AO114" i="1"/>
  <c r="AO115" i="1"/>
  <c r="AO116" i="1"/>
  <c r="AO117" i="1"/>
  <c r="AO118" i="1"/>
  <c r="AO119" i="1"/>
  <c r="AO120" i="1"/>
  <c r="AO121" i="1"/>
  <c r="AO123" i="1"/>
  <c r="AO122" i="1"/>
  <c r="AO124" i="1"/>
  <c r="AO125" i="1"/>
  <c r="AS125" i="1" s="1"/>
  <c r="AO126" i="1"/>
  <c r="AO127" i="1"/>
  <c r="AS127" i="1" s="1"/>
  <c r="AO128" i="1"/>
  <c r="AO129" i="1"/>
  <c r="AO130" i="1"/>
  <c r="AO17" i="1"/>
  <c r="AO18" i="1"/>
  <c r="AO131" i="1"/>
  <c r="AO132" i="1"/>
  <c r="AO133" i="1"/>
  <c r="AS133" i="1" s="1"/>
  <c r="AO134" i="1"/>
  <c r="AO135" i="1"/>
  <c r="AO136" i="1"/>
  <c r="AO137" i="1"/>
  <c r="AO138" i="1"/>
  <c r="AO139" i="1"/>
  <c r="AS139" i="1" s="1"/>
  <c r="AO140" i="1"/>
  <c r="AO142" i="1"/>
  <c r="AS142" i="1" s="1"/>
  <c r="AO141" i="1"/>
  <c r="AO143" i="1"/>
  <c r="AO144" i="1"/>
  <c r="AO145" i="1"/>
  <c r="AO146" i="1"/>
  <c r="AO147" i="1"/>
  <c r="AO148" i="1"/>
  <c r="AO149" i="1"/>
  <c r="AO150" i="1"/>
  <c r="AO151" i="1"/>
  <c r="AO152" i="1"/>
  <c r="AO153" i="1"/>
  <c r="AO154" i="1"/>
  <c r="AO155" i="1"/>
  <c r="AS155" i="1" s="1"/>
  <c r="AO4" i="1"/>
  <c r="X96" i="1"/>
  <c r="X87" i="1"/>
  <c r="X71" i="1"/>
  <c r="X68" i="1"/>
  <c r="X67" i="1"/>
  <c r="X69" i="1"/>
  <c r="X45" i="1"/>
  <c r="X48" i="1"/>
  <c r="X24" i="1"/>
  <c r="X7" i="1"/>
  <c r="X8" i="1"/>
  <c r="AN155" i="1"/>
  <c r="AN154" i="1"/>
  <c r="AN153" i="1"/>
  <c r="AN152" i="1"/>
  <c r="AN151" i="1"/>
  <c r="AN150" i="1"/>
  <c r="AN149" i="1"/>
  <c r="AN148" i="1"/>
  <c r="AN147" i="1"/>
  <c r="AN146" i="1"/>
  <c r="AN145" i="1"/>
  <c r="AN144" i="1"/>
  <c r="AN143" i="1"/>
  <c r="AN141" i="1"/>
  <c r="AN142" i="1"/>
  <c r="AN140" i="1"/>
  <c r="AN139" i="1"/>
  <c r="AN138" i="1"/>
  <c r="AN137" i="1"/>
  <c r="AN136" i="1"/>
  <c r="AN135" i="1"/>
  <c r="AN134" i="1"/>
  <c r="AN133" i="1"/>
  <c r="AN132" i="1"/>
  <c r="AN131" i="1"/>
  <c r="AN18" i="1"/>
  <c r="AN17" i="1"/>
  <c r="AN130" i="1"/>
  <c r="AN129" i="1"/>
  <c r="AN128" i="1"/>
  <c r="AN127" i="1"/>
  <c r="AN126" i="1"/>
  <c r="AN125" i="1"/>
  <c r="AN122" i="1"/>
  <c r="AN123" i="1"/>
  <c r="AN121" i="1"/>
  <c r="AN120" i="1"/>
  <c r="AN119" i="1"/>
  <c r="AN118" i="1"/>
  <c r="AN117" i="1"/>
  <c r="AN116" i="1"/>
  <c r="AN115" i="1"/>
  <c r="AN114" i="1"/>
  <c r="AN113" i="1"/>
  <c r="AN112" i="1"/>
  <c r="AN110" i="1"/>
  <c r="AN109" i="1"/>
  <c r="AN108" i="1"/>
  <c r="AN111" i="1"/>
  <c r="AN16" i="1"/>
  <c r="AN15" i="1"/>
  <c r="AN107" i="1"/>
  <c r="AN106" i="1"/>
  <c r="AN105" i="1"/>
  <c r="AN104" i="1"/>
  <c r="AN59" i="1"/>
  <c r="AN103" i="1"/>
  <c r="AN14" i="1"/>
  <c r="AN101" i="1"/>
  <c r="AN100" i="1"/>
  <c r="AN102" i="1"/>
  <c r="AN99" i="1"/>
  <c r="AN97" i="1"/>
  <c r="AN96" i="1"/>
  <c r="AN98" i="1"/>
  <c r="AN58" i="1"/>
  <c r="AN12" i="1"/>
  <c r="AN95" i="1"/>
  <c r="AN91" i="1"/>
  <c r="AN93" i="1"/>
  <c r="AN94" i="1"/>
  <c r="AN92" i="1"/>
  <c r="AN88" i="1"/>
  <c r="AN89" i="1"/>
  <c r="AN90" i="1"/>
  <c r="AN86" i="1"/>
  <c r="AN87" i="1"/>
  <c r="AN85" i="1"/>
  <c r="AN84" i="1"/>
  <c r="AN83" i="1"/>
  <c r="AN82" i="1"/>
  <c r="AN57" i="1"/>
  <c r="AN56" i="1"/>
  <c r="AN81" i="1"/>
  <c r="AN80" i="1"/>
  <c r="AN79" i="1"/>
  <c r="AN78" i="1"/>
  <c r="AN77" i="1"/>
  <c r="AN76" i="1"/>
  <c r="AN75" i="1"/>
  <c r="AN74" i="1"/>
  <c r="AN73" i="1"/>
  <c r="AN72" i="1"/>
  <c r="AN71" i="1"/>
  <c r="AN55" i="1"/>
  <c r="AN70" i="1"/>
  <c r="AN68" i="1"/>
  <c r="AN67" i="1"/>
  <c r="AN69" i="1"/>
  <c r="AN66" i="1"/>
  <c r="AN65" i="1"/>
  <c r="AN64" i="1"/>
  <c r="AN63" i="1"/>
  <c r="AN62" i="1"/>
  <c r="AN61" i="1"/>
  <c r="AN54" i="1"/>
  <c r="AN60" i="1"/>
  <c r="AN53" i="1"/>
  <c r="AN52" i="1"/>
  <c r="AN51" i="1"/>
  <c r="AN49" i="1"/>
  <c r="AN50" i="1"/>
  <c r="AN11" i="1"/>
  <c r="AN46" i="1"/>
  <c r="AN45" i="1"/>
  <c r="AN48" i="1"/>
  <c r="AN47" i="1"/>
  <c r="AN44" i="1"/>
  <c r="AN43" i="1"/>
  <c r="AN42" i="1"/>
  <c r="AN41" i="1"/>
  <c r="AN40" i="1"/>
  <c r="AN39" i="1"/>
  <c r="AN38" i="1"/>
  <c r="AN37" i="1"/>
  <c r="AN36" i="1"/>
  <c r="AN35" i="1"/>
  <c r="AN34" i="1"/>
  <c r="AN33" i="1"/>
  <c r="AN32" i="1"/>
  <c r="AN31" i="1"/>
  <c r="AN30" i="1"/>
  <c r="AN29" i="1"/>
  <c r="AN28" i="1"/>
  <c r="AN27" i="1"/>
  <c r="AN26" i="1"/>
  <c r="AN24" i="1"/>
  <c r="AN23" i="1"/>
  <c r="AN25" i="1"/>
  <c r="AN22" i="1"/>
  <c r="AN21" i="1"/>
  <c r="AN20" i="1"/>
  <c r="AN19" i="1"/>
  <c r="AN10" i="1"/>
  <c r="AN9" i="1"/>
  <c r="AN7" i="1"/>
  <c r="AN8" i="1"/>
  <c r="AN6" i="1"/>
  <c r="AN5" i="1"/>
  <c r="AN4" i="1"/>
  <c r="AI154" i="1"/>
  <c r="AI149" i="1"/>
  <c r="AI140" i="1"/>
  <c r="AI139" i="1"/>
  <c r="AI138" i="1"/>
  <c r="AI137" i="1"/>
  <c r="AI136" i="1"/>
  <c r="AI135" i="1"/>
  <c r="AI134" i="1"/>
  <c r="AI133" i="1"/>
  <c r="AI132" i="1"/>
  <c r="AI131" i="1"/>
  <c r="AI113" i="1"/>
  <c r="AI82" i="1"/>
  <c r="AI80" i="1"/>
  <c r="AI79" i="1"/>
  <c r="AI78" i="1"/>
  <c r="AI76" i="1"/>
  <c r="AI74" i="1"/>
  <c r="AI52" i="1"/>
  <c r="AI44" i="1"/>
  <c r="AI36" i="1"/>
  <c r="AI33" i="1"/>
  <c r="AI21" i="1"/>
  <c r="AI20" i="1"/>
  <c r="Z19" i="1"/>
  <c r="Z140" i="1"/>
  <c r="Z139" i="1"/>
  <c r="Z138" i="1"/>
  <c r="Z137" i="1"/>
  <c r="Z136" i="1"/>
  <c r="Z135" i="1"/>
  <c r="Z134" i="1"/>
  <c r="Z133" i="1"/>
  <c r="Z132" i="1"/>
  <c r="Z131" i="1"/>
  <c r="Z31" i="1"/>
  <c r="X146" i="1"/>
  <c r="X142" i="1"/>
  <c r="X105" i="1"/>
  <c r="X98" i="1"/>
  <c r="X88" i="1"/>
  <c r="X89" i="1"/>
  <c r="X90" i="1"/>
  <c r="X72" i="1"/>
  <c r="X50" i="1"/>
  <c r="X47" i="1"/>
  <c r="X10" i="1"/>
  <c r="AI155" i="1"/>
  <c r="AI153" i="1"/>
  <c r="AI146" i="1"/>
  <c r="AI145" i="1"/>
  <c r="AI143" i="1"/>
  <c r="AI141" i="1"/>
  <c r="AI130" i="1"/>
  <c r="AI126" i="1"/>
  <c r="AI125" i="1"/>
  <c r="AI124" i="1"/>
  <c r="AI122" i="1"/>
  <c r="AI118" i="1"/>
  <c r="AI114" i="1"/>
  <c r="AI112" i="1"/>
  <c r="AI108" i="1"/>
  <c r="AI106" i="1"/>
  <c r="AI104" i="1"/>
  <c r="X104" i="1" s="1"/>
  <c r="AI97" i="1"/>
  <c r="X97" i="1" s="1"/>
  <c r="AI94" i="1"/>
  <c r="AI92" i="1"/>
  <c r="AI77" i="1"/>
  <c r="AI73" i="1"/>
  <c r="Z152" i="1"/>
  <c r="Z151" i="1"/>
  <c r="Z150" i="1"/>
  <c r="Z146" i="1"/>
  <c r="Z143" i="1"/>
  <c r="Z141" i="1"/>
  <c r="X141" i="1" s="1"/>
  <c r="Z123" i="1"/>
  <c r="AI123" i="1" s="1"/>
  <c r="Z120" i="1"/>
  <c r="Z119" i="1"/>
  <c r="Z118" i="1"/>
  <c r="Z108" i="1"/>
  <c r="Z106" i="1"/>
  <c r="Z101" i="1"/>
  <c r="Z100" i="1"/>
  <c r="Z97" i="1"/>
  <c r="Z91" i="1"/>
  <c r="Z93" i="1"/>
  <c r="Z92" i="1"/>
  <c r="Z88" i="1"/>
  <c r="Z89" i="1"/>
  <c r="Z61" i="1"/>
  <c r="Z60" i="1"/>
  <c r="Z49" i="1"/>
  <c r="Z50" i="1"/>
  <c r="Z46" i="1"/>
  <c r="X46" i="1" s="1"/>
  <c r="Z33" i="1"/>
  <c r="Z24" i="1"/>
  <c r="Z23" i="1"/>
  <c r="X23" i="1" s="1"/>
  <c r="Z25" i="1"/>
  <c r="X25" i="1" s="1"/>
  <c r="Z7" i="1"/>
  <c r="Z6" i="1"/>
  <c r="Z5" i="1"/>
  <c r="V155" i="1"/>
  <c r="V153" i="1"/>
  <c r="V116" i="1"/>
  <c r="Z116" i="1" s="1"/>
  <c r="V115" i="1"/>
  <c r="Z115" i="1" s="1"/>
  <c r="V114" i="1"/>
  <c r="V112" i="1"/>
  <c r="V91" i="1"/>
  <c r="V93" i="1"/>
  <c r="V94" i="1"/>
  <c r="V92" i="1"/>
  <c r="V81" i="1"/>
  <c r="AI81" i="1" s="1"/>
  <c r="V73" i="1"/>
  <c r="V48" i="1"/>
  <c r="V29" i="1"/>
  <c r="AI29" i="1" s="1"/>
  <c r="V28" i="1"/>
  <c r="AI28" i="1" s="1"/>
  <c r="V27" i="1"/>
  <c r="AI27" i="1" s="1"/>
  <c r="V26" i="1"/>
  <c r="AI26" i="1" s="1"/>
  <c r="V22" i="1"/>
  <c r="AI22" i="1" s="1"/>
  <c r="AS94" i="1" l="1"/>
  <c r="AT94" i="1" s="1"/>
  <c r="AS43" i="1"/>
  <c r="AT43" i="1" s="1"/>
  <c r="AS19" i="1"/>
  <c r="AT19" i="1" s="1"/>
  <c r="AS96" i="1"/>
  <c r="AT96" i="1" s="1"/>
  <c r="AS27" i="1"/>
  <c r="AT27" i="1" s="1"/>
  <c r="AS103" i="1"/>
  <c r="AT103" i="1" s="1"/>
  <c r="AS83" i="1"/>
  <c r="AT83" i="1" s="1"/>
  <c r="AS42" i="1"/>
  <c r="AT42" i="1" s="1"/>
  <c r="AS24" i="1"/>
  <c r="AT24" i="1" s="1"/>
  <c r="AS31" i="1"/>
  <c r="AT31" i="1" s="1"/>
  <c r="AS74" i="1"/>
  <c r="AT74" i="1" s="1"/>
  <c r="AS56" i="1"/>
  <c r="AT56" i="1" s="1"/>
  <c r="AS12" i="1"/>
  <c r="AT12" i="1" s="1"/>
  <c r="AS107" i="1"/>
  <c r="AT107" i="1" s="1"/>
  <c r="AS113" i="1"/>
  <c r="AT113" i="1" s="1"/>
  <c r="AS151" i="1"/>
  <c r="AT151" i="1" s="1"/>
  <c r="AS4" i="1"/>
  <c r="AT4" i="1" s="1"/>
  <c r="AS148" i="1"/>
  <c r="AT148" i="1" s="1"/>
  <c r="AS140" i="1"/>
  <c r="AT140" i="1" s="1"/>
  <c r="AS132" i="1"/>
  <c r="AT132" i="1" s="1"/>
  <c r="AS126" i="1"/>
  <c r="AT126" i="1" s="1"/>
  <c r="AS118" i="1"/>
  <c r="AT118" i="1" s="1"/>
  <c r="AS109" i="1"/>
  <c r="AT109" i="1" s="1"/>
  <c r="AS104" i="1"/>
  <c r="AT104" i="1" s="1"/>
  <c r="AS97" i="1"/>
  <c r="AT97" i="1" s="1"/>
  <c r="AS93" i="1"/>
  <c r="AT93" i="1" s="1"/>
  <c r="AS85" i="1"/>
  <c r="AT85" i="1" s="1"/>
  <c r="AS79" i="1"/>
  <c r="AT79" i="1" s="1"/>
  <c r="AS71" i="1"/>
  <c r="AT71" i="1" s="1"/>
  <c r="AS64" i="1"/>
  <c r="AT64" i="1" s="1"/>
  <c r="AS51" i="1"/>
  <c r="AT51" i="1" s="1"/>
  <c r="AS44" i="1"/>
  <c r="AT44" i="1" s="1"/>
  <c r="AS36" i="1"/>
  <c r="AT36" i="1" s="1"/>
  <c r="AS28" i="1"/>
  <c r="AT28" i="1" s="1"/>
  <c r="AS20" i="1"/>
  <c r="AT20" i="1" s="1"/>
  <c r="AS9" i="1"/>
  <c r="AT9" i="1" s="1"/>
  <c r="AS10" i="1"/>
  <c r="AT10" i="1" s="1"/>
  <c r="AS26" i="1"/>
  <c r="AT26" i="1" s="1"/>
  <c r="AS50" i="1"/>
  <c r="AT50" i="1" s="1"/>
  <c r="AS77" i="1"/>
  <c r="AT77" i="1" s="1"/>
  <c r="AS92" i="1"/>
  <c r="AT92" i="1" s="1"/>
  <c r="AS111" i="1"/>
  <c r="AT111" i="1" s="1"/>
  <c r="AS124" i="1"/>
  <c r="AT124" i="1" s="1"/>
  <c r="AS18" i="1"/>
  <c r="AT18" i="1" s="1"/>
  <c r="AS138" i="1"/>
  <c r="AT138" i="1" s="1"/>
  <c r="AS8" i="1"/>
  <c r="AT8" i="1" s="1"/>
  <c r="AS39" i="1"/>
  <c r="AT39" i="1" s="1"/>
  <c r="AS69" i="1"/>
  <c r="AT69" i="1" s="1"/>
  <c r="AS60" i="1"/>
  <c r="AT60" i="1" s="1"/>
  <c r="AS25" i="1"/>
  <c r="AT25" i="1" s="1"/>
  <c r="AS45" i="1"/>
  <c r="AT45" i="1" s="1"/>
  <c r="AS90" i="1"/>
  <c r="AT90" i="1" s="1"/>
  <c r="AS100" i="1"/>
  <c r="AT100" i="1" s="1"/>
  <c r="AS129" i="1"/>
  <c r="AT129" i="1" s="1"/>
  <c r="AS154" i="1"/>
  <c r="AT154" i="1" s="1"/>
  <c r="AS116" i="1"/>
  <c r="AT116" i="1" s="1"/>
  <c r="AS70" i="1"/>
  <c r="AT70" i="1" s="1"/>
  <c r="AS49" i="1"/>
  <c r="AT49" i="1" s="1"/>
  <c r="AT63" i="1"/>
  <c r="AS55" i="1"/>
  <c r="AT55" i="1" s="1"/>
  <c r="AS78" i="1"/>
  <c r="AT78" i="1" s="1"/>
  <c r="AS84" i="1"/>
  <c r="AT84" i="1" s="1"/>
  <c r="AS59" i="1"/>
  <c r="AT59" i="1" s="1"/>
  <c r="AT108" i="1"/>
  <c r="AS117" i="1"/>
  <c r="AT117" i="1" s="1"/>
  <c r="AS131" i="1"/>
  <c r="AT131" i="1" s="1"/>
  <c r="AS147" i="1"/>
  <c r="AT147" i="1" s="1"/>
  <c r="AS6" i="1"/>
  <c r="AT6" i="1" s="1"/>
  <c r="AS22" i="1"/>
  <c r="AT22" i="1" s="1"/>
  <c r="AS30" i="1"/>
  <c r="AT30" i="1" s="1"/>
  <c r="AS38" i="1"/>
  <c r="AT38" i="1" s="1"/>
  <c r="AS48" i="1"/>
  <c r="AT48" i="1" s="1"/>
  <c r="AS53" i="1"/>
  <c r="AT53" i="1" s="1"/>
  <c r="AS66" i="1"/>
  <c r="AT66" i="1" s="1"/>
  <c r="AS73" i="1"/>
  <c r="AT73" i="1" s="1"/>
  <c r="AS81" i="1"/>
  <c r="AT81" i="1" s="1"/>
  <c r="AS86" i="1"/>
  <c r="AT86" i="1" s="1"/>
  <c r="AS95" i="1"/>
  <c r="AT95" i="1" s="1"/>
  <c r="AS102" i="1"/>
  <c r="AT102" i="1" s="1"/>
  <c r="AS106" i="1"/>
  <c r="AT106" i="1" s="1"/>
  <c r="AS112" i="1"/>
  <c r="AT112" i="1" s="1"/>
  <c r="AS120" i="1"/>
  <c r="AT120" i="1" s="1"/>
  <c r="AS128" i="1"/>
  <c r="AT128" i="1" s="1"/>
  <c r="AS141" i="1"/>
  <c r="AT141" i="1" s="1"/>
  <c r="AS150" i="1"/>
  <c r="AT150" i="1" s="1"/>
  <c r="AS146" i="1"/>
  <c r="AT146" i="1" s="1"/>
  <c r="AS98" i="1"/>
  <c r="AT98" i="1" s="1"/>
  <c r="AS62" i="1"/>
  <c r="AT62" i="1" s="1"/>
  <c r="AS34" i="1"/>
  <c r="AT34" i="1" s="1"/>
  <c r="AT35" i="1"/>
  <c r="AT125" i="1"/>
  <c r="AT139" i="1"/>
  <c r="AS143" i="1"/>
  <c r="AT143" i="1" s="1"/>
  <c r="AS135" i="1"/>
  <c r="AT135" i="1" s="1"/>
  <c r="AS121" i="1"/>
  <c r="AT121" i="1" s="1"/>
  <c r="AS134" i="1"/>
  <c r="AT134" i="1" s="1"/>
  <c r="AS149" i="1"/>
  <c r="AT149" i="1" s="1"/>
  <c r="AS119" i="1"/>
  <c r="AT119" i="1" s="1"/>
  <c r="AT110" i="1"/>
  <c r="AS33" i="1"/>
  <c r="AT33" i="1" s="1"/>
  <c r="AS41" i="1"/>
  <c r="AT41" i="1" s="1"/>
  <c r="AS11" i="1"/>
  <c r="AT11" i="1" s="1"/>
  <c r="AS61" i="1"/>
  <c r="AT61" i="1" s="1"/>
  <c r="AS68" i="1"/>
  <c r="AT68" i="1" s="1"/>
  <c r="AS76" i="1"/>
  <c r="AT76" i="1" s="1"/>
  <c r="AS82" i="1"/>
  <c r="AT82" i="1" s="1"/>
  <c r="AS88" i="1"/>
  <c r="AT88" i="1" s="1"/>
  <c r="AS13" i="1"/>
  <c r="AT13" i="1" s="1"/>
  <c r="AS14" i="1"/>
  <c r="AT14" i="1" s="1"/>
  <c r="AT16" i="1"/>
  <c r="AS115" i="1"/>
  <c r="AT115" i="1" s="1"/>
  <c r="AS122" i="1"/>
  <c r="AT122" i="1" s="1"/>
  <c r="AS17" i="1"/>
  <c r="AT17" i="1" s="1"/>
  <c r="AS137" i="1"/>
  <c r="AT137" i="1" s="1"/>
  <c r="AS145" i="1"/>
  <c r="AT145" i="1" s="1"/>
  <c r="AS153" i="1"/>
  <c r="AT153" i="1" s="1"/>
  <c r="AS7" i="1"/>
  <c r="AT7" i="1" s="1"/>
  <c r="AS23" i="1"/>
  <c r="AT23" i="1" s="1"/>
  <c r="AS32" i="1"/>
  <c r="AT32" i="1" s="1"/>
  <c r="AS40" i="1"/>
  <c r="AT40" i="1" s="1"/>
  <c r="AS46" i="1"/>
  <c r="AT46" i="1" s="1"/>
  <c r="AS54" i="1"/>
  <c r="AT54" i="1" s="1"/>
  <c r="AS67" i="1"/>
  <c r="AT67" i="1" s="1"/>
  <c r="AS75" i="1"/>
  <c r="AT75" i="1" s="1"/>
  <c r="AS57" i="1"/>
  <c r="AT57" i="1" s="1"/>
  <c r="AS89" i="1"/>
  <c r="AT89" i="1" s="1"/>
  <c r="AS58" i="1"/>
  <c r="AT58" i="1" s="1"/>
  <c r="AS101" i="1"/>
  <c r="AT101" i="1" s="1"/>
  <c r="AT15" i="1"/>
  <c r="AS114" i="1"/>
  <c r="AT114" i="1" s="1"/>
  <c r="AS123" i="1"/>
  <c r="AT123" i="1" s="1"/>
  <c r="AS130" i="1"/>
  <c r="AT130" i="1" s="1"/>
  <c r="AS136" i="1"/>
  <c r="AT136" i="1" s="1"/>
  <c r="AS144" i="1"/>
  <c r="AT144" i="1" s="1"/>
  <c r="AS152" i="1"/>
  <c r="AT152" i="1" s="1"/>
  <c r="AT155" i="1"/>
  <c r="AT5" i="1"/>
  <c r="AT21" i="1"/>
  <c r="AT29" i="1"/>
  <c r="AT37" i="1"/>
  <c r="AT47" i="1"/>
  <c r="AT52" i="1"/>
  <c r="AT65" i="1"/>
  <c r="AT72" i="1"/>
  <c r="AT80" i="1"/>
  <c r="AT87" i="1"/>
  <c r="AT91" i="1"/>
  <c r="AT99" i="1"/>
  <c r="AT105" i="1"/>
  <c r="AT127" i="1"/>
  <c r="AT133" i="1"/>
  <c r="AT142" i="1"/>
  <c r="Z2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tc={8BDBC8D2-9015-4C65-8AC3-84EE6B93FAE6}</author>
    <author>Hamish Forbes</author>
  </authors>
  <commentList>
    <comment ref="Z59" authorId="0" shapeId="0" xr:uid="{8BDBC8D2-9015-4C65-8AC3-84EE6B93FAE6}">
      <text>
        <t>[Threaded comment]
Your version of Excel allows you to read this threaded comment; however, any edits to it will get removed if the file is opened in a newer version of Excel. Learn more: https://go.microsoft.com/fwlink/?linkid=870924
Comment:
    Added zero - so updated from 18,000 to 180,000 tonnes</t>
      </text>
    </comment>
    <comment ref="B103" authorId="1" shapeId="0" xr:uid="{C520EF01-CD61-43DB-9701-D09A77A74863}">
      <text>
        <r>
          <rPr>
            <b/>
            <sz val="9"/>
            <color indexed="81"/>
            <rFont val="Tahoma"/>
            <family val="2"/>
          </rPr>
          <t>Hamish Forbes:</t>
        </r>
        <r>
          <rPr>
            <sz val="9"/>
            <color indexed="81"/>
            <rFont val="Tahoma"/>
            <family val="2"/>
          </rPr>
          <t xml:space="preserve">
This doesn't seem to be fully published yet but is WRAP Global work, so TQ should have access to it</t>
        </r>
      </text>
    </comment>
    <comment ref="AI121" authorId="1" shapeId="0" xr:uid="{8BA431CB-9A46-4330-9BF0-4554C7DD079E}">
      <text>
        <r>
          <rPr>
            <b/>
            <sz val="9"/>
            <color indexed="81"/>
            <rFont val="Tahoma"/>
            <family val="2"/>
          </rPr>
          <t>Hamish Forbes:</t>
        </r>
        <r>
          <rPr>
            <sz val="9"/>
            <color indexed="81"/>
            <rFont val="Tahoma"/>
            <family val="2"/>
          </rPr>
          <t xml:space="preserve">
This figure is derived. They offer a per capita estimate only for TOTAL food waste, of wich household is a share. Using these figures we can derive per capita household FW.</t>
        </r>
      </text>
    </comment>
    <comment ref="AI122" authorId="1" shapeId="0" xr:uid="{A460A62B-3798-46F1-94BD-BAF2D706A03D}">
      <text>
        <r>
          <rPr>
            <b/>
            <sz val="9"/>
            <color indexed="81"/>
            <rFont val="Tahoma"/>
            <family val="2"/>
          </rPr>
          <t>Hamish Forbes:</t>
        </r>
        <r>
          <rPr>
            <sz val="9"/>
            <color indexed="81"/>
            <rFont val="Tahoma"/>
            <family val="2"/>
          </rPr>
          <t xml:space="preserve">
This figure is derived. They offer a per capita estimate only for TOTAL food waste, of wich household is a share. Using these figures we can derive per capita household FW.</t>
        </r>
      </text>
    </comment>
    <comment ref="AI123" authorId="1" shapeId="0" xr:uid="{BE2AC898-1E16-4344-8593-936B34D11134}">
      <text>
        <r>
          <rPr>
            <b/>
            <sz val="9"/>
            <color indexed="81"/>
            <rFont val="Tahoma"/>
            <family val="2"/>
          </rPr>
          <t>Hamish Forbes:</t>
        </r>
        <r>
          <rPr>
            <sz val="9"/>
            <color indexed="81"/>
            <rFont val="Tahoma"/>
            <family val="2"/>
          </rPr>
          <t xml:space="preserve">
This figure is derived. They offer a per capita estimate only for TOTAL food waste, of wich household is a share. Using these figures we can derive per capita household FW.</t>
        </r>
      </text>
    </comment>
    <comment ref="AI124" authorId="1" shapeId="0" xr:uid="{F5BBE271-C364-42A5-A0F3-70B481D21C5B}">
      <text>
        <r>
          <rPr>
            <b/>
            <sz val="9"/>
            <color indexed="81"/>
            <rFont val="Tahoma"/>
            <family val="2"/>
          </rPr>
          <t>Hamish Forbes:</t>
        </r>
        <r>
          <rPr>
            <sz val="9"/>
            <color indexed="81"/>
            <rFont val="Tahoma"/>
            <family val="2"/>
          </rPr>
          <t xml:space="preserve">
This figure is derived. They offer a per capita estimate only for TOTAL food waste, of wich household is a share. Using these figures we can derive per capita household FW.</t>
        </r>
      </text>
    </comment>
    <comment ref="AI125" authorId="1" shapeId="0" xr:uid="{17683447-FFE6-4213-9992-333D79E4DAEE}">
      <text>
        <r>
          <rPr>
            <b/>
            <sz val="9"/>
            <color indexed="81"/>
            <rFont val="Tahoma"/>
            <family val="2"/>
          </rPr>
          <t>Hamish Forbes:</t>
        </r>
        <r>
          <rPr>
            <sz val="9"/>
            <color indexed="81"/>
            <rFont val="Tahoma"/>
            <family val="2"/>
          </rPr>
          <t xml:space="preserve">
This figure is derived. They offer a per capita estimate only for TOTAL food waste, of wich household is a share. Using these figures we can derive per capita household FW.</t>
        </r>
      </text>
    </comment>
    <comment ref="B127" authorId="1" shapeId="0" xr:uid="{3221B771-978F-4EF2-94FA-B037ED83E4B0}">
      <text>
        <r>
          <rPr>
            <b/>
            <sz val="9"/>
            <color indexed="81"/>
            <rFont val="Tahoma"/>
            <family val="2"/>
          </rPr>
          <t>Hamish Forbes:</t>
        </r>
        <r>
          <rPr>
            <sz val="9"/>
            <color indexed="81"/>
            <rFont val="Tahoma"/>
            <family val="2"/>
          </rPr>
          <t xml:space="preserve">
Worth noting that for some reason this was listed as being Eriksson et al in the Xue et al spreadsheet when it is actually Nahman et al.</t>
        </r>
      </text>
    </comment>
  </commentList>
</comments>
</file>

<file path=xl/sharedStrings.xml><?xml version="1.0" encoding="utf-8"?>
<sst xmlns="http://schemas.openxmlformats.org/spreadsheetml/2006/main" count="4812" uniqueCount="910">
  <si>
    <t>Name</t>
  </si>
  <si>
    <t>Food Waste Index
Level 1 Annex</t>
  </si>
  <si>
    <t>Description</t>
  </si>
  <si>
    <t>This Annex presents the database of datapoints which were used to inform the Level 1 food waste estimates in the 2021 UNEP Food Waste Index Report. It is intended to serve as an additional resource to aid the understanding of that report and offer transparency on the data collection and adjustment which inform the Level 1 Food Waste Index (FWI) estimates.</t>
  </si>
  <si>
    <t>Notes</t>
  </si>
  <si>
    <t>Every row represents a different 'datapoint'. A single study can contain multiple datapoints: each datapoint represents a separate observation, such as a different year, geographic territory or sector. Where a study took multiple observations to inform a single estimate for a larger geographic entity, that larger entity was taken as a single datapoint. In some cases, therefore, a single datapoint is the aggregation of a series of studies or observations which have been carried out in the source paper.
The Database presents the key information from each identified study: its geographic scope, its sectoral coverage, its methodology and the data extracted from the source. The paper numbers correspond to the titles and links on the 'References' tab.</t>
  </si>
  <si>
    <t>Alongside the data from the source paper are the adjustments made for the purposes of Level 1 modelling. This took place in two stages:
1) Normalising all food waste measurements to a single metric, kg/capita/year
2) Adjusting the food waste estimate to account for known biases or different scopes of measurement.
This is detailed in the Methodology Appendix. These adjustments lead to a final estimate of food waste, expressed as kg/capita/year, in the final column of the Database table. These were the figures used to calculate the Food Waste Index Level 1 estimates, following the methodology detailed in the Appendix.</t>
  </si>
  <si>
    <t>Where appropriate, the Database contains formulae within the cells to help understand the approach taken. In particular, this is the case when the food waste estimate (whether total or per capita) was derived from information within the source paper. As an example, when daily generation of residual waste (i.e. all products) was presented alongside a share of waste which was food waste, these two figures were multiplied together to form the food waste estimate. By presenting the figures as they are in the source paper, it should be easier to trace the evidence back to its origin.
For the purposes of improving readability, other values are hard coded as numbers. For a full description of the method, including the sources of these figures, see the Methodological Appendix to the main report.</t>
  </si>
  <si>
    <t>User instructions</t>
  </si>
  <si>
    <t>The workbook is laid out to be read from left to right (both between the tabs and within each one). The Variables tab explains each of the headings of the columns in the Database tab. The Database tab contains all of the information regarding the datapoints and adjustments made to them. The References tab presents the sources of all of the datapoints. All links were functional at last date checked (05/02/2021). In addition to this, the Household Estimates, Food Service Estimates and Retail Estimates tabs display all of the Level 1 estimates, by sector, for every country. These tables are reproduced in the main report Appendices.
The Database tab begins with the bibliographic information of the datapoint. This includes links to the source paper. This is followed by the geographic information of the datapoint, the sectoral information and methodological information, including a 'Description' box which summarises the key points. This is followed by the data as it was presented in the source: this could be as total waste for a geographic area, normalised waste per capita (or other unit), and some of these estimates included share estimates, such as food waste as a share of total waste. This is then normalised to a single metric, expressed as kg/capita/year. Following this are the adjustments made to account for methodological differences. Values which remain unchanged are presented in a faded colour to help identify where adjustments were made. The final column is the kg/capita/year estimate which was used to inform the Level 1 Food Waste estimates.</t>
  </si>
  <si>
    <t>Key adjustments</t>
  </si>
  <si>
    <t>The key adjustment made to the data from the source paper were adjustments to improve comparability and align the estimates more closely with what is measured as part of the Food Waste Index. These rely on scaling factors to account for the underreporting bias of household diary studies and the inedible portion of waste either not measured or not presented in some studies.
The calculation of these scaling factors is detailed in the Appendix.</t>
  </si>
  <si>
    <t>Scaling Factors:</t>
  </si>
  <si>
    <t>Household diary studies</t>
  </si>
  <si>
    <t>Household edible waste</t>
  </si>
  <si>
    <t>Food Service edible waste</t>
  </si>
  <si>
    <t>Retail edible waste</t>
  </si>
  <si>
    <t>Created by</t>
  </si>
  <si>
    <t>Hamish Forbes and Dr Tom Quested (Research Analysts, WRAP: hamish.forbes@wrap.org.uk, tom.quested@wrap.org.uk)</t>
  </si>
  <si>
    <t>Created on</t>
  </si>
  <si>
    <t>Variable column title</t>
  </si>
  <si>
    <t>Study_#</t>
  </si>
  <si>
    <t>Number assigned to the study for the purposes of the Level 1 estimate. These correspond to the numbers in the References tab.</t>
  </si>
  <si>
    <t>Source</t>
  </si>
  <si>
    <t>Title of the source paper.</t>
  </si>
  <si>
    <t>Publication_year</t>
  </si>
  <si>
    <t>The calendar year in which the paper was published.</t>
  </si>
  <si>
    <t>Link</t>
  </si>
  <si>
    <t xml:space="preserve">A hyperlink, if applicable, to the study. </t>
  </si>
  <si>
    <t>Country</t>
  </si>
  <si>
    <t>The country in which the measurement took place.</t>
  </si>
  <si>
    <t>M49_Code</t>
  </si>
  <si>
    <t>Standard country code for statistical use.</t>
  </si>
  <si>
    <t>Region</t>
  </si>
  <si>
    <t>The geographic sub-region as per UNSD groupings. See: https://unstats.un.org/unsd/methodology/m49/</t>
  </si>
  <si>
    <t>Category</t>
  </si>
  <si>
    <t>Whether the country is classified as 'Developed' or 'Developing'.</t>
  </si>
  <si>
    <t>WB_Income_Category</t>
  </si>
  <si>
    <t>The income group of the country of study, as defined by the World Bank's income groups. See: https://datahelpdesk.worldbank.org/knowledgebase/articles/906519-world-bank-country-and-lending-groups</t>
  </si>
  <si>
    <t>Study_area_level</t>
  </si>
  <si>
    <t>Denotes whether a study was conducted as an estimate of food waste for the whole country or a municipal or sub-national area.</t>
  </si>
  <si>
    <t>Study_area_name</t>
  </si>
  <si>
    <t>If the study was an estimate of a municipal or sub-national area, the name of that area as written in the paper.</t>
  </si>
  <si>
    <t>Country_Population_Millions</t>
  </si>
  <si>
    <t>The population of the country in 2019, expressed in millions of people.</t>
  </si>
  <si>
    <t>Household</t>
  </si>
  <si>
    <t>A "1" denotes that the datapoint was an estimate of Household food waste.</t>
  </si>
  <si>
    <t>Food_Service</t>
  </si>
  <si>
    <t>A "1" denotes that the datapoint was an estimate of Food Service food waste.</t>
  </si>
  <si>
    <t>Retail</t>
  </si>
  <si>
    <t>A "1" denotes that the datapoint was an estimate of Retail food waste.</t>
  </si>
  <si>
    <t>Method</t>
  </si>
  <si>
    <t>The methodology of the food waste estimate grouped into one of seven categories based on how the data was measured.</t>
  </si>
  <si>
    <t>Confidence_Classification</t>
  </si>
  <si>
    <t>The classification of the datapoint into 'High' (1) or 'Medium' (2) confidence levels.</t>
  </si>
  <si>
    <t>A brief textual description of the datapoint: its methodology, the sample size and duration (if known) and how it was calculated.</t>
  </si>
  <si>
    <t>Household_Diary?</t>
  </si>
  <si>
    <t>A "1" denotes that this datapoint measured Household food waste using diary methodology, therefore requiring adjustment for comparability.</t>
  </si>
  <si>
    <t>Edible_Waste_Only?</t>
  </si>
  <si>
    <t>A "1" denotes that this datapoint measured only the edible portion of food waste (across any sector), therefore requiring adjustment for comparability.</t>
  </si>
  <si>
    <t>Year(s)_covered</t>
  </si>
  <si>
    <t>If known, the year that a study was conducted, as distinct from the year it was published. Blanks indicate that it was not presented in the paper but was not needed, as the paper expressed waste in per capita terms. Numbers in red indicate that it was not presented in the paper but was required to scale a total food waste estimate into a per capita estimate. In these cases, the year of study has been assumed to be two years prior to the year of publication.</t>
  </si>
  <si>
    <t>FW_Share_estimate</t>
  </si>
  <si>
    <t>If applicable, a percentage value related to the food waste. In some cases these were used to derive the food waste estimate.</t>
  </si>
  <si>
    <t>Share_note</t>
  </si>
  <si>
    <t>A note contextualising the 'FW_Share_Estimate' variable into a number of categories relating to: food waste as a share of purchases; food waste as a share of the total waste generation by that stage; food waste at that stage as a share of total food waste across the measured chain.</t>
  </si>
  <si>
    <t>Edible_Avoidable_Share</t>
  </si>
  <si>
    <t>If applicable, a percentage value expressing the share of food waste which was considered 'edible' or 'avoidable'. In many cases, this variable is a sum based on the total food waste and a mass value of edible or avoidable waste presented in the source.</t>
  </si>
  <si>
    <t>Edible_Avoidable_Note</t>
  </si>
  <si>
    <t>Textual information to contextualise the 'Edible_Avoidable_Share' variable, including definitions used in the paper (i.e. edible/inedible or avoidable/unavoidable).</t>
  </si>
  <si>
    <t>Mass_estimate</t>
  </si>
  <si>
    <t>If presented, a mass value for food waste estimated across the entire geographic entity and sector of the datapoint.</t>
  </si>
  <si>
    <t>Original_Mass_Measure</t>
  </si>
  <si>
    <t>The metric and timescale of the 'Mass_estimate' variable as presenteed in the source paper for the datapoint.</t>
  </si>
  <si>
    <t>Time_Adjustment_Y</t>
  </si>
  <si>
    <t>Adjusts the 'Mass_estimate' variable to one year in cases where 'Original_Mass_Measure' denotes that it was measured at a different timescale. Datapoints which were not adjusted are presented in grey.</t>
  </si>
  <si>
    <t>Weight_Adjustment_T</t>
  </si>
  <si>
    <t>Adjusts the 'Time_adjustment_y' variable to metric tonnes in cases where 'Original_Mass_Measure' denotes that it was measured by a different metric. Datapoints which were not adjusted are presented in grey.</t>
  </si>
  <si>
    <t>Standardised_Mass_tonnes/year</t>
  </si>
  <si>
    <t>Brings the two adjustments (weight and time) into a single column which is standardised to tonnes per year.</t>
  </si>
  <si>
    <t>Derived_Estimate_Needed?</t>
  </si>
  <si>
    <t>A "1" denotes that there was no per capita estimate found in the source paper for this datapoint. Therefore, a per capita estimate needs to be derived from the 'Standardised_mass_tonnes/year' variable.</t>
  </si>
  <si>
    <t>Study_Year_Country_Population</t>
  </si>
  <si>
    <t>If applicable, the population of the country in the year of the study. Taken from UNSD population data, with linear extrapolations between the available datapoints to fill gaps where population estimates were unavaiable.</t>
  </si>
  <si>
    <t>Study_Year_Subnational_Population</t>
  </si>
  <si>
    <t>If applicable, the population of the sub-national area in the year of the study. Wherever possible, this was taken from the source paper to ensure comparability of geographic boundaries.</t>
  </si>
  <si>
    <t>Derived_Normalised_kg/capita/year</t>
  </si>
  <si>
    <t>If applicable, uses the 'Standardised_mass_tonnes/year' and relevant population estimates to derive a kg/capita estimate for the datapoint.</t>
  </si>
  <si>
    <t>Normalised_Mass_Estimate</t>
  </si>
  <si>
    <t>If presented, a mass value for food waste estimated per capita.</t>
  </si>
  <si>
    <t>Original_Normalised_Mass_Measure</t>
  </si>
  <si>
    <t>The metric and timescale of the 'Normalised_Mass_estimate' variable as presenteed in the source paper for the datapoint.</t>
  </si>
  <si>
    <t>Normalised_Weight_Adjustment_kg</t>
  </si>
  <si>
    <t>Adjusts the 'Normalised_mass_estimate' variable to kg/capita in cases where 'Original_Normalised_Mass_Measure' denotes that it was measured at using a different metric. Datapoints which were not adjusted are presented in grey.</t>
  </si>
  <si>
    <t>Normalised_Time_Adjustment_Y</t>
  </si>
  <si>
    <t>Adjusts the timescale of 'Normalised_Weight_Adjustment_kg' variable to one year in cases where 'Original_Mass_Measure' denotes that it measured a different timescale. Datapoints which were not adjusted are presented in grey.</t>
  </si>
  <si>
    <t>Standardised_Normalised_Mass_kg/capita/year</t>
  </si>
  <si>
    <t>Preferred_estimate_kg/capita</t>
  </si>
  <si>
    <t>The 'Standardised_Normalised_Mass_kg/capita/year' and 'Derived_Normalised_kg/capita/year' variables are compared, in cases where both are present. 'Standardised_Normalised_Mass_kg/capita/year' values are prioritised ahead of values derived using population estimates and are denoted the 'Preferred' estimate. In cases where no normalised estimate was available, the 'Derived_Normalised_kg/capita/year' value is used.</t>
  </si>
  <si>
    <t>Household_Diary_Adjustment</t>
  </si>
  <si>
    <t>In cases where the 'Household_Diary?' variable is marked as 1, the scaling factor to account for diary bias is presented. Datapoints where adjustment is not required are written in grey.</t>
  </si>
  <si>
    <t>Household_Inedible_Adjustment</t>
  </si>
  <si>
    <t>In cases where the 'Edible_Waste_Only?' variable is marked as 1 and the datapoint is a Household datapoint, the scaling factor to account for inedible waste in the Household sector is presented. Datapoints where adjustment is not required are written in grey.</t>
  </si>
  <si>
    <t>Food_Service_Inedible_Adjustment</t>
  </si>
  <si>
    <t>In cases where the 'Edible_Waste_Only?' variable is marked as 1 and the datapoint is a Food Service datapoint, the scaling factor to account for inedible waste in the Food Service sector is presented. Datapoints where adjustment is not required are written in grey.</t>
  </si>
  <si>
    <t>Retail_Inedible_Adjustment</t>
  </si>
  <si>
    <t>In cases where the 'Edible_Waste_Only?' variable is marked as 1 and the datapoint is a Retail datapoint, the scaling factor to account for inedible waste in the Retail sector is presented. Datapoints where adjustment is not required are written in grey.</t>
  </si>
  <si>
    <t>Total_Adjustment</t>
  </si>
  <si>
    <t>The product of the four adjustment figure variables.</t>
  </si>
  <si>
    <t>Final_kg/cap/yr_estimate</t>
  </si>
  <si>
    <t>The 'Preferred_estimate_kg/capita' variable multiplied by the adjustment figure. This is the final kg/capita estimate used for the datapoint within the Food Waste Index report and calculations.</t>
  </si>
  <si>
    <t>Datapoint information</t>
  </si>
  <si>
    <t>Datapoint food waste data</t>
  </si>
  <si>
    <t>FWI Level 1 Adjustments</t>
  </si>
  <si>
    <t>Bibliographic Information</t>
  </si>
  <si>
    <t>Geographic Information</t>
  </si>
  <si>
    <t>Sectoral Information</t>
  </si>
  <si>
    <t>Methodological Information</t>
  </si>
  <si>
    <t>As a share</t>
  </si>
  <si>
    <t>Presented as total waste in a territory</t>
  </si>
  <si>
    <t>Presented as normalised waste</t>
  </si>
  <si>
    <t>Pre-adjusted kg/capita estimate</t>
  </si>
  <si>
    <t>Adjustment stages</t>
  </si>
  <si>
    <t>Adjusted kg/capita estimate</t>
  </si>
  <si>
    <t>National Food Waste Baseline: Final assessment report</t>
  </si>
  <si>
    <t>http://www.environment.gov.au/system/files/pages/25e36a8c-3a9c-487c-a9cb-66ec15ba61d0/files/national-food-waste-baseline-final-assessment.pdf</t>
  </si>
  <si>
    <t>Australia</t>
  </si>
  <si>
    <t>Australia and New Zealand</t>
  </si>
  <si>
    <t>Developed</t>
  </si>
  <si>
    <t>HIC</t>
  </si>
  <si>
    <t>Nationwide</t>
  </si>
  <si>
    <t>Waste Composition Analysis</t>
  </si>
  <si>
    <t>This paper represents the national baseline estimate for food waste commissioned by the Australian government in order to be the basis for measurement and reporting of progress on Australia's National Food Waste Strategy 2017. To generate the estimate for household, they combined state government data and modelling forward previously aggregated state government estimates which informed the National Waste Report (2016).</t>
  </si>
  <si>
    <t>Tonnes / year</t>
  </si>
  <si>
    <t/>
  </si>
  <si>
    <t>Data from industry</t>
  </si>
  <si>
    <t>This paper represents the national baseline estimate for food waste commissioned by the Australian government in order to be the basis for measurement and reporting of progress on Australia's National Food Waste Strategy 2017. The figure was calculated through a number of surveys and published figures for hospitality and food service (commercial), and a range of small samples at institutions such as hospitals and universities. These were scaled based on relevant figures such as the number of students and inmates for schools and prisons respectively. The authors highlight low confidence in the instutitional estimates due to small samples. However, it represents wide coverage and the low confidence is "not considered material given the estimated scale of food waste produced".</t>
  </si>
  <si>
    <t>This paper represents the national baseline estimate for food waste commissioned by the Australian government in order to be the basis for measurement and reporting of progress on Australia's National Food Waste Strategy 2017. The Retail figure was calculated through publicly available waste estimates for major supermarkets and data from large shopping centre organisations. The source paper also has an estimate for Wholesale, which has been excluded here.</t>
  </si>
  <si>
    <t>Food Waste Statistics Austria</t>
  </si>
  <si>
    <t>https://ec.europa.eu/food/sites/food/files/safety/docs/fw_eu-platform_20170925_sub-fwm_pres-02b.pdf</t>
  </si>
  <si>
    <t>Austria</t>
  </si>
  <si>
    <t>Western Europe</t>
  </si>
  <si>
    <t>50 establishments had waste compositional analyses carried out (23 canteen kitchens, including hospitals and nursing homes; 13 accommodation establishments; 13 restaurants, 1 catering). This represents wide coverage of both commercial and non-commercial out of home consumption. From the compositional analyses, extrapolation was based on food waste quantities per meals, number of meals per estalishment type and number of establishment types.</t>
  </si>
  <si>
    <t>Avoidable waste registered as 175,000 tonnes, not avoidable from food preparation as 48,500 tonnes. Approximately 22% was therefore unavoidable.
The source goes into more detail with split of avoidable food waste in subsectors: restaurants; accommodation establishments; canteens; other similar establishments like coffee houses.</t>
  </si>
  <si>
    <t>This presentation (in English) by the Environment Agency Austria references a range of other studies in German, summarising the current state of knowledge. These came from Waste Compositional Analyses, although precise details are not in the presentation (apart from for one region, Lower Austria). For the one paper where methodological aspects is given, it refers to sampling from three areas: rural (without centre); rural (with centre); urban, with 796 samples. Whilst more methodology on the other primary studies would have made this clearer, assuming similar methodologies are used in the other cases suggests a sufficiently large and diverse sample.</t>
  </si>
  <si>
    <t>Unclear</t>
  </si>
  <si>
    <t>Has estimates of avoidable and partly avoidable waste as being 157,000 tonnes.</t>
  </si>
  <si>
    <t>kg / capita / year</t>
  </si>
  <si>
    <t>Five different retail companies, with market share of about 83%, contributed data on their food waste. This paper was also referenced by EU FUSIONS and judged to be 'data of sufficient quality'.</t>
  </si>
  <si>
    <t>Review of studies on food waste accounting at Member State level.</t>
  </si>
  <si>
    <t>https://op.europa.eu/en/publication-detail/-/publication/e8e18370-1db9-11ea-95ab-01aa75ed71a1/language-en</t>
  </si>
  <si>
    <t>Literature</t>
  </si>
  <si>
    <t>The original paper referenced is in German. The reference explains that 29 hospitality companies including restaurants, hotels and canteen kitchens recorded their food waste. This therefore has coverage across both commercial and non-commercial dining.</t>
  </si>
  <si>
    <t xml:space="preserve">Separates edible and inedible waste. Approximately 23/32 kg/capita was edible. </t>
  </si>
  <si>
    <t>Estonia</t>
  </si>
  <si>
    <t>Northern Europe</t>
  </si>
  <si>
    <t>This study cites a paper in Estonian from which the figures are taken. 11 retailers had detailed analyses carried out including interviews, on-site observations and weighing. An additional questionnaire was sent to 600 retailers and 183 wholesalers, scaled by grocery store distribution across Estonia.  This study was also cited in Stenmarck et al. (2016) with a slightly different waste figure, it is unclear if this is rounding error or some other calculation.</t>
  </si>
  <si>
    <t>Luxembourg</t>
  </si>
  <si>
    <t>This figure comes from a review paper which references a primary source (in German) which is mentioned as being a survey to retail and distribution companies, although further methodological details are not provided. This estimate has been complemented by a more recent study in the same country.</t>
  </si>
  <si>
    <t>This figure comes from a review paper which references a primary source (in German) which is mentioned as being a waste composition study, although further methodological details are not provided. This estimate has been complemented by a more recent study in the same country.</t>
  </si>
  <si>
    <t>Malta</t>
  </si>
  <si>
    <t>Southern Europe</t>
  </si>
  <si>
    <t>The figure comes from a review paper which details the methodology of the original study. 700 households were randomly sampled for one week in each of July, October and April as part of a waste compositional analysis.</t>
  </si>
  <si>
    <t>2011-2012</t>
  </si>
  <si>
    <t>Norway</t>
  </si>
  <si>
    <t>89 stores from 3 different retail chains provided data, alongside wholesalers covering a large share of the market, both upscaled to the whole of Norway. It was not possible to disaggregate wholesale.  Only edible food reported and the figures have therefore been adusted to estimate the entire food waste.</t>
  </si>
  <si>
    <t>Only edible waste is presented.</t>
  </si>
  <si>
    <t>Spain</t>
  </si>
  <si>
    <t>The figure comes from a review paper which cites a study produced by the Spanish Environment Ministry. It involved 4000 households doing an online waste diary survey, 2000 of which documented their shopping and waste with the other half used to develop user profile and preferences. This only looks at edible waste so has been adjusted.</t>
  </si>
  <si>
    <t>The figure comes from a review paper which cites a study produced by the Spanish Environment Ministry. It is similar to the other Spanish datapoint but involves a higher number of households, with 12,000 considered for building the profile of shopping habits and 4,000 doing the waste diary. This only looks at edible waste so has been adjusted.</t>
  </si>
  <si>
    <t>Minister of works: 195 thousand tons of food waste annually</t>
  </si>
  <si>
    <t>https://alay.am/p/c8b</t>
  </si>
  <si>
    <t>Bahrain</t>
  </si>
  <si>
    <t>Western Asia</t>
  </si>
  <si>
    <t>Developing</t>
  </si>
  <si>
    <t>The source link is to a newspaper article which refers to a report by the Center for Waste Management. The original Center for Waste Management Report could not be found. However, the infographic (clearly copied from the original report) and the article make clear that a waste compositional analysis was undertaken, referring to 'huge quantities of household waste collected from the various region of Bahrain' being sorted.  The inability to find the source paper means we cannot have high confidence in the results.</t>
  </si>
  <si>
    <t>Share of waste which is food waste, distinct from organic</t>
  </si>
  <si>
    <t>Generation and Assessing the Composition of Household Solid Waste in Commercial Capital City of Bangladesh</t>
  </si>
  <si>
    <t>https://www.researchgate.net/publication/259390038_Generation_and_assessing_the_composition_of_household_solid_waste_in_commercial_capital_city_of_Bangladesh</t>
  </si>
  <si>
    <t>Bangladesh</t>
  </si>
  <si>
    <t>Southern Asia</t>
  </si>
  <si>
    <t>LMC</t>
  </si>
  <si>
    <t>Municipality &amp; Sub-national region</t>
  </si>
  <si>
    <t>Chittagong</t>
  </si>
  <si>
    <t>55 households in five different socioeconomic groups across three different areas had their waste sampled daily, using plastic bags provided to them. It was unclear for how long the sampling ran for each household. This small sample size and unkown duration means we cannot have high confidence.</t>
  </si>
  <si>
    <t>kg / capita / day</t>
  </si>
  <si>
    <t>Household solid waste characteristics and management in Chittagong, Bangladesh</t>
  </si>
  <si>
    <t>https://doi.org/10.1016/j.wasman.2007.06.013</t>
  </si>
  <si>
    <t>75 households across five socioeconomic groups in the Rahman Nagar Residential Area had their waste sampled. The length of sampling is unknown. The small sample with unkown duration means we cannot have high confidence in the results.</t>
  </si>
  <si>
    <t>The Study on the Solid Waste Management in Dhaka City</t>
  </si>
  <si>
    <t>https://openjicareport.jica.go.jp/pdf/11785243.pdf</t>
  </si>
  <si>
    <t>Dhaka</t>
  </si>
  <si>
    <t>The JICA study team conducted waste generation source surveys in both the dry and wet season. The exact number of restaurants is not known, only that 50 non-households were sampled across 8 days in each season (this figure will include other buildings, such as shops or offices). It was scaled to the whole of Dhaka based on the Revenue Department's licensing list. Being incomplete in its sectoral coverage and being quite a dated estimate limit its robustness. Note: the JICA paper does also estimate the waste for hotels, which would be considered here, however the table defining the share of food waste from hotels groups it with shops, which would otherwise be considered retail. To avoid this overlap they have not been documented.</t>
  </si>
  <si>
    <t>Tonnes / day</t>
  </si>
  <si>
    <t>kg / establishment / day</t>
  </si>
  <si>
    <t>Food Waste and Food Losses: Prevention and Valorisation</t>
  </si>
  <si>
    <t>https://www.voedselverlies.be/sites/default/files/atoms/files/Monitor_EN_final.pdf</t>
  </si>
  <si>
    <t>Belgium</t>
  </si>
  <si>
    <t>Flanders</t>
  </si>
  <si>
    <t>A combination of data from the Integrated Environmental Report and sector surveys by COMEOS and Buurtsuper.be. Where these were national surveys, the authors adjusted to Flanders based on sales figures. Their figures have been scaled for the whole of Belgium, assuming that Flanders can be considered representative of the whole nation. 3% of this sector is estimated to go to animal feed, which is not considered waste. The numbers have been adjusted to reflect this.</t>
  </si>
  <si>
    <t xml:space="preserve">Waste presented separately as edible (43391) and inedible (21437) in Table 5. </t>
  </si>
  <si>
    <t>The data comes from a range of sources, many of which are commercial and therefore not transparently disclosed. The authors collaborated with food chain partners (horeca Vlaanderen and Unie Belgische Catering) and used existing surveys including Annual Foodservice Monitor and the Integrated Environmental Report. These sources allowed a per person daily waste to be derived, which was then scaled. It covers both hospitality (commercial) and catering (non-commercial). Hospitality and catering are presented separately in the paper, they are summed together here. Their figures have been scaled for the whole of Belgium, assuming that Flanders can be considered representative of the whole nation.</t>
  </si>
  <si>
    <t>Hospitality and Catering were presented separately. In both cases, edible and inedible cases were presented separately. For Hospitality, the edible fraction was 28%. In catering, the edible fraction was 95%. The edible share calculated is based on the tonnes of edible waste generated across all of food service / tonnes total food waste, and therefore accounts for the relative size of hospitality and catering subsectors.</t>
  </si>
  <si>
    <t>Mixed method</t>
  </si>
  <si>
    <t>This paper combines a number of different data sources. An existing OVAM study was used for waste composition analysis in residual waste. This was combined with information from other surveys self-reporting different disposal methods to capture the share going to home compost, pets etc. and data from the Netherlands was used to inform the disposal to sink and toilet. The share which goes to feeding animals (28%) was removed as it is not considered waste, and the amount going to sinks/toilets (3%) was removed to improve comparability.</t>
  </si>
  <si>
    <t>Sum of edible (211858) and inedible (256447), multiplied to remove the share which is going to Animal Feed (28%) and the amount being discharged to toilets/sinks (3%). See Table 3.  Edible fraction: 45%. Assumes an equal amount of edible and inedible waste gets fed to animals</t>
  </si>
  <si>
    <t>Waste Generation and Composition Study for the Western Corridor, Belize C.A.</t>
  </si>
  <si>
    <t>http://belizeswama.com/wp-content/uploads/2018/12/Waste-Generation-Composition-Study-for-Western-Corridor-Belize-C.A.-2056-OC-BL1.pdf</t>
  </si>
  <si>
    <t>Belize</t>
  </si>
  <si>
    <t>Latin America and the Caribbean</t>
  </si>
  <si>
    <t>UMC</t>
  </si>
  <si>
    <t>San Ignacio / Santa Elena</t>
  </si>
  <si>
    <t xml:space="preserve">174 households across three socioeconomic groups had their waste sampled, with at least 100kg collected each sampling day. Measurement was for 8 days. </t>
  </si>
  <si>
    <t>Caye Caulker</t>
  </si>
  <si>
    <t xml:space="preserve">132 households across three socioeconomic groups had their waste sampled, with at least 100kg collected each sampling day. Measurement was for 8 days. </t>
  </si>
  <si>
    <t>San Pedro</t>
  </si>
  <si>
    <t xml:space="preserve">169 households across three socioeconomic groups had their waste sampled, with at least 100kg collected each sampling day. Measurement was for 8 days. </t>
  </si>
  <si>
    <t>Belize City</t>
  </si>
  <si>
    <t xml:space="preserve">183 households across three socioeconomic groups had their waste sampled, with at least 100kg collected each sampling day. Measurement was for 8 days. </t>
  </si>
  <si>
    <t>Intercâmbio Brasil-União Europeia sobre desperdício de alimentos: relatório final</t>
  </si>
  <si>
    <t>https://www.embrapa.br/busca-de-publicacoes/-/publicacao/1105525/intercambio-brasil-uniao-europeia-sobre-desperdicio-de-alimentos-relatorio-final</t>
  </si>
  <si>
    <t>Brazil</t>
  </si>
  <si>
    <t>Diaries</t>
  </si>
  <si>
    <t>686 households participated in "a food diary with photo analysis of wasted food", with more households also participating in a questionnaire about consumption habits. As a diary result, it has been scaled to adjust for the measurement bias.</t>
  </si>
  <si>
    <t>National Waste Characterization Report: The Composition of Canadian Residual Municipal Solid Waste</t>
  </si>
  <si>
    <t>http://publications.gc.ca/collections/collection_2020/eccc/en14/En14-405-2020-eng.pdf</t>
  </si>
  <si>
    <t>Canada</t>
  </si>
  <si>
    <t>Northern America</t>
  </si>
  <si>
    <t>56 different waste compositional analyses studies are analysed and averaged to form a national average. The studies analysed involved a mixture of curbside analysis and at sorting facilities. The share which is food waste has been multiplied by the total residential waste to form a food waste estimate.</t>
  </si>
  <si>
    <t>Million tonnes / year</t>
  </si>
  <si>
    <t>An Overview of the Resources and Environmental Issues from Wasted Food in Urban Catering Across China</t>
  </si>
  <si>
    <t>https://doi.org/10.5814/j.issn.1674-764x.2013.04.006</t>
  </si>
  <si>
    <t>China</t>
  </si>
  <si>
    <t>Eastern Asia</t>
  </si>
  <si>
    <t>Beijing</t>
  </si>
  <si>
    <t>The paper references Zhang et al. (2010), but does not provide sufficient methodological detail to offer high confidence.</t>
  </si>
  <si>
    <t>Characterization, quantification and management of household solid waste: A case study in China</t>
  </si>
  <si>
    <t>http://dx.doi.org/10.1016/j.resconrec.2015.03.001</t>
  </si>
  <si>
    <t>Suzhou</t>
  </si>
  <si>
    <t>140 households participated in a compositional analysis. This involved their waste being collected each day for a week, and was repeated in each season. They also completed a survey. The household sizes are considered representative of the wider city.</t>
  </si>
  <si>
    <t>Thousand tonnes / year</t>
  </si>
  <si>
    <t>g / capita / day</t>
  </si>
  <si>
    <t>Rural household food waste characteristics and driving factors in China</t>
  </si>
  <si>
    <t>https://doi.org/10.1016/j.resconrec.2020.105209</t>
  </si>
  <si>
    <t>Shandong</t>
  </si>
  <si>
    <t>207 houses across 21 villages in three prefectures (Jinan, Weifang, Dezhou) studied, tracked for 9 meals across 3 days. The weight of food recorded before cooking and after a meal's disposal to form 'meal waste' figure, but also measure 'non meal' waste (such as removal of mouldy stored items) once a day. It was a form of diary documenting this only looking at edible waste, so it is adjusted for both diary bias and the inedible share of waste.</t>
  </si>
  <si>
    <t>Food waste collection and recycling for value-added products: potential applications and challenges in Hong Kong</t>
  </si>
  <si>
    <t>https://doi.org/10.1007/s11356-015-4235-y</t>
  </si>
  <si>
    <t>Hong Kong</t>
  </si>
  <si>
    <t>The paper cites the Hong Kong Environment Bureau's official statistics. It is assumed to be from Waste Compositional Analysis but is not made explicit, nor other details of the method (such as sample).</t>
  </si>
  <si>
    <t>Share of total food waste generation</t>
  </si>
  <si>
    <t>Survey of composition and generation rate of household wastes in Beijing, China</t>
  </si>
  <si>
    <t>https://doi.org/10.1016/j.wasman.2009.05.014</t>
  </si>
  <si>
    <t>113 households across six districts in Beijing city had their waste collected and analysed daily for a period of 10 days.</t>
  </si>
  <si>
    <t>Share of waste which is food waste, no other organic estimate</t>
  </si>
  <si>
    <t>Food consumption and waste and the embedded carbon, water and ecological footprints of households in China</t>
  </si>
  <si>
    <t>http://dx.doi.org/10.1016/j.scitotenv.2015.05.068</t>
  </si>
  <si>
    <t>Paper quantifying the carbon, water and ecological footprints of food consumed and food wasted in Chinese households. Uses the China Health and Nutrition Survey (CHNS) 2011 database, with data from 12,850 households across 2004, 2006 and 2009 using a diary methodology over three days.</t>
  </si>
  <si>
    <t>2004 - 2009</t>
  </si>
  <si>
    <t>Anaerobic digestion based waste-to-energy technologies can halve the climate impact of China’s fast-growing food waste by 2040</t>
  </si>
  <si>
    <t>https://doi.org/10.1016/j.jclepro.2020.123490</t>
  </si>
  <si>
    <t>Urban China Total</t>
  </si>
  <si>
    <t>The household estimate uses a huge range of local MSW figures and studies estimating the share of household food waste in the entire MSW. 196 samples obtained from the literature across 2001-2016. (Supplementary Info, Table S21-2). All literature values cited repored the value Household Food Waste in MSW, though it is unclear how exactly it was disaggregated if samples were taken at landfilling or transport sites. The per capita figure only applies to the urban population as this was where the study was concentrated.</t>
  </si>
  <si>
    <t>East China</t>
  </si>
  <si>
    <t>This paper aggregates a huge number of what they term 'catering waste' papers. 47 of them in total from various areas of China. It's a mixture of surveys, official statistics, author's calculations etc. to create data on catering food waste across different regions. This is then associated to a number of correlates which are used to predict growing food waste in future. The authors worked with datapoints from a range of years and other data to form a 2019 estimate which is what we use here.</t>
  </si>
  <si>
    <t>Middle China</t>
  </si>
  <si>
    <t>West China</t>
  </si>
  <si>
    <t>This paper aggregates a huge number of what they term 'catering waste' papers. 47 of them in total from various areas of China. It's a mixture of surveys, official statistics, author's calculations etc. to create data on catering food waste across different regions. This is then associated to a number of correlates which are used to predict growing food waste in future. The authors worked with datapoints from a range of years and other data to form a 2019 estimate which is what we use here. The total waste figure itself was not listed in the text but was confirmed with the authors as being 38 million tonnes. This refers only to urban catering waste.</t>
  </si>
  <si>
    <t>Northeast China</t>
  </si>
  <si>
    <t>Project on Master Plan Study for Integrated Solid Waste Management in Bogota, D.C.</t>
  </si>
  <si>
    <t>https://openjicareport.jica.go.jp/pdf/12126843.pdf</t>
  </si>
  <si>
    <t>Colombia</t>
  </si>
  <si>
    <t>Bogota</t>
  </si>
  <si>
    <t>The paper cites 3259 samples, although it's unclear if this is referring to households or individuals, taken across a single twenty four hour period, across 19 localities and six socioeconomic categories. Whilst the length of sample is small, the size was considered to compensate for this.</t>
  </si>
  <si>
    <t>&gt; 14.13%</t>
  </si>
  <si>
    <t xml:space="preserve">Food disaggregated into 'prepared' (i.e. leftovers, 8.56%) and 'not prepared' (assumed to include scraps, 52%). Distinct from garden waste, textiles, wood. Table 4-6 has composition. This amounts to at least 14% being edible (prepared) through 8.56/60.56. Not prepared would be a mixture of edible and inedible waste so we cannot with confidence say the share of edible or avoidable waste.
</t>
  </si>
  <si>
    <t>Kortlægning af madaffald i servicesektoren: Detail handel, restauranter og storkøkkener</t>
  </si>
  <si>
    <t>https://mst.dk/service/publikationer/publikationsarkiv/2014/okt/kortlaegning-af-madaffald-i-servicesektoren/</t>
  </si>
  <si>
    <t>Denmark</t>
  </si>
  <si>
    <t>Paper is in Danish but has a summary in English. The waste from 53 businesses was studied, 69 were visited to discuss their food waste management. It's unclear what share of this sample was retail, but the paper claims the sample was aimed to be representative. It analyses not just non-specialised stores (supermarkets etc.) but also specialised stores such as butchers, fishmongers and greengrocers. The value is the sum of non-specialised (1) and specialised retail (2) but does not include wholesale (3). Confidence intervals of ±25 are given for each retail sector.</t>
  </si>
  <si>
    <t>Includes edible / inedible splits for each sector and subsector, see Table in Summary.</t>
  </si>
  <si>
    <t>Surveys, questionnaires and interviews</t>
  </si>
  <si>
    <t>Electronic questionnaire studies were issues to chefs among hotels, restaurants and canteens. 474 chefs reported information about their food waste. The paper also refers to 53 businesses being studied; it is unclear if this number includes out of home consumption businesses or just retail. The authors claim it was designed to be as representative as possible. The figure taken is the sum of Hotels (4), Restaurants (5), Institutions (6) and Canteens (7). Confidence intervals of ±25 are provided for hotels and restaurants, ±50 for institutions and ±10 for canteens.</t>
  </si>
  <si>
    <t>Edible / inedible splits are presented for each subsector. The edible waste arisings are summed and divided by the total food waste for the food service sector as a whole.</t>
  </si>
  <si>
    <t>Ton / € million turnover PPP adjusted</t>
  </si>
  <si>
    <t>Food waste from Danish households: Generation and composition</t>
  </si>
  <si>
    <t>https://doi.org/10.1016/j.wasman.2016.03.032</t>
  </si>
  <si>
    <t>1474 households were randomly selected across five Danish municipalities in which there is no source segregation of household food waste. Depending on their collection schedule, their waste from one or two weeks was collected and sorted.</t>
  </si>
  <si>
    <t>Includes splits at household level of avoidable and unavoidable, plus further disaggregation into food type (Fig 1). Thisis mesured in kg/household/year. Total Food waste is 183 kg/household/year, of which 103 is avoidable and 80 unavoidable.</t>
  </si>
  <si>
    <t>kg / capita / week</t>
  </si>
  <si>
    <t>Kortlægning af sammenstaetningen af dagrenovation og kildesorteret oranisk affald fra husholdninger</t>
  </si>
  <si>
    <t>https://www2.mst.dk/Udgiv/publikationer/2018/03/978-87-93614-78-9.pdf</t>
  </si>
  <si>
    <t>1600 houses sampled across four municipalities. It specifically looks at and disaggregates between single family homes and blocks of flats in each of those municipalities.</t>
  </si>
  <si>
    <t>Splits food waste into 'avoidable' and 'unavoidable' food waste. Avoidable: 246,977 tonnes; unavoidable: 208,552. This is further disaggregated by different house types, there is also a breakdown of different food stuffs (see Tables 7, 8 and 9).</t>
  </si>
  <si>
    <t>Toidujäätmete ja toidukao teke Eesti kodumajapidamistes ja toitlustusasutustes</t>
  </si>
  <si>
    <t>https://www.sei.org/wp-content/uploads/2017/12/sei-2015-report-food-waste-and-food-loss-in-estonian-households-and-catering-institutions-sei-tallinn1.pdf</t>
  </si>
  <si>
    <t>20 catering institutions had waste audits run: 3 restaurants, 3 bars/pubs, 3 cafes, 4 canteens/buffets, 3 schools, 3 kindergartens, 1 hospital. This therefore offers a good variation of commercial and non-commercial out of home consumption. Across 5 days, waste was measured at preparation, serving, consumption and storing food to provide waste generation figures which was scaled up.</t>
  </si>
  <si>
    <t>59% of the total food waste was avoidable (as defined in the source, 'food loss'). The paper also contains a breakdown of different size of waste per portion in different institutions.</t>
  </si>
  <si>
    <t>100 households of various income levels and living arrangements took part in a diary study alongside a questionnaire survey. It has been adjusted to account for diary bias.</t>
  </si>
  <si>
    <t>Has avoidable food waste (which they term 'food loss') estimate as constituting 36% of total food waste generation. As a result, avoidable food waste was 16.8kg / person / year.
The authors also present some breakdowns of types of foods which are discarded.</t>
  </si>
  <si>
    <t>Analysis of food waste in the Estonian food trade sector and the food industry Summary</t>
  </si>
  <si>
    <t>https://www.sei.org/wp-content/uploads/2017/12/summary-food-waste-in-estonian-food-trade-sector-and-industry-sei-tallinn-2016.pdf</t>
  </si>
  <si>
    <t>Study in Estonian, referenced in Stenmarck et al. (2016), which details that 11 retailers had detailed analyses carried out including interviews, on-site observations and weighing. An additional questionnaire was sent to 600 retailers and 183 wholesalers, scaled by grocery store distribution across Estonia. This paper is also referenced in Caldeira et al. (2019) with a slightly different waste figure, it is unclear why these are different.</t>
  </si>
  <si>
    <t>Solid Waste Generation Rate and Characterization Study for Laga Tafo Laga Dadi Town, Oromia, Ethiopia</t>
  </si>
  <si>
    <t>https://doi.org/10.11648/j.ijepp.20170506.11</t>
  </si>
  <si>
    <t>Ethiopia</t>
  </si>
  <si>
    <t>Sub-Saharan Africa</t>
  </si>
  <si>
    <t>LIC</t>
  </si>
  <si>
    <t>Laga Tafo Laga Dadi town, Oromia</t>
  </si>
  <si>
    <t>Bags distributed to 92 'residential households' for waste collection and sorting every day. From this waste compositional data, food waste can be derived. It is unclear for how long this compositional analysis took place. Survey in Laga Tafo Laga Dadi (sometimes written Legetafo Legedadi) town, Oromia, a small area on the outskirts of Addis Ababa. 
Note: different 'residential' groups are included in the paper, including 'real estate residential' and 'ropack village residential'. Due to some confusion over the terminology and these types having very high bone waste, only 'residential households' were considered here.</t>
  </si>
  <si>
    <t>KG / day</t>
  </si>
  <si>
    <t>Estimates of European food waste levels</t>
  </si>
  <si>
    <t xml:space="preserve">https://www.eu-fusions.org/phocadownload/Publications/Estimates%20of%20European%20food%20waste%20levels.pdf </t>
  </si>
  <si>
    <t>Finland</t>
  </si>
  <si>
    <t>References three different papers: from Katajajuuri et al. (2014), Silvenoinen et al. (2014) and HSY (2012). The Katajajuuri paper is also a separate data point in this database. The first two (diary studies) only estimate avoidable waste (120,000 tonnes), the latter (appears to be a waste compositional anlaysis) was used to estimate avoidable waste (230,000 tonnes). This was done to make them more comparable to other studies of all food waste. Since this adjusted total food waste esimtate comes from Finland-specific data, it was judged that leaving it as a separate data point to compare and average with our generic edible and diary share adjusted figure would be prudent. The adjusted per capita figures are highly comparable to one another, giving some confidence in our estimate.</t>
  </si>
  <si>
    <t>References three different papers: from Katajajuuri et al. (2014), Silvenoinen et al. (2014) and HSY (2012). The Katajajuuri paper is also a separate data point in this database. The first two only estimate avoidable waste (80,000 tonnes), the latter was used to estimate avoidable waste (50,000 tonnes). This was done to make them more comparable to other studies of all food waste. Since this adjusted total food waste esimtate comes from Finland-specific data, it was judged that leaving it as a separate data point to compare and average with our generic edible share adjusted figure would be prudent. The adjusted per capita figures are highly comparable to one another, giving some confidence in our estimate.</t>
  </si>
  <si>
    <t>Greece</t>
  </si>
  <si>
    <t>Paper cites 'Greek Waste Statistics' from 2011 which could not be found based on the bibliography reference or internet searches. However, it was judged to be 'data of sufficient quality' by Stenmarck et al. (2016). The inability to find the source paper means we cannot have high confidence.</t>
  </si>
  <si>
    <t>Ireland</t>
  </si>
  <si>
    <t>Cited as being from the Irish Environmental Protection Agency (2015). The original source and weight estimates were not found based on the bibliography information or direct searches. However, it was judged by Stenmarck et al. (2016) to be 'data of sufficient quality'. The inability to find the source paper means we cannot have high confidence.</t>
  </si>
  <si>
    <t>The paper cites 'Luxembourg Waste Statistics 2015'. This was not found either through the bibliography or through a direct internet search. However, it was considered 'data of sufficient quality' for the purposes of EU FUSIONS. The inability to find the source paper means we cannot have high confidence.</t>
  </si>
  <si>
    <t>Netherlands</t>
  </si>
  <si>
    <t>The document cites a paper (De Waart, 2011) which could not be found through a direct internet search for the paper. As a result, it cannot be verified any further. It was judged to be data of 'sufficient quality' for the EU FUSIONS project, however. The inability to find the source paper means we cannot have high confidence.</t>
  </si>
  <si>
    <t>Food waste in the Finnish food chain</t>
  </si>
  <si>
    <t>http://dx.doi.org/10.1016/j.jclepro.2013.12.057</t>
  </si>
  <si>
    <t>380 households participating in diary study for two weeks. Only looking at edible food. It is adjusted for diary bias and inedible share. The end result is highly comparable with the combined estimate cited in Stenmarck et al. (2016), which used Helsinki metropolitan area waste compositional data to adjust the original figure.</t>
  </si>
  <si>
    <t>Million kg / year</t>
  </si>
  <si>
    <t>https://doi.org/10.1016/j.jclepro.2013.12.057</t>
  </si>
  <si>
    <t>This paper includes the results of two separate studies, one on the commercial sector and one on the non-commercial sector. The commercial sector study involved 72 restaurants across 17 businesses - a range of diners, cafes, restaurants, hotels etc. - having their waste measured for a single day. The non-commercial study involved 55 outlets representing three companies providing food for day care, hospitals and workplace canteens, measured over one week. Table 5 in the paper refers to "avoidable food waste in the Finnish food supply chain" suggesting that this did not measure total food waste, only the avoidable share, and the figure is therefore adjusted to estimate this inedible or unavoidable share.</t>
  </si>
  <si>
    <t>Pertes et gaspillages alimentaires : l'état des lieux et leur gestion par étapes de la chaîne alimentaire</t>
  </si>
  <si>
    <t>https://www.ademe.fr/etat-lieux-masses-gaspillages-alimentaires-gestion-differentes-etapes-chaine-alimentaire</t>
  </si>
  <si>
    <t>France</t>
  </si>
  <si>
    <t>Paper in French, with summary available in English and details in Caldeira et al. (2019). 50 households in a representative sample of the French population were measured across 7 days using an online diary survey in which they documented waste each day and uploaded pictures. Only measuring edible food. This has been adjusted to account for both diary bias and the inedible waste share.</t>
  </si>
  <si>
    <t>Paper in French, with summary available in English and details in Caldeira et al. (2019). Across the supply chain, 582 interviews took place: 512 'quali-quantitative', 80 qualitative. Looks only at edible waste (food for human consumption), so has been adjusted.</t>
  </si>
  <si>
    <t>Combination of studies across canteens and restaurants. 22 canteens and 37 restaurants interviewed. Most of these were self-estimation without measurement, though some measurements were taken independent of the study. The study also conducted a waste audit in one canteen and one restaurant. These were compared to a similar 2011 Agriculture Ministry study of out of home waste. They used this information to confirm the underestimation of out of home actors to their own waste, and prioritise the 'realised' measure over the actor estimate. The waste per meal (including storage waste from kitchen, not just plate waste) is scaled for the respective commercial and non-commercial sector. However, it only looks at edible waste (destined for human consumption) and no preparation waste. This is therefore adjusted.</t>
  </si>
  <si>
    <t>Preparatory study on food waste across EU 27</t>
  </si>
  <si>
    <t>https://ec.europa.eu/environment/eussd/pdf/bio_foodwaste_report.pdf</t>
  </si>
  <si>
    <t>Estimate judged to be of 'sufficient quality' by Stenmarck et al. (2016), it combines literature references from a Danish Environmental Ministry Report (2010) and ADEME (2004).</t>
  </si>
  <si>
    <t>Seasonal variation of municipal solid waste generation and composition in four East European cities</t>
  </si>
  <si>
    <t>https://doi.org/10.1016/j.resconrec.2014.06.001</t>
  </si>
  <si>
    <t>Georgia</t>
  </si>
  <si>
    <t>Kutaisi</t>
  </si>
  <si>
    <t>Between 400-600kg of residual waste from residential areas taken and sorted. Done each month for a period of a year. Compositional information combined with MSW data to understand total waste. The paper does specify these samples came from residential areas but they were collected from waste trucks rather than homes directly leading to some increased uncertainty.</t>
  </si>
  <si>
    <t>2010-11</t>
  </si>
  <si>
    <t>kg / capita / month</t>
  </si>
  <si>
    <t>Food waste in Germany – Baseline 2015 – Summary</t>
  </si>
  <si>
    <t>https://www.researchgate.net/publication/339473130_Food_waste_in_Germany_-Baseline_2015_-_Summary</t>
  </si>
  <si>
    <t>Germany</t>
  </si>
  <si>
    <t>This is an English summary paper of a study in German, which means some of the details of the methodology are unclear. They claim to use "the best available data at the time of the study", which will include papers in German. Figure S.1 shows the admissable measurement methods and those which were applied for each sector, which is in line with the methods we are targeting here. However, the English summary does not include detail on the specific sources used so it's unclear how many of each method there are. For 'trade', which we are understanding as retail, they use Direct Measurements and Counts and Scans. There is a risk that wholesale has been included in this figure. 
This paper forms the 2015 baseline for food waste against which the national strategy for reducing food waste will be measured, it is therefore the preferred figure for Germany.</t>
  </si>
  <si>
    <t>0.41 Mt was considered avoidable</t>
  </si>
  <si>
    <t>This is an English summary paper of a study in German, which means some of the details of the methodology are unclear. They claim to use "the best available data at the time of the study", which will include papers in German. Figure S.1 shows the admissable measurement methods and those which were applied for each sector, which is in line with the methods we are targeting here. However, the English summary does not include detail on the specific sources used so it's unclear how many of each method there are. For out of home they use Direct Measurements; Waste Composition Analysis; Records.
This paper forms the 2015 baseline for food waste against which the national strategy for reducing food waste will be measured, it is therefore the preferred figure for Germany.</t>
  </si>
  <si>
    <t>1.22 Mt was considered avoidable</t>
  </si>
  <si>
    <t>This is an English summary paper of a study in German, which means some of the details of the methodology are unclear. They claim to use "the best available data at the time of the study", which will include papers in German. Figure S.1 shows the admissable measurement methods and those which were applied for each sector, which is in line with the methods we are targeting here. However, the English summary does not include detail on the specific sources used so it's unclear how many of each method there are. For household they use Direct Measurement; Waste Composition Analysis; Records. 
This paper forms the 2015 baseline for food waste against which the national strategy for reducing food waste will be measured, it is therefore the preferred figure for Germany.</t>
  </si>
  <si>
    <t>2.69 Mt was considered avoidable</t>
  </si>
  <si>
    <t>Municipal solid waste characterization and quantification as a measure towards effective waste management in Ghana</t>
  </si>
  <si>
    <t>http://dx.doi.org/10.1016/j.wasman.2015.09.009</t>
  </si>
  <si>
    <t>Ghana</t>
  </si>
  <si>
    <t>1014 households representing 6083 people were randomly selected in 10 different districts across the country across three socioeconomic groups (low, medium, high). The households were provided with two bags, one for biodegradable waste and one for other waste, and were taught how to separate accordingly. Employed sorters then collected and did further sorting and disaggregation between every two days and twice a week for a period of five weeks, including sorting the biodegradable waste into a food subcategory. The per capita figure taken is the average across the socioeconomic groups provided in the paper.</t>
  </si>
  <si>
    <t>The implications of food waste generation on climate change: The case of Greece</t>
  </si>
  <si>
    <t>https://doi.org/10.1016/j.spc.2015.06.006</t>
  </si>
  <si>
    <t>252 households in urban and semi-urban areas of Athens, Heraklion and Chania were involved in a diary study, asked to weigh and record their waste (both avoidable and unavoidable) for a period of two weeks. This has been adjusted to account for diary bias.</t>
  </si>
  <si>
    <t>The avoidable/unavoidable split is presented. 29.8 kg / cap / year avoidable. This is divided by the total waste to get an edible share.</t>
  </si>
  <si>
    <t>Quantification of Household Food Waste in Hungary: A Replication Study Using the FUSIONS Methodology</t>
  </si>
  <si>
    <t>https://doi.org/10.3390/su12083069</t>
  </si>
  <si>
    <t>Hungary</t>
  </si>
  <si>
    <t>Eastern Europe</t>
  </si>
  <si>
    <t>165 households measured their waste in a diary for a week. This is a repeat of a 2016 study to identify changes in household waste. The definitions used are designed to be compliant with the EU FUSIONS project. It has been adjusted to account for diary bias.</t>
  </si>
  <si>
    <t>Paper includes breakdown of avoidable, potentially avoidable and unavoidable. Avoidable waste was 48.81% of total food waste and liquid waste. Possibly avoidable was 4.16%, this is assumed to be 50% avoidable and 50% unavoidable for comparability purposes. A breakdown of specific food categories is also presented.</t>
  </si>
  <si>
    <t>An Analytical Study of Effect of Family Income and Size on Per Capita Household Solid Waste Generation in Developing Countries</t>
  </si>
  <si>
    <t>http://rah-net.com/journals/rah/Vol_3_No_1_March_2014/11.pdf</t>
  </si>
  <si>
    <t>India</t>
  </si>
  <si>
    <t>Dehradun</t>
  </si>
  <si>
    <t>144 households across three different socioeconomic groups in Dehradun city were given a large bag in which to dispose their waste, which was then sorted and classified. It is unclear for how long the survey took place, so is assumed to have not met the '700 waste day' baseline and we therefore cannot have high confidence in the estimate.</t>
  </si>
  <si>
    <t>Municipal Solid Waste Quantification, Characterization and Management in Rajam</t>
  </si>
  <si>
    <t>http://theijes.com/papers/v5-i2/G0502040047.pdf</t>
  </si>
  <si>
    <t>Rajam, Andhra Pradesh</t>
  </si>
  <si>
    <t>25 households from 5 different segments of Rajam town were given two bags; one for wet and one for dry waste, collected each day. Segregated their waste for seven consecutive days, which was then taken for sorting.</t>
  </si>
  <si>
    <t>Household solid waste generation and composition in different family size and socio-economic groups: A case study</t>
  </si>
  <si>
    <t>https://doi.org/10.1016/j.scs.2014.07.004</t>
  </si>
  <si>
    <t>144 households from 11 major blocks of Dehradun city provided with waste bags in which to put their waste from a 24 hour period, which was then sorted and classified.</t>
  </si>
  <si>
    <t>Community participation in household solid waste reduction in Surabaya, Indonesia</t>
  </si>
  <si>
    <t>https://doi.org/10.1016/j.resconrec.2015.06.013</t>
  </si>
  <si>
    <t>Indonesia</t>
  </si>
  <si>
    <t>South-eastern Asia</t>
  </si>
  <si>
    <t>Surabaya</t>
  </si>
  <si>
    <t>100 households in Surabaya were provided with bags in which to put all of their daily waste for a period of 8 consecutive days. This was then collected and sorted, including into a separate food waste category.</t>
  </si>
  <si>
    <t>Kitchen Food Waste Inventory for Residential Areas in Baghdad City</t>
  </si>
  <si>
    <t>https://www.researchgate.net/publication/258242118_Kitchen_Food_Waste_Inventory_for_Residential_Areas_in_Baghdad_City</t>
  </si>
  <si>
    <t>Iraq</t>
  </si>
  <si>
    <t>Baghdad</t>
  </si>
  <si>
    <t>20 families in Baghdad, a mixture of family sizes and income levels, weighed their weekly purchases (this seems to have excluded meat) and kitchen waste on kitchen scales and documented them for a period of 8 months. This has been adjusted to account for diary bias. There is some uncertainty about the scope as the term kitchen waste and leftovers are used interchangably: this could possibly be looking at edible waste only. Adjusting it as such would lead to an extreme food waste estimate, so this has been assumed not to be the case, but this uncertainty prevents us from having high confidence in the results.</t>
  </si>
  <si>
    <t>Share of purchases wasted</t>
  </si>
  <si>
    <t>g / capita / week</t>
  </si>
  <si>
    <t>A Study on Solid Waste Composition And Characteristics of Mosul City/Iraq</t>
  </si>
  <si>
    <t>https://www.researchgate.net/publication/340256113_Solid_Waste_Composition_and_Characteristics_of_Mosul_CityIRAQ</t>
  </si>
  <si>
    <t>Mosul</t>
  </si>
  <si>
    <t>60 households, 10 from each sector of Mosul were given plastic bags and told to deposit their waste from a 24 hour period into it. It's unclear if this was repeated for individual houses or for how many days, though the paper does say that the study period was between February and July which would suggest it was repeated for households for some duration. A total of 1680 solid waste samples were collected.</t>
  </si>
  <si>
    <t>Spatial Analysis of Residential Waste Solid in the City of Karbala</t>
  </si>
  <si>
    <t>https://www.iraqjournals.com/article_104313_0.html</t>
  </si>
  <si>
    <t>Karbala</t>
  </si>
  <si>
    <t>70 households in Karbala distributed plastic bags in which to put their waste from a 24 hour period. Done once a month for three months in winter and three months in summer.</t>
  </si>
  <si>
    <t>Household Behavior on Solid Waste Management a Case of Al-Kut City</t>
  </si>
  <si>
    <t>https://www.researchgate.net/publication/320613575_Household_Behavior_on_Solid_Waste_Management_A_Case_of_Al-Kut_City</t>
  </si>
  <si>
    <t>Al-Kut City</t>
  </si>
  <si>
    <t>80 households across three income groups in Al-Kut had their waste collected daily for a period of one week, which was repeated one week per month for seven months. Whilst this is a large sample, there remains some uncertainty around definitions as to whether food or organic waste was measured, which could explain the quite substantial waste generation. As a result, we cannot have high confidence in the estimate.</t>
  </si>
  <si>
    <t>Characteristics and Compositions of Solid Waste in Nassiriya City</t>
  </si>
  <si>
    <t>https://www.semanticscholar.org/paper/CHARACTERISTICS-AND-COMPOSITIONS-OF-SOLID-WASTE-IN-Abudi/b9f0c4d0092838519e4eaee3586fd4398b012daa</t>
  </si>
  <si>
    <t>Nassiriya</t>
  </si>
  <si>
    <t>65 households representing 417 people across three income groups in Nassiriya were randomly selected. Distributed plastic bags in which to put waste which were collected daily and replaced over a period of seven months.</t>
  </si>
  <si>
    <t>What gets measured gets managed: A new method of measuring household food waste</t>
  </si>
  <si>
    <t>https://doi.org/10.1016/j.wasman.2018.03.031</t>
  </si>
  <si>
    <t>Israel</t>
  </si>
  <si>
    <t>Haifa</t>
  </si>
  <si>
    <t>192 households across three neighbourhoods in Eastern Haifa, primarily middle class households, provided with waste bags which were collected daily for the period of one week. Due to being a study within a specific unrepresentative area, we only have medium confidence.</t>
  </si>
  <si>
    <t>Avoidable food waste presented as 54% of total food waste.</t>
  </si>
  <si>
    <t>Food Waste and Rescue in Israel: The Economic, Social and Environmental Impact</t>
  </si>
  <si>
    <t>https://www.leket.org/en/food-waste-and-rescue-report/</t>
  </si>
  <si>
    <t>The paper describes the figure as coming from "A comprehensive value chain model for various food production and consumption stages was designed to assess food waste and the potential for food rescue in Israel. The model is based on a bottom-up approach, and includes analysis of data relevant to agricultural production, import, export, industry, distribution and a sample of consumption patterns of 50 different types of food." [...] "For each type of food, the volume of input and output was measured in terms of gross agricultural product and loss rate for every stage of the value chain in the food production, distribution and consumption process." [...] "This data is indicative and intended to serve as the basis for public debate, and for further research and study".
As a result, it is not that clear exactly the calculation that has taken place nor the original data sources, other than that they are 'bottom up'. Leket is a primary food rescue organisation in Israel and this paper was referred to us by contacts in the region. The lack of clarity on the methodological details means we cannot have high confidence in the estimate.</t>
  </si>
  <si>
    <t>Million pounds / year</t>
  </si>
  <si>
    <t>Gli sprechi alimentari nella grande distribuzione organizzata in Italia. Quantificazione e analisi dei prodotti alimentari smaltiti nei supermercati e ipermercati.</t>
  </si>
  <si>
    <t>https://www.sprecozero.it/2020/07/16/quanto-cibo-si-spreca-in-italia/</t>
  </si>
  <si>
    <t>Italy</t>
  </si>
  <si>
    <t>17 retail stores, including both supermarkets and hypermarkets had their waste weighed. The linked infographic suggests a combination of direct weighing and item scanning, which was used to form a waste generation factor by retail space, which was then scaled up nationwide.</t>
  </si>
  <si>
    <t>Quantities, Determinants, and Awareness of Households’ Food Waste in Italy: A Comparison between Diary and Questionnaires Quantities’</t>
  </si>
  <si>
    <t>https://doi.org/10.3390/su11123381 ; https://www.sprecozero.it/2020/07/16/quanto-cibo-si-spreca-in-italia/</t>
  </si>
  <si>
    <t>388 families completed a food diary in which they recorded food disposed over the course of one week. The households were chosen by random stratified sampling and were considered representative in terms of region and household size. As a diary estimate, it has been adjusted to account for methodological bias.</t>
  </si>
  <si>
    <t>As per the graphic on the source site, 530 g edible waste.</t>
  </si>
  <si>
    <t>Reducing Food Loss and Waste &amp; Promoting Recycling</t>
  </si>
  <si>
    <t>https://www.maff.go.jp/e/policies/env/attach/pdf/frecycle-3.pdf</t>
  </si>
  <si>
    <t>Japan</t>
  </si>
  <si>
    <t>Unclear, Governmental reporting</t>
  </si>
  <si>
    <t xml:space="preserve">This presentation (in English) by the Food Industrial Policy Office presents statistics from the MAFF statistical survey, estimating waste from each of the sectors: Household (solid waste); Restaurant (assumed to mean all Food Service) and Retail. Wholesale estimated separately, not included. Estimates are for the the 2014 financial year. The survey methdology is not presented. As a result of this methodological uncertainty, it is considered 'medium confidence' until more information is received. For Retail and Food Service, the figures have been adjusted to account for the share going to animal feed, also included in the presentation.
</t>
  </si>
  <si>
    <t>Calculated dividing edible portion by food waste generation, as per slide 4.</t>
  </si>
  <si>
    <t>Edible portion / food waste generation, as per slide 4</t>
  </si>
  <si>
    <t xml:space="preserve">This presentation (in English) by the Food Industrial Policy Office presents statistics from the MAFF statistical survey, estimating waste from each of the sectors: Household (solid waste); Restaurant (assumed to mean all Food Service) and Retail. Wholesale estimated separately, not included. Estimates are for the the 2014 financial year. The survey methdology is not presented. As a result of this methodological uncertainty, it is considered 'medium confidence' until more information is received.
</t>
  </si>
  <si>
    <t>The solid waste was 8.22 Mt, of which Edible portion 2.82 Mt</t>
  </si>
  <si>
    <t>Preparatory Survey for Integrated Solid Waste Management in Nairobi City in the Republic of Kenya</t>
  </si>
  <si>
    <t>https://openjicareport.jica.go.jp/pdf/12005443.pdf</t>
  </si>
  <si>
    <t>Kenya</t>
  </si>
  <si>
    <t>Nairobi</t>
  </si>
  <si>
    <t>Across retail and out of home consumption, 90 locations had their waste analysed for a period of seven days, which was preceded by a one day test measurement, which was excluded from analysis. The figure presented is the sum of Restaurants, Hotels and Public Facilities, each of which had a distinct waste generation rate and food waste generation share. The original study scales this by the number of institutions in Nairobi.</t>
  </si>
  <si>
    <t>150 households were sampled across five income groups (High, Middle, Low-Middle, Low, Slum), which are grouped in Table 2.2.7 into three residential groups (High, Middle, Low) with a subset of those sampled for composition. Total of 8 days collected but the first one was discounted as not representing daily generation, so 7 days of sample. A subset of this waste was then sorted and classified.</t>
  </si>
  <si>
    <t>kg / day</t>
  </si>
  <si>
    <t>Across retail and out of home consumption, 90 locations had their waste analysed for a period of seven days, which was preceded by a one day test measurement, which was excluded from analysis. Figure is a sum of Shop and Market, which are measured separately. The original study scales this by the number of institutions in Nairobi.</t>
  </si>
  <si>
    <t>Linkages with SDG 11.6.1 on MSW and composition analysis</t>
  </si>
  <si>
    <t>Unpublished UN Habitat presentation sent to authors</t>
  </si>
  <si>
    <t>90 households across three income areas (high, middle, low) received plastic bags for disposing daily waste. Total of 8 days collected but the first one was discounted as not representing daily generation, so 7 days of sample. This waste was then sorted and classified.</t>
  </si>
  <si>
    <t>The Determinants of Household Food Waste Generation and its Associated Caloric and Nutrient Losses: The Case of Lebanon</t>
  </si>
  <si>
    <t>https://doi.org/10.1371/journal.pone.0225789</t>
  </si>
  <si>
    <t>Lebanon</t>
  </si>
  <si>
    <t>Beirut</t>
  </si>
  <si>
    <t>250 respondents completed a seven day food waste diary in Beirut, alongside an attitudinal survey which a total of 500 people completed. Neighbourhoods were selected to be representative of the wider population, but the sampling of households within neighbourhoods was systematic random sampling. As a diary study, it has been adjusted for methodological bias.</t>
  </si>
  <si>
    <t>Génération, traitement et prévention des déchets alimentaires</t>
  </si>
  <si>
    <t>(FR) Detail: https://environnement.public.lu/fr/offall-ressourcen/types-de-dechets/Biodechets/Gaspillage_alimentaire/Etudes_et_resultats.html (ENG) Result summary: https://today.rtl.lu/news/luxembourg/a/1584519.html</t>
  </si>
  <si>
    <t>Combination of waste statistics and interviews and surveys with enterprises. Further details are not known, but it is published by the Luxembourg Environment Administration.</t>
  </si>
  <si>
    <t>7.85kg of the normalised food waste estimate was considered avoidable</t>
  </si>
  <si>
    <t>Food service divided into 'gastronomy' (restaurants) and 'collective' (canteens). 7.1kg of gastronomy and 9.6kg of collective considered avoidable.</t>
  </si>
  <si>
    <t>Combination of waste statistics and a waste composition analysis undertaken in 2018-19, alongside other secondary and tertiary data. Further details are not known, but it is published by the Luxembourg Environment Administration.</t>
  </si>
  <si>
    <t>The avoidable/unavoidable split is presented. 31% was considered avoidable.</t>
  </si>
  <si>
    <t>Household food composition and disposal behaviour in Malaysia</t>
  </si>
  <si>
    <t>https://www.researchgate.net/publication/289063671_Household_food_consumption_and_disposal_behaviour_in_Malaysia</t>
  </si>
  <si>
    <t>Malaysia</t>
  </si>
  <si>
    <t>Table 1 cites 'MHLG' (Ministry of Housing and Local Government) 2011, estimating food waste generation by source. This was not findable by the bibliography nor through a direct internet search. As a result, we cannot have high confidence in the estimate.</t>
  </si>
  <si>
    <t>The 3R Potential of Household Waste in Bangi, Malaysia</t>
  </si>
  <si>
    <t>https://www.researchgate.net/publication/280642994_The_3R_Potential_of_Household_Waste_in_Bangi_Malaysia</t>
  </si>
  <si>
    <t>Bandar Baru Bangi</t>
  </si>
  <si>
    <t>282 households were sampled across four neighbourhoods, which represent a mixture of different housing types (terraced housing, bunaglows, flats). All in an area of Selangor described as a typical suburban area in the Kuala Lumpur area. Waste from a single day sampled in each area, sampling from the normal disposal routine rather than asking households to dispose of their waste differently. Panel 3 has breakdown of food into 'Unusued food' (7.71% total household waste), 'General kitchen waste' (24.83% total household waste), 'big fruit peels' (10.32% total waste).
Although this has a large sample, it is geographically restricted to one area so can only have medium confidence when used for the whole of Malaysia.</t>
  </si>
  <si>
    <t>&gt;17.98%</t>
  </si>
  <si>
    <t>Panel 3 has breakdown of food into Unusued food, more &gt;1/2 whole (7.71% total waste), 'General food waste' (24.83% total waste), 'big fruit peels/cores' (10.32% total waste). It would not be possible to classify what is edible or inedible within 'general food waste', but the 'Unused food' is 7.71/42.86%, suggesting it is at very least 17.98%</t>
  </si>
  <si>
    <t>Mexico Conceptual Framework for a National Strategy on Food Loss and Waste</t>
  </si>
  <si>
    <t>https://beta.wrap.org.uk/resources/report/conceptual-framework-national-strategy-food-loss-and-waste-mexico</t>
  </si>
  <si>
    <t>Mexico</t>
  </si>
  <si>
    <t>This figure combines a number of sources, detailed in Appendix 5 of the report. Studies were identified in 3 states and 5 municipalities which directly measured the share of waste which was food waste at the household level. This is then scaled up using figures from the urban solid waste, which is primarily but not exclusively household waste: some small businesses and some larger ones (operating illegally) dispose of waste in the household municipal waste. The scale of non-household contamination is not known. As a result, it is no more than a medium confidence estimate for household food waste that likely slightly exaggerates its extent (in urban solid waste).</t>
  </si>
  <si>
    <t>Synthesis report on food waste in Dutch households in 2019</t>
  </si>
  <si>
    <t>https://www.voedingscentrum.nl/Assets/Uploads/voedingscentrum/Documents/Professionals/Pers/Persmappen/Verspilling%202019/VC_Synthesis%20report%20on%20food%20waste%20in%20Dutch%20households%202019.pdf</t>
  </si>
  <si>
    <t>The study combines multiple methods: 130 households across 13 municipalities had waste compositional analyses conducted, in order to determine solid waste; 1000 respondents to a consumer survey in order to determine waste destinations (i.e. how much was composted, fed to animals etc.); 1013 respondents to an app used to document liquid waste. This is the same methodology as was applied in a 2016 study. Avoidable and unavoidable waste were presented separately and have been summed. Liquid waste has not been included in our figure.</t>
  </si>
  <si>
    <t>Waste composition has avoidable and unavoidable split. 15.7kg is unavoidable, 34.3kg avoidable. The headline statistics they offer are for avoidable waste only, but in this case it has been adjusted.</t>
  </si>
  <si>
    <t>New Zealand Food Waste Audits</t>
  </si>
  <si>
    <t>https://lovefoodhatewaste.co.nz/wp-content/uploads/2019/02/Final-New-Zealand-Food-Waste-Audits-2018.pdf</t>
  </si>
  <si>
    <t>New Zealand</t>
  </si>
  <si>
    <t>597 households across six different local authorities had their waste audited. This only considers the kerbside domestic waste.</t>
  </si>
  <si>
    <t xml:space="preserve">Presents avoidable and unavoidable splits. Avoidable food waste was on average 48.8% of household food waste. </t>
  </si>
  <si>
    <t>What is known about food waste in New Zealand</t>
  </si>
  <si>
    <t>https://lovefoodhatewaste.co.nz/wp-content/uploads/2020/09/What-is-known-about-food-waste-in-New-Zealand.pdf</t>
  </si>
  <si>
    <t>This summary document refers to a University of Otago Master's student having conducted waste audits at three supermarket chains. It also presents the final destinations of retail waste, which has been used to adjust the waste figure. The share going to Animal Feed, Donation and Protein Reprocessing has been removed from the waste figure.</t>
  </si>
  <si>
    <t>Determination and Quantification of Household Solid Waste Generation for Planning Suitable Sustainable Waste Management in Nigeria</t>
  </si>
  <si>
    <t>https://www.iuokada.edu.ng/publication/wp-content/uploads/2019/02/Ejiroghene-Kelly-OrhorhoroPatrick-Okechukwu-EbuniloGodwin-Ejuvwedia-Sadjere-Determination-and-Quantification-of-Household-Solid-Waste-Generation-for-Planning-Suitable-Sustainable-Waste.pdf</t>
  </si>
  <si>
    <t>Nigeria</t>
  </si>
  <si>
    <t>Sapele</t>
  </si>
  <si>
    <t>100 households covering a total of 334 people were selected by stratified random sampling, all in the Sapele area. Waste was collected from households after seven days and sorted.</t>
  </si>
  <si>
    <t>Food Waste in Norway 2010-2015</t>
  </si>
  <si>
    <t>https://norsus.no/en/publikasjon/food-waste-in-norway-2010-2015/</t>
  </si>
  <si>
    <t>Food Waste in Norway: Report on Key Figures, 2015-2018</t>
  </si>
  <si>
    <t>https://www.matvett.no/uploads/documents/OR.32.19-Edible-food-waste-in-Norway-Report-on-key-figures-2015-2018.pdf</t>
  </si>
  <si>
    <r>
      <t xml:space="preserve">References the research project KuttMatsvinn2020, which focused on hotels, convenience stores and employee cafeterias, sampling around 2000 catering outlets. Work on other subsectors such as schools and restaurants is underway; as a result it appears as though the estimate has </t>
    </r>
    <r>
      <rPr>
        <i/>
        <sz val="11"/>
        <color theme="1"/>
        <rFont val="Calibri"/>
        <family val="2"/>
        <scheme val="minor"/>
      </rPr>
      <t xml:space="preserve">not </t>
    </r>
    <r>
      <rPr>
        <sz val="11"/>
        <color theme="1"/>
        <rFont val="Calibri"/>
        <family val="2"/>
        <scheme val="minor"/>
      </rPr>
      <t>accounted for these other sectors, making it an incomplete Food Service estimate. Uses the ForMat definition of food which only measures edible food waste, not indedible parts. It has therefore been adjusted to increase comparability. In this definition, food sent to animal feed is considered waste. It was not possible to adjust and account for this as the share of food going to animal feed was only included for the production stage; it is therefore assumed no food waste is going to animals at other stages.</t>
    </r>
  </si>
  <si>
    <t>Retailers report data on waste and sales by product group and cause. Wholesalers also provide estimates this way, these have not been included here. Uses the ForMat definition of food which only measures edible food waste, not indedible parts. It has therefore been adjusted to increase comparability. In this definition, food sent to animal feed is considered waste. It was not possible to adjust and account for this as the share of food going to animal feed was only included for the production stage; it is therefore assumed no food waste is going to animals at other stages.</t>
  </si>
  <si>
    <t>Edible food waste from Norwegian households—Detailed food waste composition analysis among households in two different regions in Norway</t>
  </si>
  <si>
    <t>https://doi.org/10.1016/j.resconrec.2016.03.010</t>
  </si>
  <si>
    <t>210 households in the Fredrikstad and Hallingdal areas were randomly selected for waste sampling. These areas were considered to be sufficiently representative of the wider population for scaling purposes.</t>
  </si>
  <si>
    <t>Share of food waste which is edible based on Fredrikstad and Hallingdal data and weighted by population size of the areas, to get an estimate for the whole of Norway. Amounts to 46.3kg edible.</t>
  </si>
  <si>
    <t>Project for Integrated Solid Waste Management Master Plan in Gujranwala</t>
  </si>
  <si>
    <t>https://openjicareport.jica.go.jp/pdf/12246336_01.pdf</t>
  </si>
  <si>
    <t>Pakistan</t>
  </si>
  <si>
    <t>Gujranwala</t>
  </si>
  <si>
    <t>60 urban households across three income groups (high middle and low). Provided with plastic bags which were collected daily for 8 days, though the first bag was disregarded for containing more than one day's waste. The sample was repeated across three seasons to account for variation. Rural households were considered within the study, these have been treated as a separate data point. As it is a study specific to a smaller geographic area, it is considered medium confidence for analysing the whole of Pakistan.</t>
  </si>
  <si>
    <t>10 households in rural areas provided with plastic bags in which to deposit waste. Collected for 8 days but the first day was discounted due to covering more than a day's waste. The survey was repeated across three different seasons to account for variation. The small sample means we cannot have high confidence. Urban households were also studied but treated as a separate data point.</t>
  </si>
  <si>
    <t>The Pilot Study of Characteristics of Household Waste Generated in Suburban Parts of Rural Areas</t>
  </si>
  <si>
    <t>https://www.researchgate.net/publication/273640405_The_pilot_study_of_characteristics_of_household_waste_generated_in_suburban_parts_of_rural_areas/link/5507f9200cf26ff55f7f9975/download</t>
  </si>
  <si>
    <t>Poland</t>
  </si>
  <si>
    <t>Surrounding Wroclaw</t>
  </si>
  <si>
    <t>21 households, representing 83 people, were audited. None of them were involved in agricultural production. They were provided with three bags for sorting (bio-waste, hygenic waste, all other waste) and had waste collected in each of the four seasons. It is unclear for how long during each season the measurement took place. As a result of small sample size and unknown length, we cannot have high confidence in the estimate.</t>
  </si>
  <si>
    <t>Foodsharing in Russia</t>
  </si>
  <si>
    <t>https://tiarcenter.com/wp-content/uploads/2019/11/ENG_Foodsharing-in-Russia_2019.pdf</t>
  </si>
  <si>
    <t>Russian Federation</t>
  </si>
  <si>
    <t>The paper cites what is assumed to be a waste composition analysis by the Higher School of Economics (which was not found when searched for) and data from Rosstat. In addition, the shares of waste at each stage are calculations based on data from Russian Agriculture Ministry (2017). The estimate provides a total food waste estimate as well as the amount of waste at each stage of the chain, these have been combined to form sector-specific estimates. The inability to trace the original source data and the lack of transparency on the calculations means we cannot have high confidence in this estimate.</t>
  </si>
  <si>
    <t>Analysis of Key Requirements for Effective Implementation of Biogas Technology for Municipal Solid Waste Management in Sub-Saharan Africa. A Case Study of Kigali City, Rwanda</t>
  </si>
  <si>
    <t>https://rke.abertay.ac.uk/en/studentTheses/analysis-of-key-requirements-for-effective-implementation-of-biog</t>
  </si>
  <si>
    <t>Rwanda</t>
  </si>
  <si>
    <t>Kigali</t>
  </si>
  <si>
    <t>90 households surveyed in 3 districts. For each district, 10 households from each socioeconomic group (low, medium, high). Bags and scales were distributed to the households and they were told to separate food waste and other waste. The households weighed this each day for a period of two weeks, but regularly received visits from the researchers.</t>
  </si>
  <si>
    <t>Saudi FLW Baseline: Food Loss &amp; Waste Index in Kingdom of Saudi Arabia</t>
  </si>
  <si>
    <t>https://www.sago.gov.sa/Content/Files/Baseline_230719.pdf</t>
  </si>
  <si>
    <t>Saudi Arabia</t>
  </si>
  <si>
    <t>This study forms the Saudi waste Baseline, conducted by Saudi Grains Organisation (SAGO). 20,090 samples of domestic consumption were taken across 19 food products across 13 regions in Saudi Arabia. It is unclear, however, from how many households these samples arise. These were separated and weighed. This compositional analysis was supplemented by a behavioural study. The Household estimate is the share of waste attributed to 'Consumption'. Additional information and images to supplement the main study can be found here: https://www.macs-g20.org/fileadmin/macs/Activities/2020_FLW_WS/4_Session_3_FW_at_HH_level_small.pdf</t>
  </si>
  <si>
    <t>This study forms the Saudi waste Baseline, conducted by Saudi Grains Organisation (SAGO). For Retail, over 7,000 samples across 19 product groups were taken. It is uncelar, however, from how many retailers samples were taken. Wholesale is not disaggregated from Retail so is included. Samples taken across 13 regions in Saudi Arabia. The value taken is the share of total waste attributed to 'Distribution'. Additional information and images to supplement the main study can be found here: https://www.macs-g20.org/fileadmin/macs/Activities/2020_FLW_WS/4_Session_3_FW_at_HH_level_small.pdf</t>
  </si>
  <si>
    <t>Circular Economy Impact Assessment: Food waste in HORECA sector</t>
  </si>
  <si>
    <t>https://www.giz.de/en/downloads/CE%20impact%20assessment_HORECA.pdf</t>
  </si>
  <si>
    <t>Serbia</t>
  </si>
  <si>
    <t>Interviews conducted with approximately 100 hotels, restaurants and caterers to determine the share of food waste at the stages of kitchen preparation and plate waste. Unclear to what extent survey respondents were estimating or based on internal measurement. The waste generation factors from this were applied to CEVES estimates on food purchases in Serbian HoReCa.</t>
  </si>
  <si>
    <t>Food Waste, Slovenia, 2018</t>
  </si>
  <si>
    <t>https://www.stat.si/StatWeb/en/news/Index/8433</t>
  </si>
  <si>
    <t>Slovenia</t>
  </si>
  <si>
    <t>Data from the Slovenian Statistical Office, but the exact methodology is unclear. The methodological explanation from the same site mentions three different annual surveys on waste collection, generation and recovery/disposal, alongside an ad-hoc questionnaire of public waste collection services. It is unclear to whom the surveys are sent (i.e. to waste generators or to waste collection services) and if it requires submission of observed data or some other form of self-reporting.</t>
  </si>
  <si>
    <t>Food waste and waste indicators, Slovenia, 2019</t>
  </si>
  <si>
    <t>https://www.stat.si/StatWeb/en/News/Index/9230</t>
  </si>
  <si>
    <t>62% of food (total, across all sectors) was inedible parts. As this was across all sectors, it was not applied. The statistics also include a breakdown based on where the food is treated.</t>
  </si>
  <si>
    <t>Local setting influences the quantity of household food waste in mid-sized South African towns</t>
  </si>
  <si>
    <t>https://doi.org/10.1371/journal.pone.0189407</t>
  </si>
  <si>
    <t>South Africa</t>
  </si>
  <si>
    <t>Richards Bay, Dundee and Harrismith</t>
  </si>
  <si>
    <t>554 participants taking place in a face-to-face survey. They were asked to measure and record their waste for the 48hr before the survey. Survey across three towns of Richards Bay, Dundee and Harrismith. Mixture of urban, peri-urban and rural households.</t>
  </si>
  <si>
    <t>The costs of household food waste in South Africa</t>
  </si>
  <si>
    <t>https://doi.org/10.1016/j.wasman.2012.04.012</t>
  </si>
  <si>
    <t xml:space="preserve">This paper comines a literature review of waste compositional analyses disaggregated by income group across three cities (Cape Town, Johannesburg and Rustenburg). These are then scaled by the waste generation of those specific income groups nationally. Due to the comparison with other datapoints from South Africa and their large variation, this was not considered an estimate in which we could have high confidence. </t>
  </si>
  <si>
    <t>Household food waste disposal in South Africa: A case study of Johannesburg and Ekurhuleni</t>
  </si>
  <si>
    <t>https://doi.org/10.17159/sajs.2018/20170284</t>
  </si>
  <si>
    <t>Johannesburg</t>
  </si>
  <si>
    <t>44,927 households across 74 collection routes in Johannesburg were sampled during a 6 week period, with random grab sub-samples from municipal waste collection trucks in residential areas, which were then analysed for composition. 
The result is particularly low which is notable when compared to other studies in nearby countries. This could suggest that some other waste (such as from small businesses, or illegal dumping) is being collected as part of the household waste stream.</t>
  </si>
  <si>
    <t>kg / Capita / year</t>
  </si>
  <si>
    <t>Ekurhuleni</t>
  </si>
  <si>
    <t>20,439 households across 41 collection routes in Ekurhuleni were sampled during a 6 week period, with random grab sub-samples from municipal waste collection trucks in residential areas, which were then analysed for composition. 
The result is particularly low which is notable when compared to other studies in nearby countries. This could suggest that some other waste (such as from small businesses, or illegal dumping) is being collected as part of the household waste stream.</t>
  </si>
  <si>
    <t>An Assessment of the Household Food Wastage in a Developing Country: A Case Study of Five Areas in the City of Tshwane Metropolitan Municipality, Guateng Province, South Africa</t>
  </si>
  <si>
    <t>http://uir.unisa.ac.za/bitstream/handle/10500/21162/dissertation_ramukhwatho_fr.pdf?isAllowed=y&amp;sequence=4</t>
  </si>
  <si>
    <t>Tshwane Metropolitan Municipality</t>
  </si>
  <si>
    <t>123 households across 5 areas of Tshwane Metropolitan Municipality had their food waste weighed. The food waste was collected separately and weighed on a weekly basis for a period of 3 weeks. The sample of 123 are out of 133 respondents on a survey who indicated that they wasted food. Another 77 respondents indicated that they did not waste food, and were seemingly not asked to weigh their waste. This may bias the results by only auditing those who self-describe themselves as someone who wastes food, and not including measurements from much smaller waste generators.
The paper does not present a single waste figure. Instead, it has been derived from Table 4.9 using the waste generation rate per household, number of people in household and share of that household size in the sample to get a weighted per capita estimate (the Sum of [household waste / number of people in household] * [share of total sample which is this houehold size] for each household size).
The paper does include some disposal method information but not enough to adjust the figures. For example, 14% of respondents claimed they fed food waste to pets, but this does not clearly translate to 14% of food waste being fed to animals. As a result, no adjustment was carried out.</t>
  </si>
  <si>
    <t>Data Collection Survey on Solid Waste Management in Democratic Socialist Republic of Sri Lanka</t>
  </si>
  <si>
    <t>https://openjicareport.jica.go.jp/pdf/12250213.pdf</t>
  </si>
  <si>
    <t>Sri Lanka</t>
  </si>
  <si>
    <t>Jaffna</t>
  </si>
  <si>
    <t>The JICA study refers to a range of locally conducted surveys on waste generation units and waste composition, combined with waste generation rates obtained by SATREPS (Science and Technology Research Partnership for Sustainable Development) in 2014, a previous JICA project. The methodological details of the locally outsourced surveys are not clear. Although the waste generation rates are captured at a household level, it appears as though the compositional analysis may have been done at an aggregated level, such as at the landfill. This and the methodological uncertainty reduces our confidence in the estimates, so they are rated 'medium confidence' only.</t>
  </si>
  <si>
    <t>Nuwara Eliya</t>
  </si>
  <si>
    <t>Kataragama</t>
  </si>
  <si>
    <t>Thamankaduwa</t>
  </si>
  <si>
    <t>Katunayake</t>
  </si>
  <si>
    <t>Moratuwa</t>
  </si>
  <si>
    <t>Kesbewa</t>
  </si>
  <si>
    <t>Dehiwala Mt Lavinia</t>
  </si>
  <si>
    <t>Kurunegala</t>
  </si>
  <si>
    <t>Trincomalee</t>
  </si>
  <si>
    <t>Food waste volumes in Sweden 2012</t>
  </si>
  <si>
    <t>http://www.naturvardsverket.se/Documents/publikationer6400/978-91-620-8695-4.pdf</t>
  </si>
  <si>
    <t>Sweden</t>
  </si>
  <si>
    <t>This estimate takes waste factors derived from two different papers, both in Swedish. One is a restaurant-specific factor taken from Jensen et al. (2011) which was then scaled by waste per employee. The other is a catering factor from Stare et al. (2013), which has a factor of waste per portion in schools. This has been applied to schools and other catering facilities, including prisons and healthcare.</t>
  </si>
  <si>
    <t>62% of restaurants is 'unnecessary', 52% of catering. This is multiplied by their waste generation and combined to get the food service edible waste share.</t>
  </si>
  <si>
    <t xml:space="preserve">The estimate comes from Avfall Sverige (Swedish Waste management and Recycling Association) data on the amounts of separate food waste collection and composition estimates for mixed municipal waste. Home composting is included in the separate food waste estimate. The waste estimates are adjusted by a figure of 0.80 to account for home-like business waste collected by municipalities. </t>
  </si>
  <si>
    <t>35% of household waste was considered 'unnecessary', i.e. could have been eaten were it not for some form of human error. This is considered to be the same as 'avoidable' food waste.</t>
  </si>
  <si>
    <t>This estimate takes waste factors derived from two different papers, in Swedish. One is a restaurant-specific factor taken from Jensen et al. (2011) which was then scaled by waste per employee. The other is a catering factor from Stare et al. (2013), which has a factor of waste per portion in schools. This has been applied to schools and other catering facilities, including prisons and healthcare.</t>
  </si>
  <si>
    <t>Matavfall I Sverige: Uppkomst och benhandling 2018</t>
  </si>
  <si>
    <t>https://www.naturvardsverket.se/Documents/publ-filer/8800/978-91-620-8861-3.pdf?pid=26710</t>
  </si>
  <si>
    <t>The paper is produced by Naturvårdsverket, the Swedish Environmental Protection Agency, and is based on industry reporting to the EPA. The summary (in English) does not provide detailed methodology on number of companies reporting.</t>
  </si>
  <si>
    <t>Quantifying food losses and the potential for reduction in Switzerland</t>
  </si>
  <si>
    <t>https://doi.org/10.1016/j.wasman.2012.11.007</t>
  </si>
  <si>
    <t>Switzerland</t>
  </si>
  <si>
    <t>This paper cites Baier and Reinhard (2007) for food service installations, and Andrini and Bauen (2005) for restaurants. Both are in German and involved waste audits. 40 food service installations were audited and 20 restaurants. These estimates have been combined to create an estimate of total Out of Home waste.</t>
  </si>
  <si>
    <t>UK Progress against Courtauld 2025 targets and UN Sustainable Development Goal 12.3</t>
  </si>
  <si>
    <t>https://wrap.org.uk/sites/files/wrap/Progress_against_Courtauld_2025_targets_and_UN_SDG_123.pdf</t>
  </si>
  <si>
    <t>United Kingdom of Great Britain and Northern Ireland</t>
  </si>
  <si>
    <t>Household data comes from a combination of data on the composition and weight of residual and organic recycling schemes from Local Authorities. The share of waste which is disposed of via the sewer has been removed from the estimate, though the waste composted at home has not.</t>
  </si>
  <si>
    <t>Report states that 69% of food waste is from waste collected by local authorities (excluding sewer and home composting); 108 kg / person / year. 23% goes to sewer - this has been removed to improve comparability 
WRAP's food surplus and waste key facts document was used to calculate the edible share, which is 4.5/6.6 Mt.</t>
  </si>
  <si>
    <t>Food waste data remodelled based on WRAP's 2013 analysis of food waste in the hospitality and food service sector, a study which employed waste compositional analyses and analysis of DEFRA survey information. This data was re-weighted to account for the change in number and size of premises, number of pupils served by school catering etc.</t>
  </si>
  <si>
    <t>Data provided by Retail signatories to Courtauld 2025, which cover more than 95% of the food retail sector (by sales), were used. They were scaled up based on market coverage.</t>
  </si>
  <si>
    <t>Characterization of Household Waste in Kinondoni Municipality, Dar Es Salaam</t>
  </si>
  <si>
    <t>https://doi.org/10.5901/ajis.2013.v2n13p35</t>
  </si>
  <si>
    <t>United Republic of Tanzania</t>
  </si>
  <si>
    <t>Kinondoni municipality, Dar es Salaam</t>
  </si>
  <si>
    <t>75 households in middle and low-income settlements, primarily in high population density informal settlements. Provided with waste bags for three different days which were collected and sorted.</t>
  </si>
  <si>
    <t>2018 Wasted Food Report</t>
  </si>
  <si>
    <t>https://www.epa.gov/sites/production/files/2020-11/documents/2018_wasted_food_report-11-9-20_final_.pdf</t>
  </si>
  <si>
    <t>United States of America</t>
  </si>
  <si>
    <t>US EPA synthesis of food waste consistent with the FLW protocol. Combines waste generation factors from other studies with relevant scaling statistics. 12 studies which directly measure waste were used to inform residential generation rate, nearly all of which were waste compositional analyses. 15% going to sewer / wastewater treatment has been removed.</t>
  </si>
  <si>
    <t>UST / year</t>
  </si>
  <si>
    <t>US EPA synthesis of food waste consistent with the FLW protocol. Combines waste generation factors from other studies with relevant scaling statistics, such as employees or revenue for a sector. Food Service as an estimate which combines hospitality (hotels, restaurants/food service; sports venues) and institutional (healthcare, office buildings, military and prisons, schools and universities). 51 studies in total used to inform Food Service generation rate across the various subsectors. Waste management pathways were provided for the commercial and institutional subsectors separately; only in the commercial hospitality subsector was some surplus managed to a non-waste destination (14% donated), this has been accounted for.</t>
  </si>
  <si>
    <t>US EPA synthesis of food waste consistent with the FLW protocol. Combines waste generation factors from other studies with relevant scaling statistics, such as employees or revenue for a sector. Nine studies were used, a mixture of waste audits and surveys, to form the waste generation factors. Wholesale also estimated, not included in the paper. 9 studies used to inform supermarket and supercenter waste generation rate. Waste management pathways for wholesale/retail were provided, these were used to remove the share donated (21%) and going to animal feed (14%)</t>
  </si>
  <si>
    <t>Household solid waste generation and characteristic in a Mekong Delta city, Vietnam</t>
  </si>
  <si>
    <t>https://doi.org/10.1016/j.jenvman.2010.06.016</t>
  </si>
  <si>
    <t>Viet Nam</t>
  </si>
  <si>
    <t>Mekong Delta</t>
  </si>
  <si>
    <t>100 households across ten different sampling points were selected. The sample is considered to be representative of Can Tho City in terms of household size. They had their waste analysed at two points in time: once in the dry season for a month, once in the rainy season for a two week period.</t>
  </si>
  <si>
    <t>Assessment of Household Solid Waste Generation and Composition by Building Type in Da Nang, Vietnam</t>
  </si>
  <si>
    <t>https://doi.org/10.3390/resources8040171</t>
  </si>
  <si>
    <t>Da Nang</t>
  </si>
  <si>
    <t>120 households were sampled for the period of one week. They were provided with plastic bags in which to put household waste which were collected daily. Satellite imagery on the distribution of housing types in Da Nang were used to scale the data according to those housing types and form an estimate for the city.</t>
  </si>
  <si>
    <t>Solid waste management - case study of Ndola, Zambia</t>
  </si>
  <si>
    <t>https://www.academia.edu/30874341/SOLID_WASTE_MANAGEMENT_CASE_STUDY_OF_NDOLA_ZAMBIA</t>
  </si>
  <si>
    <t>Zambia</t>
  </si>
  <si>
    <t>Ndola</t>
  </si>
  <si>
    <t>60 households across three areas (distinguished by housing density) sorted their waste weekly for a period of one month. The households were given plastic containers for different wastes: food, plastics, paper, textile, grass and other wastes. They therefore separated it themselves, but did not weigh or estimate it themselves.</t>
  </si>
  <si>
    <t>Study Number</t>
  </si>
  <si>
    <t>Author(s)</t>
  </si>
  <si>
    <t>Title</t>
  </si>
  <si>
    <t>Publication Year</t>
  </si>
  <si>
    <t>Arcadis</t>
  </si>
  <si>
    <t>Environment Agency Austria</t>
  </si>
  <si>
    <t>Multiple</t>
  </si>
  <si>
    <t>Caldeira, Carla; Barco Cobalea, Hector; Serenella, Sala; De Laurentiis, Valeria; European Commission; Joint Research Centre</t>
  </si>
  <si>
    <t>Alayam</t>
  </si>
  <si>
    <t>Salam, Mohammed Abdus; Hossain, Lokman; Das, Satyajit Roy; Wahab, Razak; Hossain, Mohammed Kamal</t>
  </si>
  <si>
    <t>Sujauddin, Mohammad; Huda, S.M.S.; Hoque, A.T.M. Rafiqul</t>
  </si>
  <si>
    <t>JICA</t>
  </si>
  <si>
    <t>Flemish Food Supply Chain Platform for Food Loss</t>
  </si>
  <si>
    <t>Inter-American Development Bank</t>
  </si>
  <si>
    <t>Araujo, G.P. de; Lourenço, C.E.; Araújo, C.M.L. de; Bastos, A.</t>
  </si>
  <si>
    <t>Environment and Climate Change Canada</t>
  </si>
  <si>
    <t>Gao, Liwei; Cheng, Shengkui; Cao, Xiaochang; Zhang, Dan; Xiaojie Liu; Qin, Qi; Liu, Yao</t>
  </si>
  <si>
    <t>Gu, Binxian; Wang, Haikun; Chen, Zun; Jiang, Suqin; Zhu, Weimo; Liu, Miaomiao; Chen, Yangqing; Wu, Yi; He, Sheng; Cheng, Rong; Yang, Jie; Bi, Jun</t>
  </si>
  <si>
    <t>Li, Yunyun; Wang, Ling-en; Liu, Gang; Cheng, Shengkui</t>
  </si>
  <si>
    <t>Lo, Irene M. C.; Woon, Kok Sin</t>
  </si>
  <si>
    <t>Qu, Xiao-yan; Li, Zhen-shan; Xie, Xin-yuan; Sui, Yu-mei; Yang, Lei; Chen, You</t>
  </si>
  <si>
    <t>Song, Guobao; Li, Mingjing; Semakula, Henry Musoke; Zhang, Shushen</t>
  </si>
  <si>
    <t>Zhang, Hui; Liu, Gang; Xue, Li; Zuo, Jian; Chen, Ting; Vuppaladadiyam, Arun; Duan, Huabo</t>
  </si>
  <si>
    <t>Danish Environmental Protection Agency</t>
  </si>
  <si>
    <t>Edjabou, Maklawe Essonanawe; Petersen, Claus; Scheutz, Charlotte; Astrup, Thomas Fruergaard</t>
  </si>
  <si>
    <t>Moora, Harri; Evelin, Urbel-Piirsalu; Õunapuu, Kerlin</t>
  </si>
  <si>
    <t>Moora, Harri; Piirsalu, Evelin; Viilvere, Triin</t>
  </si>
  <si>
    <t>Assefa, Mesfin</t>
  </si>
  <si>
    <t>Stenmarck, Åsa; Jensen, Carl; Quested, Tom; Moates, Graham; Buksti, Michael; Cseh, Balázs; Juul, Selina; Parry, Andrew; Politano, Alessandro; Redlingshofer, Barbara; Scherhaufer, Silvia; Silvennoinen, Kirsi; Soethoudt, Han; Zübert, Christine; Östergren, Karin</t>
  </si>
  <si>
    <t>Katajajuuri, Juha-Matti; Silvennoinen, Kirsi; Hartikainen, Hanna; Heikkilä, Lotta; Reinikainen, Anu</t>
  </si>
  <si>
    <t>ADEME</t>
  </si>
  <si>
    <t>BIO Intelligence Service</t>
  </si>
  <si>
    <t>Denafas, Gintaras; Ruzgas, Tomas; Martuzevičius, Dainius; Shmarin, Sergey; Hoffmann, Michael; Mykhaylenko, Valeriy; Ogorodnik, Stanislav; Romanov, Mikhail; Neguliaeva, Ekaterina; Chusov, Alexander; Turkadze, Tsitsino; Bochoidze, Inga; Ludwig, Christian</t>
  </si>
  <si>
    <t>Schmidt, Thomas; Schneider, Felicitas; Leverenz, Dominik; Hafner, Gerold</t>
  </si>
  <si>
    <t>Miezah, Kodwo; Obiri-Danso, Kwasi; Kádár, Zsófia; Fei-Baffoe, Bernard; Mensah, Moses Y.</t>
  </si>
  <si>
    <t>Abeliotis, Konstadinos; Lasaridi, Katia; Costarelli, Vassiliki; Chroni, Christina</t>
  </si>
  <si>
    <t>Kasza, Gyula; Dorkó, Annamária; Kunszabó, Atilla; Szakos, Dávid</t>
  </si>
  <si>
    <t>Grover, Priya; Singh, Pavitra</t>
  </si>
  <si>
    <t>Ramakrishna, V</t>
  </si>
  <si>
    <t>Suthar, Surindra; Singh, Pavitra</t>
  </si>
  <si>
    <t>Dhokhikah, Yeny; Trihadiningrum, Yulinah; Sunaryo, Sony</t>
  </si>
  <si>
    <t>Al-Maliky, Salam J. Bash; ElKhayat, Zainab Qahtan</t>
  </si>
  <si>
    <t>Al-Rawi, Sati M.; Al-Tayyar, Taha A.</t>
  </si>
  <si>
    <t>Al-Mas'udi, R.M.; Al-Haydari, M.A.S.</t>
  </si>
  <si>
    <t>Sulaymon, Dr Abbas H; Ibraheem, Dr Jathwa A; Graimed, Bassim H</t>
  </si>
  <si>
    <t>Yasir, Ryidh A; Abudi, Zaidun Naji</t>
  </si>
  <si>
    <t>Elimelech, Efrat; Ayalon, Ofira; Ert, Eyal</t>
  </si>
  <si>
    <t>Leket Israel</t>
  </si>
  <si>
    <t>li</t>
  </si>
  <si>
    <t>Cicatiello, Clara; Franco, Silvio; Falasconi, Luca</t>
  </si>
  <si>
    <t>Giordano, Claudia; Alboni, Fabrizio; Falasconi, Luca</t>
  </si>
  <si>
    <t>https://doi.org/10.3390/su11123381</t>
  </si>
  <si>
    <t>Food Industry Policy Office</t>
  </si>
  <si>
    <t>Takeuchi, Nao</t>
  </si>
  <si>
    <t>Chalak, Ali; Abiad, Mohamad G.; Diab, Mohamad; Nasreddine, Lara</t>
  </si>
  <si>
    <t>Luxembourg Environment Ministry</t>
  </si>
  <si>
    <t>Jereme, Innocent; Chamhuri, Siwar; Talib, Basri Abdul; Begum, Rawshan Ara</t>
  </si>
  <si>
    <t>Watanabe, Kohei</t>
  </si>
  <si>
    <t>Kemper, Karin; Voegele, Juergen; Hickey, Valerie; Ahuja, Preeti S; Poveda, Renan; Edmeades, Svetlana; Kneller, Claire; Swannell, Richard; Gillick, Sam; Corallo, Ana; Aguilar, Genaro; Alencastro, Selene; Felix, Erika; Sebastian, Ashwini</t>
  </si>
  <si>
    <t>The Netherlands Nutrition Centre Foundation</t>
  </si>
  <si>
    <t>Sunshine Yates Consulting</t>
  </si>
  <si>
    <t>Love Food Hate Waste NZ</t>
  </si>
  <si>
    <t>Orhorhoro, Ejiroghene Kelly; Ebunilo, Patrick Okechukwu; Sadjere, Godwin Ejuvwedia</t>
  </si>
  <si>
    <t>Stensgård, Aina Elstad; Hanssen, Ole Jørgen</t>
  </si>
  <si>
    <t>Stensgård, Aina Elstad; Prestrud, Kjersti; Hanssen, Ole Jørgen; Callewaert, Pieter</t>
  </si>
  <si>
    <t>Hanssen, Ole Jørgen; Syversen, Frode; Stø, Eivind</t>
  </si>
  <si>
    <t>Steinhoff-Wrześniewska, Aleksandra</t>
  </si>
  <si>
    <t>Tiarcenter</t>
  </si>
  <si>
    <t>Mucyo, Sylvie</t>
  </si>
  <si>
    <t>SAGO</t>
  </si>
  <si>
    <t>Bogdanović,, Marija; Bobić, Danijela; Danon, Marko; Suzić, Marija</t>
  </si>
  <si>
    <t>Republic of Slovenia Statistical Office</t>
  </si>
  <si>
    <t>Chakona, Gamuchirai; Shackleton, Charlie M.</t>
  </si>
  <si>
    <t>Nahman, Anton; de Lange, Willem; Oelofse, Suzan; Godfrey, Linda</t>
  </si>
  <si>
    <t>Oelofse, Suzan; Muswema, Aubrey; Ramukhwatho, Fhumulani</t>
  </si>
  <si>
    <t>Ramukhwatho, Fhumulani Ruth</t>
  </si>
  <si>
    <t>Swedish Environmental Protection Agency</t>
  </si>
  <si>
    <t>Beretta, Claudio; Stoessel, Franziska; Baier, Urs; Hellweg, Stefanie</t>
  </si>
  <si>
    <t>WRAP</t>
  </si>
  <si>
    <t>Oberlin, Aisa S.</t>
  </si>
  <si>
    <t>U.S. Environmental Protection Agency</t>
  </si>
  <si>
    <t>Thanh, Nguyen Phuc; Matsui, Yasuhiro; Fujiwara, Takeshi</t>
  </si>
  <si>
    <t>Vetter-Gindele, Jannik; Braun, Andreas; Warth, Gebhard; Bui, Tram Thi Quynh; Bachofer, Felix; Eltrop, Ludger</t>
  </si>
  <si>
    <t>Edema, Mojisola O.; Sichamba, Victor; Ntengwe, Felix W.</t>
  </si>
  <si>
    <t>Level 1 Estimates for all countries, household food waste</t>
  </si>
  <si>
    <t>M49 code</t>
  </si>
  <si>
    <t>Household estimate (kg/capita/year)</t>
  </si>
  <si>
    <t>Household estimate (tonnes/year)</t>
  </si>
  <si>
    <t>Confidence in estimate</t>
  </si>
  <si>
    <t>High confidence</t>
  </si>
  <si>
    <t>Central Asia</t>
  </si>
  <si>
    <t>Kazakhstan</t>
  </si>
  <si>
    <t>Very Low Confidence</t>
  </si>
  <si>
    <t>Kyrgyzstan</t>
  </si>
  <si>
    <t>Tajikistan</t>
  </si>
  <si>
    <t>Turkmenistan</t>
  </si>
  <si>
    <t>Uzbekistan</t>
  </si>
  <si>
    <t>Medium confidence</t>
  </si>
  <si>
    <t>China, Hong Kong SAR</t>
  </si>
  <si>
    <t>China, Macao SAR</t>
  </si>
  <si>
    <t>Dem. People's Rep. Korea</t>
  </si>
  <si>
    <t>Mongolia</t>
  </si>
  <si>
    <t>Republic of Korea</t>
  </si>
  <si>
    <t>Belarus</t>
  </si>
  <si>
    <t>Bulgaria</t>
  </si>
  <si>
    <t>Czechia</t>
  </si>
  <si>
    <t>Republic of Moldova</t>
  </si>
  <si>
    <t>Romania</t>
  </si>
  <si>
    <t>Slovakia</t>
  </si>
  <si>
    <t>Ukraine</t>
  </si>
  <si>
    <t>Anguilla</t>
  </si>
  <si>
    <t>*</t>
  </si>
  <si>
    <t>No estimate</t>
  </si>
  <si>
    <t>Antigua and Barbuda</t>
  </si>
  <si>
    <t>Argentina</t>
  </si>
  <si>
    <t>Aruba</t>
  </si>
  <si>
    <t>Bahamas</t>
  </si>
  <si>
    <t>Barbados</t>
  </si>
  <si>
    <t>Bolivia (Plurin. State of)</t>
  </si>
  <si>
    <t>Bonaire, St. Eustatius &amp; Saba</t>
  </si>
  <si>
    <t>British Virgin Islands</t>
  </si>
  <si>
    <t>Cayman Islands</t>
  </si>
  <si>
    <t>Chile</t>
  </si>
  <si>
    <t>Costa Rica</t>
  </si>
  <si>
    <t>Cuba</t>
  </si>
  <si>
    <t>Curaçao</t>
  </si>
  <si>
    <t>Dominica</t>
  </si>
  <si>
    <t>Dominican Republic</t>
  </si>
  <si>
    <t>Ecuador</t>
  </si>
  <si>
    <t>El Salvador</t>
  </si>
  <si>
    <t>Falkland Islands (Malvinas)</t>
  </si>
  <si>
    <t>French Guiana</t>
  </si>
  <si>
    <t>Grenada</t>
  </si>
  <si>
    <t>Guadeloupe</t>
  </si>
  <si>
    <t>Guatemala</t>
  </si>
  <si>
    <t>Guyana</t>
  </si>
  <si>
    <t>Haiti</t>
  </si>
  <si>
    <t>Honduras</t>
  </si>
  <si>
    <t>Jamaica</t>
  </si>
  <si>
    <t>Martinique</t>
  </si>
  <si>
    <t>Montserrat</t>
  </si>
  <si>
    <t>Nicaragua</t>
  </si>
  <si>
    <t>Panama</t>
  </si>
  <si>
    <t>Paraguay</t>
  </si>
  <si>
    <t>Peru</t>
  </si>
  <si>
    <t>Puerto Rico</t>
  </si>
  <si>
    <t>Saint Barthélemy</t>
  </si>
  <si>
    <t>Saint Kitts and Nevis</t>
  </si>
  <si>
    <t>Saint Lucia</t>
  </si>
  <si>
    <t>Saint Martin (French part)</t>
  </si>
  <si>
    <t>Saint Vincent &amp; Grenadines</t>
  </si>
  <si>
    <t>Sint Maarten (Dutch part)</t>
  </si>
  <si>
    <t>Suriname</t>
  </si>
  <si>
    <t>Trinidad and Tobago</t>
  </si>
  <si>
    <t>Turks and Caicos Islands</t>
  </si>
  <si>
    <t>United States Virgin Islands</t>
  </si>
  <si>
    <t>Uruguay</t>
  </si>
  <si>
    <t>Venezuela (Boliv. Rep. of)</t>
  </si>
  <si>
    <t>Melanesia</t>
  </si>
  <si>
    <t>Fiji</t>
  </si>
  <si>
    <t>New Caledonia</t>
  </si>
  <si>
    <t>Papua New Guinea</t>
  </si>
  <si>
    <t>Solomon Islands</t>
  </si>
  <si>
    <t>Vanuatu</t>
  </si>
  <si>
    <t>Micronesia</t>
  </si>
  <si>
    <t>Guam</t>
  </si>
  <si>
    <t>Kiribati</t>
  </si>
  <si>
    <t>Marshall Islands</t>
  </si>
  <si>
    <t>Micronesia (Fed. States of)</t>
  </si>
  <si>
    <t>Nauru</t>
  </si>
  <si>
    <t>Northern Mariana Islands</t>
  </si>
  <si>
    <t>Palau</t>
  </si>
  <si>
    <t>Northern Africa</t>
  </si>
  <si>
    <t>Algeria</t>
  </si>
  <si>
    <t>Egypt</t>
  </si>
  <si>
    <t>Libya</t>
  </si>
  <si>
    <t>Morocco</t>
  </si>
  <si>
    <t>Sudan</t>
  </si>
  <si>
    <t>Tunisia</t>
  </si>
  <si>
    <t>Western Sahara</t>
  </si>
  <si>
    <t>Bermuda</t>
  </si>
  <si>
    <t>Greenland</t>
  </si>
  <si>
    <t>Saint Pierre and Miquelon</t>
  </si>
  <si>
    <t>Faroe Islands</t>
  </si>
  <si>
    <t>Low Confidence</t>
  </si>
  <si>
    <t>Iceland</t>
  </si>
  <si>
    <t>Isle of Man</t>
  </si>
  <si>
    <t>Latvia</t>
  </si>
  <si>
    <t>Lithuania</t>
  </si>
  <si>
    <t>United Kingdom</t>
  </si>
  <si>
    <t>Polynesia</t>
  </si>
  <si>
    <t>American Samoa</t>
  </si>
  <si>
    <t>Cook Islands</t>
  </si>
  <si>
    <t>French Polynesia</t>
  </si>
  <si>
    <t>Niue</t>
  </si>
  <si>
    <t>Samoa</t>
  </si>
  <si>
    <t>Tokelau</t>
  </si>
  <si>
    <t>Tonga</t>
  </si>
  <si>
    <t>Tuvalu</t>
  </si>
  <si>
    <t>Wallis and Futuna Islands</t>
  </si>
  <si>
    <t>Brunei Darussalam</t>
  </si>
  <si>
    <t>Cambodia</t>
  </si>
  <si>
    <t>Lao People's Dem. Rep.</t>
  </si>
  <si>
    <t>Myanmar</t>
  </si>
  <si>
    <t>Philippines</t>
  </si>
  <si>
    <t>Singapore</t>
  </si>
  <si>
    <t>Thailand</t>
  </si>
  <si>
    <t>Timor-Leste</t>
  </si>
  <si>
    <t>Afghanistan</t>
  </si>
  <si>
    <t>Bhutan</t>
  </si>
  <si>
    <t>Iran (Islamic Republic of)</t>
  </si>
  <si>
    <t>Maldives</t>
  </si>
  <si>
    <t>Nepal</t>
  </si>
  <si>
    <t>Albania</t>
  </si>
  <si>
    <t>Andorra</t>
  </si>
  <si>
    <t>Bosnia and Herzegovina</t>
  </si>
  <si>
    <t>Croatia</t>
  </si>
  <si>
    <t>Gibraltar</t>
  </si>
  <si>
    <t>Holy See</t>
  </si>
  <si>
    <t>Montenegro</t>
  </si>
  <si>
    <t>North Macedonia</t>
  </si>
  <si>
    <t>Portugal</t>
  </si>
  <si>
    <t>San Marino</t>
  </si>
  <si>
    <t>Angola</t>
  </si>
  <si>
    <t>Benin</t>
  </si>
  <si>
    <t>Botswana</t>
  </si>
  <si>
    <t>Burkina Faso</t>
  </si>
  <si>
    <t>Burundi</t>
  </si>
  <si>
    <t>Cabo Verde</t>
  </si>
  <si>
    <t>Cameroon</t>
  </si>
  <si>
    <t>Central African Republic</t>
  </si>
  <si>
    <t>Chad</t>
  </si>
  <si>
    <t>Comoros</t>
  </si>
  <si>
    <t>Congo</t>
  </si>
  <si>
    <t>Côte d’Ivoire</t>
  </si>
  <si>
    <t>Dem. Rep. of the Congo</t>
  </si>
  <si>
    <t>Djibouti</t>
  </si>
  <si>
    <t>Equatorial Guinea</t>
  </si>
  <si>
    <t>Eritrea</t>
  </si>
  <si>
    <t>Eswatini</t>
  </si>
  <si>
    <t>Gabon</t>
  </si>
  <si>
    <t>Gambia</t>
  </si>
  <si>
    <t>Guinea</t>
  </si>
  <si>
    <t>Guinea-Bissau</t>
  </si>
  <si>
    <t>Lesotho</t>
  </si>
  <si>
    <t>Liberia</t>
  </si>
  <si>
    <t>Madagascar</t>
  </si>
  <si>
    <t>Malawi</t>
  </si>
  <si>
    <t>Mali</t>
  </si>
  <si>
    <t>Mauritania</t>
  </si>
  <si>
    <t>Mauritius</t>
  </si>
  <si>
    <t>Mayotte</t>
  </si>
  <si>
    <t>Mozambique</t>
  </si>
  <si>
    <t>Namibia</t>
  </si>
  <si>
    <t>Niger</t>
  </si>
  <si>
    <t>Réunion</t>
  </si>
  <si>
    <t>Saint Helena</t>
  </si>
  <si>
    <t>Sao Tome and Principe</t>
  </si>
  <si>
    <t>Senegal</t>
  </si>
  <si>
    <t>Seychelles</t>
  </si>
  <si>
    <t>Sierra Leone</t>
  </si>
  <si>
    <t>Somalia</t>
  </si>
  <si>
    <t>South Sudan</t>
  </si>
  <si>
    <t>Togo</t>
  </si>
  <si>
    <t>Uganda</t>
  </si>
  <si>
    <t>United Rep. of Tanzania</t>
  </si>
  <si>
    <t>Zimbabwe</t>
  </si>
  <si>
    <t>Armenia</t>
  </si>
  <si>
    <t>Azerbaijan</t>
  </si>
  <si>
    <t>Cyprus</t>
  </si>
  <si>
    <t>Jordan</t>
  </si>
  <si>
    <t>Kuwait</t>
  </si>
  <si>
    <t>Oman</t>
  </si>
  <si>
    <t>Qatar</t>
  </si>
  <si>
    <t>State of Palestine</t>
  </si>
  <si>
    <t>Syrian Arab Republic</t>
  </si>
  <si>
    <t>Turkey</t>
  </si>
  <si>
    <t>United Arab Emirates</t>
  </si>
  <si>
    <t>Yemen</t>
  </si>
  <si>
    <t>Liechtenstein</t>
  </si>
  <si>
    <t>Monaco</t>
  </si>
  <si>
    <t>Channel Islands</t>
  </si>
  <si>
    <t>Other non-specified areas</t>
  </si>
  <si>
    <t>Note: Territories with * have no estimates generated. These territories are included in the UNSD list of countries but are not included in the World Bank's income classification grouping.</t>
  </si>
  <si>
    <t>Level 1 Estimates for all countries, food service food waste</t>
  </si>
  <si>
    <t>Food service estimate (kg/capita/year)</t>
  </si>
  <si>
    <t>Food service estimate (tonnes/year)</t>
  </si>
  <si>
    <t>High Confidence</t>
  </si>
  <si>
    <t>Medium Confidence</t>
  </si>
  <si>
    <t>No Estimate</t>
  </si>
  <si>
    <t>Level 1 Estimates for all countries, retail food waste</t>
  </si>
  <si>
    <t>Retail estimate (kg/capita/year)</t>
  </si>
  <si>
    <t>Retail estimate (tonnes/year)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</si>
</sst>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_-* #,##0_-;\-* #,##0_-;_-* &quot;-&quot;??_-;_-@_-"/>
    <numFmt numFmtId="166" formatCode="0;\-0;;@"/>
    <numFmt numFmtId="167" formatCode="0.00;\-0.00;;@"/>
  </numFmts>
  <fonts count="20">
    <font>
      <sz val="11"/>
      <color theme="1"/>
      <name val="Calibri"/>
      <family val="2"/>
      <scheme val="minor"/>
    </font>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u/>
      <sz val="11"/>
      <color theme="10"/>
      <name val="Calibri"/>
      <family val="2"/>
      <scheme val="minor"/>
    </font>
    <font>
      <i/>
      <sz val="11"/>
      <color theme="1"/>
      <name val="Calibri"/>
      <family val="2"/>
      <scheme val="minor"/>
    </font>
    <font>
      <sz val="11"/>
      <color rgb="FF000000"/>
      <name val="Calibri"/>
      <family val="2"/>
      <scheme val="minor"/>
    </font>
    <font>
      <sz val="11"/>
      <name val="Calibri"/>
      <family val="2"/>
      <scheme val="minor"/>
    </font>
    <font>
      <sz val="11"/>
      <color rgb="FFC00000"/>
      <name val="Calibri"/>
      <family val="2"/>
      <scheme val="minor"/>
    </font>
    <font>
      <b/>
      <sz val="9"/>
      <color rgb="FF000000"/>
      <name val="Calibri"/>
      <family val="2"/>
    </font>
    <font>
      <b/>
      <sz val="9"/>
      <color theme="1"/>
      <name val="Calibri"/>
      <family val="2"/>
      <scheme val="minor"/>
    </font>
    <font>
      <sz val="9"/>
      <color theme="1"/>
      <name val="Calibri"/>
      <family val="2"/>
      <scheme val="minor"/>
    </font>
    <font>
      <sz val="9"/>
      <color rgb="FF000000"/>
      <name val="Calibri"/>
      <family val="2"/>
    </font>
    <font>
      <b/>
      <i/>
      <sz val="9"/>
      <color rgb="FF000000"/>
      <name val="Calibri"/>
      <family val="2"/>
    </font>
    <font>
      <sz val="8"/>
      <name val="Calibri"/>
      <family val="2"/>
      <scheme val="minor"/>
    </font>
    <font>
      <sz val="11"/>
      <color theme="0"/>
      <name val="Calibri"/>
      <family val="2"/>
      <scheme val="minor"/>
    </font>
    <font>
      <b/>
      <sz val="8"/>
      <color theme="1"/>
      <name val="Calibri"/>
      <family val="2"/>
      <scheme val="minor"/>
    </font>
    <font>
      <sz val="8"/>
      <color theme="1"/>
      <name val="Calibri"/>
      <family val="2"/>
      <scheme val="minor"/>
    </font>
    <font>
      <i/>
      <sz val="9"/>
      <color theme="1"/>
      <name val="Calibri"/>
      <family val="2"/>
      <scheme val="minor"/>
    </font>
  </fonts>
  <fills count="10">
    <fill>
      <patternFill patternType="none"/>
    </fill>
    <fill>
      <patternFill patternType="gray125"/>
    </fill>
    <fill>
      <patternFill patternType="solid">
        <fgColor theme="0" tint="-0.14999847407452621"/>
        <bgColor theme="0" tint="-0.14999847407452621"/>
      </patternFill>
    </fill>
    <fill>
      <patternFill patternType="solid">
        <fgColor theme="4"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theme="0"/>
        <bgColor theme="0" tint="-0.14999847407452621"/>
      </patternFill>
    </fill>
    <fill>
      <patternFill patternType="solid">
        <fgColor theme="0" tint="-4.9989318521683403E-2"/>
        <bgColor theme="4"/>
      </patternFill>
    </fill>
    <fill>
      <patternFill patternType="solid">
        <fgColor theme="0" tint="-4.9989318521683403E-2"/>
        <bgColor theme="4" tint="0.79998168889431442"/>
      </patternFill>
    </fill>
  </fills>
  <borders count="53">
    <border>
      <left/>
      <right/>
      <top/>
      <bottom/>
      <diagonal/>
    </border>
    <border>
      <left/>
      <right/>
      <top/>
      <bottom style="thin">
        <color theme="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medium">
        <color theme="1" tint="0.34998626667073579"/>
      </left>
      <right style="medium">
        <color theme="1" tint="0.34998626667073579"/>
      </right>
      <top style="thin">
        <color theme="1" tint="0.34998626667073579"/>
      </top>
      <bottom style="thin">
        <color theme="1" tint="0.34998626667073579"/>
      </bottom>
      <diagonal/>
    </border>
    <border>
      <left style="medium">
        <color theme="1" tint="0.34998626667073579"/>
      </left>
      <right style="medium">
        <color theme="1" tint="0.34998626667073579"/>
      </right>
      <top/>
      <bottom/>
      <diagonal/>
    </border>
    <border>
      <left style="medium">
        <color theme="1" tint="0.34998626667073579"/>
      </left>
      <right/>
      <top/>
      <bottom/>
      <diagonal/>
    </border>
    <border>
      <left/>
      <right style="medium">
        <color theme="1" tint="0.34998626667073579"/>
      </right>
      <top/>
      <bottom/>
      <diagonal/>
    </border>
    <border>
      <left style="medium">
        <color theme="1" tint="0.34998626667073579"/>
      </left>
      <right/>
      <top/>
      <bottom style="thin">
        <color theme="1"/>
      </bottom>
      <diagonal/>
    </border>
    <border>
      <left/>
      <right style="medium">
        <color theme="1" tint="0.34998626667073579"/>
      </right>
      <top/>
      <bottom style="thin">
        <color theme="1"/>
      </bottom>
      <diagonal/>
    </border>
    <border>
      <left/>
      <right style="thin">
        <color theme="1" tint="0.34998626667073579"/>
      </right>
      <top style="thin">
        <color theme="1" tint="0.34998626667073579"/>
      </top>
      <bottom style="thin">
        <color theme="1" tint="0.34998626667073579"/>
      </bottom>
      <diagonal/>
    </border>
    <border>
      <left style="medium">
        <color theme="1" tint="0.34998626667073579"/>
      </left>
      <right style="thin">
        <color theme="1" tint="0.34998626667073579"/>
      </right>
      <top style="medium">
        <color theme="1" tint="0.34998626667073579"/>
      </top>
      <bottom style="thin">
        <color theme="1" tint="0.34998626667073579"/>
      </bottom>
      <diagonal/>
    </border>
    <border>
      <left style="thin">
        <color theme="1" tint="0.34998626667073579"/>
      </left>
      <right style="thin">
        <color theme="1" tint="0.34998626667073579"/>
      </right>
      <top style="medium">
        <color theme="1" tint="0.34998626667073579"/>
      </top>
      <bottom style="thin">
        <color theme="1" tint="0.34998626667073579"/>
      </bottom>
      <diagonal/>
    </border>
    <border>
      <left style="thin">
        <color theme="1" tint="0.34998626667073579"/>
      </left>
      <right style="medium">
        <color theme="1" tint="0.34998626667073579"/>
      </right>
      <top style="medium">
        <color theme="1" tint="0.34998626667073579"/>
      </top>
      <bottom style="thin">
        <color theme="1" tint="0.34998626667073579"/>
      </bottom>
      <diagonal/>
    </border>
    <border>
      <left/>
      <right style="thin">
        <color theme="1" tint="0.34998626667073579"/>
      </right>
      <top style="thin">
        <color theme="1" tint="0.34998626667073579"/>
      </top>
      <bottom/>
      <diagonal/>
    </border>
    <border>
      <left style="thin">
        <color theme="1" tint="0.34998626667073579"/>
      </left>
      <right style="thin">
        <color theme="1" tint="0.34998626667073579"/>
      </right>
      <top style="thin">
        <color theme="1" tint="0.34998626667073579"/>
      </top>
      <bottom/>
      <diagonal/>
    </border>
    <border>
      <left style="medium">
        <color theme="1" tint="0.34998626667073579"/>
      </left>
      <right style="medium">
        <color theme="1" tint="0.34998626667073579"/>
      </right>
      <top style="thin">
        <color theme="1" tint="0.34998626667073579"/>
      </top>
      <bottom/>
      <diagonal/>
    </border>
    <border>
      <left/>
      <right style="thin">
        <color theme="1" tint="0.34998626667073579"/>
      </right>
      <top style="medium">
        <color theme="1" tint="0.34998626667073579"/>
      </top>
      <bottom style="thin">
        <color theme="1" tint="0.3499862666707357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theme="1" tint="0.34998626667073579"/>
      </right>
      <top style="medium">
        <color theme="1" tint="0.34998626667073579"/>
      </top>
      <bottom style="thin">
        <color theme="1" tint="0.34998626667073579"/>
      </bottom>
      <diagonal/>
    </border>
    <border>
      <left style="thin">
        <color theme="1" tint="0.34998626667073579"/>
      </left>
      <right style="medium">
        <color indexed="64"/>
      </right>
      <top style="medium">
        <color theme="1" tint="0.34998626667073579"/>
      </top>
      <bottom style="thin">
        <color theme="1" tint="0.34998626667073579"/>
      </bottom>
      <diagonal/>
    </border>
    <border>
      <left style="medium">
        <color indexed="64"/>
      </left>
      <right/>
      <top/>
      <bottom style="thin">
        <color theme="1"/>
      </bottom>
      <diagonal/>
    </border>
    <border>
      <left/>
      <right style="medium">
        <color indexed="64"/>
      </right>
      <top/>
      <bottom style="thin">
        <color theme="1"/>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theme="1" tint="0.34998626667073579"/>
      </right>
      <top/>
      <bottom style="medium">
        <color indexed="64"/>
      </bottom>
      <diagonal/>
    </border>
    <border>
      <left style="medium">
        <color theme="1" tint="0.34998626667073579"/>
      </left>
      <right/>
      <top/>
      <bottom style="medium">
        <color indexed="64"/>
      </bottom>
      <diagonal/>
    </border>
    <border>
      <left/>
      <right style="medium">
        <color indexed="64"/>
      </right>
      <top/>
      <bottom style="medium">
        <color indexed="64"/>
      </bottom>
      <diagonal/>
    </border>
    <border>
      <left/>
      <right style="double">
        <color rgb="FF0070C0"/>
      </right>
      <top style="double">
        <color rgb="FF0070C0"/>
      </top>
      <bottom style="double">
        <color rgb="FF0070C0"/>
      </bottom>
      <diagonal/>
    </border>
    <border>
      <left style="double">
        <color rgb="FF0070C0"/>
      </left>
      <right style="double">
        <color rgb="FF0070C0"/>
      </right>
      <top style="double">
        <color rgb="FF0070C0"/>
      </top>
      <bottom/>
      <diagonal/>
    </border>
    <border>
      <left/>
      <right/>
      <top style="double">
        <color rgb="FF0070C0"/>
      </top>
      <bottom/>
      <diagonal/>
    </border>
    <border>
      <left/>
      <right style="double">
        <color rgb="FF0070C0"/>
      </right>
      <top style="double">
        <color rgb="FF0070C0"/>
      </top>
      <bottom/>
      <diagonal/>
    </border>
    <border>
      <left style="double">
        <color rgb="FF0070C0"/>
      </left>
      <right/>
      <top style="double">
        <color rgb="FF0070C0"/>
      </top>
      <bottom/>
      <diagonal/>
    </border>
    <border>
      <left style="double">
        <color rgb="FF0070C0"/>
      </left>
      <right/>
      <top/>
      <bottom/>
      <diagonal/>
    </border>
    <border>
      <left/>
      <right style="double">
        <color rgb="FF0070C0"/>
      </right>
      <top/>
      <bottom/>
      <diagonal/>
    </border>
    <border>
      <left style="double">
        <color rgb="FF0070C0"/>
      </left>
      <right/>
      <top/>
      <bottom style="double">
        <color rgb="FF0070C0"/>
      </bottom>
      <diagonal/>
    </border>
    <border>
      <left/>
      <right/>
      <top/>
      <bottom style="double">
        <color rgb="FF0070C0"/>
      </bottom>
      <diagonal/>
    </border>
    <border>
      <left/>
      <right style="double">
        <color rgb="FF0070C0"/>
      </right>
      <top/>
      <bottom style="double">
        <color rgb="FF0070C0"/>
      </bottom>
      <diagonal/>
    </border>
    <border>
      <left/>
      <right style="double">
        <color rgb="FF0070C0"/>
      </right>
      <top style="double">
        <color rgb="FF0070C0"/>
      </top>
      <bottom style="thin">
        <color theme="1"/>
      </bottom>
      <diagonal/>
    </border>
    <border>
      <left style="double">
        <color rgb="FF0070C0"/>
      </left>
      <right/>
      <top style="double">
        <color rgb="FF0070C0"/>
      </top>
      <bottom style="double">
        <color rgb="FF0070C0"/>
      </bottom>
      <diagonal/>
    </border>
    <border>
      <left/>
      <right style="medium">
        <color theme="1" tint="0.34998626667073579"/>
      </right>
      <top style="thin">
        <color theme="1" tint="0.34998626667073579"/>
      </top>
      <bottom style="thin">
        <color theme="1" tint="0.34998626667073579"/>
      </bottom>
      <diagonal/>
    </border>
    <border>
      <left style="double">
        <color rgb="FF0070C0"/>
      </left>
      <right/>
      <top style="double">
        <color rgb="FF0070C0"/>
      </top>
      <bottom style="thin">
        <color indexed="64"/>
      </bottom>
      <diagonal/>
    </border>
    <border>
      <left/>
      <right/>
      <top style="double">
        <color rgb="FF0070C0"/>
      </top>
      <bottom style="thin">
        <color indexed="64"/>
      </bottom>
      <diagonal/>
    </border>
    <border>
      <left/>
      <right/>
      <top/>
      <bottom style="thin">
        <color indexed="64"/>
      </bottom>
      <diagonal/>
    </border>
    <border>
      <left style="thin">
        <color theme="2" tint="-0.499984740745262"/>
      </left>
      <right style="thin">
        <color theme="2" tint="-0.499984740745262"/>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247">
    <xf numFmtId="0" fontId="0" fillId="0" borderId="0" xfId="0"/>
    <xf numFmtId="0" fontId="12" fillId="0" borderId="0" xfId="0" applyFont="1" applyAlignment="1">
      <alignment wrapText="1"/>
    </xf>
    <xf numFmtId="0" fontId="0" fillId="0" borderId="0" xfId="0" applyAlignment="1">
      <alignment horizontal="center" vertical="center"/>
    </xf>
    <xf numFmtId="9" fontId="0" fillId="0" borderId="0" xfId="2" applyFont="1" applyBorder="1"/>
    <xf numFmtId="1" fontId="2" fillId="0" borderId="2" xfId="0" applyNumberFormat="1" applyFont="1" applyBorder="1"/>
    <xf numFmtId="166" fontId="0" fillId="0" borderId="0" xfId="0" applyNumberFormat="1"/>
    <xf numFmtId="165" fontId="0" fillId="0" borderId="0" xfId="1" applyNumberFormat="1" applyFont="1" applyBorder="1"/>
    <xf numFmtId="166" fontId="2" fillId="0" borderId="9" xfId="0" applyNumberFormat="1" applyFont="1" applyBorder="1"/>
    <xf numFmtId="0" fontId="0" fillId="4" borderId="0" xfId="0" applyFill="1"/>
    <xf numFmtId="0" fontId="0" fillId="5" borderId="0" xfId="0" applyFill="1"/>
    <xf numFmtId="0" fontId="0" fillId="5" borderId="0" xfId="0" applyFill="1" applyAlignment="1">
      <alignment horizontal="center" vertical="center"/>
    </xf>
    <xf numFmtId="0" fontId="0" fillId="5" borderId="0" xfId="0" applyFill="1" applyAlignment="1">
      <alignment vertical="center"/>
    </xf>
    <xf numFmtId="0" fontId="0" fillId="5" borderId="0" xfId="0" applyFill="1" applyAlignment="1">
      <alignment horizontal="center" vertical="center" wrapText="1"/>
    </xf>
    <xf numFmtId="0" fontId="0" fillId="5" borderId="0" xfId="0" applyFill="1" applyAlignment="1">
      <alignment vertical="center" wrapText="1"/>
    </xf>
    <xf numFmtId="0" fontId="0" fillId="5" borderId="0" xfId="0" applyFill="1" applyAlignment="1">
      <alignment horizontal="center"/>
    </xf>
    <xf numFmtId="0" fontId="0" fillId="5" borderId="0" xfId="0" applyFill="1" applyAlignment="1">
      <alignment wrapText="1"/>
    </xf>
    <xf numFmtId="0" fontId="0" fillId="0" borderId="7" xfId="0" applyBorder="1"/>
    <xf numFmtId="0" fontId="0" fillId="0" borderId="1" xfId="0" applyBorder="1"/>
    <xf numFmtId="0" fontId="0" fillId="0" borderId="8" xfId="0" applyBorder="1"/>
    <xf numFmtId="0" fontId="0" fillId="0" borderId="6" xfId="0" applyBorder="1"/>
    <xf numFmtId="9" fontId="1" fillId="0" borderId="0" xfId="2" applyFont="1" applyBorder="1"/>
    <xf numFmtId="165" fontId="1" fillId="0" borderId="7" xfId="1" applyNumberFormat="1" applyFont="1" applyBorder="1"/>
    <xf numFmtId="165" fontId="1" fillId="0" borderId="1" xfId="1" applyNumberFormat="1" applyFont="1" applyBorder="1"/>
    <xf numFmtId="165" fontId="1" fillId="0" borderId="0" xfId="1" applyNumberFormat="1" applyFont="1" applyBorder="1"/>
    <xf numFmtId="166" fontId="0" fillId="0" borderId="6" xfId="0" applyNumberFormat="1" applyBorder="1"/>
    <xf numFmtId="167" fontId="0" fillId="0" borderId="5" xfId="0" applyNumberFormat="1" applyBorder="1"/>
    <xf numFmtId="167" fontId="0" fillId="0" borderId="0" xfId="0" applyNumberFormat="1"/>
    <xf numFmtId="2" fontId="0" fillId="0" borderId="1" xfId="0" applyNumberFormat="1" applyBorder="1"/>
    <xf numFmtId="1" fontId="0" fillId="3" borderId="4" xfId="0" applyNumberFormat="1" applyFill="1" applyBorder="1"/>
    <xf numFmtId="1" fontId="0" fillId="0" borderId="0" xfId="0" applyNumberFormat="1"/>
    <xf numFmtId="9" fontId="1" fillId="0" borderId="1" xfId="2" applyFont="1" applyBorder="1"/>
    <xf numFmtId="0" fontId="0" fillId="0" borderId="22" xfId="0" applyBorder="1"/>
    <xf numFmtId="0" fontId="0" fillId="0" borderId="23" xfId="0" applyBorder="1"/>
    <xf numFmtId="0" fontId="0" fillId="6" borderId="0" xfId="0" applyFill="1"/>
    <xf numFmtId="166" fontId="0" fillId="6" borderId="0" xfId="0" applyNumberFormat="1" applyFill="1"/>
    <xf numFmtId="165" fontId="0" fillId="6" borderId="0" xfId="1" applyNumberFormat="1" applyFont="1" applyFill="1" applyBorder="1"/>
    <xf numFmtId="166" fontId="0" fillId="6" borderId="6" xfId="0" applyNumberFormat="1" applyFill="1" applyBorder="1"/>
    <xf numFmtId="167" fontId="0" fillId="6" borderId="5" xfId="0" applyNumberFormat="1" applyFill="1" applyBorder="1"/>
    <xf numFmtId="9" fontId="0" fillId="6" borderId="0" xfId="2" applyFont="1" applyFill="1" applyBorder="1"/>
    <xf numFmtId="165" fontId="0" fillId="6" borderId="5" xfId="1" applyNumberFormat="1" applyFont="1" applyFill="1" applyBorder="1"/>
    <xf numFmtId="9" fontId="8" fillId="6" borderId="0" xfId="2" applyFont="1" applyFill="1" applyBorder="1"/>
    <xf numFmtId="0" fontId="8" fillId="6" borderId="6" xfId="0" applyFont="1" applyFill="1" applyBorder="1"/>
    <xf numFmtId="0" fontId="0" fillId="6" borderId="26" xfId="0" applyFill="1" applyBorder="1"/>
    <xf numFmtId="0" fontId="0" fillId="6" borderId="27" xfId="0" applyFill="1" applyBorder="1"/>
    <xf numFmtId="0" fontId="5" fillId="6" borderId="28" xfId="3" applyFill="1" applyBorder="1"/>
    <xf numFmtId="0" fontId="0" fillId="6" borderId="29" xfId="0" applyFill="1" applyBorder="1"/>
    <xf numFmtId="0" fontId="0" fillId="6" borderId="28" xfId="0" applyFill="1" applyBorder="1"/>
    <xf numFmtId="0" fontId="0" fillId="6" borderId="27" xfId="0" applyFill="1" applyBorder="1" applyAlignment="1">
      <alignment horizontal="center" vertical="center"/>
    </xf>
    <xf numFmtId="0" fontId="0" fillId="6" borderId="30" xfId="0" applyFill="1" applyBorder="1"/>
    <xf numFmtId="1" fontId="0" fillId="6" borderId="15" xfId="0" applyNumberFormat="1" applyFill="1" applyBorder="1"/>
    <xf numFmtId="0" fontId="2" fillId="5" borderId="32" xfId="0" applyFont="1" applyFill="1" applyBorder="1" applyAlignment="1">
      <alignment horizontal="center" vertical="center"/>
    </xf>
    <xf numFmtId="0" fontId="0" fillId="0" borderId="35" xfId="0" applyBorder="1"/>
    <xf numFmtId="0" fontId="0" fillId="0" borderId="36" xfId="0" applyBorder="1"/>
    <xf numFmtId="1" fontId="0" fillId="5" borderId="38" xfId="0" applyNumberFormat="1" applyFill="1" applyBorder="1"/>
    <xf numFmtId="0" fontId="11" fillId="0" borderId="41" xfId="0" applyFont="1" applyBorder="1" applyAlignment="1">
      <alignment wrapText="1"/>
    </xf>
    <xf numFmtId="0" fontId="12" fillId="2" borderId="36" xfId="0" applyFont="1" applyFill="1" applyBorder="1"/>
    <xf numFmtId="0" fontId="13" fillId="2" borderId="0" xfId="0" applyFont="1" applyFill="1"/>
    <xf numFmtId="0" fontId="12" fillId="2" borderId="0" xfId="0" applyFont="1" applyFill="1"/>
    <xf numFmtId="0" fontId="5" fillId="2" borderId="0" xfId="3" applyFill="1" applyBorder="1" applyAlignment="1"/>
    <xf numFmtId="0" fontId="12" fillId="2" borderId="37" xfId="0" applyFont="1" applyFill="1" applyBorder="1"/>
    <xf numFmtId="0" fontId="12" fillId="0" borderId="36" xfId="0" applyFont="1" applyBorder="1"/>
    <xf numFmtId="0" fontId="13" fillId="0" borderId="0" xfId="0" applyFont="1"/>
    <xf numFmtId="0" fontId="12" fillId="0" borderId="0" xfId="0" applyFont="1"/>
    <xf numFmtId="0" fontId="5" fillId="0" borderId="0" xfId="3" applyBorder="1" applyAlignment="1"/>
    <xf numFmtId="0" fontId="12" fillId="0" borderId="37" xfId="0" applyFont="1" applyBorder="1"/>
    <xf numFmtId="0" fontId="14" fillId="2" borderId="0" xfId="0" applyFont="1" applyFill="1"/>
    <xf numFmtId="0" fontId="14" fillId="0" borderId="0" xfId="0" applyFont="1"/>
    <xf numFmtId="0" fontId="12" fillId="0" borderId="38" xfId="0" applyFont="1" applyBorder="1"/>
    <xf numFmtId="0" fontId="13" fillId="0" borderId="39" xfId="0" applyFont="1" applyBorder="1"/>
    <xf numFmtId="0" fontId="5" fillId="0" borderId="39" xfId="3" applyBorder="1" applyAlignment="1"/>
    <xf numFmtId="0" fontId="12" fillId="0" borderId="40" xfId="0" applyFont="1" applyBorder="1"/>
    <xf numFmtId="0" fontId="0" fillId="5" borderId="33" xfId="0" applyFill="1" applyBorder="1" applyAlignment="1">
      <alignment horizontal="center" vertical="center" wrapText="1"/>
    </xf>
    <xf numFmtId="0" fontId="0" fillId="5" borderId="37" xfId="0" applyFill="1" applyBorder="1" applyAlignment="1">
      <alignment wrapText="1"/>
    </xf>
    <xf numFmtId="0" fontId="0" fillId="5" borderId="36" xfId="0" applyFill="1" applyBorder="1"/>
    <xf numFmtId="0" fontId="0" fillId="5" borderId="37" xfId="0" applyFill="1" applyBorder="1"/>
    <xf numFmtId="0" fontId="0" fillId="5" borderId="38" xfId="0" applyFill="1" applyBorder="1"/>
    <xf numFmtId="0" fontId="0" fillId="5" borderId="39" xfId="0" applyFill="1" applyBorder="1"/>
    <xf numFmtId="0" fontId="0" fillId="5" borderId="40" xfId="0" applyFill="1" applyBorder="1"/>
    <xf numFmtId="2" fontId="0" fillId="5" borderId="0" xfId="0" applyNumberFormat="1" applyFill="1"/>
    <xf numFmtId="0" fontId="0" fillId="5" borderId="34" xfId="0" applyFill="1" applyBorder="1" applyAlignment="1">
      <alignment horizontal="center" vertical="center" wrapText="1"/>
    </xf>
    <xf numFmtId="0" fontId="0" fillId="5" borderId="37" xfId="0" applyFill="1" applyBorder="1" applyAlignment="1">
      <alignment horizontal="center" vertical="center" wrapText="1"/>
    </xf>
    <xf numFmtId="0" fontId="0" fillId="5" borderId="37" xfId="0" applyFill="1" applyBorder="1" applyAlignment="1">
      <alignment horizontal="left" vertical="top" wrapText="1"/>
    </xf>
    <xf numFmtId="0" fontId="0" fillId="5" borderId="37" xfId="0" applyFill="1" applyBorder="1" applyAlignment="1">
      <alignment horizontal="left" vertical="center" wrapText="1"/>
    </xf>
    <xf numFmtId="14" fontId="0" fillId="5" borderId="37" xfId="0" applyNumberFormat="1" applyFill="1" applyBorder="1" applyAlignment="1">
      <alignment horizontal="left" wrapText="1"/>
    </xf>
    <xf numFmtId="0" fontId="0" fillId="5" borderId="39" xfId="0" applyFill="1" applyBorder="1" applyAlignment="1">
      <alignment horizontal="center" vertical="center" wrapText="1"/>
    </xf>
    <xf numFmtId="0" fontId="0" fillId="5" borderId="40" xfId="0" applyFill="1" applyBorder="1" applyAlignment="1">
      <alignment horizontal="center" vertical="center" wrapText="1"/>
    </xf>
    <xf numFmtId="0" fontId="0" fillId="5" borderId="34" xfId="0" applyFill="1" applyBorder="1" applyAlignment="1">
      <alignment horizontal="left" wrapText="1"/>
    </xf>
    <xf numFmtId="0" fontId="0" fillId="5" borderId="38" xfId="0" applyFill="1" applyBorder="1" applyAlignment="1">
      <alignment vertical="center" wrapText="1"/>
    </xf>
    <xf numFmtId="0" fontId="0" fillId="5" borderId="39" xfId="0" applyFill="1" applyBorder="1" applyAlignment="1">
      <alignment vertical="center" wrapText="1"/>
    </xf>
    <xf numFmtId="0" fontId="0" fillId="5" borderId="39" xfId="0" applyFill="1" applyBorder="1" applyAlignment="1">
      <alignment wrapText="1"/>
    </xf>
    <xf numFmtId="0" fontId="0" fillId="5" borderId="40" xfId="0" applyFill="1" applyBorder="1" applyAlignment="1">
      <alignment wrapText="1"/>
    </xf>
    <xf numFmtId="0" fontId="0" fillId="5" borderId="35" xfId="0" applyFill="1" applyBorder="1" applyAlignment="1">
      <alignment vertical="center" wrapText="1"/>
    </xf>
    <xf numFmtId="0" fontId="0" fillId="5" borderId="33" xfId="0" applyFill="1" applyBorder="1" applyAlignment="1">
      <alignment vertical="center" wrapText="1"/>
    </xf>
    <xf numFmtId="0" fontId="0" fillId="5" borderId="33" xfId="0" applyFill="1" applyBorder="1" applyAlignment="1">
      <alignment wrapText="1"/>
    </xf>
    <xf numFmtId="0" fontId="0" fillId="5" borderId="34" xfId="0" applyFill="1" applyBorder="1" applyAlignment="1">
      <alignment wrapText="1"/>
    </xf>
    <xf numFmtId="0" fontId="0" fillId="5" borderId="38" xfId="0" applyFill="1" applyBorder="1" applyAlignment="1">
      <alignment horizontal="center" vertical="center" wrapText="1"/>
    </xf>
    <xf numFmtId="0" fontId="0" fillId="5" borderId="39" xfId="0" applyFill="1" applyBorder="1" applyAlignment="1">
      <alignment horizontal="left" vertical="center" wrapText="1"/>
    </xf>
    <xf numFmtId="0" fontId="0" fillId="5" borderId="40" xfId="0" applyFill="1" applyBorder="1" applyAlignment="1">
      <alignment horizontal="left" vertical="center" wrapText="1"/>
    </xf>
    <xf numFmtId="0" fontId="0" fillId="5" borderId="35" xfId="0" applyFill="1" applyBorder="1"/>
    <xf numFmtId="0" fontId="0" fillId="5" borderId="33" xfId="0" applyFill="1" applyBorder="1"/>
    <xf numFmtId="0" fontId="0" fillId="5" borderId="34" xfId="0" applyFill="1" applyBorder="1"/>
    <xf numFmtId="0" fontId="0" fillId="5" borderId="38" xfId="0" applyFill="1" applyBorder="1" applyAlignment="1">
      <alignment horizontal="center" vertical="center"/>
    </xf>
    <xf numFmtId="0" fontId="0" fillId="5" borderId="39" xfId="0" applyFill="1" applyBorder="1" applyAlignment="1">
      <alignment horizontal="center" vertical="center"/>
    </xf>
    <xf numFmtId="0" fontId="0" fillId="5" borderId="39" xfId="0" applyFill="1" applyBorder="1" applyAlignment="1">
      <alignment vertical="center"/>
    </xf>
    <xf numFmtId="0" fontId="0" fillId="5" borderId="33" xfId="0" applyFill="1" applyBorder="1" applyAlignment="1">
      <alignment horizontal="center" vertical="center"/>
    </xf>
    <xf numFmtId="0" fontId="0" fillId="5" borderId="40" xfId="0" applyFill="1" applyBorder="1" applyAlignment="1">
      <alignment horizontal="left" wrapText="1"/>
    </xf>
    <xf numFmtId="0" fontId="0" fillId="5" borderId="40" xfId="0" applyFill="1" applyBorder="1" applyAlignment="1">
      <alignment vertical="center" wrapText="1"/>
    </xf>
    <xf numFmtId="0" fontId="0" fillId="5" borderId="34" xfId="0" applyFill="1" applyBorder="1" applyAlignment="1">
      <alignment vertical="center" wrapText="1"/>
    </xf>
    <xf numFmtId="0" fontId="0" fillId="5" borderId="40" xfId="0" applyFill="1" applyBorder="1" applyAlignment="1">
      <alignment horizontal="center" vertical="center"/>
    </xf>
    <xf numFmtId="0" fontId="0" fillId="5" borderId="40" xfId="0" applyFill="1" applyBorder="1" applyAlignment="1">
      <alignment vertical="center"/>
    </xf>
    <xf numFmtId="2" fontId="0" fillId="5" borderId="37" xfId="0" applyNumberFormat="1" applyFill="1" applyBorder="1"/>
    <xf numFmtId="2" fontId="0" fillId="5" borderId="40" xfId="0" applyNumberFormat="1" applyFill="1" applyBorder="1"/>
    <xf numFmtId="0" fontId="0" fillId="5" borderId="24" xfId="0" applyFill="1" applyBorder="1"/>
    <xf numFmtId="0" fontId="5" fillId="5" borderId="6" xfId="3" applyFill="1" applyBorder="1"/>
    <xf numFmtId="0" fontId="0" fillId="5" borderId="5" xfId="0" applyFill="1" applyBorder="1"/>
    <xf numFmtId="0" fontId="0" fillId="5" borderId="6" xfId="0" applyFill="1" applyBorder="1"/>
    <xf numFmtId="0" fontId="9" fillId="5" borderId="25" xfId="0" applyFont="1" applyFill="1" applyBorder="1"/>
    <xf numFmtId="9" fontId="0" fillId="5" borderId="0" xfId="2" applyFont="1" applyFill="1" applyBorder="1"/>
    <xf numFmtId="165" fontId="0" fillId="5" borderId="5" xfId="1" applyNumberFormat="1" applyFont="1" applyFill="1" applyBorder="1"/>
    <xf numFmtId="1" fontId="0" fillId="5" borderId="0" xfId="0" applyNumberFormat="1" applyFill="1"/>
    <xf numFmtId="165" fontId="0" fillId="5" borderId="0" xfId="1" applyNumberFormat="1" applyFont="1" applyFill="1" applyBorder="1"/>
    <xf numFmtId="166" fontId="0" fillId="5" borderId="0" xfId="0" applyNumberFormat="1" applyFill="1"/>
    <xf numFmtId="166" fontId="0" fillId="5" borderId="6" xfId="0" applyNumberFormat="1" applyFill="1" applyBorder="1"/>
    <xf numFmtId="167" fontId="0" fillId="5" borderId="5" xfId="0" applyNumberFormat="1" applyFill="1" applyBorder="1"/>
    <xf numFmtId="1" fontId="0" fillId="5" borderId="3" xfId="0" applyNumberFormat="1" applyFill="1" applyBorder="1"/>
    <xf numFmtId="0" fontId="0" fillId="7" borderId="24" xfId="0" applyFill="1" applyBorder="1"/>
    <xf numFmtId="0" fontId="0" fillId="7" borderId="0" xfId="0" applyFill="1"/>
    <xf numFmtId="0" fontId="5" fillId="7" borderId="6" xfId="3" applyFill="1" applyBorder="1"/>
    <xf numFmtId="0" fontId="0" fillId="7" borderId="5" xfId="0" applyFill="1" applyBorder="1"/>
    <xf numFmtId="0" fontId="0" fillId="7" borderId="6" xfId="0" applyFill="1" applyBorder="1"/>
    <xf numFmtId="0" fontId="0" fillId="7" borderId="0" xfId="0" applyFill="1" applyAlignment="1">
      <alignment horizontal="center" vertical="center"/>
    </xf>
    <xf numFmtId="0" fontId="9" fillId="7" borderId="25" xfId="0" applyFont="1" applyFill="1" applyBorder="1"/>
    <xf numFmtId="9" fontId="0" fillId="7" borderId="0" xfId="2" applyFont="1" applyFill="1" applyBorder="1"/>
    <xf numFmtId="165" fontId="0" fillId="7" borderId="5" xfId="1" applyNumberFormat="1" applyFont="1" applyFill="1" applyBorder="1"/>
    <xf numFmtId="165" fontId="0" fillId="7" borderId="0" xfId="1" applyNumberFormat="1" applyFont="1" applyFill="1" applyBorder="1"/>
    <xf numFmtId="0" fontId="0" fillId="7" borderId="25" xfId="0" applyFill="1" applyBorder="1"/>
    <xf numFmtId="9" fontId="8" fillId="7" borderId="0" xfId="2" applyFont="1" applyFill="1" applyBorder="1" applyAlignment="1"/>
    <xf numFmtId="0" fontId="8" fillId="7" borderId="6" xfId="0" applyFont="1" applyFill="1" applyBorder="1"/>
    <xf numFmtId="0" fontId="0" fillId="5" borderId="25" xfId="0" applyFill="1" applyBorder="1"/>
    <xf numFmtId="9" fontId="8" fillId="5" borderId="0" xfId="2" applyFont="1" applyFill="1" applyBorder="1"/>
    <xf numFmtId="0" fontId="8" fillId="5" borderId="6" xfId="0" applyFont="1" applyFill="1" applyBorder="1"/>
    <xf numFmtId="9" fontId="8" fillId="7" borderId="0" xfId="2" applyFont="1" applyFill="1" applyBorder="1"/>
    <xf numFmtId="9" fontId="8" fillId="5" borderId="0" xfId="2" quotePrefix="1" applyFont="1" applyFill="1" applyBorder="1"/>
    <xf numFmtId="3" fontId="8" fillId="5" borderId="6" xfId="0" quotePrefix="1" applyNumberFormat="1" applyFont="1" applyFill="1" applyBorder="1"/>
    <xf numFmtId="0" fontId="8" fillId="7" borderId="6" xfId="0" quotePrefix="1" applyFont="1" applyFill="1" applyBorder="1"/>
    <xf numFmtId="9" fontId="8" fillId="5" borderId="0" xfId="2" applyFont="1" applyFill="1" applyBorder="1" applyAlignment="1"/>
    <xf numFmtId="0" fontId="7" fillId="5" borderId="0" xfId="0" applyFont="1" applyFill="1"/>
    <xf numFmtId="3" fontId="8" fillId="5" borderId="6" xfId="0" applyNumberFormat="1" applyFont="1" applyFill="1" applyBorder="1"/>
    <xf numFmtId="0" fontId="9" fillId="5" borderId="0" xfId="0" applyFont="1" applyFill="1"/>
    <xf numFmtId="0" fontId="5" fillId="7" borderId="6" xfId="3" applyFill="1" applyBorder="1" applyAlignment="1"/>
    <xf numFmtId="0" fontId="9" fillId="7" borderId="0" xfId="0" applyFont="1" applyFill="1"/>
    <xf numFmtId="0" fontId="5" fillId="5" borderId="6" xfId="3" applyFill="1" applyBorder="1" applyAlignment="1"/>
    <xf numFmtId="0" fontId="6" fillId="7" borderId="0" xfId="0" applyFont="1" applyFill="1"/>
    <xf numFmtId="9" fontId="0" fillId="7" borderId="0" xfId="2" applyFont="1" applyFill="1" applyBorder="1" applyAlignment="1"/>
    <xf numFmtId="4" fontId="8" fillId="7" borderId="6" xfId="0" applyNumberFormat="1" applyFont="1" applyFill="1" applyBorder="1"/>
    <xf numFmtId="9" fontId="8" fillId="5" borderId="6" xfId="0" applyNumberFormat="1" applyFont="1" applyFill="1" applyBorder="1"/>
    <xf numFmtId="13" fontId="0" fillId="5" borderId="0" xfId="2" applyNumberFormat="1" applyFont="1" applyFill="1" applyBorder="1"/>
    <xf numFmtId="1" fontId="0" fillId="7" borderId="3" xfId="0" applyNumberFormat="1" applyFill="1" applyBorder="1"/>
    <xf numFmtId="9" fontId="0" fillId="5" borderId="0" xfId="2" applyFont="1" applyFill="1" applyBorder="1" applyAlignment="1"/>
    <xf numFmtId="0" fontId="8" fillId="7" borderId="0" xfId="0" applyFont="1" applyFill="1"/>
    <xf numFmtId="0" fontId="8" fillId="5" borderId="0" xfId="0" applyFont="1" applyFill="1"/>
    <xf numFmtId="1" fontId="0" fillId="5" borderId="43" xfId="0" applyNumberFormat="1" applyFill="1" applyBorder="1"/>
    <xf numFmtId="2" fontId="0" fillId="0" borderId="0" xfId="0" applyNumberFormat="1"/>
    <xf numFmtId="0" fontId="16" fillId="0" borderId="0" xfId="0" applyFont="1" applyAlignment="1">
      <alignment horizontal="center" vertical="center"/>
    </xf>
    <xf numFmtId="0" fontId="16" fillId="0" borderId="1" xfId="0" applyFont="1" applyBorder="1" applyAlignment="1">
      <alignment horizontal="center" vertical="center"/>
    </xf>
    <xf numFmtId="0" fontId="16" fillId="0" borderId="6" xfId="0" applyFont="1" applyBorder="1"/>
    <xf numFmtId="0" fontId="10" fillId="0" borderId="44" xfId="0" applyFont="1" applyBorder="1" applyAlignment="1">
      <alignment wrapText="1"/>
    </xf>
    <xf numFmtId="0" fontId="11" fillId="0" borderId="45" xfId="0" applyFont="1" applyBorder="1" applyAlignment="1">
      <alignment wrapText="1"/>
    </xf>
    <xf numFmtId="0" fontId="10" fillId="0" borderId="46" xfId="0" applyFont="1" applyBorder="1" applyAlignment="1">
      <alignment wrapText="1"/>
    </xf>
    <xf numFmtId="0" fontId="17" fillId="8" borderId="47" xfId="0" applyFont="1" applyFill="1" applyBorder="1" applyAlignment="1">
      <alignment horizontal="center" vertical="center" wrapText="1"/>
    </xf>
    <xf numFmtId="165" fontId="18" fillId="9" borderId="48" xfId="1" applyNumberFormat="1" applyFont="1" applyFill="1" applyBorder="1" applyAlignment="1">
      <alignment wrapText="1"/>
    </xf>
    <xf numFmtId="0" fontId="18" fillId="9" borderId="48" xfId="0" applyFont="1" applyFill="1" applyBorder="1" applyAlignment="1">
      <alignment wrapText="1"/>
    </xf>
    <xf numFmtId="165" fontId="18" fillId="6" borderId="48" xfId="1" applyNumberFormat="1" applyFont="1" applyFill="1" applyBorder="1" applyAlignment="1">
      <alignment horizontal="center" vertical="center" wrapText="1"/>
    </xf>
    <xf numFmtId="0" fontId="18" fillId="9" borderId="49" xfId="0" applyFont="1" applyFill="1" applyBorder="1" applyAlignment="1">
      <alignment wrapText="1"/>
    </xf>
    <xf numFmtId="165" fontId="18" fillId="6" borderId="49" xfId="1" applyNumberFormat="1" applyFont="1" applyFill="1" applyBorder="1" applyAlignment="1">
      <alignment horizontal="center" vertical="center" wrapText="1"/>
    </xf>
    <xf numFmtId="0" fontId="0" fillId="0" borderId="0" xfId="0" applyAlignment="1">
      <alignment wrapText="1"/>
    </xf>
    <xf numFmtId="0" fontId="0" fillId="5" borderId="35" xfId="0" applyFill="1" applyBorder="1" applyAlignment="1">
      <alignment horizontal="center" vertical="center" wrapText="1"/>
    </xf>
    <xf numFmtId="0" fontId="0" fillId="5" borderId="34" xfId="0" applyFill="1" applyBorder="1" applyAlignment="1">
      <alignment horizontal="center" vertical="center" wrapText="1"/>
    </xf>
    <xf numFmtId="0" fontId="0" fillId="5" borderId="36" xfId="0" applyFill="1" applyBorder="1" applyAlignment="1">
      <alignment horizontal="center" vertical="center" wrapText="1"/>
    </xf>
    <xf numFmtId="0" fontId="0" fillId="5" borderId="37" xfId="0" applyFill="1" applyBorder="1" applyAlignment="1">
      <alignment horizontal="center" vertical="center" wrapText="1"/>
    </xf>
    <xf numFmtId="0" fontId="0" fillId="5" borderId="38" xfId="0" applyFill="1" applyBorder="1" applyAlignment="1">
      <alignment horizontal="center" vertical="center" wrapText="1"/>
    </xf>
    <xf numFmtId="0" fontId="0" fillId="5" borderId="40" xfId="0" applyFill="1" applyBorder="1" applyAlignment="1">
      <alignment horizontal="center" vertical="center" wrapText="1"/>
    </xf>
    <xf numFmtId="0" fontId="0" fillId="5" borderId="33" xfId="0" applyFill="1" applyBorder="1" applyAlignment="1">
      <alignment horizontal="center" vertical="center" wrapText="1"/>
    </xf>
    <xf numFmtId="0" fontId="0" fillId="5" borderId="0" xfId="0" applyFill="1" applyAlignment="1">
      <alignment horizontal="center" vertical="center" wrapText="1"/>
    </xf>
    <xf numFmtId="0" fontId="0" fillId="5" borderId="39" xfId="0" applyFill="1" applyBorder="1" applyAlignment="1">
      <alignment horizontal="center" vertical="center" wrapText="1"/>
    </xf>
    <xf numFmtId="0" fontId="0" fillId="5" borderId="0" xfId="0" applyFill="1" applyAlignment="1">
      <alignment horizontal="left" vertical="top" wrapText="1"/>
    </xf>
    <xf numFmtId="0" fontId="0" fillId="5" borderId="0" xfId="0" applyFill="1" applyAlignment="1">
      <alignment horizontal="left" vertical="center" wrapText="1"/>
    </xf>
    <xf numFmtId="0" fontId="0" fillId="5" borderId="33" xfId="0" applyFill="1" applyBorder="1" applyAlignment="1">
      <alignment horizontal="left" wrapText="1"/>
    </xf>
    <xf numFmtId="0" fontId="0" fillId="5" borderId="36" xfId="0" applyFill="1" applyBorder="1" applyAlignment="1">
      <alignment horizontal="center" vertical="center"/>
    </xf>
    <xf numFmtId="0" fontId="0" fillId="5" borderId="37" xfId="0" applyFill="1" applyBorder="1" applyAlignment="1">
      <alignment horizontal="center" vertical="center"/>
    </xf>
    <xf numFmtId="0" fontId="0" fillId="5" borderId="42" xfId="0" applyFill="1" applyBorder="1" applyAlignment="1">
      <alignment horizontal="center"/>
    </xf>
    <xf numFmtId="0" fontId="0" fillId="5" borderId="31" xfId="0" applyFill="1" applyBorder="1" applyAlignment="1">
      <alignment horizontal="center"/>
    </xf>
    <xf numFmtId="0" fontId="0" fillId="4" borderId="0" xfId="0" applyFill="1" applyAlignment="1">
      <alignment horizontal="center"/>
    </xf>
    <xf numFmtId="0" fontId="0" fillId="5" borderId="39" xfId="0" applyFill="1" applyBorder="1" applyAlignment="1">
      <alignment horizontal="left" wrapText="1"/>
    </xf>
    <xf numFmtId="14" fontId="0" fillId="5" borderId="0" xfId="0" applyNumberFormat="1" applyFill="1" applyAlignment="1">
      <alignment horizontal="left" wrapText="1"/>
    </xf>
    <xf numFmtId="0" fontId="0" fillId="5" borderId="36" xfId="0" applyFill="1" applyBorder="1" applyAlignment="1">
      <alignment horizontal="center"/>
    </xf>
    <xf numFmtId="0" fontId="0" fillId="5" borderId="37" xfId="0" applyFill="1" applyBorder="1" applyAlignment="1">
      <alignment horizontal="center"/>
    </xf>
    <xf numFmtId="0" fontId="0" fillId="5" borderId="35" xfId="0" applyFill="1" applyBorder="1" applyAlignment="1">
      <alignment horizontal="center" vertical="center"/>
    </xf>
    <xf numFmtId="0" fontId="0" fillId="5" borderId="34" xfId="0" applyFill="1" applyBorder="1" applyAlignment="1">
      <alignment horizontal="center" vertical="center"/>
    </xf>
    <xf numFmtId="0" fontId="0" fillId="5" borderId="38" xfId="0" applyFill="1" applyBorder="1" applyAlignment="1">
      <alignment horizontal="center" vertical="center"/>
    </xf>
    <xf numFmtId="0" fontId="0" fillId="5" borderId="40" xfId="0" applyFill="1" applyBorder="1" applyAlignment="1">
      <alignment horizontal="center" vertical="center"/>
    </xf>
    <xf numFmtId="0" fontId="0" fillId="5" borderId="0" xfId="0" applyFill="1" applyAlignment="1">
      <alignment horizontal="left"/>
    </xf>
    <xf numFmtId="0" fontId="0" fillId="0" borderId="36" xfId="0" applyBorder="1" applyAlignment="1">
      <alignment horizontal="left" wrapText="1"/>
    </xf>
    <xf numFmtId="0" fontId="0" fillId="0" borderId="0" xfId="0" applyAlignment="1">
      <alignment horizontal="left" wrapText="1"/>
    </xf>
    <xf numFmtId="0" fontId="0" fillId="0" borderId="37" xfId="0" applyBorder="1" applyAlignment="1">
      <alignment horizontal="left" wrapText="1"/>
    </xf>
    <xf numFmtId="0" fontId="0" fillId="0" borderId="36" xfId="0" applyBorder="1" applyAlignment="1">
      <alignment horizontal="left"/>
    </xf>
    <xf numFmtId="0" fontId="0" fillId="0" borderId="0" xfId="0" applyAlignment="1">
      <alignment horizontal="left"/>
    </xf>
    <xf numFmtId="0" fontId="0" fillId="0" borderId="37" xfId="0" applyBorder="1" applyAlignment="1">
      <alignment horizontal="left"/>
    </xf>
    <xf numFmtId="0" fontId="0" fillId="0" borderId="38" xfId="0" applyBorder="1" applyAlignment="1">
      <alignment horizontal="left"/>
    </xf>
    <xf numFmtId="0" fontId="0" fillId="0" borderId="39" xfId="0" applyBorder="1" applyAlignment="1">
      <alignment horizontal="left"/>
    </xf>
    <xf numFmtId="0" fontId="0" fillId="0" borderId="40" xfId="0" applyBorder="1" applyAlignment="1">
      <alignment horizontal="left"/>
    </xf>
    <xf numFmtId="0" fontId="2" fillId="5" borderId="33" xfId="0" applyFont="1" applyFill="1" applyBorder="1" applyAlignment="1">
      <alignment horizontal="center" vertical="center"/>
    </xf>
    <xf numFmtId="0" fontId="2" fillId="5" borderId="34" xfId="0" applyFont="1" applyFill="1" applyBorder="1" applyAlignment="1">
      <alignment horizontal="center" vertical="center"/>
    </xf>
    <xf numFmtId="0" fontId="8" fillId="0" borderId="36" xfId="0" applyFont="1" applyBorder="1" applyAlignment="1">
      <alignment horizontal="left"/>
    </xf>
    <xf numFmtId="0" fontId="8" fillId="0" borderId="0" xfId="0" applyFont="1" applyAlignment="1">
      <alignment horizontal="left"/>
    </xf>
    <xf numFmtId="0" fontId="8" fillId="0" borderId="37" xfId="0" applyFont="1" applyBorder="1" applyAlignment="1">
      <alignment horizontal="left"/>
    </xf>
    <xf numFmtId="0" fontId="0" fillId="0" borderId="35" xfId="0" applyBorder="1" applyAlignment="1">
      <alignment horizontal="left"/>
    </xf>
    <xf numFmtId="0" fontId="0" fillId="0" borderId="33" xfId="0" applyBorder="1" applyAlignment="1">
      <alignment horizontal="left"/>
    </xf>
    <xf numFmtId="0" fontId="0" fillId="0" borderId="34" xfId="0" applyBorder="1" applyAlignment="1">
      <alignment horizontal="left"/>
    </xf>
    <xf numFmtId="165" fontId="2" fillId="0" borderId="10" xfId="1" applyNumberFormat="1" applyFont="1" applyBorder="1" applyAlignment="1">
      <alignment horizontal="center"/>
    </xf>
    <xf numFmtId="165" fontId="2" fillId="0" borderId="11" xfId="1" applyNumberFormat="1" applyFont="1" applyBorder="1" applyAlignment="1">
      <alignment horizontal="center"/>
    </xf>
    <xf numFmtId="165" fontId="2" fillId="0" borderId="12" xfId="1" applyNumberFormat="1" applyFont="1" applyBorder="1" applyAlignment="1">
      <alignment horizontal="center"/>
    </xf>
    <xf numFmtId="167" fontId="2" fillId="0" borderId="10" xfId="0" applyNumberFormat="1" applyFont="1" applyBorder="1" applyAlignment="1">
      <alignment horizontal="center"/>
    </xf>
    <xf numFmtId="167" fontId="2" fillId="0" borderId="11" xfId="0" applyNumberFormat="1" applyFont="1" applyBorder="1" applyAlignment="1">
      <alignment horizontal="center"/>
    </xf>
    <xf numFmtId="167" fontId="2" fillId="0" borderId="12" xfId="0" applyNumberFormat="1" applyFont="1" applyBorder="1" applyAlignment="1">
      <alignment horizontal="center"/>
    </xf>
    <xf numFmtId="0" fontId="2" fillId="0" borderId="2" xfId="0" applyFont="1" applyBorder="1" applyAlignment="1">
      <alignment horizontal="center"/>
    </xf>
    <xf numFmtId="9" fontId="2" fillId="0" borderId="16" xfId="2" applyFont="1" applyBorder="1" applyAlignment="1">
      <alignment horizontal="center"/>
    </xf>
    <xf numFmtId="9" fontId="2" fillId="0" borderId="11" xfId="2" applyFont="1" applyBorder="1" applyAlignment="1">
      <alignment horizontal="center"/>
    </xf>
    <xf numFmtId="9" fontId="2" fillId="0" borderId="12" xfId="2" applyFont="1" applyBorder="1" applyAlignment="1">
      <alignment horizontal="center"/>
    </xf>
    <xf numFmtId="9" fontId="2" fillId="0" borderId="13" xfId="2" applyFont="1" applyBorder="1" applyAlignment="1">
      <alignment horizontal="center"/>
    </xf>
    <xf numFmtId="9" fontId="2" fillId="0" borderId="14" xfId="2" applyFont="1" applyBorder="1" applyAlignment="1">
      <alignment horizontal="center"/>
    </xf>
    <xf numFmtId="9" fontId="2" fillId="0" borderId="2" xfId="2" applyFont="1" applyBorder="1" applyAlignment="1">
      <alignment horizontal="center"/>
    </xf>
    <xf numFmtId="0" fontId="2" fillId="0" borderId="2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0" xfId="0" applyFont="1" applyBorder="1" applyAlignment="1">
      <alignment horizontal="center"/>
    </xf>
    <xf numFmtId="0" fontId="2" fillId="0" borderId="21"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17" fillId="6" borderId="48" xfId="0" applyFont="1" applyFill="1" applyBorder="1" applyAlignment="1">
      <alignment horizontal="center" wrapText="1"/>
    </xf>
    <xf numFmtId="0" fontId="19" fillId="6" borderId="50" xfId="0" applyFont="1" applyFill="1" applyBorder="1" applyAlignment="1">
      <alignment horizontal="center" wrapText="1"/>
    </xf>
    <xf numFmtId="0" fontId="19" fillId="6" borderId="51" xfId="0" applyFont="1" applyFill="1" applyBorder="1" applyAlignment="1">
      <alignment horizontal="center" wrapText="1"/>
    </xf>
    <xf numFmtId="0" fontId="19" fillId="6" borderId="52" xfId="0" applyFont="1" applyFill="1" applyBorder="1" applyAlignment="1">
      <alignment horizontal="center" wrapText="1"/>
    </xf>
    <xf numFmtId="0" fontId="17" fillId="6" borderId="50" xfId="0" applyFont="1" applyFill="1" applyBorder="1" applyAlignment="1">
      <alignment horizontal="center" wrapText="1"/>
    </xf>
    <xf numFmtId="0" fontId="17" fillId="6" borderId="51" xfId="0" applyFont="1" applyFill="1" applyBorder="1" applyAlignment="1">
      <alignment horizontal="center" wrapText="1"/>
    </xf>
    <xf numFmtId="0" fontId="17" fillId="6" borderId="52" xfId="0" applyFont="1" applyFill="1" applyBorder="1" applyAlignment="1">
      <alignment horizontal="center" wrapText="1"/>
    </xf>
  </cellXfs>
  <cellStyles count="4">
    <cellStyle name="Comma" xfId="1" builtinId="3"/>
    <cellStyle name="Hyperlink" xfId="3" builtinId="8"/>
    <cellStyle name="Normal" xfId="0" builtinId="0"/>
    <cellStyle name="Percent" xfId="2" builtinId="5"/>
  </cellStyles>
  <dxfs count="91">
    <dxf>
      <font>
        <color theme="0"/>
      </font>
      <fill>
        <patternFill>
          <bgColor rgb="FF00B050"/>
        </patternFill>
      </fill>
    </dxf>
    <dxf>
      <font>
        <color auto="1"/>
      </font>
      <fill>
        <patternFill>
          <bgColor theme="7" tint="-0.24994659260841701"/>
        </patternFill>
      </fill>
    </dxf>
    <dxf>
      <font>
        <color theme="0"/>
      </font>
      <fill>
        <patternFill>
          <bgColor rgb="FFC00000"/>
        </patternFill>
      </fill>
    </dxf>
    <dxf>
      <fill>
        <patternFill>
          <bgColor theme="7" tint="0.39994506668294322"/>
        </patternFill>
      </fill>
    </dxf>
    <dxf>
      <font>
        <color theme="0"/>
      </font>
      <fill>
        <patternFill>
          <bgColor rgb="FF00B050"/>
        </patternFill>
      </fill>
    </dxf>
    <dxf>
      <font>
        <color auto="1"/>
      </font>
      <fill>
        <patternFill>
          <bgColor theme="7" tint="-0.24994659260841701"/>
        </patternFill>
      </fill>
    </dxf>
    <dxf>
      <font>
        <color theme="0"/>
      </font>
      <fill>
        <patternFill>
          <bgColor rgb="FFC00000"/>
        </patternFill>
      </fill>
    </dxf>
    <dxf>
      <fill>
        <patternFill>
          <bgColor theme="7" tint="0.39994506668294322"/>
        </patternFill>
      </fill>
    </dxf>
    <dxf>
      <font>
        <color theme="0"/>
      </font>
      <fill>
        <patternFill>
          <bgColor rgb="FF00B050"/>
        </patternFill>
      </fill>
    </dxf>
    <dxf>
      <font>
        <color auto="1"/>
      </font>
      <fill>
        <patternFill>
          <bgColor theme="7" tint="-0.24994659260841701"/>
        </patternFill>
      </fill>
    </dxf>
    <dxf>
      <font>
        <color theme="0"/>
      </font>
      <fill>
        <patternFill>
          <bgColor rgb="FFC00000"/>
        </patternFill>
      </fill>
    </dxf>
    <dxf>
      <fill>
        <patternFill>
          <bgColor theme="7" tint="0.39994506668294322"/>
        </patternFill>
      </fill>
    </dxf>
    <dxf>
      <numFmt numFmtId="1" formatCode="0"/>
      <fill>
        <patternFill patternType="solid">
          <fgColor indexed="64"/>
          <bgColor theme="0" tint="-4.9989318521683403E-2"/>
        </patternFill>
      </fill>
      <border diagonalUp="0" diagonalDown="0" outline="0">
        <left style="medium">
          <color theme="1" tint="0.34998626667073579"/>
        </left>
        <right style="medium">
          <color theme="1" tint="0.34998626667073579"/>
        </right>
        <top style="thin">
          <color theme="1" tint="0.34998626667073579"/>
        </top>
        <bottom style="thin">
          <color theme="1" tint="0.34998626667073579"/>
        </bottom>
      </border>
    </dxf>
    <dxf>
      <numFmt numFmtId="2" formatCode="0.00"/>
      <fill>
        <patternFill patternType="solid">
          <fgColor indexed="64"/>
          <bgColor theme="0"/>
        </patternFill>
      </fill>
    </dxf>
    <dxf>
      <numFmt numFmtId="2" formatCode="0.00"/>
      <fill>
        <patternFill patternType="solid">
          <fgColor indexed="64"/>
          <bgColor theme="0"/>
        </patternFill>
      </fill>
    </dxf>
    <dxf>
      <numFmt numFmtId="2" formatCode="0.00"/>
      <fill>
        <patternFill patternType="solid">
          <fgColor indexed="64"/>
          <bgColor theme="0"/>
        </patternFill>
      </fill>
    </dxf>
    <dxf>
      <numFmt numFmtId="2" formatCode="0.00"/>
      <fill>
        <patternFill patternType="solid">
          <fgColor indexed="64"/>
          <bgColor theme="0"/>
        </patternFill>
      </fill>
    </dxf>
    <dxf>
      <numFmt numFmtId="2" formatCode="0.00"/>
      <fill>
        <patternFill patternType="solid">
          <fgColor indexed="64"/>
          <bgColor theme="0"/>
        </patternFill>
      </fill>
    </dxf>
    <dxf>
      <numFmt numFmtId="166" formatCode="0;\-0;;@"/>
      <fill>
        <patternFill>
          <bgColor theme="0" tint="-4.9989318521683403E-2"/>
        </patternFill>
      </fill>
    </dxf>
    <dxf>
      <numFmt numFmtId="166" formatCode="0;\-0;;@"/>
      <fill>
        <patternFill>
          <bgColor theme="0" tint="-4.9989318521683403E-2"/>
        </patternFill>
      </fill>
    </dxf>
    <dxf>
      <numFmt numFmtId="2" formatCode="0.00"/>
      <fill>
        <patternFill patternType="solid">
          <fgColor indexed="64"/>
          <bgColor theme="0"/>
        </patternFill>
      </fill>
    </dxf>
    <dxf>
      <numFmt numFmtId="2" formatCode="0.00"/>
      <fill>
        <patternFill patternType="solid">
          <fgColor indexed="64"/>
          <bgColor theme="0"/>
        </patternFill>
      </fill>
    </dxf>
    <dxf>
      <fill>
        <patternFill>
          <bgColor theme="0" tint="-4.9989318521683403E-2"/>
        </patternFill>
      </fill>
    </dxf>
    <dxf>
      <numFmt numFmtId="167" formatCode="0.00;\-0.00;;@"/>
      <fill>
        <patternFill>
          <bgColor theme="0" tint="-4.9989318521683403E-2"/>
        </patternFill>
      </fill>
      <border diagonalUp="0" diagonalDown="0" outline="0">
        <left style="medium">
          <color theme="1" tint="0.34998626667073579"/>
        </left>
      </border>
    </dxf>
    <dxf>
      <font>
        <b val="0"/>
        <i val="0"/>
        <strike val="0"/>
        <condense val="0"/>
        <extend val="0"/>
        <outline val="0"/>
        <shadow val="0"/>
        <u val="none"/>
        <vertAlign val="baseline"/>
        <sz val="11"/>
        <color auto="1"/>
        <name val="Calibri"/>
        <family val="2"/>
        <scheme val="minor"/>
      </font>
      <numFmt numFmtId="166" formatCode="0;\-0;;@"/>
      <fill>
        <patternFill patternType="solid">
          <fgColor theme="0" tint="-0.14999847407452621"/>
          <bgColor theme="0" tint="-4.9989318521683403E-2"/>
        </patternFill>
      </fill>
    </dxf>
    <dxf>
      <font>
        <b val="0"/>
        <i val="0"/>
        <strike val="0"/>
        <condense val="0"/>
        <extend val="0"/>
        <outline val="0"/>
        <shadow val="0"/>
        <u val="none"/>
        <vertAlign val="baseline"/>
        <sz val="11"/>
        <color theme="1"/>
        <name val="Calibri"/>
        <family val="2"/>
        <scheme val="minor"/>
      </font>
      <numFmt numFmtId="165" formatCode="_-* #,##0_-;\-* #,##0_-;_-* &quot;-&quot;??_-;_-@_-"/>
      <fill>
        <patternFill>
          <bgColor theme="0" tint="-4.9989318521683403E-2"/>
        </patternFill>
      </fill>
    </dxf>
    <dxf>
      <numFmt numFmtId="165" formatCode="_-* #,##0_-;\-* #,##0_-;_-* &quot;-&quot;??_-;_-@_-"/>
      <fill>
        <patternFill>
          <bgColor theme="0" tint="-4.9989318521683403E-2"/>
        </patternFill>
      </fill>
    </dxf>
    <dxf>
      <numFmt numFmtId="166" formatCode="0;\-0;;@"/>
      <fill>
        <patternFill>
          <bgColor theme="0" tint="-4.9989318521683403E-2"/>
        </patternFill>
      </fill>
    </dxf>
    <dxf>
      <font>
        <b val="0"/>
        <i val="0"/>
        <strike val="0"/>
        <condense val="0"/>
        <extend val="0"/>
        <outline val="0"/>
        <shadow val="0"/>
        <u val="none"/>
        <vertAlign val="baseline"/>
        <sz val="11"/>
        <color theme="1"/>
        <name val="Calibri"/>
        <family val="2"/>
        <scheme val="minor"/>
      </font>
      <numFmt numFmtId="165" formatCode="_-* #,##0_-;\-* #,##0_-;_-* &quot;-&quot;??_-;_-@_-"/>
      <fill>
        <patternFill>
          <bgColor theme="0" tint="-4.9989318521683403E-2"/>
        </patternFill>
      </fill>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0"/>
        </patternFill>
      </fill>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0"/>
        </patternFill>
      </fill>
    </dxf>
    <dxf>
      <fill>
        <patternFill>
          <bgColor theme="0" tint="-4.9989318521683403E-2"/>
        </patternFill>
      </fill>
    </dxf>
    <dxf>
      <numFmt numFmtId="165" formatCode="_-* #,##0_-;\-* #,##0_-;_-* &quot;-&quot;??_-;_-@_-"/>
      <fill>
        <patternFill>
          <bgColor theme="0" tint="-4.9989318521683403E-2"/>
        </patternFill>
      </fill>
      <border diagonalUp="0" diagonalDown="0" outline="0">
        <left style="medium">
          <color theme="1" tint="0.34998626667073579"/>
        </left>
      </border>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border diagonalUp="0" diagonalDown="0" outline="0">
        <left style="medium">
          <color theme="1" tint="0.34998626667073579"/>
        </left>
      </border>
    </dxf>
    <dxf>
      <fill>
        <patternFill>
          <bgColor theme="0" tint="-4.9989318521683403E-2"/>
        </patternFill>
      </fill>
      <border diagonalUp="0" diagonalDown="0" outline="0">
        <left/>
        <right style="medium">
          <color theme="1" tint="0.34998626667073579"/>
        </right>
        <top/>
        <bottom/>
      </border>
    </dxf>
    <dxf>
      <fill>
        <patternFill>
          <bgColor theme="0" tint="-4.9989318521683403E-2"/>
        </patternFill>
      </fill>
      <alignment horizontal="center" vertical="center" textRotation="0" indent="0" justifyLastLine="0" shrinkToFit="0" readingOrder="0"/>
    </dxf>
    <dxf>
      <fill>
        <patternFill>
          <bgColor theme="0" tint="-4.9989318521683403E-2"/>
        </patternFill>
      </fill>
      <alignment horizontal="center" vertical="center" textRotation="0" indent="0" justifyLastLine="0" shrinkToFit="0" readingOrder="0"/>
    </dxf>
    <dxf>
      <fill>
        <patternFill>
          <bgColor theme="0" tint="-4.9989318521683403E-2"/>
        </patternFill>
      </fill>
      <alignment horizontal="general" vertical="bottom" textRotation="0" wrapText="0" indent="0" justifyLastLine="0" shrinkToFit="0" readingOrder="0"/>
    </dxf>
    <dxf>
      <fill>
        <patternFill>
          <bgColor theme="0" tint="-4.9989318521683403E-2"/>
        </patternFill>
      </fill>
    </dxf>
    <dxf>
      <fill>
        <patternFill>
          <bgColor theme="0" tint="-4.9989318521683403E-2"/>
        </patternFill>
      </fill>
      <border diagonalUp="0" diagonalDown="0" outline="0">
        <left style="medium">
          <color theme="1" tint="0.34998626667073579"/>
        </left>
        <right/>
        <top/>
        <bottom/>
      </border>
    </dxf>
    <dxf>
      <fill>
        <patternFill>
          <bgColor theme="0" tint="-4.9989318521683403E-2"/>
        </patternFill>
      </fill>
      <border diagonalUp="0" diagonalDown="0" outline="0">
        <left/>
        <right style="medium">
          <color theme="1" tint="0.34998626667073579"/>
        </right>
      </border>
    </dxf>
    <dxf>
      <fill>
        <patternFill>
          <bgColor theme="0" tint="-4.9989318521683403E-2"/>
        </patternFill>
      </fill>
    </dxf>
    <dxf>
      <fill>
        <patternFill>
          <bgColor theme="0" tint="-4.9989318521683403E-2"/>
        </patternFill>
      </fill>
      <border diagonalUp="0" diagonalDown="0" outline="0">
        <left style="medium">
          <color theme="1" tint="0.34998626667073579"/>
        </left>
        <right/>
      </border>
    </dxf>
    <dxf>
      <fill>
        <patternFill>
          <bgColor theme="0" tint="-4.9989318521683403E-2"/>
        </patternFill>
      </fill>
      <border diagonalUp="0" diagonalDown="0" outline="0">
        <left/>
        <right style="medium">
          <color theme="1" tint="0.34998626667073579"/>
        </right>
      </border>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border diagonalUp="0" diagonalDown="0" outline="0">
        <left style="medium">
          <color theme="1" tint="0.34998626667073579"/>
        </left>
        <right/>
      </border>
    </dxf>
    <dxf>
      <fill>
        <patternFill>
          <bgColor theme="0" tint="-4.9989318521683403E-2"/>
        </patternFill>
      </fill>
      <border diagonalUp="0" diagonalDown="0" outline="0">
        <left/>
        <right style="medium">
          <color theme="1" tint="0.34998626667073579"/>
        </right>
      </border>
    </dxf>
    <dxf>
      <fill>
        <patternFill>
          <bgColor theme="0" tint="-4.9989318521683403E-2"/>
        </patternFill>
      </fill>
    </dxf>
    <dxf>
      <fill>
        <patternFill>
          <bgColor theme="0" tint="-4.9989318521683403E-2"/>
        </patternFill>
      </fill>
    </dxf>
    <dxf>
      <fill>
        <patternFill>
          <bgColor theme="0" tint="-4.9989318521683403E-2"/>
        </patternFill>
      </fill>
      <border diagonalUp="0" diagonalDown="0" outline="0">
        <left style="medium">
          <color indexed="64"/>
        </left>
        <right/>
      </border>
    </dxf>
    <dxf>
      <border outline="0">
        <left style="thin">
          <color indexed="64"/>
        </left>
      </border>
    </dxf>
    <dxf>
      <fill>
        <patternFill>
          <bgColor theme="0" tint="-4.9989318521683403E-2"/>
        </patternFill>
      </fill>
    </dxf>
    <dxf>
      <font>
        <b val="0"/>
      </font>
    </dxf>
    <dxf>
      <font>
        <color theme="0" tint="-0.34998626667073579"/>
      </font>
      <fill>
        <patternFill patternType="none">
          <bgColor auto="1"/>
        </patternFill>
      </fill>
    </dxf>
    <dxf>
      <font>
        <color theme="0" tint="-0.34998626667073579"/>
      </font>
      <fill>
        <patternFill patternType="none">
          <bgColor auto="1"/>
        </patternFill>
      </fill>
    </dxf>
    <dxf>
      <font>
        <b val="0"/>
        <i/>
        <color theme="0" tint="-0.24994659260841701"/>
      </font>
    </dxf>
    <dxf>
      <font>
        <color theme="0" tint="-0.34998626667073579"/>
      </font>
      <fill>
        <patternFill patternType="none">
          <bgColor auto="1"/>
        </patternFill>
      </fill>
    </dxf>
    <dxf>
      <font>
        <b val="0"/>
        <i/>
        <color theme="0" tint="-0.24994659260841701"/>
      </font>
    </dxf>
    <dxf>
      <font>
        <color theme="0" tint="-0.34998626667073579"/>
      </font>
      <fill>
        <patternFill patternType="none">
          <bgColor auto="1"/>
        </patternFill>
      </fill>
    </dxf>
    <dxf>
      <font>
        <color theme="0" tint="-0.34998626667073579"/>
      </font>
      <fill>
        <patternFill patternType="none">
          <bgColor auto="1"/>
        </patternFill>
      </fill>
    </dxf>
    <dxf>
      <font>
        <b val="0"/>
        <i/>
        <color theme="0" tint="-0.24994659260841701"/>
      </font>
    </dxf>
    <dxf>
      <font>
        <color theme="0" tint="-0.34998626667073579"/>
      </font>
      <fill>
        <patternFill patternType="none">
          <bgColor auto="1"/>
        </patternFill>
      </fill>
    </dxf>
    <dxf>
      <font>
        <color theme="0" tint="-0.34998626667073579"/>
      </font>
      <fill>
        <patternFill patternType="none">
          <bgColor auto="1"/>
        </patternFill>
      </fill>
    </dxf>
    <dxf>
      <font>
        <b val="0"/>
        <i/>
        <color theme="0" tint="-0.24994659260841701"/>
      </font>
    </dxf>
    <dxf>
      <font>
        <color theme="0" tint="-0.34998626667073579"/>
      </font>
      <fill>
        <patternFill patternType="none">
          <bgColor auto="1"/>
        </patternFill>
      </fill>
    </dxf>
    <dxf>
      <font>
        <color theme="0" tint="-0.34998626667073579"/>
      </font>
      <fill>
        <patternFill patternType="none">
          <bgColor auto="1"/>
        </patternFill>
      </fill>
    </dxf>
    <dxf>
      <font>
        <b val="0"/>
        <i/>
        <color theme="0" tint="-0.24994659260841701"/>
      </font>
    </dxf>
    <dxf>
      <font>
        <color theme="0" tint="-0.34998626667073579"/>
      </font>
      <fill>
        <patternFill patternType="none">
          <bgColor auto="1"/>
        </patternFill>
      </fill>
    </dxf>
    <dxf>
      <font>
        <color theme="0" tint="-0.34998626667073579"/>
      </font>
      <fill>
        <patternFill patternType="none">
          <bgColor auto="1"/>
        </patternFill>
      </fill>
    </dxf>
    <dxf>
      <font>
        <color theme="0" tint="-0.34998626667073579"/>
      </font>
      <fill>
        <patternFill patternType="none">
          <bgColor auto="1"/>
        </patternFill>
      </fill>
    </dxf>
    <dxf>
      <font>
        <color theme="0" tint="-0.34998626667073579"/>
      </font>
      <fill>
        <patternFill patternType="none">
          <bgColor auto="1"/>
        </patternFill>
      </fill>
    </dxf>
    <dxf>
      <font>
        <b val="0"/>
        <i/>
        <color theme="0" tint="-0.24994659260841701"/>
      </font>
    </dxf>
    <dxf>
      <font>
        <color theme="0" tint="-0.34998626667073579"/>
      </font>
      <fill>
        <patternFill patternType="none">
          <bgColor auto="1"/>
        </patternFill>
      </fill>
    </dxf>
    <dxf>
      <font>
        <color theme="0" tint="-0.34998626667073579"/>
      </font>
      <fill>
        <patternFill patternType="none">
          <bgColor auto="1"/>
        </patternFill>
      </fill>
    </dxf>
    <dxf>
      <font>
        <b val="0"/>
        <i/>
        <color theme="0" tint="-0.24994659260841701"/>
      </font>
    </dxf>
    <dxf>
      <font>
        <color theme="0" tint="-0.34998626667073579"/>
      </font>
      <fill>
        <patternFill patternType="none">
          <bgColor auto="1"/>
        </patternFill>
      </fill>
    </dxf>
    <dxf>
      <font>
        <color theme="0" tint="-0.34998626667073579"/>
      </font>
      <fill>
        <patternFill patternType="none">
          <bgColor auto="1"/>
        </patternFill>
      </fill>
    </dxf>
    <dxf>
      <font>
        <b val="0"/>
        <i/>
        <color theme="0" tint="-0.24994659260841701"/>
      </font>
    </dxf>
    <dxf>
      <font>
        <color theme="0" tint="-0.34998626667073579"/>
      </font>
      <fill>
        <patternFill patternType="none">
          <bgColor auto="1"/>
        </patternFill>
      </fill>
    </dxf>
    <dxf>
      <font>
        <color theme="0" tint="-0.34998626667073579"/>
      </font>
      <fill>
        <patternFill patternType="none">
          <bgColor auto="1"/>
        </patternFill>
      </fill>
    </dxf>
    <dxf>
      <font>
        <b val="0"/>
        <i/>
        <color theme="0" tint="-0.24994659260841701"/>
      </font>
    </dxf>
    <dxf>
      <font>
        <color theme="0" tint="-0.34998626667073579"/>
      </font>
      <fill>
        <patternFill patternType="none">
          <bgColor auto="1"/>
        </patternFill>
      </fill>
    </dxf>
    <dxf>
      <font>
        <color theme="0" tint="-0.34998626667073579"/>
      </font>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514351</xdr:colOff>
      <xdr:row>4</xdr:row>
      <xdr:rowOff>107951</xdr:rowOff>
    </xdr:from>
    <xdr:to>
      <xdr:col>18</xdr:col>
      <xdr:colOff>304801</xdr:colOff>
      <xdr:row>12</xdr:row>
      <xdr:rowOff>19152</xdr:rowOff>
    </xdr:to>
    <xdr:pic>
      <xdr:nvPicPr>
        <xdr:cNvPr id="5" name="Picture 4">
          <a:extLst>
            <a:ext uri="{FF2B5EF4-FFF2-40B4-BE49-F238E27FC236}">
              <a16:creationId xmlns:a16="http://schemas.microsoft.com/office/drawing/2014/main" id="{7F3AEEF0-F8FA-457A-88C2-0F8B8762EA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94751" y="844551"/>
          <a:ext cx="3124200" cy="1384401"/>
        </a:xfrm>
        <a:prstGeom prst="rect">
          <a:avLst/>
        </a:prstGeom>
      </xdr:spPr>
    </xdr:pic>
    <xdr:clientData/>
  </xdr:twoCellAnchor>
  <xdr:twoCellAnchor editAs="oneCell">
    <xdr:from>
      <xdr:col>1</xdr:col>
      <xdr:colOff>412751</xdr:colOff>
      <xdr:row>0</xdr:row>
      <xdr:rowOff>67707</xdr:rowOff>
    </xdr:from>
    <xdr:to>
      <xdr:col>6</xdr:col>
      <xdr:colOff>355601</xdr:colOff>
      <xdr:row>13</xdr:row>
      <xdr:rowOff>22016</xdr:rowOff>
    </xdr:to>
    <xdr:pic>
      <xdr:nvPicPr>
        <xdr:cNvPr id="7" name="Picture 6">
          <a:extLst>
            <a:ext uri="{FF2B5EF4-FFF2-40B4-BE49-F238E27FC236}">
              <a16:creationId xmlns:a16="http://schemas.microsoft.com/office/drawing/2014/main" id="{3C0DF4F0-9A55-48B3-9594-F584D2B774D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2351" y="67707"/>
          <a:ext cx="2736850" cy="2348259"/>
        </a:xfrm>
        <a:prstGeom prst="rect">
          <a:avLst/>
        </a:prstGeom>
      </xdr:spPr>
    </xdr:pic>
    <xdr:clientData/>
  </xdr:twoCellAnchor>
  <xdr:twoCellAnchor editAs="oneCell">
    <xdr:from>
      <xdr:col>8</xdr:col>
      <xdr:colOff>444500</xdr:colOff>
      <xdr:row>0</xdr:row>
      <xdr:rowOff>146050</xdr:rowOff>
    </xdr:from>
    <xdr:to>
      <xdr:col>13</xdr:col>
      <xdr:colOff>464834</xdr:colOff>
      <xdr:row>13</xdr:row>
      <xdr:rowOff>69850</xdr:rowOff>
    </xdr:to>
    <xdr:pic>
      <xdr:nvPicPr>
        <xdr:cNvPr id="9" name="Picture 8">
          <a:extLst>
            <a:ext uri="{FF2B5EF4-FFF2-40B4-BE49-F238E27FC236}">
              <a16:creationId xmlns:a16="http://schemas.microsoft.com/office/drawing/2014/main" id="{CAA4DDB9-C4EA-49F1-88F4-2A07C2DB62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067300" y="146050"/>
          <a:ext cx="3068334" cy="23177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om Quested" id="{19DC7744-70B9-4E52-B608-4108A3DB458B}" userId="S::tom.quested@wrap.org.uk::0fd54117-75b5-46eb-8bff-8509b1bcc3c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FD8297-8111-4292-B49E-E8506E46256A}" name="Level1" displayName="Level1" ref="A3:AT155" totalsRowShown="0" headerRowDxfId="60" dataDxfId="59" tableBorderDxfId="58">
  <autoFilter ref="A3:AT155" xr:uid="{CBD1A9EE-8D01-4B44-90F5-F9DC9B7DF32C}"/>
  <sortState xmlns:xlrd2="http://schemas.microsoft.com/office/spreadsheetml/2017/richdata2" ref="A4:AT155">
    <sortCondition ref="A3:A155"/>
  </sortState>
  <tableColumns count="46">
    <tableColumn id="1" xr3:uid="{7C24D77B-39AA-4D64-B1CA-97513A7B529E}" name="Study_#" dataDxfId="57"/>
    <tableColumn id="3" xr3:uid="{182D330E-76C6-4D00-AA31-06FCD39D0C1F}" name="Source" dataDxfId="56"/>
    <tableColumn id="4" xr3:uid="{33EC73A5-5EF7-49B7-A82C-790EC7C0B545}" name="Publication_year" dataDxfId="55"/>
    <tableColumn id="5" xr3:uid="{E8514225-D827-4F09-A98F-133EE0F02DF3}" name="Link" dataDxfId="54"/>
    <tableColumn id="6" xr3:uid="{5A663E1B-BB68-4781-BA6F-A02D488AE3D2}" name="Country" dataDxfId="53"/>
    <tableColumn id="7" xr3:uid="{44F3EFF9-88F6-4DD0-8238-27D5EFCF8C63}" name="M49_Code" dataDxfId="52"/>
    <tableColumn id="8" xr3:uid="{12576367-B7C3-4F03-A440-F28F84B0BFFD}" name="Region" dataDxfId="51"/>
    <tableColumn id="9" xr3:uid="{709216F5-B2A8-44A7-8170-DBA120F18520}" name="Category" dataDxfId="50"/>
    <tableColumn id="10" xr3:uid="{C9CCD8AB-1312-4099-B2F8-46C0252DC0E1}" name="WB_Income_Category" dataDxfId="49"/>
    <tableColumn id="11" xr3:uid="{04B986E5-BD12-4D91-9000-D03A0EE05155}" name="Study_area_level" dataDxfId="48"/>
    <tableColumn id="12" xr3:uid="{FFCB4D96-D27D-4F14-A081-D54D214BEBE1}" name="Study_area_name" dataDxfId="47"/>
    <tableColumn id="13" xr3:uid="{AA4DF37A-FADC-4AD8-A07D-CDDCB81C56D3}" name="Country_Population_Millions" dataDxfId="46"/>
    <tableColumn id="14" xr3:uid="{25F3AC4A-09D7-4A5F-B717-583FD72BE9EA}" name="Household" dataDxfId="45"/>
    <tableColumn id="15" xr3:uid="{D60C5978-0A0A-4CFF-9E08-FFF2DD622CCF}" name="Food_Service" dataDxfId="44"/>
    <tableColumn id="16" xr3:uid="{E8609F44-1955-4421-92F7-2BE4DF747D05}" name="Retail" dataDxfId="43"/>
    <tableColumn id="17" xr3:uid="{5A7EDDD7-B122-4ABB-8616-AC91191FA6F0}" name="Method" dataDxfId="42"/>
    <tableColumn id="18" xr3:uid="{3005F804-810D-4473-BCCB-19336418044C}" name="Confidence_Classification" dataDxfId="41"/>
    <tableColumn id="19" xr3:uid="{6E66A008-4F57-475B-860E-58EB779744F3}" name="Description" dataDxfId="40"/>
    <tableColumn id="20" xr3:uid="{9D0173C1-F309-4788-A3C7-92BBD5F8EBEC}" name="Household_Diary?" dataDxfId="39"/>
    <tableColumn id="21" xr3:uid="{812425C5-1FB2-4741-91B3-9FAB343CDD91}" name="Edible_Waste_Only?" dataDxfId="38"/>
    <tableColumn id="22" xr3:uid="{A0E62829-F438-4685-B920-A278153ED114}" name="Year(s)_covered" dataDxfId="37"/>
    <tableColumn id="23" xr3:uid="{C4B0F6B2-8FC8-4A6B-9041-3280211BBFE6}" name="FW_Share_estimate" dataDxfId="36" dataCellStyle="Percent"/>
    <tableColumn id="24" xr3:uid="{18A5D90F-813A-4E6F-9D5D-62F2FD4F8FEA}" name="Share_note" dataDxfId="35"/>
    <tableColumn id="51" xr3:uid="{8A66B854-B16A-4C68-A0D6-61F55AC681CE}" name="Edible_Avoidable_Share" dataDxfId="34"/>
    <tableColumn id="52" xr3:uid="{7561B826-7C44-4A23-B945-97AB24462395}" name="Edible_Avoidable_Note" dataDxfId="33"/>
    <tableColumn id="25" xr3:uid="{23F1285A-6489-4E3C-9CB8-46AA820FD36C}" name="Mass_estimate" dataDxfId="32" dataCellStyle="Comma"/>
    <tableColumn id="26" xr3:uid="{2D318894-0310-4993-872A-5EF58616460C}" name="Original_Mass_Measure" dataDxfId="31"/>
    <tableColumn id="27" xr3:uid="{97E43DA4-A6CF-4DC5-9E12-D59FD126B488}" name="Time_Adjustment_Y" dataDxfId="30" dataCellStyle="Comma"/>
    <tableColumn id="28" xr3:uid="{C6D73E01-0494-4BBF-820C-ADE2B1A3812E}" name="Weight_Adjustment_T" dataDxfId="29" dataCellStyle="Comma"/>
    <tableColumn id="29" xr3:uid="{8D794F4C-C3E1-48E5-99AE-2F31DFEAC5E3}" name="Standardised_Mass_tonnes/year" dataDxfId="28" dataCellStyle="Comma"/>
    <tableColumn id="30" xr3:uid="{534F65F4-D418-4E67-BC58-A11C82FE8D6C}" name="Derived_Estimate_Needed?" dataDxfId="27"/>
    <tableColumn id="31" xr3:uid="{082B63FE-352A-48A1-B81A-44EFB98DD4E9}" name="Study_Year_Country_Population" dataDxfId="26" dataCellStyle="Comma"/>
    <tableColumn id="32" xr3:uid="{F29B4100-8448-4694-8E1A-868B9CC2D614}" name="Study_Year_Subnational_Population" dataDxfId="25" dataCellStyle="Comma"/>
    <tableColumn id="33" xr3:uid="{5CBB7025-D196-41DA-BBAA-DEC5593184C3}" name="Derived_Normalised_kg/capita/year" dataDxfId="24"/>
    <tableColumn id="34" xr3:uid="{EB4E484C-895E-4B8B-8D40-32FEA28C801B}" name="Normalised_Mass_Estimate" dataDxfId="23"/>
    <tableColumn id="35" xr3:uid="{13490995-F30D-4B08-9C7E-CF643DCBEB00}" name="Original_Normalised_Mass_Measure" dataDxfId="22"/>
    <tableColumn id="36" xr3:uid="{1CBC4CBB-9DEA-4775-8792-BAB9F7F642C7}" name="Normalised_Weight_Adjustment_kg" dataDxfId="21"/>
    <tableColumn id="37" xr3:uid="{7D8F6507-3B97-4F7D-B3B7-C58CC3194102}" name="Normalised_Time_Adjustment_Y" dataDxfId="20"/>
    <tableColumn id="38" xr3:uid="{2B107CBD-1AC7-4AC4-AB20-A9C8FC482B22}" name="Standardised_Normalised_Mass_kg/capita/year" dataDxfId="19"/>
    <tableColumn id="39" xr3:uid="{EF415CD0-80A9-4DDE-8F80-AEE1529C54CC}" name="Preferred_estimate_kg/capita" dataDxfId="18"/>
    <tableColumn id="40" xr3:uid="{07C82C15-578E-4228-93AC-F9F4671E2596}" name="Household_Diary_Adjustment" dataDxfId="17">
      <calculatedColumnFormula>IF(Level1[[#This Row],[Household]]=1,IF(Level1[[#This Row],[Household_Diary?]]=1,'Cover Sheet'!$R$31,1),1)</calculatedColumnFormula>
    </tableColumn>
    <tableColumn id="41" xr3:uid="{5F9FA95D-C066-4D47-841F-64D4EC8A84B4}" name="Household_Inedible_Adjustment" dataDxfId="16">
      <calculatedColumnFormula>IF(Level1[[#This Row],[Household]]=1,IF(Level1[[#This Row],[Edible_Waste_Only?]]=1,'Cover Sheet'!$R$32,1),1)</calculatedColumnFormula>
    </tableColumn>
    <tableColumn id="42" xr3:uid="{FF0657B6-20E4-4856-A979-962284A9E637}" name="Food_Service_Inedible_Adjustment" dataDxfId="15">
      <calculatedColumnFormula>IF(Level1[[#This Row],[Food_Service]]=1,IF(Level1[[#This Row],[Edible_Waste_Only?]]=1,'Cover Sheet'!$R$33,1),1)</calculatedColumnFormula>
    </tableColumn>
    <tableColumn id="43" xr3:uid="{F178C9CD-1C72-4676-AF2F-2E49311D2FE6}" name="Retail_Inedible_Adjustment" dataDxfId="14">
      <calculatedColumnFormula>IF(Level1[[#This Row],[Retail]]=1,IF(Level1[[#This Row],[Edible_Waste_Only?]]=1,'Cover Sheet'!$R$34,1),1)</calculatedColumnFormula>
    </tableColumn>
    <tableColumn id="44" xr3:uid="{1C563886-B8B3-4B65-9DE0-B8CC8202644A}" name="Total_Adjustment" dataDxfId="13">
      <calculatedColumnFormula>PRODUCT(Level1[[#This Row],[Household_Diary_Adjustment]:[Retail_Inedible_Adjustment]])</calculatedColumnFormula>
    </tableColumn>
    <tableColumn id="45" xr3:uid="{551A2D36-2160-491A-89E0-579818B120C6}" name="Final_kg/cap/yr_estimate" dataDxfId="12"/>
  </tableColumns>
  <tableStyleInfo name="TableStyleLight9"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Z59" dT="2020-09-21T13:16:36.16" personId="{19DC7744-70B9-4E52-B608-4108A3DB458B}" id="{8BDBC8D2-9015-4C65-8AC3-84EE6B93FAE6}">
    <text>Added zero - so updated from 18,000 to 180,000 tonnes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6" Type="http://schemas.openxmlformats.org/officeDocument/2006/relationships/hyperlink" Target="https://www.eu-fusions.org/phocadownload/Publications/Estimates%20of%20European%20food%20waste%20levels.pdf" TargetMode="External"/><Relationship Id="rId117" Type="http://schemas.openxmlformats.org/officeDocument/2006/relationships/hyperlink" Target="https://www.stat.si/StatWeb/en/News/Index/9230" TargetMode="External"/><Relationship Id="rId21" Type="http://schemas.openxmlformats.org/officeDocument/2006/relationships/hyperlink" Target="http://theijes.com/papers/v5-i2/G0502040047.pdf" TargetMode="External"/><Relationship Id="rId42" Type="http://schemas.openxmlformats.org/officeDocument/2006/relationships/hyperlink" Target="http://dx.doi.org/10.1016/j.wasman.2015.09.009" TargetMode="External"/><Relationship Id="rId47" Type="http://schemas.openxmlformats.org/officeDocument/2006/relationships/hyperlink" Target="http://www.naturvardsverket.se/Documents/publikationer6400/978-91-620-8695-4.pdf" TargetMode="External"/><Relationship Id="rId63" Type="http://schemas.openxmlformats.org/officeDocument/2006/relationships/hyperlink" Target="https://www.ademe.fr/etat-lieux-masses-gaspillages-alimentaires-gestion-differentes-etapes-chaine-alimentaire" TargetMode="External"/><Relationship Id="rId68" Type="http://schemas.openxmlformats.org/officeDocument/2006/relationships/hyperlink" Target="https://openjicareport.jica.go.jp/pdf/12246336_01.pdf" TargetMode="External"/><Relationship Id="rId84" Type="http://schemas.openxmlformats.org/officeDocument/2006/relationships/hyperlink" Target="https://doi.org/10.1016/j.jclepro.2020.123490" TargetMode="External"/><Relationship Id="rId89" Type="http://schemas.openxmlformats.org/officeDocument/2006/relationships/hyperlink" Target="https://op.europa.eu/en/publication-detail/-/publication/e8e18370-1db9-11ea-95ab-01aa75ed71a1/language-en" TargetMode="External"/><Relationship Id="rId112" Type="http://schemas.openxmlformats.org/officeDocument/2006/relationships/hyperlink" Target="https://www.maff.go.jp/e/policies/env/attach/pdf/frecycle-3.pdf" TargetMode="External"/><Relationship Id="rId16" Type="http://schemas.openxmlformats.org/officeDocument/2006/relationships/hyperlink" Target="https://www.voedselverlies.be/sites/default/files/atoms/files/Monitor_EN_final.pdf" TargetMode="External"/><Relationship Id="rId107" Type="http://schemas.openxmlformats.org/officeDocument/2006/relationships/hyperlink" Target="https://doi.org/10.17159/sajs.2018/20170284" TargetMode="External"/><Relationship Id="rId11" Type="http://schemas.openxmlformats.org/officeDocument/2006/relationships/hyperlink" Target="https://www2.mst.dk/Udgiv/publikationer/2018/03/978-87-93614-78-9.pdf" TargetMode="External"/><Relationship Id="rId32" Type="http://schemas.openxmlformats.org/officeDocument/2006/relationships/hyperlink" Target="https://doi.org/10.5901/ajis.2013.v2n13p35" TargetMode="External"/><Relationship Id="rId37" Type="http://schemas.openxmlformats.org/officeDocument/2006/relationships/hyperlink" Target="https://ec.europa.eu/environment/eussd/pdf/bio_foodwaste_report.pdf" TargetMode="External"/><Relationship Id="rId53" Type="http://schemas.openxmlformats.org/officeDocument/2006/relationships/hyperlink" Target="https://beta.wrap.org.uk/resources/report/conceptual-framework-national-strategy-food-loss-and-waste-mexico" TargetMode="External"/><Relationship Id="rId58" Type="http://schemas.openxmlformats.org/officeDocument/2006/relationships/hyperlink" Target="https://www.researchgate.net/publication/258242118_Kitchen_Food_Waste_Inventory_for_Residential_Areas_in_Baghdad_City" TargetMode="External"/><Relationship Id="rId74" Type="http://schemas.openxmlformats.org/officeDocument/2006/relationships/hyperlink" Target="https://openjicareport.jica.go.jp/pdf/12250213.pdf" TargetMode="External"/><Relationship Id="rId79" Type="http://schemas.openxmlformats.org/officeDocument/2006/relationships/hyperlink" Target="https://openjicareport.jica.go.jp/pdf/12250213.pdf" TargetMode="External"/><Relationship Id="rId102" Type="http://schemas.openxmlformats.org/officeDocument/2006/relationships/hyperlink" Target="https://doi.org/10.1016/j.resconrec.2020.105209" TargetMode="External"/><Relationship Id="rId123" Type="http://schemas.openxmlformats.org/officeDocument/2006/relationships/vmlDrawing" Target="../drawings/vmlDrawing1.vml"/><Relationship Id="rId5" Type="http://schemas.openxmlformats.org/officeDocument/2006/relationships/hyperlink" Target="https://www.leket.org/en/food-waste-and-rescue-report/" TargetMode="External"/><Relationship Id="rId90" Type="http://schemas.openxmlformats.org/officeDocument/2006/relationships/hyperlink" Target="https://op.europa.eu/en/publication-detail/-/publication/e8e18370-1db9-11ea-95ab-01aa75ed71a1/language-en" TargetMode="External"/><Relationship Id="rId95" Type="http://schemas.openxmlformats.org/officeDocument/2006/relationships/hyperlink" Target="https://doi.org/10.1016/j.resconrec.2014.06.001" TargetMode="External"/><Relationship Id="rId22" Type="http://schemas.openxmlformats.org/officeDocument/2006/relationships/hyperlink" Target="https://www.eu-fusions.org/phocadownload/Publications/Estimates%20of%20European%20food%20waste%20levels.pdf" TargetMode="External"/><Relationship Id="rId27" Type="http://schemas.openxmlformats.org/officeDocument/2006/relationships/hyperlink" Target="https://www.eu-fusions.org/phocadownload/Publications/Estimates%20of%20European%20food%20waste%20levels.pdf" TargetMode="External"/><Relationship Id="rId43" Type="http://schemas.openxmlformats.org/officeDocument/2006/relationships/hyperlink" Target="https://doi.org/10.1016/j.wasman.2007.06.013" TargetMode="External"/><Relationship Id="rId48" Type="http://schemas.openxmlformats.org/officeDocument/2006/relationships/hyperlink" Target="http://www.naturvardsverket.se/Documents/publikationer6400/978-91-620-8695-4.pdf" TargetMode="External"/><Relationship Id="rId64" Type="http://schemas.openxmlformats.org/officeDocument/2006/relationships/hyperlink" Target="http://uir.unisa.ac.za/bitstream/handle/10500/21162/dissertation_ramukhwatho_fr.pdf?isAllowed=y&amp;sequence=4" TargetMode="External"/><Relationship Id="rId69" Type="http://schemas.openxmlformats.org/officeDocument/2006/relationships/hyperlink" Target="https://openjicareport.jica.go.jp/pdf/12246336_01.pdf" TargetMode="External"/><Relationship Id="rId113" Type="http://schemas.openxmlformats.org/officeDocument/2006/relationships/hyperlink" Target="https://www.maff.go.jp/e/policies/env/attach/pdf/frecycle-3.pdf" TargetMode="External"/><Relationship Id="rId118" Type="http://schemas.openxmlformats.org/officeDocument/2006/relationships/hyperlink" Target="https://www.stat.si/StatWeb/en/News/Index/9230" TargetMode="External"/><Relationship Id="rId80" Type="http://schemas.openxmlformats.org/officeDocument/2006/relationships/hyperlink" Target="https://lovefoodhatewaste.co.nz/wp-content/uploads/2020/09/What-is-known-about-food-waste-in-New-Zealand.pdf" TargetMode="External"/><Relationship Id="rId85" Type="http://schemas.openxmlformats.org/officeDocument/2006/relationships/hyperlink" Target="https://op.europa.eu/en/publication-detail/-/publication/e8e18370-1db9-11ea-95ab-01aa75ed71a1/language-en" TargetMode="External"/><Relationship Id="rId12" Type="http://schemas.openxmlformats.org/officeDocument/2006/relationships/hyperlink" Target="https://norsus.no/en/publikasjon/food-waste-in-norway-2010-2015/" TargetMode="External"/><Relationship Id="rId17" Type="http://schemas.openxmlformats.org/officeDocument/2006/relationships/hyperlink" Target="https://www.voedselverlies.be/sites/default/files/atoms/files/Monitor_EN_final.pdf" TargetMode="External"/><Relationship Id="rId33" Type="http://schemas.openxmlformats.org/officeDocument/2006/relationships/hyperlink" Target="https://openjicareport.jica.go.jp/pdf/12005443.pdf" TargetMode="External"/><Relationship Id="rId38" Type="http://schemas.openxmlformats.org/officeDocument/2006/relationships/hyperlink" Target="https://www.wwf.de/fileadmin/user_upload/WWF_BOELL_How_to_feed.pdf" TargetMode="External"/><Relationship Id="rId59" Type="http://schemas.openxmlformats.org/officeDocument/2006/relationships/hyperlink" Target="https://www.iraqjournals.com/article_104313_0.html" TargetMode="External"/><Relationship Id="rId103" Type="http://schemas.openxmlformats.org/officeDocument/2006/relationships/hyperlink" Target="https://doi.org/10.1016/j.jclepro.2020.123490" TargetMode="External"/><Relationship Id="rId108" Type="http://schemas.openxmlformats.org/officeDocument/2006/relationships/hyperlink" Target="https://doi.org/10.1007/s11356-015-4235-y" TargetMode="External"/><Relationship Id="rId124" Type="http://schemas.openxmlformats.org/officeDocument/2006/relationships/table" Target="../tables/table1.xml"/><Relationship Id="rId54" Type="http://schemas.openxmlformats.org/officeDocument/2006/relationships/hyperlink" Target="https://doi.org/10.1016/j.wasman.2012.04.012" TargetMode="External"/><Relationship Id="rId70" Type="http://schemas.openxmlformats.org/officeDocument/2006/relationships/hyperlink" Target="https://openjicareport.jica.go.jp/pdf/12250213.pdf" TargetMode="External"/><Relationship Id="rId75" Type="http://schemas.openxmlformats.org/officeDocument/2006/relationships/hyperlink" Target="https://openjicareport.jica.go.jp/pdf/12250213.pdf" TargetMode="External"/><Relationship Id="rId91" Type="http://schemas.openxmlformats.org/officeDocument/2006/relationships/hyperlink" Target="https://op.europa.eu/en/publication-detail/-/publication/e8e18370-1db9-11ea-95ab-01aa75ed71a1/language-en" TargetMode="External"/><Relationship Id="rId96" Type="http://schemas.openxmlformats.org/officeDocument/2006/relationships/hyperlink" Target="https://doi.org/10.1016/j.resconrec.2015.06.013" TargetMode="External"/><Relationship Id="rId1" Type="http://schemas.openxmlformats.org/officeDocument/2006/relationships/hyperlink" Target="https://doi.org/10.1371/journal.pone.0189407" TargetMode="External"/><Relationship Id="rId6" Type="http://schemas.openxmlformats.org/officeDocument/2006/relationships/hyperlink" Target="https://www.leket.org/en/food-waste-and-rescue-report/" TargetMode="External"/><Relationship Id="rId23" Type="http://schemas.openxmlformats.org/officeDocument/2006/relationships/hyperlink" Target="https://www.eu-fusions.org/phocadownload/Publications/Estimates%20of%20European%20food%20waste%20levels.pdf" TargetMode="External"/><Relationship Id="rId28" Type="http://schemas.openxmlformats.org/officeDocument/2006/relationships/hyperlink" Target="https://www.eu-fusions.org/phocadownload/Publications/Estimates%20of%20European%20food%20waste%20levels.pdf" TargetMode="External"/><Relationship Id="rId49" Type="http://schemas.openxmlformats.org/officeDocument/2006/relationships/hyperlink" Target="http://www.naturvardsverket.se/Documents/publikationer6400/978-91-620-8695-4.pdf" TargetMode="External"/><Relationship Id="rId114" Type="http://schemas.openxmlformats.org/officeDocument/2006/relationships/hyperlink" Target="https://openjicareport.jica.go.jp/pdf/12005443.pdf" TargetMode="External"/><Relationship Id="rId119" Type="http://schemas.openxmlformats.org/officeDocument/2006/relationships/hyperlink" Target="https://www.stat.si/StatWeb/en/news/Index/8433" TargetMode="External"/><Relationship Id="rId44" Type="http://schemas.openxmlformats.org/officeDocument/2006/relationships/hyperlink" Target="https://mst.dk/service/publikationer/publikationsarkiv/2014/okt/kortlaegning-af-madaffald-i-servicesektoren/" TargetMode="External"/><Relationship Id="rId60" Type="http://schemas.openxmlformats.org/officeDocument/2006/relationships/hyperlink" Target="https://www.researchgate.net/publication/340256113_Solid_Waste_Composition_and_Characteristics_of_Mosul_CityIRAQ" TargetMode="External"/><Relationship Id="rId65" Type="http://schemas.openxmlformats.org/officeDocument/2006/relationships/hyperlink" Target="https://alay.am/p/c8b" TargetMode="External"/><Relationship Id="rId81" Type="http://schemas.openxmlformats.org/officeDocument/2006/relationships/hyperlink" Target="https://doi.org/10.1016/j.jclepro.2020.123490" TargetMode="External"/><Relationship Id="rId86" Type="http://schemas.openxmlformats.org/officeDocument/2006/relationships/hyperlink" Target="https://op.europa.eu/en/publication-detail/-/publication/e8e18370-1db9-11ea-95ab-01aa75ed71a1/language-en" TargetMode="External"/><Relationship Id="rId13" Type="http://schemas.openxmlformats.org/officeDocument/2006/relationships/hyperlink" Target="https://ec.europa.eu/food/sites/food/files/safety/docs/fw_eu-platform_20170925_sub-fwm_pres-02b.pdf" TargetMode="External"/><Relationship Id="rId18" Type="http://schemas.openxmlformats.org/officeDocument/2006/relationships/hyperlink" Target="https://www.voedselverlies.be/sites/default/files/atoms/files/Monitor_EN_final.pdf" TargetMode="External"/><Relationship Id="rId39" Type="http://schemas.openxmlformats.org/officeDocument/2006/relationships/hyperlink" Target="https://doi.org/10.1016/j.wasman.2016.03.032" TargetMode="External"/><Relationship Id="rId109" Type="http://schemas.openxmlformats.org/officeDocument/2006/relationships/hyperlink" Target="https://www.ademe.fr/etat-lieux-masses-gaspillages-alimentaires-gestion-differentes-etapes-chaine-alimentaire" TargetMode="External"/><Relationship Id="rId34" Type="http://schemas.openxmlformats.org/officeDocument/2006/relationships/hyperlink" Target="https://doi.org/10.1016/j.wasman.2012.11.007" TargetMode="External"/><Relationship Id="rId50" Type="http://schemas.openxmlformats.org/officeDocument/2006/relationships/hyperlink" Target="https://www.researchgate.net/publication/339473130_Food_waste_in_Germany_-Baseline_2015_-_Summary" TargetMode="External"/><Relationship Id="rId55" Type="http://schemas.openxmlformats.org/officeDocument/2006/relationships/hyperlink" Target="https://openjicareport.jica.go.jp/pdf/12005443.pdf" TargetMode="External"/><Relationship Id="rId76" Type="http://schemas.openxmlformats.org/officeDocument/2006/relationships/hyperlink" Target="https://openjicareport.jica.go.jp/pdf/12250213.pdf" TargetMode="External"/><Relationship Id="rId97" Type="http://schemas.openxmlformats.org/officeDocument/2006/relationships/hyperlink" Target="https://doi.org/10.3390/resources8040171" TargetMode="External"/><Relationship Id="rId104" Type="http://schemas.openxmlformats.org/officeDocument/2006/relationships/hyperlink" Target="https://doi.org/10.1016/j.jclepro.2020.123490" TargetMode="External"/><Relationship Id="rId120" Type="http://schemas.openxmlformats.org/officeDocument/2006/relationships/hyperlink" Target="https://www.stat.si/StatWeb/en/News/Index/9230" TargetMode="External"/><Relationship Id="rId125" Type="http://schemas.openxmlformats.org/officeDocument/2006/relationships/comments" Target="../comments1.xml"/><Relationship Id="rId7" Type="http://schemas.openxmlformats.org/officeDocument/2006/relationships/hyperlink" Target="https://www.leket.org/en/food-waste-and-rescue-report/" TargetMode="External"/><Relationship Id="rId71" Type="http://schemas.openxmlformats.org/officeDocument/2006/relationships/hyperlink" Target="https://openjicareport.jica.go.jp/pdf/12250213.pdf" TargetMode="External"/><Relationship Id="rId92" Type="http://schemas.openxmlformats.org/officeDocument/2006/relationships/hyperlink" Target="https://op.europa.eu/en/publication-detail/-/publication/e8e18370-1db9-11ea-95ab-01aa75ed71a1/language-en" TargetMode="External"/><Relationship Id="rId2" Type="http://schemas.openxmlformats.org/officeDocument/2006/relationships/hyperlink" Target="http://www.environment.gov.au/system/files/pages/25e36a8c-3a9c-487c-a9cb-66ec15ba61d0/files/national-food-waste-baseline-final-assessment.pdf" TargetMode="External"/><Relationship Id="rId29" Type="http://schemas.openxmlformats.org/officeDocument/2006/relationships/hyperlink" Target="https://doi.org/10.1016/j.scs.2014.07.004" TargetMode="External"/><Relationship Id="rId24" Type="http://schemas.openxmlformats.org/officeDocument/2006/relationships/hyperlink" Target="https://www.eu-fusions.org/phocadownload/Publications/Estimates%20of%20European%20food%20waste%20levels.pdf" TargetMode="External"/><Relationship Id="rId40" Type="http://schemas.openxmlformats.org/officeDocument/2006/relationships/hyperlink" Target="https://doi.org/10.1016/j.spc.2015.06.006" TargetMode="External"/><Relationship Id="rId45" Type="http://schemas.openxmlformats.org/officeDocument/2006/relationships/hyperlink" Target="https://mst.dk/service/publikationer/publikationsarkiv/2014/okt/kortlaegning-af-madaffald-i-servicesektoren/" TargetMode="External"/><Relationship Id="rId66" Type="http://schemas.openxmlformats.org/officeDocument/2006/relationships/hyperlink" Target="https://doi.org/10.3390/su11123381" TargetMode="External"/><Relationship Id="rId87" Type="http://schemas.openxmlformats.org/officeDocument/2006/relationships/hyperlink" Target="https://op.europa.eu/en/publication-detail/-/publication/e8e18370-1db9-11ea-95ab-01aa75ed71a1/language-en" TargetMode="External"/><Relationship Id="rId110" Type="http://schemas.openxmlformats.org/officeDocument/2006/relationships/hyperlink" Target="https://doi.org/10.1016/j.wasman.2018.03.031" TargetMode="External"/><Relationship Id="rId115" Type="http://schemas.openxmlformats.org/officeDocument/2006/relationships/hyperlink" Target="https://wrap.org.uk/sites/files/wrap/Progress_against_Courtauld_2025_targets_and_UN_SDG_123.pdf" TargetMode="External"/><Relationship Id="rId61" Type="http://schemas.openxmlformats.org/officeDocument/2006/relationships/hyperlink" Target="https://www.semanticscholar.org/paper/CHARACTERISTICS-AND-COMPOSITIONS-OF-SOLID-WASTE-IN-Abudi/b9f0c4d0092838519e4eaee3586fd4398b012daa" TargetMode="External"/><Relationship Id="rId82" Type="http://schemas.openxmlformats.org/officeDocument/2006/relationships/hyperlink" Target="https://doi.org/10.1016/j.jclepro.2020.123490" TargetMode="External"/><Relationship Id="rId19" Type="http://schemas.openxmlformats.org/officeDocument/2006/relationships/hyperlink" Target="https://www.iuokada.edu.ng/publication/wp-content/uploads/2019/02/Ejiroghene-Kelly-OrhorhoroPatrick-Okechukwu-EbuniloGodwin-Ejuvwedia-Sadjere-Determination-and-Quantification-of-Household-Solid-Waste-Generation-for-Planning-Suitable-Sustainable-Waste.pdf" TargetMode="External"/><Relationship Id="rId14" Type="http://schemas.openxmlformats.org/officeDocument/2006/relationships/hyperlink" Target="https://ec.europa.eu/food/sites/food/files/safety/docs/fw_eu-platform_20170925_sub-fwm_pres-02b.pdf" TargetMode="External"/><Relationship Id="rId30" Type="http://schemas.openxmlformats.org/officeDocument/2006/relationships/hyperlink" Target="https://doi.org/10.1016/j.wasman.2009.05.014" TargetMode="External"/><Relationship Id="rId35" Type="http://schemas.openxmlformats.org/officeDocument/2006/relationships/hyperlink" Target="https://doi.org/10.5814/j.issn.1674-764x.2013.04.006" TargetMode="External"/><Relationship Id="rId56" Type="http://schemas.openxmlformats.org/officeDocument/2006/relationships/hyperlink" Target="https://www.sago.gov.sa/Content/Files/Baseline_230719.pdf" TargetMode="External"/><Relationship Id="rId77" Type="http://schemas.openxmlformats.org/officeDocument/2006/relationships/hyperlink" Target="https://openjicareport.jica.go.jp/pdf/12250213.pdf" TargetMode="External"/><Relationship Id="rId100" Type="http://schemas.openxmlformats.org/officeDocument/2006/relationships/hyperlink" Target="https://www.naturvardsverket.se/Documents/publ-filer/8800/978-91-620-8861-3.pdf?pid=26710" TargetMode="External"/><Relationship Id="rId105" Type="http://schemas.openxmlformats.org/officeDocument/2006/relationships/hyperlink" Target="https://tiarcenter.com/wp-content/uploads/2019/11/ENG_Foodsharing-in-Russia_2019.pdf" TargetMode="External"/><Relationship Id="rId126" Type="http://schemas.microsoft.com/office/2017/10/relationships/threadedComment" Target="../threadedComments/threadedComment1.xml"/><Relationship Id="rId8" Type="http://schemas.openxmlformats.org/officeDocument/2006/relationships/hyperlink" Target="https://www.sei.org/wp-content/uploads/2017/12/sei-2015-report-food-waste-and-food-loss-in-estonian-households-and-catering-institutions-sei-tallinn1.pdf" TargetMode="External"/><Relationship Id="rId51" Type="http://schemas.openxmlformats.org/officeDocument/2006/relationships/hyperlink" Target="https://www.researchgate.net/publication/339473130_Food_waste_in_Germany_-Baseline_2015_-_Summary" TargetMode="External"/><Relationship Id="rId72" Type="http://schemas.openxmlformats.org/officeDocument/2006/relationships/hyperlink" Target="https://openjicareport.jica.go.jp/pdf/12250213.pdf" TargetMode="External"/><Relationship Id="rId93" Type="http://schemas.openxmlformats.org/officeDocument/2006/relationships/hyperlink" Target="https://op.europa.eu/en/publication-detail/-/publication/e8e18370-1db9-11ea-95ab-01aa75ed71a1/language-en" TargetMode="External"/><Relationship Id="rId98" Type="http://schemas.openxmlformats.org/officeDocument/2006/relationships/hyperlink" Target="https://doi.org/10.1016/j.resconrec.2016.03.010" TargetMode="External"/><Relationship Id="rId121" Type="http://schemas.openxmlformats.org/officeDocument/2006/relationships/hyperlink" Target="https://www.stat.si/StatWeb/en/news/Index/8433" TargetMode="External"/><Relationship Id="rId3" Type="http://schemas.openxmlformats.org/officeDocument/2006/relationships/hyperlink" Target="http://www.environment.gov.au/system/files/pages/25e36a8c-3a9c-487c-a9cb-66ec15ba61d0/files/national-food-waste-baseline-final-assessment.pdf" TargetMode="External"/><Relationship Id="rId25" Type="http://schemas.openxmlformats.org/officeDocument/2006/relationships/hyperlink" Target="https://www.eu-fusions.org/phocadownload/Publications/Estimates%20of%20European%20food%20waste%20levels.pdf" TargetMode="External"/><Relationship Id="rId46" Type="http://schemas.openxmlformats.org/officeDocument/2006/relationships/hyperlink" Target="https://www.sei.org/wp-content/uploads/2017/12/summary-food-waste-in-estonian-food-trade-sector-and-industry-sei-tallinn-2016.pdf" TargetMode="External"/><Relationship Id="rId67" Type="http://schemas.openxmlformats.org/officeDocument/2006/relationships/hyperlink" Target="https://openjicareport.jica.go.jp/pdf/12126843.pdf" TargetMode="External"/><Relationship Id="rId116" Type="http://schemas.openxmlformats.org/officeDocument/2006/relationships/hyperlink" Target="https://www.voedingscentrum.nl/Assets/Uploads/voedingscentrum/Documents/Professionals/Pers/Persmappen/Verspilling%202019/VC_Synthesis%20report%20on%20food%20waste%20in%20Dutch%20households%202019.pdf" TargetMode="External"/><Relationship Id="rId20" Type="http://schemas.openxmlformats.org/officeDocument/2006/relationships/hyperlink" Target="https://journals.sagepub.com/doi/abs/10.1177/0734242x15607427%20(Xue%20et%20al" TargetMode="External"/><Relationship Id="rId41" Type="http://schemas.openxmlformats.org/officeDocument/2006/relationships/hyperlink" Target="https://rke.abertay.ac.uk/en/studentTheses/analysis-of-key-requirements-for-effective-implementation-of-biog" TargetMode="External"/><Relationship Id="rId62" Type="http://schemas.openxmlformats.org/officeDocument/2006/relationships/hyperlink" Target="https://www.ademe.fr/etat-lieux-masses-gaspillages-alimentaires-gestion-differentes-etapes-chaine-alimentaire" TargetMode="External"/><Relationship Id="rId83" Type="http://schemas.openxmlformats.org/officeDocument/2006/relationships/hyperlink" Target="https://doi.org/10.1016/j.jclepro.2020.123490" TargetMode="External"/><Relationship Id="rId88" Type="http://schemas.openxmlformats.org/officeDocument/2006/relationships/hyperlink" Target="https://op.europa.eu/en/publication-detail/-/publication/e8e18370-1db9-11ea-95ab-01aa75ed71a1/language-en" TargetMode="External"/><Relationship Id="rId111" Type="http://schemas.openxmlformats.org/officeDocument/2006/relationships/hyperlink" Target="https://www.maff.go.jp/e/policies/env/attach/pdf/frecycle-3.pdf" TargetMode="External"/><Relationship Id="rId15" Type="http://schemas.openxmlformats.org/officeDocument/2006/relationships/hyperlink" Target="https://ec.europa.eu/food/sites/food/files/safety/docs/fw_eu-platform_20170925_sub-fwm_pres-02b.pdf" TargetMode="External"/><Relationship Id="rId36" Type="http://schemas.openxmlformats.org/officeDocument/2006/relationships/hyperlink" Target="https://ec.europa.eu/environment/eussd/pdf/bio_foodwaste_report.pdf" TargetMode="External"/><Relationship Id="rId57" Type="http://schemas.openxmlformats.org/officeDocument/2006/relationships/hyperlink" Target="https://www.researchgate.net/publication/320613575_Household_Behavior_on_Solid_Waste_Management_A_Case_of_Al-Kut_City" TargetMode="External"/><Relationship Id="rId106" Type="http://schemas.openxmlformats.org/officeDocument/2006/relationships/hyperlink" Target="https://doi.org/10.17159/sajs.2018/20170284" TargetMode="External"/><Relationship Id="rId10" Type="http://schemas.openxmlformats.org/officeDocument/2006/relationships/hyperlink" Target="https://lovefoodhatewaste.co.nz/wp-content/uploads/2019/02/Final-New-Zealand-Food-Waste-Audits-2018.pdf" TargetMode="External"/><Relationship Id="rId31" Type="http://schemas.openxmlformats.org/officeDocument/2006/relationships/hyperlink" Target="https://doi.org/10.1016/j.jenvman.2010.06.016" TargetMode="External"/><Relationship Id="rId52" Type="http://schemas.openxmlformats.org/officeDocument/2006/relationships/hyperlink" Target="https://www.researchgate.net/publication/339473130_Food_waste_in_Germany_-Baseline_2015_-_Summary" TargetMode="External"/><Relationship Id="rId73" Type="http://schemas.openxmlformats.org/officeDocument/2006/relationships/hyperlink" Target="https://openjicareport.jica.go.jp/pdf/12250213.pdf" TargetMode="External"/><Relationship Id="rId78" Type="http://schemas.openxmlformats.org/officeDocument/2006/relationships/hyperlink" Target="https://openjicareport.jica.go.jp/pdf/12250213.pdf" TargetMode="External"/><Relationship Id="rId94" Type="http://schemas.openxmlformats.org/officeDocument/2006/relationships/hyperlink" Target="https://www.sago.gov.sa/Content/Files/Baseline_230719.pdf" TargetMode="External"/><Relationship Id="rId99" Type="http://schemas.openxmlformats.org/officeDocument/2006/relationships/hyperlink" Target="https://www.academia.edu/30874341/SOLID_WASTE_MANAGEMENT_CASE_STUDY_OF_NDOLA_ZAMBIA" TargetMode="External"/><Relationship Id="rId101" Type="http://schemas.openxmlformats.org/officeDocument/2006/relationships/hyperlink" Target="http://publications.gc.ca/collections/collection_2020/eccc/en14/En14-405-2020-eng.pdf" TargetMode="External"/><Relationship Id="rId122" Type="http://schemas.openxmlformats.org/officeDocument/2006/relationships/printerSettings" Target="../printerSettings/printerSettings2.bin"/><Relationship Id="rId4" Type="http://schemas.openxmlformats.org/officeDocument/2006/relationships/hyperlink" Target="http://www.environment.gov.au/system/files/pages/25e36a8c-3a9c-487c-a9cb-66ec15ba61d0/files/national-food-waste-baseline-final-assessment.pdf" TargetMode="External"/><Relationship Id="rId9" Type="http://schemas.openxmlformats.org/officeDocument/2006/relationships/hyperlink" Target="https://www.sei.org/wp-content/uploads/2017/12/sei-2015-report-food-waste-and-food-loss-in-estonian-households-and-catering-institutions-sei-tallinn1.pdf"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eu-fusions.org/phocadownload/Publications/Estimates%20of%20European%20food%20waste%20levels.pdf" TargetMode="External"/><Relationship Id="rId21" Type="http://schemas.openxmlformats.org/officeDocument/2006/relationships/hyperlink" Target="https://doi.org/10.1016/j.wasman.2016.03.032" TargetMode="External"/><Relationship Id="rId42" Type="http://schemas.openxmlformats.org/officeDocument/2006/relationships/hyperlink" Target="https://www.semanticscholar.org/paper/CHARACTERISTICS-AND-COMPOSITIONS-OF-SOLID-WASTE-IN-Abudi/b9f0c4d0092838519e4eaee3586fd4398b012daa" TargetMode="External"/><Relationship Id="rId47" Type="http://schemas.openxmlformats.org/officeDocument/2006/relationships/hyperlink" Target="https://doi.org/10.3390/su11123381" TargetMode="External"/><Relationship Id="rId63" Type="http://schemas.openxmlformats.org/officeDocument/2006/relationships/hyperlink" Target="https://rke.abertay.ac.uk/en/studentTheses/analysis-of-key-requirements-for-effective-implementation-of-biog" TargetMode="External"/><Relationship Id="rId68" Type="http://schemas.openxmlformats.org/officeDocument/2006/relationships/hyperlink" Target="https://doi.org/10.1371/journal.pone.0189407" TargetMode="External"/><Relationship Id="rId16" Type="http://schemas.openxmlformats.org/officeDocument/2006/relationships/hyperlink" Target="https://doi.org/10.1007/s11356-015-4235-y" TargetMode="External"/><Relationship Id="rId11" Type="http://schemas.openxmlformats.org/officeDocument/2006/relationships/hyperlink" Target="https://www.embrapa.br/busca-de-publicacoes/-/publicacao/1105525/intercambio-brasil-uniao-europeia-sobre-desperdicio-de-alimentos-relatorio-final" TargetMode="External"/><Relationship Id="rId32" Type="http://schemas.openxmlformats.org/officeDocument/2006/relationships/hyperlink" Target="https://doi.org/10.1016/j.spc.2015.06.006" TargetMode="External"/><Relationship Id="rId37" Type="http://schemas.openxmlformats.org/officeDocument/2006/relationships/hyperlink" Target="https://doi.org/10.1016/j.resconrec.2015.06.013" TargetMode="External"/><Relationship Id="rId53" Type="http://schemas.openxmlformats.org/officeDocument/2006/relationships/hyperlink" Target="https://www.voedingscentrum.nl/Assets/Uploads/voedingscentrum/Documents/Professionals/Pers/Persmappen/Verspilling%202019/VC_Synthesis%20report%20on%20food%20waste%20in%20Dutch%20households%202019.pdf" TargetMode="External"/><Relationship Id="rId58" Type="http://schemas.openxmlformats.org/officeDocument/2006/relationships/hyperlink" Target="https://www.matvett.no/uploads/documents/OR.32.19-Edible-food-waste-in-Norway-Report-on-key-figures-2015-2018.pdf" TargetMode="External"/><Relationship Id="rId74" Type="http://schemas.openxmlformats.org/officeDocument/2006/relationships/hyperlink" Target="https://www.naturvardsverket.se/Documents/publ-filer/8800/978-91-620-8861-3.pdf?pid=26710" TargetMode="External"/><Relationship Id="rId79" Type="http://schemas.openxmlformats.org/officeDocument/2006/relationships/hyperlink" Target="https://doi.org/10.1016/j.jenvman.2010.06.016" TargetMode="External"/><Relationship Id="rId5" Type="http://schemas.openxmlformats.org/officeDocument/2006/relationships/hyperlink" Target="https://alay.am/p/c8b" TargetMode="External"/><Relationship Id="rId61" Type="http://schemas.openxmlformats.org/officeDocument/2006/relationships/hyperlink" Target="https://www.researchgate.net/publication/273640405_The_pilot_study_of_characteristics_of_household_waste_generated_in_suburban_parts_of_rural_areas/link/5507f9200cf26ff55f7f9975/download" TargetMode="External"/><Relationship Id="rId82" Type="http://schemas.openxmlformats.org/officeDocument/2006/relationships/printerSettings" Target="../printerSettings/printerSettings3.bin"/><Relationship Id="rId19" Type="http://schemas.openxmlformats.org/officeDocument/2006/relationships/hyperlink" Target="https://doi.org/10.1016/j.jclepro.2020.123490" TargetMode="External"/><Relationship Id="rId14" Type="http://schemas.openxmlformats.org/officeDocument/2006/relationships/hyperlink" Target="http://dx.doi.org/10.1016/j.resconrec.2015.03.001" TargetMode="External"/><Relationship Id="rId22" Type="http://schemas.openxmlformats.org/officeDocument/2006/relationships/hyperlink" Target="https://www2.mst.dk/Udgiv/publikationer/2018/03/978-87-93614-78-9.pdf" TargetMode="External"/><Relationship Id="rId27" Type="http://schemas.openxmlformats.org/officeDocument/2006/relationships/hyperlink" Target="http://dx.doi.org/10.1016/j.jclepro.2013.12.057" TargetMode="External"/><Relationship Id="rId30" Type="http://schemas.openxmlformats.org/officeDocument/2006/relationships/hyperlink" Target="https://www.researchgate.net/publication/339473130_Food_waste_in_Germany_-Baseline_2015_-_Summary" TargetMode="External"/><Relationship Id="rId35" Type="http://schemas.openxmlformats.org/officeDocument/2006/relationships/hyperlink" Target="http://theijes.com/papers/v5-i2/G0502040047.pdf" TargetMode="External"/><Relationship Id="rId43" Type="http://schemas.openxmlformats.org/officeDocument/2006/relationships/hyperlink" Target="https://doi.org/10.1016/j.wasman.2018.03.031" TargetMode="External"/><Relationship Id="rId48" Type="http://schemas.openxmlformats.org/officeDocument/2006/relationships/hyperlink" Target="https://openjicareport.jica.go.jp/pdf/12005443.pdf" TargetMode="External"/><Relationship Id="rId56" Type="http://schemas.openxmlformats.org/officeDocument/2006/relationships/hyperlink" Target="https://www.iuokada.edu.ng/publication/wp-content/uploads/2019/02/Ejiroghene-Kelly-OrhorhoroPatrick-Okechukwu-EbuniloGodwin-Ejuvwedia-Sadjere-Determination-and-Quantification-of-Household-Solid-Waste-Generation-for-Planning-Suitable-Sustainable-Waste.pdf" TargetMode="External"/><Relationship Id="rId64" Type="http://schemas.openxmlformats.org/officeDocument/2006/relationships/hyperlink" Target="https://www.sago.gov.sa/Content/Files/Baseline_230719.pdf" TargetMode="External"/><Relationship Id="rId69" Type="http://schemas.openxmlformats.org/officeDocument/2006/relationships/hyperlink" Target="https://doi.org/10.17159/sajs.2018/20170284" TargetMode="External"/><Relationship Id="rId77" Type="http://schemas.openxmlformats.org/officeDocument/2006/relationships/hyperlink" Target="https://doi.org/10.5901/ajis.2013.v2n13p35" TargetMode="External"/><Relationship Id="rId8" Type="http://schemas.openxmlformats.org/officeDocument/2006/relationships/hyperlink" Target="https://openjicareport.jica.go.jp/pdf/11785243.pdf" TargetMode="External"/><Relationship Id="rId51" Type="http://schemas.openxmlformats.org/officeDocument/2006/relationships/hyperlink" Target="https://www.researchgate.net/publication/280642994_The_3R_Potential_of_Household_Waste_in_Bangi_Malaysia" TargetMode="External"/><Relationship Id="rId72" Type="http://schemas.openxmlformats.org/officeDocument/2006/relationships/hyperlink" Target="https://openjicareport.jica.go.jp/pdf/12250213.pdf" TargetMode="External"/><Relationship Id="rId80" Type="http://schemas.openxmlformats.org/officeDocument/2006/relationships/hyperlink" Target="https://doi.org/10.3390/resources8040171" TargetMode="External"/><Relationship Id="rId3" Type="http://schemas.openxmlformats.org/officeDocument/2006/relationships/hyperlink" Target="https://ec.europa.eu/food/sites/food/files/safety/docs/fw_eu-platform_20170925_sub-fwm_pres-02b.pdf" TargetMode="External"/><Relationship Id="rId12" Type="http://schemas.openxmlformats.org/officeDocument/2006/relationships/hyperlink" Target="http://publications.gc.ca/collections/collection_2020/eccc/en14/En14-405-2020-eng.pdf" TargetMode="External"/><Relationship Id="rId17" Type="http://schemas.openxmlformats.org/officeDocument/2006/relationships/hyperlink" Target="https://doi.org/10.1016/j.wasman.2009.05.014" TargetMode="External"/><Relationship Id="rId25" Type="http://schemas.openxmlformats.org/officeDocument/2006/relationships/hyperlink" Target="https://doi.org/10.11648/j.ijepp.20170506.11" TargetMode="External"/><Relationship Id="rId33" Type="http://schemas.openxmlformats.org/officeDocument/2006/relationships/hyperlink" Target="https://doi.org/10.3390/su12083069" TargetMode="External"/><Relationship Id="rId38" Type="http://schemas.openxmlformats.org/officeDocument/2006/relationships/hyperlink" Target="https://www.researchgate.net/publication/258242118_Kitchen_Food_Waste_Inventory_for_Residential_Areas_in_Baghdad_City" TargetMode="External"/><Relationship Id="rId46" Type="http://schemas.openxmlformats.org/officeDocument/2006/relationships/hyperlink" Target="https://www.maff.go.jp/e/policies/env/attach/pdf/frecycle-3.pdf" TargetMode="External"/><Relationship Id="rId59" Type="http://schemas.openxmlformats.org/officeDocument/2006/relationships/hyperlink" Target="https://doi.org/10.1016/j.resconrec.2016.03.010" TargetMode="External"/><Relationship Id="rId67" Type="http://schemas.openxmlformats.org/officeDocument/2006/relationships/hyperlink" Target="https://www.stat.si/StatWeb/en/news/Index/8433" TargetMode="External"/><Relationship Id="rId20" Type="http://schemas.openxmlformats.org/officeDocument/2006/relationships/hyperlink" Target="https://mst.dk/service/publikationer/publikationsarkiv/2014/okt/kortlaegning-af-madaffald-i-servicesektoren/" TargetMode="External"/><Relationship Id="rId41" Type="http://schemas.openxmlformats.org/officeDocument/2006/relationships/hyperlink" Target="https://www.researchgate.net/publication/320613575_Household_Behavior_on_Solid_Waste_Management_A_Case_of_Al-Kut_City" TargetMode="External"/><Relationship Id="rId54" Type="http://schemas.openxmlformats.org/officeDocument/2006/relationships/hyperlink" Target="https://lovefoodhatewaste.co.nz/wp-content/uploads/2019/02/Final-New-Zealand-Food-Waste-Audits-2018.pdf" TargetMode="External"/><Relationship Id="rId62" Type="http://schemas.openxmlformats.org/officeDocument/2006/relationships/hyperlink" Target="https://tiarcenter.com/wp-content/uploads/2019/11/ENG_Foodsharing-in-Russia_2019.pdf" TargetMode="External"/><Relationship Id="rId70" Type="http://schemas.openxmlformats.org/officeDocument/2006/relationships/hyperlink" Target="https://doi.org/10.1016/j.wasman.2012.04.012" TargetMode="External"/><Relationship Id="rId75" Type="http://schemas.openxmlformats.org/officeDocument/2006/relationships/hyperlink" Target="https://doi.org/10.1016/j.wasman.2012.11.007" TargetMode="External"/><Relationship Id="rId1" Type="http://schemas.openxmlformats.org/officeDocument/2006/relationships/hyperlink" Target="https://www.ademe.fr/etat-lieux-masses-gaspillages-alimentaires-gestion-differentes-etapes-chaine-alimentaire" TargetMode="External"/><Relationship Id="rId6" Type="http://schemas.openxmlformats.org/officeDocument/2006/relationships/hyperlink" Target="https://www.researchgate.net/publication/259390038_Generation_and_assessing_the_composition_of_household_solid_waste_in_commercial_capital_city_of_Bangladesh" TargetMode="External"/><Relationship Id="rId15" Type="http://schemas.openxmlformats.org/officeDocument/2006/relationships/hyperlink" Target="https://doi.org/10.1016/j.resconrec.2020.105209" TargetMode="External"/><Relationship Id="rId23" Type="http://schemas.openxmlformats.org/officeDocument/2006/relationships/hyperlink" Target="https://www.sei.org/wp-content/uploads/2017/12/sei-2015-report-food-waste-and-food-loss-in-estonian-households-and-catering-institutions-sei-tallinn1.pdf" TargetMode="External"/><Relationship Id="rId28" Type="http://schemas.openxmlformats.org/officeDocument/2006/relationships/hyperlink" Target="https://ec.europa.eu/environment/eussd/pdf/bio_foodwaste_report.pdf" TargetMode="External"/><Relationship Id="rId36" Type="http://schemas.openxmlformats.org/officeDocument/2006/relationships/hyperlink" Target="https://doi.org/10.1016/j.scs.2014.07.004" TargetMode="External"/><Relationship Id="rId49" Type="http://schemas.openxmlformats.org/officeDocument/2006/relationships/hyperlink" Target="https://doi.org/10.1371/journal.pone.0225789" TargetMode="External"/><Relationship Id="rId57" Type="http://schemas.openxmlformats.org/officeDocument/2006/relationships/hyperlink" Target="https://norsus.no/en/publikasjon/food-waste-in-norway-2010-2015/" TargetMode="External"/><Relationship Id="rId10" Type="http://schemas.openxmlformats.org/officeDocument/2006/relationships/hyperlink" Target="http://belizeswama.com/wp-content/uploads/2018/12/Waste-Generation-Composition-Study-for-Western-Corridor-Belize-C.A.-2056-OC-BL1.pdf" TargetMode="External"/><Relationship Id="rId31" Type="http://schemas.openxmlformats.org/officeDocument/2006/relationships/hyperlink" Target="http://dx.doi.org/10.1016/j.wasman.2015.09.009" TargetMode="External"/><Relationship Id="rId44" Type="http://schemas.openxmlformats.org/officeDocument/2006/relationships/hyperlink" Target="https://www.leket.org/en/food-waste-and-rescue-report/" TargetMode="External"/><Relationship Id="rId52" Type="http://schemas.openxmlformats.org/officeDocument/2006/relationships/hyperlink" Target="https://beta.wrap.org.uk/resources/report/conceptual-framework-national-strategy-food-loss-and-waste-mexico" TargetMode="External"/><Relationship Id="rId60" Type="http://schemas.openxmlformats.org/officeDocument/2006/relationships/hyperlink" Target="https://openjicareport.jica.go.jp/pdf/12246336_01.pdf" TargetMode="External"/><Relationship Id="rId65" Type="http://schemas.openxmlformats.org/officeDocument/2006/relationships/hyperlink" Target="https://www.giz.de/en/downloads/CE%20impact%20assessment_HORECA.pdf" TargetMode="External"/><Relationship Id="rId73" Type="http://schemas.openxmlformats.org/officeDocument/2006/relationships/hyperlink" Target="http://www.naturvardsverket.se/Documents/publikationer6400/978-91-620-8695-4.pdf" TargetMode="External"/><Relationship Id="rId78" Type="http://schemas.openxmlformats.org/officeDocument/2006/relationships/hyperlink" Target="https://www.epa.gov/sites/production/files/2020-11/documents/2018_wasted_food_report-11-9-20_final_.pdf" TargetMode="External"/><Relationship Id="rId81" Type="http://schemas.openxmlformats.org/officeDocument/2006/relationships/hyperlink" Target="https://www.academia.edu/30874341/SOLID_WASTE_MANAGEMENT_CASE_STUDY_OF_NDOLA_ZAMBIA" TargetMode="External"/><Relationship Id="rId4" Type="http://schemas.openxmlformats.org/officeDocument/2006/relationships/hyperlink" Target="https://op.europa.eu/en/publication-detail/-/publication/e8e18370-1db9-11ea-95ab-01aa75ed71a1/language-en" TargetMode="External"/><Relationship Id="rId9" Type="http://schemas.openxmlformats.org/officeDocument/2006/relationships/hyperlink" Target="https://www.voedselverlies.be/sites/default/files/atoms/files/Monitor_EN_final.pdf" TargetMode="External"/><Relationship Id="rId13" Type="http://schemas.openxmlformats.org/officeDocument/2006/relationships/hyperlink" Target="https://doi.org/10.5814/j.issn.1674-764x.2013.04.006" TargetMode="External"/><Relationship Id="rId18" Type="http://schemas.openxmlformats.org/officeDocument/2006/relationships/hyperlink" Target="http://dx.doi.org/10.1016/j.scitotenv.2015.05.068" TargetMode="External"/><Relationship Id="rId39" Type="http://schemas.openxmlformats.org/officeDocument/2006/relationships/hyperlink" Target="https://www.researchgate.net/publication/340256113_Solid_Waste_Composition_and_Characteristics_of_Mosul_CityIRAQ" TargetMode="External"/><Relationship Id="rId34" Type="http://schemas.openxmlformats.org/officeDocument/2006/relationships/hyperlink" Target="http://rah-net.com/journals/rah/Vol_3_No_1_March_2014/11.pdf" TargetMode="External"/><Relationship Id="rId50" Type="http://schemas.openxmlformats.org/officeDocument/2006/relationships/hyperlink" Target="https://www.researchgate.net/publication/289063671_Household_food_consumption_and_disposal_behaviour_in_Malaysia" TargetMode="External"/><Relationship Id="rId55" Type="http://schemas.openxmlformats.org/officeDocument/2006/relationships/hyperlink" Target="https://lovefoodhatewaste.co.nz/wp-content/uploads/2020/09/What-is-known-about-food-waste-in-New-Zealand.pdf" TargetMode="External"/><Relationship Id="rId76" Type="http://schemas.openxmlformats.org/officeDocument/2006/relationships/hyperlink" Target="https://wrap.org.uk/sites/files/wrap/Progress_against_Courtauld_2025_targets_and_UN_SDG_123.pdf" TargetMode="External"/><Relationship Id="rId7" Type="http://schemas.openxmlformats.org/officeDocument/2006/relationships/hyperlink" Target="https://doi.org/10.1016/j.wasman.2007.06.013" TargetMode="External"/><Relationship Id="rId71" Type="http://schemas.openxmlformats.org/officeDocument/2006/relationships/hyperlink" Target="http://uir.unisa.ac.za/bitstream/handle/10500/21162/dissertation_ramukhwatho_fr.pdf?isAllowed=y&amp;sequence=4" TargetMode="External"/><Relationship Id="rId2" Type="http://schemas.openxmlformats.org/officeDocument/2006/relationships/hyperlink" Target="http://www.environment.gov.au/system/files/pages/25e36a8c-3a9c-487c-a9cb-66ec15ba61d0/files/national-food-waste-baseline-final-assessment.pdf" TargetMode="External"/><Relationship Id="rId29" Type="http://schemas.openxmlformats.org/officeDocument/2006/relationships/hyperlink" Target="https://doi.org/10.1016/j.resconrec.2014.06.001" TargetMode="External"/><Relationship Id="rId24" Type="http://schemas.openxmlformats.org/officeDocument/2006/relationships/hyperlink" Target="https://www.sei.org/wp-content/uploads/2017/12/summary-food-waste-in-estonian-food-trade-sector-and-industry-sei-tallinn-2016.pdf" TargetMode="External"/><Relationship Id="rId40" Type="http://schemas.openxmlformats.org/officeDocument/2006/relationships/hyperlink" Target="https://www.iraqjournals.com/article_104313_0.html" TargetMode="External"/><Relationship Id="rId45" Type="http://schemas.openxmlformats.org/officeDocument/2006/relationships/hyperlink" Target="https://www.sprecozero.it/2020/07/16/quanto-cibo-si-spreca-in-italia/" TargetMode="External"/><Relationship Id="rId66" Type="http://schemas.openxmlformats.org/officeDocument/2006/relationships/hyperlink" Target="https://www.stat.si/StatWeb/en/News/Index/92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59FA8-9EF2-434E-A543-4736D5876DAF}">
  <sheetPr>
    <tabColor theme="5" tint="-0.249977111117893"/>
  </sheetPr>
  <dimension ref="A1:AA51"/>
  <sheetViews>
    <sheetView topLeftCell="A27" workbookViewId="0"/>
  </sheetViews>
  <sheetFormatPr defaultColWidth="0" defaultRowHeight="14.45" zeroHeight="1"/>
  <cols>
    <col min="1" max="1" width="17.140625" style="8" customWidth="1"/>
    <col min="2" max="3" width="8.7109375" style="8" customWidth="1"/>
    <col min="4" max="4" width="3" style="8" customWidth="1"/>
    <col min="5" max="5" width="10.7109375" style="8" customWidth="1"/>
    <col min="6" max="15" width="8.7109375" style="8" customWidth="1"/>
    <col min="16" max="16" width="5.28515625" style="8" customWidth="1"/>
    <col min="17" max="17" width="24.85546875" style="8" customWidth="1"/>
    <col min="18" max="27" width="8.7109375" style="8" customWidth="1"/>
    <col min="28" max="16384" width="8.7109375" style="8" hidden="1"/>
  </cols>
  <sheetData>
    <row r="1" spans="2:20"/>
    <row r="2" spans="2:20"/>
    <row r="3" spans="2:20"/>
    <row r="4" spans="2:20"/>
    <row r="5" spans="2:20"/>
    <row r="6" spans="2:20"/>
    <row r="7" spans="2:20"/>
    <row r="8" spans="2:20"/>
    <row r="9" spans="2:20"/>
    <row r="10" spans="2:20"/>
    <row r="11" spans="2:20"/>
    <row r="12" spans="2:20"/>
    <row r="13" spans="2:20"/>
    <row r="14" spans="2:20"/>
    <row r="15" spans="2:20" ht="15" thickBot="1"/>
    <row r="16" spans="2:20" ht="15" customHeight="1" thickTop="1">
      <c r="B16" s="176" t="s">
        <v>0</v>
      </c>
      <c r="C16" s="177"/>
      <c r="D16" s="71"/>
      <c r="E16" s="182" t="s">
        <v>1</v>
      </c>
      <c r="F16" s="182"/>
      <c r="G16" s="182"/>
      <c r="H16" s="182"/>
      <c r="I16" s="182"/>
      <c r="J16" s="182"/>
      <c r="K16" s="182"/>
      <c r="L16" s="182"/>
      <c r="M16" s="182"/>
      <c r="N16" s="182"/>
      <c r="O16" s="182"/>
      <c r="P16" s="182"/>
      <c r="Q16" s="182"/>
      <c r="R16" s="182"/>
      <c r="S16" s="182"/>
      <c r="T16" s="79"/>
    </row>
    <row r="17" spans="2:20">
      <c r="B17" s="178"/>
      <c r="C17" s="179"/>
      <c r="D17" s="12"/>
      <c r="E17" s="183"/>
      <c r="F17" s="183"/>
      <c r="G17" s="183"/>
      <c r="H17" s="183"/>
      <c r="I17" s="183"/>
      <c r="J17" s="183"/>
      <c r="K17" s="183"/>
      <c r="L17" s="183"/>
      <c r="M17" s="183"/>
      <c r="N17" s="183"/>
      <c r="O17" s="183"/>
      <c r="P17" s="183"/>
      <c r="Q17" s="183"/>
      <c r="R17" s="183"/>
      <c r="S17" s="183"/>
      <c r="T17" s="80"/>
    </row>
    <row r="18" spans="2:20" ht="15" thickBot="1">
      <c r="B18" s="180"/>
      <c r="C18" s="181"/>
      <c r="D18" s="84"/>
      <c r="E18" s="184"/>
      <c r="F18" s="184"/>
      <c r="G18" s="184"/>
      <c r="H18" s="184"/>
      <c r="I18" s="184"/>
      <c r="J18" s="184"/>
      <c r="K18" s="184"/>
      <c r="L18" s="184"/>
      <c r="M18" s="184"/>
      <c r="N18" s="184"/>
      <c r="O18" s="184"/>
      <c r="P18" s="184"/>
      <c r="Q18" s="184"/>
      <c r="R18" s="184"/>
      <c r="S18" s="184"/>
      <c r="T18" s="85"/>
    </row>
    <row r="19" spans="2:20" ht="55.15" customHeight="1" thickTop="1">
      <c r="B19" s="176" t="s">
        <v>2</v>
      </c>
      <c r="C19" s="177"/>
      <c r="D19" s="71"/>
      <c r="E19" s="187" t="s">
        <v>3</v>
      </c>
      <c r="F19" s="187"/>
      <c r="G19" s="187"/>
      <c r="H19" s="187"/>
      <c r="I19" s="187"/>
      <c r="J19" s="187"/>
      <c r="K19" s="187"/>
      <c r="L19" s="187"/>
      <c r="M19" s="187"/>
      <c r="N19" s="187"/>
      <c r="O19" s="187"/>
      <c r="P19" s="187"/>
      <c r="Q19" s="187"/>
      <c r="R19" s="187"/>
      <c r="S19" s="187"/>
      <c r="T19" s="86"/>
    </row>
    <row r="20" spans="2:20" ht="14.65" customHeight="1" thickBot="1">
      <c r="B20" s="87"/>
      <c r="C20" s="106"/>
      <c r="D20" s="88"/>
      <c r="E20" s="89"/>
      <c r="F20" s="89"/>
      <c r="G20" s="89"/>
      <c r="H20" s="89"/>
      <c r="I20" s="89"/>
      <c r="J20" s="89"/>
      <c r="K20" s="89"/>
      <c r="L20" s="89"/>
      <c r="M20" s="89"/>
      <c r="N20" s="89"/>
      <c r="O20" s="89"/>
      <c r="P20" s="89"/>
      <c r="Q20" s="89"/>
      <c r="R20" s="89"/>
      <c r="S20" s="89"/>
      <c r="T20" s="90"/>
    </row>
    <row r="21" spans="2:20" ht="14.65" customHeight="1" thickTop="1">
      <c r="B21" s="91"/>
      <c r="C21" s="107"/>
      <c r="D21" s="92"/>
      <c r="E21" s="93"/>
      <c r="F21" s="93"/>
      <c r="G21" s="93"/>
      <c r="H21" s="93"/>
      <c r="I21" s="93"/>
      <c r="J21" s="93"/>
      <c r="K21" s="93"/>
      <c r="L21" s="93"/>
      <c r="M21" s="93"/>
      <c r="N21" s="93"/>
      <c r="O21" s="93"/>
      <c r="P21" s="93"/>
      <c r="Q21" s="93"/>
      <c r="R21" s="93"/>
      <c r="S21" s="93"/>
      <c r="T21" s="94"/>
    </row>
    <row r="22" spans="2:20" ht="74.650000000000006" customHeight="1">
      <c r="B22" s="178" t="s">
        <v>4</v>
      </c>
      <c r="C22" s="179"/>
      <c r="D22" s="12"/>
      <c r="E22" s="185" t="s">
        <v>5</v>
      </c>
      <c r="F22" s="185"/>
      <c r="G22" s="185"/>
      <c r="H22" s="185"/>
      <c r="I22" s="185"/>
      <c r="J22" s="185"/>
      <c r="K22" s="185"/>
      <c r="L22" s="185"/>
      <c r="M22" s="185"/>
      <c r="N22" s="185"/>
      <c r="O22" s="185"/>
      <c r="P22" s="185"/>
      <c r="Q22" s="185"/>
      <c r="R22" s="185"/>
      <c r="S22" s="185"/>
      <c r="T22" s="81"/>
    </row>
    <row r="23" spans="2:20" ht="83.65" customHeight="1">
      <c r="B23" s="178"/>
      <c r="C23" s="179"/>
      <c r="D23" s="12"/>
      <c r="E23" s="186" t="s">
        <v>6</v>
      </c>
      <c r="F23" s="186"/>
      <c r="G23" s="186"/>
      <c r="H23" s="186"/>
      <c r="I23" s="186"/>
      <c r="J23" s="186"/>
      <c r="K23" s="186"/>
      <c r="L23" s="186"/>
      <c r="M23" s="186"/>
      <c r="N23" s="186"/>
      <c r="O23" s="186"/>
      <c r="P23" s="186"/>
      <c r="Q23" s="186"/>
      <c r="R23" s="186"/>
      <c r="S23" s="186"/>
      <c r="T23" s="82"/>
    </row>
    <row r="24" spans="2:20" ht="97.5" customHeight="1">
      <c r="B24" s="178"/>
      <c r="C24" s="179"/>
      <c r="D24" s="12"/>
      <c r="E24" s="186" t="s">
        <v>7</v>
      </c>
      <c r="F24" s="186"/>
      <c r="G24" s="186"/>
      <c r="H24" s="186"/>
      <c r="I24" s="186"/>
      <c r="J24" s="186"/>
      <c r="K24" s="186"/>
      <c r="L24" s="186"/>
      <c r="M24" s="186"/>
      <c r="N24" s="186"/>
      <c r="O24" s="186"/>
      <c r="P24" s="186"/>
      <c r="Q24" s="186"/>
      <c r="R24" s="186"/>
      <c r="S24" s="186"/>
      <c r="T24" s="82"/>
    </row>
    <row r="25" spans="2:20" ht="14.1" customHeight="1" thickBot="1">
      <c r="B25" s="95"/>
      <c r="C25" s="85"/>
      <c r="D25" s="84"/>
      <c r="E25" s="96"/>
      <c r="F25" s="96"/>
      <c r="G25" s="96"/>
      <c r="H25" s="96"/>
      <c r="I25" s="96"/>
      <c r="J25" s="96"/>
      <c r="K25" s="96"/>
      <c r="L25" s="96"/>
      <c r="M25" s="96"/>
      <c r="N25" s="96"/>
      <c r="O25" s="96"/>
      <c r="P25" s="96"/>
      <c r="Q25" s="96"/>
      <c r="R25" s="96"/>
      <c r="S25" s="96"/>
      <c r="T25" s="97"/>
    </row>
    <row r="26" spans="2:20" ht="15" thickTop="1">
      <c r="B26" s="98"/>
      <c r="C26" s="107"/>
      <c r="D26" s="92"/>
      <c r="E26" s="92"/>
      <c r="F26" s="92"/>
      <c r="G26" s="92"/>
      <c r="H26" s="92"/>
      <c r="I26" s="92"/>
      <c r="J26" s="92"/>
      <c r="K26" s="92"/>
      <c r="L26" s="92"/>
      <c r="M26" s="92"/>
      <c r="N26" s="92"/>
      <c r="O26" s="92"/>
      <c r="P26" s="92"/>
      <c r="Q26" s="92"/>
      <c r="R26" s="92"/>
      <c r="S26" s="99"/>
      <c r="T26" s="100"/>
    </row>
    <row r="27" spans="2:20" ht="148.15" customHeight="1">
      <c r="B27" s="188" t="s">
        <v>8</v>
      </c>
      <c r="C27" s="189"/>
      <c r="D27" s="10"/>
      <c r="E27" s="186" t="s">
        <v>9</v>
      </c>
      <c r="F27" s="186"/>
      <c r="G27" s="186"/>
      <c r="H27" s="186"/>
      <c r="I27" s="186"/>
      <c r="J27" s="186"/>
      <c r="K27" s="186"/>
      <c r="L27" s="186"/>
      <c r="M27" s="186"/>
      <c r="N27" s="186"/>
      <c r="O27" s="186"/>
      <c r="P27" s="186"/>
      <c r="Q27" s="186"/>
      <c r="R27" s="186"/>
      <c r="S27" s="186"/>
      <c r="T27" s="82"/>
    </row>
    <row r="28" spans="2:20" ht="13.5" customHeight="1" thickBot="1">
      <c r="B28" s="101"/>
      <c r="C28" s="108"/>
      <c r="D28" s="102"/>
      <c r="E28" s="96"/>
      <c r="F28" s="96"/>
      <c r="G28" s="96"/>
      <c r="H28" s="96"/>
      <c r="I28" s="96"/>
      <c r="J28" s="96"/>
      <c r="K28" s="96"/>
      <c r="L28" s="96"/>
      <c r="M28" s="96"/>
      <c r="N28" s="96"/>
      <c r="O28" s="96"/>
      <c r="P28" s="96"/>
      <c r="Q28" s="96"/>
      <c r="R28" s="96"/>
      <c r="S28" s="96"/>
      <c r="T28" s="97"/>
    </row>
    <row r="29" spans="2:20" ht="15.6" thickTop="1" thickBot="1">
      <c r="B29" s="98"/>
      <c r="C29" s="107"/>
      <c r="D29" s="92"/>
      <c r="E29" s="92"/>
      <c r="F29" s="92"/>
      <c r="G29" s="92"/>
      <c r="H29" s="92"/>
      <c r="I29" s="92"/>
      <c r="J29" s="92"/>
      <c r="K29" s="92"/>
      <c r="L29" s="92"/>
      <c r="M29" s="92"/>
      <c r="N29" s="92"/>
      <c r="O29" s="92"/>
      <c r="P29" s="92"/>
      <c r="Q29" s="92"/>
      <c r="R29" s="92"/>
      <c r="S29" s="99"/>
      <c r="T29" s="100"/>
    </row>
    <row r="30" spans="2:20" ht="15.6" thickTop="1" thickBot="1">
      <c r="B30" s="188" t="s">
        <v>10</v>
      </c>
      <c r="C30" s="189"/>
      <c r="D30" s="10"/>
      <c r="E30" s="183" t="s">
        <v>11</v>
      </c>
      <c r="F30" s="183"/>
      <c r="G30" s="183"/>
      <c r="H30" s="183"/>
      <c r="I30" s="183"/>
      <c r="J30" s="183"/>
      <c r="K30" s="183"/>
      <c r="L30" s="183"/>
      <c r="M30" s="183"/>
      <c r="N30" s="183"/>
      <c r="O30" s="183"/>
      <c r="P30" s="13"/>
      <c r="Q30" s="190" t="s">
        <v>12</v>
      </c>
      <c r="R30" s="191"/>
      <c r="S30" s="9"/>
      <c r="T30" s="74"/>
    </row>
    <row r="31" spans="2:20" ht="15" thickTop="1">
      <c r="B31" s="188"/>
      <c r="C31" s="189"/>
      <c r="D31" s="10"/>
      <c r="E31" s="183"/>
      <c r="F31" s="183"/>
      <c r="G31" s="183"/>
      <c r="H31" s="183"/>
      <c r="I31" s="183"/>
      <c r="J31" s="183"/>
      <c r="K31" s="183"/>
      <c r="L31" s="183"/>
      <c r="M31" s="183"/>
      <c r="N31" s="183"/>
      <c r="O31" s="183"/>
      <c r="P31" s="13"/>
      <c r="Q31" s="73" t="s">
        <v>13</v>
      </c>
      <c r="R31" s="110">
        <v>1.4326647564469914</v>
      </c>
      <c r="S31" s="9"/>
      <c r="T31" s="74"/>
    </row>
    <row r="32" spans="2:20" ht="14.65" customHeight="1">
      <c r="B32" s="188"/>
      <c r="C32" s="189"/>
      <c r="D32" s="10"/>
      <c r="E32" s="183"/>
      <c r="F32" s="183"/>
      <c r="G32" s="183"/>
      <c r="H32" s="183"/>
      <c r="I32" s="183"/>
      <c r="J32" s="183"/>
      <c r="K32" s="183"/>
      <c r="L32" s="183"/>
      <c r="M32" s="183"/>
      <c r="N32" s="183"/>
      <c r="O32" s="183"/>
      <c r="P32" s="11"/>
      <c r="Q32" s="73" t="s">
        <v>14</v>
      </c>
      <c r="R32" s="110">
        <v>2.0408117215309693</v>
      </c>
      <c r="S32" s="9"/>
      <c r="T32" s="74"/>
    </row>
    <row r="33" spans="2:24">
      <c r="B33" s="188"/>
      <c r="C33" s="189"/>
      <c r="D33" s="10"/>
      <c r="E33" s="183"/>
      <c r="F33" s="183"/>
      <c r="G33" s="183"/>
      <c r="H33" s="183"/>
      <c r="I33" s="183"/>
      <c r="J33" s="183"/>
      <c r="K33" s="183"/>
      <c r="L33" s="183"/>
      <c r="M33" s="183"/>
      <c r="N33" s="183"/>
      <c r="O33" s="183"/>
      <c r="P33" s="11"/>
      <c r="Q33" s="73" t="s">
        <v>15</v>
      </c>
      <c r="R33" s="110">
        <v>1.5045789123242672</v>
      </c>
      <c r="S33" s="9"/>
      <c r="T33" s="74"/>
    </row>
    <row r="34" spans="2:24" ht="15" thickBot="1">
      <c r="B34" s="188"/>
      <c r="C34" s="189"/>
      <c r="D34" s="10"/>
      <c r="E34" s="183"/>
      <c r="F34" s="183"/>
      <c r="G34" s="183"/>
      <c r="H34" s="183"/>
      <c r="I34" s="183"/>
      <c r="J34" s="183"/>
      <c r="K34" s="183"/>
      <c r="L34" s="183"/>
      <c r="M34" s="183"/>
      <c r="N34" s="183"/>
      <c r="O34" s="183"/>
      <c r="P34" s="11"/>
      <c r="Q34" s="75" t="s">
        <v>16</v>
      </c>
      <c r="R34" s="111">
        <v>1.1756101852337386</v>
      </c>
      <c r="S34" s="9"/>
      <c r="T34" s="74"/>
    </row>
    <row r="35" spans="2:24" ht="15.6" thickTop="1" thickBot="1">
      <c r="B35" s="75"/>
      <c r="C35" s="109"/>
      <c r="D35" s="103"/>
      <c r="E35" s="103"/>
      <c r="F35" s="103"/>
      <c r="G35" s="103"/>
      <c r="H35" s="103"/>
      <c r="I35" s="103"/>
      <c r="J35" s="103"/>
      <c r="K35" s="103"/>
      <c r="L35" s="103"/>
      <c r="M35" s="103"/>
      <c r="N35" s="103"/>
      <c r="O35" s="103"/>
      <c r="P35" s="103"/>
      <c r="Q35" s="103"/>
      <c r="R35" s="103"/>
      <c r="S35" s="76"/>
      <c r="T35" s="77"/>
    </row>
    <row r="36" spans="2:24" ht="15" thickTop="1">
      <c r="B36" s="197" t="s">
        <v>17</v>
      </c>
      <c r="C36" s="198"/>
      <c r="D36" s="104"/>
      <c r="E36" s="99"/>
      <c r="F36" s="99"/>
      <c r="G36" s="99"/>
      <c r="H36" s="99"/>
      <c r="I36" s="99"/>
      <c r="J36" s="99"/>
      <c r="K36" s="99"/>
      <c r="L36" s="99"/>
      <c r="M36" s="99"/>
      <c r="N36" s="99"/>
      <c r="O36" s="99"/>
      <c r="P36" s="99"/>
      <c r="Q36" s="99"/>
      <c r="R36" s="99"/>
      <c r="S36" s="99"/>
      <c r="T36" s="100"/>
    </row>
    <row r="37" spans="2:24">
      <c r="B37" s="188"/>
      <c r="C37" s="189"/>
      <c r="D37" s="10"/>
      <c r="E37" s="201" t="s">
        <v>18</v>
      </c>
      <c r="F37" s="201"/>
      <c r="G37" s="201"/>
      <c r="H37" s="201"/>
      <c r="I37" s="201"/>
      <c r="J37" s="201"/>
      <c r="K37" s="201"/>
      <c r="L37" s="201"/>
      <c r="M37" s="201"/>
      <c r="N37" s="201"/>
      <c r="O37" s="201"/>
      <c r="P37" s="201"/>
      <c r="Q37" s="201"/>
      <c r="R37" s="201"/>
      <c r="S37" s="9"/>
      <c r="T37" s="74"/>
    </row>
    <row r="38" spans="2:24" ht="14.65" customHeight="1" thickBot="1">
      <c r="B38" s="199"/>
      <c r="C38" s="200"/>
      <c r="D38" s="102"/>
      <c r="E38" s="193"/>
      <c r="F38" s="193"/>
      <c r="G38" s="193"/>
      <c r="H38" s="193"/>
      <c r="I38" s="193"/>
      <c r="J38" s="193"/>
      <c r="K38" s="193"/>
      <c r="L38" s="193"/>
      <c r="M38" s="193"/>
      <c r="N38" s="193"/>
      <c r="O38" s="193"/>
      <c r="P38" s="193"/>
      <c r="Q38" s="193"/>
      <c r="R38" s="193"/>
      <c r="S38" s="193"/>
      <c r="T38" s="105"/>
    </row>
    <row r="39" spans="2:24" ht="15" thickTop="1">
      <c r="B39" s="73"/>
      <c r="C39" s="72"/>
      <c r="D39" s="15"/>
      <c r="E39" s="15"/>
      <c r="F39" s="15"/>
      <c r="G39" s="15"/>
      <c r="H39" s="15"/>
      <c r="I39" s="15"/>
      <c r="J39" s="15"/>
      <c r="K39" s="15"/>
      <c r="L39" s="15"/>
      <c r="M39" s="15"/>
      <c r="N39" s="15"/>
      <c r="O39" s="15"/>
      <c r="P39" s="9"/>
      <c r="Q39" s="9"/>
      <c r="R39" s="9"/>
      <c r="S39" s="9"/>
      <c r="T39" s="74"/>
    </row>
    <row r="40" spans="2:24">
      <c r="B40" s="195" t="s">
        <v>19</v>
      </c>
      <c r="C40" s="196"/>
      <c r="D40" s="14"/>
      <c r="E40" s="194">
        <v>44232</v>
      </c>
      <c r="F40" s="194"/>
      <c r="G40" s="194"/>
      <c r="H40" s="194"/>
      <c r="I40" s="194"/>
      <c r="J40" s="194"/>
      <c r="K40" s="194"/>
      <c r="L40" s="194"/>
      <c r="M40" s="194"/>
      <c r="N40" s="194"/>
      <c r="O40" s="194"/>
      <c r="P40" s="194"/>
      <c r="Q40" s="194"/>
      <c r="R40" s="194"/>
      <c r="S40" s="194"/>
      <c r="T40" s="83"/>
    </row>
    <row r="41" spans="2:24" ht="15" thickBot="1">
      <c r="B41" s="75"/>
      <c r="C41" s="77"/>
      <c r="D41" s="76"/>
      <c r="E41" s="76"/>
      <c r="F41" s="76"/>
      <c r="G41" s="76"/>
      <c r="H41" s="76"/>
      <c r="I41" s="76"/>
      <c r="J41" s="76"/>
      <c r="K41" s="76"/>
      <c r="L41" s="76"/>
      <c r="M41" s="76"/>
      <c r="N41" s="76"/>
      <c r="O41" s="76"/>
      <c r="P41" s="76"/>
      <c r="Q41" s="76"/>
      <c r="R41" s="76"/>
      <c r="S41" s="76"/>
      <c r="T41" s="77"/>
    </row>
    <row r="42" spans="2:24" ht="15" thickTop="1"/>
    <row r="43" spans="2:24"/>
    <row r="44" spans="2:24"/>
    <row r="45" spans="2:24"/>
    <row r="46" spans="2:24">
      <c r="I46" s="192"/>
      <c r="J46" s="192"/>
      <c r="K46" s="192"/>
      <c r="L46" s="192"/>
      <c r="M46" s="192"/>
      <c r="N46" s="192"/>
      <c r="O46" s="192"/>
      <c r="P46" s="192"/>
      <c r="Q46" s="192"/>
      <c r="R46" s="192"/>
      <c r="S46" s="192"/>
      <c r="T46" s="192"/>
      <c r="U46" s="192"/>
      <c r="V46" s="192"/>
      <c r="W46" s="192"/>
      <c r="X46" s="192"/>
    </row>
    <row r="47" spans="2:24"/>
    <row r="48" spans="2:24"/>
    <row r="49"/>
    <row r="50"/>
    <row r="51"/>
  </sheetData>
  <mergeCells count="20">
    <mergeCell ref="I46:X46"/>
    <mergeCell ref="E38:S38"/>
    <mergeCell ref="E40:S40"/>
    <mergeCell ref="B40:C40"/>
    <mergeCell ref="B36:C38"/>
    <mergeCell ref="E37:R37"/>
    <mergeCell ref="B27:C27"/>
    <mergeCell ref="E27:S27"/>
    <mergeCell ref="E30:O34"/>
    <mergeCell ref="Q30:R30"/>
    <mergeCell ref="B30:C32"/>
    <mergeCell ref="B33:C34"/>
    <mergeCell ref="B16:C18"/>
    <mergeCell ref="E16:S18"/>
    <mergeCell ref="E22:S22"/>
    <mergeCell ref="E23:S23"/>
    <mergeCell ref="B22:C24"/>
    <mergeCell ref="E24:S24"/>
    <mergeCell ref="B19:C19"/>
    <mergeCell ref="E19:S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909F0-FD2B-4D2E-AA9C-458747BA40BE}">
  <sheetPr>
    <tabColor theme="4" tint="0.59999389629810485"/>
  </sheetPr>
  <dimension ref="B1:Q80"/>
  <sheetViews>
    <sheetView topLeftCell="A34" workbookViewId="0">
      <selection activeCell="C49" sqref="C49"/>
    </sheetView>
  </sheetViews>
  <sheetFormatPr defaultColWidth="0" defaultRowHeight="14.45" zeroHeight="1"/>
  <cols>
    <col min="1" max="1" width="8.7109375" style="8" customWidth="1"/>
    <col min="2" max="2" width="45.42578125" customWidth="1"/>
    <col min="3" max="17" width="14.28515625" customWidth="1"/>
    <col min="18" max="21" width="8.7109375" style="8" customWidth="1"/>
    <col min="22" max="16384" width="0" style="8" hidden="1"/>
  </cols>
  <sheetData>
    <row r="1" spans="2:17" ht="15" thickBot="1">
      <c r="B1" s="8"/>
      <c r="C1" s="8"/>
      <c r="D1" s="8"/>
      <c r="E1" s="8"/>
      <c r="F1" s="8"/>
      <c r="G1" s="8"/>
      <c r="H1" s="8"/>
      <c r="I1" s="8"/>
      <c r="J1" s="8"/>
      <c r="K1" s="8"/>
      <c r="L1" s="8"/>
      <c r="M1" s="8"/>
      <c r="N1" s="8"/>
      <c r="O1" s="8"/>
      <c r="P1" s="8"/>
      <c r="Q1" s="8"/>
    </row>
    <row r="2" spans="2:17" ht="23.1" customHeight="1" thickTop="1" thickBot="1">
      <c r="B2" s="50" t="s">
        <v>20</v>
      </c>
      <c r="C2" s="211" t="s">
        <v>2</v>
      </c>
      <c r="D2" s="211"/>
      <c r="E2" s="211"/>
      <c r="F2" s="211"/>
      <c r="G2" s="211"/>
      <c r="H2" s="211"/>
      <c r="I2" s="211"/>
      <c r="J2" s="211"/>
      <c r="K2" s="211"/>
      <c r="L2" s="211"/>
      <c r="M2" s="211"/>
      <c r="N2" s="211"/>
      <c r="O2" s="211"/>
      <c r="P2" s="211"/>
      <c r="Q2" s="212"/>
    </row>
    <row r="3" spans="2:17" ht="15" thickTop="1">
      <c r="B3" s="51" t="s">
        <v>21</v>
      </c>
      <c r="C3" s="216" t="s">
        <v>22</v>
      </c>
      <c r="D3" s="217"/>
      <c r="E3" s="217"/>
      <c r="F3" s="217"/>
      <c r="G3" s="217"/>
      <c r="H3" s="217"/>
      <c r="I3" s="217"/>
      <c r="J3" s="217"/>
      <c r="K3" s="217"/>
      <c r="L3" s="217"/>
      <c r="M3" s="217"/>
      <c r="N3" s="217"/>
      <c r="O3" s="217"/>
      <c r="P3" s="217"/>
      <c r="Q3" s="218"/>
    </row>
    <row r="4" spans="2:17">
      <c r="B4" s="52" t="s">
        <v>23</v>
      </c>
      <c r="C4" s="205" t="s">
        <v>24</v>
      </c>
      <c r="D4" s="206"/>
      <c r="E4" s="206"/>
      <c r="F4" s="206"/>
      <c r="G4" s="206"/>
      <c r="H4" s="206"/>
      <c r="I4" s="206"/>
      <c r="J4" s="206"/>
      <c r="K4" s="206"/>
      <c r="L4" s="206"/>
      <c r="M4" s="206"/>
      <c r="N4" s="206"/>
      <c r="O4" s="206"/>
      <c r="P4" s="206"/>
      <c r="Q4" s="207"/>
    </row>
    <row r="5" spans="2:17">
      <c r="B5" s="52" t="s">
        <v>25</v>
      </c>
      <c r="C5" s="205" t="s">
        <v>26</v>
      </c>
      <c r="D5" s="206"/>
      <c r="E5" s="206"/>
      <c r="F5" s="206"/>
      <c r="G5" s="206"/>
      <c r="H5" s="206"/>
      <c r="I5" s="206"/>
      <c r="J5" s="206"/>
      <c r="K5" s="206"/>
      <c r="L5" s="206"/>
      <c r="M5" s="206"/>
      <c r="N5" s="206"/>
      <c r="O5" s="206"/>
      <c r="P5" s="206"/>
      <c r="Q5" s="207"/>
    </row>
    <row r="6" spans="2:17">
      <c r="B6" s="52" t="s">
        <v>27</v>
      </c>
      <c r="C6" s="205" t="s">
        <v>28</v>
      </c>
      <c r="D6" s="206"/>
      <c r="E6" s="206"/>
      <c r="F6" s="206"/>
      <c r="G6" s="206"/>
      <c r="H6" s="206"/>
      <c r="I6" s="206"/>
      <c r="J6" s="206"/>
      <c r="K6" s="206"/>
      <c r="L6" s="206"/>
      <c r="M6" s="206"/>
      <c r="N6" s="206"/>
      <c r="O6" s="206"/>
      <c r="P6" s="206"/>
      <c r="Q6" s="207"/>
    </row>
    <row r="7" spans="2:17">
      <c r="B7" s="52" t="s">
        <v>29</v>
      </c>
      <c r="C7" s="205" t="s">
        <v>30</v>
      </c>
      <c r="D7" s="206"/>
      <c r="E7" s="206"/>
      <c r="F7" s="206"/>
      <c r="G7" s="206"/>
      <c r="H7" s="206"/>
      <c r="I7" s="206"/>
      <c r="J7" s="206"/>
      <c r="K7" s="206"/>
      <c r="L7" s="206"/>
      <c r="M7" s="206"/>
      <c r="N7" s="206"/>
      <c r="O7" s="206"/>
      <c r="P7" s="206"/>
      <c r="Q7" s="207"/>
    </row>
    <row r="8" spans="2:17">
      <c r="B8" s="52" t="s">
        <v>31</v>
      </c>
      <c r="C8" s="205" t="s">
        <v>32</v>
      </c>
      <c r="D8" s="206"/>
      <c r="E8" s="206"/>
      <c r="F8" s="206"/>
      <c r="G8" s="206"/>
      <c r="H8" s="206"/>
      <c r="I8" s="206"/>
      <c r="J8" s="206"/>
      <c r="K8" s="206"/>
      <c r="L8" s="206"/>
      <c r="M8" s="206"/>
      <c r="N8" s="206"/>
      <c r="O8" s="206"/>
      <c r="P8" s="206"/>
      <c r="Q8" s="207"/>
    </row>
    <row r="9" spans="2:17">
      <c r="B9" s="52" t="s">
        <v>33</v>
      </c>
      <c r="C9" s="205" t="s">
        <v>34</v>
      </c>
      <c r="D9" s="206"/>
      <c r="E9" s="206"/>
      <c r="F9" s="206"/>
      <c r="G9" s="206"/>
      <c r="H9" s="206"/>
      <c r="I9" s="206"/>
      <c r="J9" s="206"/>
      <c r="K9" s="206"/>
      <c r="L9" s="206"/>
      <c r="M9" s="206"/>
      <c r="N9" s="206"/>
      <c r="O9" s="206"/>
      <c r="P9" s="206"/>
      <c r="Q9" s="207"/>
    </row>
    <row r="10" spans="2:17">
      <c r="B10" s="52" t="s">
        <v>35</v>
      </c>
      <c r="C10" s="205" t="s">
        <v>36</v>
      </c>
      <c r="D10" s="206"/>
      <c r="E10" s="206"/>
      <c r="F10" s="206"/>
      <c r="G10" s="206"/>
      <c r="H10" s="206"/>
      <c r="I10" s="206"/>
      <c r="J10" s="206"/>
      <c r="K10" s="206"/>
      <c r="L10" s="206"/>
      <c r="M10" s="206"/>
      <c r="N10" s="206"/>
      <c r="O10" s="206"/>
      <c r="P10" s="206"/>
      <c r="Q10" s="207"/>
    </row>
    <row r="11" spans="2:17">
      <c r="B11" s="52" t="s">
        <v>37</v>
      </c>
      <c r="C11" s="205" t="s">
        <v>38</v>
      </c>
      <c r="D11" s="206"/>
      <c r="E11" s="206"/>
      <c r="F11" s="206"/>
      <c r="G11" s="206"/>
      <c r="H11" s="206"/>
      <c r="I11" s="206"/>
      <c r="J11" s="206"/>
      <c r="K11" s="206"/>
      <c r="L11" s="206"/>
      <c r="M11" s="206"/>
      <c r="N11" s="206"/>
      <c r="O11" s="206"/>
      <c r="P11" s="206"/>
      <c r="Q11" s="207"/>
    </row>
    <row r="12" spans="2:17">
      <c r="B12" s="52" t="s">
        <v>39</v>
      </c>
      <c r="C12" s="205" t="s">
        <v>40</v>
      </c>
      <c r="D12" s="206"/>
      <c r="E12" s="206"/>
      <c r="F12" s="206"/>
      <c r="G12" s="206"/>
      <c r="H12" s="206"/>
      <c r="I12" s="206"/>
      <c r="J12" s="206"/>
      <c r="K12" s="206"/>
      <c r="L12" s="206"/>
      <c r="M12" s="206"/>
      <c r="N12" s="206"/>
      <c r="O12" s="206"/>
      <c r="P12" s="206"/>
      <c r="Q12" s="207"/>
    </row>
    <row r="13" spans="2:17">
      <c r="B13" s="52" t="s">
        <v>41</v>
      </c>
      <c r="C13" s="205" t="s">
        <v>42</v>
      </c>
      <c r="D13" s="206"/>
      <c r="E13" s="206"/>
      <c r="F13" s="206"/>
      <c r="G13" s="206"/>
      <c r="H13" s="206"/>
      <c r="I13" s="206"/>
      <c r="J13" s="206"/>
      <c r="K13" s="206"/>
      <c r="L13" s="206"/>
      <c r="M13" s="206"/>
      <c r="N13" s="206"/>
      <c r="O13" s="206"/>
      <c r="P13" s="206"/>
      <c r="Q13" s="207"/>
    </row>
    <row r="14" spans="2:17">
      <c r="B14" s="52" t="s">
        <v>43</v>
      </c>
      <c r="C14" s="205" t="s">
        <v>44</v>
      </c>
      <c r="D14" s="206"/>
      <c r="E14" s="206"/>
      <c r="F14" s="206"/>
      <c r="G14" s="206"/>
      <c r="H14" s="206"/>
      <c r="I14" s="206"/>
      <c r="J14" s="206"/>
      <c r="K14" s="206"/>
      <c r="L14" s="206"/>
      <c r="M14" s="206"/>
      <c r="N14" s="206"/>
      <c r="O14" s="206"/>
      <c r="P14" s="206"/>
      <c r="Q14" s="207"/>
    </row>
    <row r="15" spans="2:17">
      <c r="B15" s="52" t="s">
        <v>45</v>
      </c>
      <c r="C15" s="205" t="s">
        <v>46</v>
      </c>
      <c r="D15" s="206"/>
      <c r="E15" s="206"/>
      <c r="F15" s="206"/>
      <c r="G15" s="206"/>
      <c r="H15" s="206"/>
      <c r="I15" s="206"/>
      <c r="J15" s="206"/>
      <c r="K15" s="206"/>
      <c r="L15" s="206"/>
      <c r="M15" s="206"/>
      <c r="N15" s="206"/>
      <c r="O15" s="206"/>
      <c r="P15" s="206"/>
      <c r="Q15" s="207"/>
    </row>
    <row r="16" spans="2:17">
      <c r="B16" s="52" t="s">
        <v>47</v>
      </c>
      <c r="C16" s="205" t="s">
        <v>48</v>
      </c>
      <c r="D16" s="206"/>
      <c r="E16" s="206"/>
      <c r="F16" s="206"/>
      <c r="G16" s="206"/>
      <c r="H16" s="206"/>
      <c r="I16" s="206"/>
      <c r="J16" s="206"/>
      <c r="K16" s="206"/>
      <c r="L16" s="206"/>
      <c r="M16" s="206"/>
      <c r="N16" s="206"/>
      <c r="O16" s="206"/>
      <c r="P16" s="206"/>
      <c r="Q16" s="207"/>
    </row>
    <row r="17" spans="2:17">
      <c r="B17" s="52" t="s">
        <v>49</v>
      </c>
      <c r="C17" s="205" t="s">
        <v>50</v>
      </c>
      <c r="D17" s="206"/>
      <c r="E17" s="206"/>
      <c r="F17" s="206"/>
      <c r="G17" s="206"/>
      <c r="H17" s="206"/>
      <c r="I17" s="206"/>
      <c r="J17" s="206"/>
      <c r="K17" s="206"/>
      <c r="L17" s="206"/>
      <c r="M17" s="206"/>
      <c r="N17" s="206"/>
      <c r="O17" s="206"/>
      <c r="P17" s="206"/>
      <c r="Q17" s="207"/>
    </row>
    <row r="18" spans="2:17">
      <c r="B18" s="52" t="s">
        <v>51</v>
      </c>
      <c r="C18" s="205" t="s">
        <v>52</v>
      </c>
      <c r="D18" s="206"/>
      <c r="E18" s="206"/>
      <c r="F18" s="206"/>
      <c r="G18" s="206"/>
      <c r="H18" s="206"/>
      <c r="I18" s="206"/>
      <c r="J18" s="206"/>
      <c r="K18" s="206"/>
      <c r="L18" s="206"/>
      <c r="M18" s="206"/>
      <c r="N18" s="206"/>
      <c r="O18" s="206"/>
      <c r="P18" s="206"/>
      <c r="Q18" s="207"/>
    </row>
    <row r="19" spans="2:17">
      <c r="B19" s="52" t="s">
        <v>53</v>
      </c>
      <c r="C19" s="205" t="s">
        <v>54</v>
      </c>
      <c r="D19" s="206"/>
      <c r="E19" s="206"/>
      <c r="F19" s="206"/>
      <c r="G19" s="206"/>
      <c r="H19" s="206"/>
      <c r="I19" s="206"/>
      <c r="J19" s="206"/>
      <c r="K19" s="206"/>
      <c r="L19" s="206"/>
      <c r="M19" s="206"/>
      <c r="N19" s="206"/>
      <c r="O19" s="206"/>
      <c r="P19" s="206"/>
      <c r="Q19" s="207"/>
    </row>
    <row r="20" spans="2:17">
      <c r="B20" s="52" t="s">
        <v>2</v>
      </c>
      <c r="C20" s="205" t="s">
        <v>55</v>
      </c>
      <c r="D20" s="206"/>
      <c r="E20" s="206"/>
      <c r="F20" s="206"/>
      <c r="G20" s="206"/>
      <c r="H20" s="206"/>
      <c r="I20" s="206"/>
      <c r="J20" s="206"/>
      <c r="K20" s="206"/>
      <c r="L20" s="206"/>
      <c r="M20" s="206"/>
      <c r="N20" s="206"/>
      <c r="O20" s="206"/>
      <c r="P20" s="206"/>
      <c r="Q20" s="207"/>
    </row>
    <row r="21" spans="2:17">
      <c r="B21" s="52" t="s">
        <v>56</v>
      </c>
      <c r="C21" s="205" t="s">
        <v>57</v>
      </c>
      <c r="D21" s="206"/>
      <c r="E21" s="206"/>
      <c r="F21" s="206"/>
      <c r="G21" s="206"/>
      <c r="H21" s="206"/>
      <c r="I21" s="206"/>
      <c r="J21" s="206"/>
      <c r="K21" s="206"/>
      <c r="L21" s="206"/>
      <c r="M21" s="206"/>
      <c r="N21" s="206"/>
      <c r="O21" s="206"/>
      <c r="P21" s="206"/>
      <c r="Q21" s="207"/>
    </row>
    <row r="22" spans="2:17">
      <c r="B22" s="52" t="s">
        <v>58</v>
      </c>
      <c r="C22" s="205" t="s">
        <v>59</v>
      </c>
      <c r="D22" s="206"/>
      <c r="E22" s="206"/>
      <c r="F22" s="206"/>
      <c r="G22" s="206"/>
      <c r="H22" s="206"/>
      <c r="I22" s="206"/>
      <c r="J22" s="206"/>
      <c r="K22" s="206"/>
      <c r="L22" s="206"/>
      <c r="M22" s="206"/>
      <c r="N22" s="206"/>
      <c r="O22" s="206"/>
      <c r="P22" s="206"/>
      <c r="Q22" s="207"/>
    </row>
    <row r="23" spans="2:17" ht="31.5" customHeight="1">
      <c r="B23" s="52" t="s">
        <v>60</v>
      </c>
      <c r="C23" s="202" t="s">
        <v>61</v>
      </c>
      <c r="D23" s="203"/>
      <c r="E23" s="203"/>
      <c r="F23" s="203"/>
      <c r="G23" s="203"/>
      <c r="H23" s="203"/>
      <c r="I23" s="203"/>
      <c r="J23" s="203"/>
      <c r="K23" s="203"/>
      <c r="L23" s="203"/>
      <c r="M23" s="203"/>
      <c r="N23" s="203"/>
      <c r="O23" s="203"/>
      <c r="P23" s="203"/>
      <c r="Q23" s="204"/>
    </row>
    <row r="24" spans="2:17">
      <c r="B24" s="52" t="s">
        <v>62</v>
      </c>
      <c r="C24" s="205" t="s">
        <v>63</v>
      </c>
      <c r="D24" s="206"/>
      <c r="E24" s="206"/>
      <c r="F24" s="206"/>
      <c r="G24" s="206"/>
      <c r="H24" s="206"/>
      <c r="I24" s="206"/>
      <c r="J24" s="206"/>
      <c r="K24" s="206"/>
      <c r="L24" s="206"/>
      <c r="M24" s="206"/>
      <c r="N24" s="206"/>
      <c r="O24" s="206"/>
      <c r="P24" s="206"/>
      <c r="Q24" s="207"/>
    </row>
    <row r="25" spans="2:17" ht="32.1" customHeight="1">
      <c r="B25" s="52" t="s">
        <v>64</v>
      </c>
      <c r="C25" s="202" t="s">
        <v>65</v>
      </c>
      <c r="D25" s="203"/>
      <c r="E25" s="203"/>
      <c r="F25" s="203"/>
      <c r="G25" s="203"/>
      <c r="H25" s="203"/>
      <c r="I25" s="203"/>
      <c r="J25" s="203"/>
      <c r="K25" s="203"/>
      <c r="L25" s="203"/>
      <c r="M25" s="203"/>
      <c r="N25" s="203"/>
      <c r="O25" s="203"/>
      <c r="P25" s="203"/>
      <c r="Q25" s="204"/>
    </row>
    <row r="26" spans="2:17">
      <c r="B26" s="52" t="s">
        <v>66</v>
      </c>
      <c r="C26" s="205" t="s">
        <v>67</v>
      </c>
      <c r="D26" s="206"/>
      <c r="E26" s="206"/>
      <c r="F26" s="206"/>
      <c r="G26" s="206"/>
      <c r="H26" s="206"/>
      <c r="I26" s="206"/>
      <c r="J26" s="206"/>
      <c r="K26" s="206"/>
      <c r="L26" s="206"/>
      <c r="M26" s="206"/>
      <c r="N26" s="206"/>
      <c r="O26" s="206"/>
      <c r="P26" s="206"/>
      <c r="Q26" s="207"/>
    </row>
    <row r="27" spans="2:17">
      <c r="B27" s="52" t="s">
        <v>68</v>
      </c>
      <c r="C27" s="213" t="s">
        <v>69</v>
      </c>
      <c r="D27" s="214"/>
      <c r="E27" s="214"/>
      <c r="F27" s="214"/>
      <c r="G27" s="214"/>
      <c r="H27" s="214"/>
      <c r="I27" s="214"/>
      <c r="J27" s="214"/>
      <c r="K27" s="214"/>
      <c r="L27" s="214"/>
      <c r="M27" s="214"/>
      <c r="N27" s="214"/>
      <c r="O27" s="214"/>
      <c r="P27" s="214"/>
      <c r="Q27" s="215"/>
    </row>
    <row r="28" spans="2:17">
      <c r="B28" s="52" t="s">
        <v>70</v>
      </c>
      <c r="C28" s="205" t="s">
        <v>71</v>
      </c>
      <c r="D28" s="206"/>
      <c r="E28" s="206"/>
      <c r="F28" s="206"/>
      <c r="G28" s="206"/>
      <c r="H28" s="206"/>
      <c r="I28" s="206"/>
      <c r="J28" s="206"/>
      <c r="K28" s="206"/>
      <c r="L28" s="206"/>
      <c r="M28" s="206"/>
      <c r="N28" s="206"/>
      <c r="O28" s="206"/>
      <c r="P28" s="206"/>
      <c r="Q28" s="207"/>
    </row>
    <row r="29" spans="2:17">
      <c r="B29" s="52" t="s">
        <v>72</v>
      </c>
      <c r="C29" s="205" t="s">
        <v>73</v>
      </c>
      <c r="D29" s="206"/>
      <c r="E29" s="206"/>
      <c r="F29" s="206"/>
      <c r="G29" s="206"/>
      <c r="H29" s="206"/>
      <c r="I29" s="206"/>
      <c r="J29" s="206"/>
      <c r="K29" s="206"/>
      <c r="L29" s="206"/>
      <c r="M29" s="206"/>
      <c r="N29" s="206"/>
      <c r="O29" s="206"/>
      <c r="P29" s="206"/>
      <c r="Q29" s="207"/>
    </row>
    <row r="30" spans="2:17">
      <c r="B30" s="52" t="s">
        <v>74</v>
      </c>
      <c r="C30" s="205" t="s">
        <v>75</v>
      </c>
      <c r="D30" s="206"/>
      <c r="E30" s="206"/>
      <c r="F30" s="206"/>
      <c r="G30" s="206"/>
      <c r="H30" s="206"/>
      <c r="I30" s="206"/>
      <c r="J30" s="206"/>
      <c r="K30" s="206"/>
      <c r="L30" s="206"/>
      <c r="M30" s="206"/>
      <c r="N30" s="206"/>
      <c r="O30" s="206"/>
      <c r="P30" s="206"/>
      <c r="Q30" s="207"/>
    </row>
    <row r="31" spans="2:17">
      <c r="B31" s="52" t="s">
        <v>76</v>
      </c>
      <c r="C31" s="205" t="s">
        <v>77</v>
      </c>
      <c r="D31" s="206"/>
      <c r="E31" s="206"/>
      <c r="F31" s="206"/>
      <c r="G31" s="206"/>
      <c r="H31" s="206"/>
      <c r="I31" s="206"/>
      <c r="J31" s="206"/>
      <c r="K31" s="206"/>
      <c r="L31" s="206"/>
      <c r="M31" s="206"/>
      <c r="N31" s="206"/>
      <c r="O31" s="206"/>
      <c r="P31" s="206"/>
      <c r="Q31" s="207"/>
    </row>
    <row r="32" spans="2:17">
      <c r="B32" s="52" t="s">
        <v>78</v>
      </c>
      <c r="C32" s="205" t="s">
        <v>79</v>
      </c>
      <c r="D32" s="206"/>
      <c r="E32" s="206"/>
      <c r="F32" s="206"/>
      <c r="G32" s="206"/>
      <c r="H32" s="206"/>
      <c r="I32" s="206"/>
      <c r="J32" s="206"/>
      <c r="K32" s="206"/>
      <c r="L32" s="206"/>
      <c r="M32" s="206"/>
      <c r="N32" s="206"/>
      <c r="O32" s="206"/>
      <c r="P32" s="206"/>
      <c r="Q32" s="207"/>
    </row>
    <row r="33" spans="2:17">
      <c r="B33" s="52" t="s">
        <v>80</v>
      </c>
      <c r="C33" s="205" t="s">
        <v>81</v>
      </c>
      <c r="D33" s="206"/>
      <c r="E33" s="206"/>
      <c r="F33" s="206"/>
      <c r="G33" s="206"/>
      <c r="H33" s="206"/>
      <c r="I33" s="206"/>
      <c r="J33" s="206"/>
      <c r="K33" s="206"/>
      <c r="L33" s="206"/>
      <c r="M33" s="206"/>
      <c r="N33" s="206"/>
      <c r="O33" s="206"/>
      <c r="P33" s="206"/>
      <c r="Q33" s="207"/>
    </row>
    <row r="34" spans="2:17">
      <c r="B34" s="52" t="s">
        <v>82</v>
      </c>
      <c r="C34" s="205" t="s">
        <v>83</v>
      </c>
      <c r="D34" s="206"/>
      <c r="E34" s="206"/>
      <c r="F34" s="206"/>
      <c r="G34" s="206"/>
      <c r="H34" s="206"/>
      <c r="I34" s="206"/>
      <c r="J34" s="206"/>
      <c r="K34" s="206"/>
      <c r="L34" s="206"/>
      <c r="M34" s="206"/>
      <c r="N34" s="206"/>
      <c r="O34" s="206"/>
      <c r="P34" s="206"/>
      <c r="Q34" s="207"/>
    </row>
    <row r="35" spans="2:17">
      <c r="B35" s="52" t="s">
        <v>84</v>
      </c>
      <c r="C35" s="205" t="s">
        <v>85</v>
      </c>
      <c r="D35" s="206"/>
      <c r="E35" s="206"/>
      <c r="F35" s="206"/>
      <c r="G35" s="206"/>
      <c r="H35" s="206"/>
      <c r="I35" s="206"/>
      <c r="J35" s="206"/>
      <c r="K35" s="206"/>
      <c r="L35" s="206"/>
      <c r="M35" s="206"/>
      <c r="N35" s="206"/>
      <c r="O35" s="206"/>
      <c r="P35" s="206"/>
      <c r="Q35" s="207"/>
    </row>
    <row r="36" spans="2:17">
      <c r="B36" s="52" t="s">
        <v>86</v>
      </c>
      <c r="C36" s="205" t="s">
        <v>87</v>
      </c>
      <c r="D36" s="206"/>
      <c r="E36" s="206"/>
      <c r="F36" s="206"/>
      <c r="G36" s="206"/>
      <c r="H36" s="206"/>
      <c r="I36" s="206"/>
      <c r="J36" s="206"/>
      <c r="K36" s="206"/>
      <c r="L36" s="206"/>
      <c r="M36" s="206"/>
      <c r="N36" s="206"/>
      <c r="O36" s="206"/>
      <c r="P36" s="206"/>
      <c r="Q36" s="207"/>
    </row>
    <row r="37" spans="2:17">
      <c r="B37" s="52" t="s">
        <v>88</v>
      </c>
      <c r="C37" s="205" t="s">
        <v>89</v>
      </c>
      <c r="D37" s="206"/>
      <c r="E37" s="206"/>
      <c r="F37" s="206"/>
      <c r="G37" s="206"/>
      <c r="H37" s="206"/>
      <c r="I37" s="206"/>
      <c r="J37" s="206"/>
      <c r="K37" s="206"/>
      <c r="L37" s="206"/>
      <c r="M37" s="206"/>
      <c r="N37" s="206"/>
      <c r="O37" s="206"/>
      <c r="P37" s="206"/>
      <c r="Q37" s="207"/>
    </row>
    <row r="38" spans="2:17">
      <c r="B38" s="52" t="s">
        <v>90</v>
      </c>
      <c r="C38" s="205" t="s">
        <v>91</v>
      </c>
      <c r="D38" s="206"/>
      <c r="E38" s="206"/>
      <c r="F38" s="206"/>
      <c r="G38" s="206"/>
      <c r="H38" s="206"/>
      <c r="I38" s="206"/>
      <c r="J38" s="206"/>
      <c r="K38" s="206"/>
      <c r="L38" s="206"/>
      <c r="M38" s="206"/>
      <c r="N38" s="206"/>
      <c r="O38" s="206"/>
      <c r="P38" s="206"/>
      <c r="Q38" s="207"/>
    </row>
    <row r="39" spans="2:17">
      <c r="B39" s="52" t="s">
        <v>92</v>
      </c>
      <c r="C39" s="205" t="s">
        <v>93</v>
      </c>
      <c r="D39" s="206"/>
      <c r="E39" s="206"/>
      <c r="F39" s="206"/>
      <c r="G39" s="206"/>
      <c r="H39" s="206"/>
      <c r="I39" s="206"/>
      <c r="J39" s="206"/>
      <c r="K39" s="206"/>
      <c r="L39" s="206"/>
      <c r="M39" s="206"/>
      <c r="N39" s="206"/>
      <c r="O39" s="206"/>
      <c r="P39" s="206"/>
      <c r="Q39" s="207"/>
    </row>
    <row r="40" spans="2:17">
      <c r="B40" s="52" t="s">
        <v>94</v>
      </c>
      <c r="C40" s="205" t="s">
        <v>95</v>
      </c>
      <c r="D40" s="206"/>
      <c r="E40" s="206"/>
      <c r="F40" s="206"/>
      <c r="G40" s="206"/>
      <c r="H40" s="206"/>
      <c r="I40" s="206"/>
      <c r="J40" s="206"/>
      <c r="K40" s="206"/>
      <c r="L40" s="206"/>
      <c r="M40" s="206"/>
      <c r="N40" s="206"/>
      <c r="O40" s="206"/>
      <c r="P40" s="206"/>
      <c r="Q40" s="207"/>
    </row>
    <row r="41" spans="2:17">
      <c r="B41" s="52" t="s">
        <v>96</v>
      </c>
      <c r="C41" s="205" t="s">
        <v>79</v>
      </c>
      <c r="D41" s="206"/>
      <c r="E41" s="206"/>
      <c r="F41" s="206"/>
      <c r="G41" s="206"/>
      <c r="H41" s="206"/>
      <c r="I41" s="206"/>
      <c r="J41" s="206"/>
      <c r="K41" s="206"/>
      <c r="L41" s="206"/>
      <c r="M41" s="206"/>
      <c r="N41" s="206"/>
      <c r="O41" s="206"/>
      <c r="P41" s="206"/>
      <c r="Q41" s="207"/>
    </row>
    <row r="42" spans="2:17" ht="34.15" customHeight="1">
      <c r="B42" s="52" t="s">
        <v>97</v>
      </c>
      <c r="C42" s="202" t="s">
        <v>98</v>
      </c>
      <c r="D42" s="203"/>
      <c r="E42" s="203"/>
      <c r="F42" s="203"/>
      <c r="G42" s="203"/>
      <c r="H42" s="203"/>
      <c r="I42" s="203"/>
      <c r="J42" s="203"/>
      <c r="K42" s="203"/>
      <c r="L42" s="203"/>
      <c r="M42" s="203"/>
      <c r="N42" s="203"/>
      <c r="O42" s="203"/>
      <c r="P42" s="203"/>
      <c r="Q42" s="204"/>
    </row>
    <row r="43" spans="2:17">
      <c r="B43" s="52" t="s">
        <v>99</v>
      </c>
      <c r="C43" s="205" t="s">
        <v>100</v>
      </c>
      <c r="D43" s="206"/>
      <c r="E43" s="206"/>
      <c r="F43" s="206"/>
      <c r="G43" s="206"/>
      <c r="H43" s="206"/>
      <c r="I43" s="206"/>
      <c r="J43" s="206"/>
      <c r="K43" s="206"/>
      <c r="L43" s="206"/>
      <c r="M43" s="206"/>
      <c r="N43" s="206"/>
      <c r="O43" s="206"/>
      <c r="P43" s="206"/>
      <c r="Q43" s="207"/>
    </row>
    <row r="44" spans="2:17" ht="29.1" customHeight="1">
      <c r="B44" s="52" t="s">
        <v>101</v>
      </c>
      <c r="C44" s="202" t="s">
        <v>102</v>
      </c>
      <c r="D44" s="203"/>
      <c r="E44" s="203"/>
      <c r="F44" s="203"/>
      <c r="G44" s="203"/>
      <c r="H44" s="203"/>
      <c r="I44" s="203"/>
      <c r="J44" s="203"/>
      <c r="K44" s="203"/>
      <c r="L44" s="203"/>
      <c r="M44" s="203"/>
      <c r="N44" s="203"/>
      <c r="O44" s="203"/>
      <c r="P44" s="203"/>
      <c r="Q44" s="204"/>
    </row>
    <row r="45" spans="2:17" ht="30" customHeight="1">
      <c r="B45" s="52" t="s">
        <v>103</v>
      </c>
      <c r="C45" s="202" t="s">
        <v>104</v>
      </c>
      <c r="D45" s="203"/>
      <c r="E45" s="203"/>
      <c r="F45" s="203"/>
      <c r="G45" s="203"/>
      <c r="H45" s="203"/>
      <c r="I45" s="203"/>
      <c r="J45" s="203"/>
      <c r="K45" s="203"/>
      <c r="L45" s="203"/>
      <c r="M45" s="203"/>
      <c r="N45" s="203"/>
      <c r="O45" s="203"/>
      <c r="P45" s="203"/>
      <c r="Q45" s="204"/>
    </row>
    <row r="46" spans="2:17">
      <c r="B46" s="52" t="s">
        <v>105</v>
      </c>
      <c r="C46" s="205" t="s">
        <v>106</v>
      </c>
      <c r="D46" s="206"/>
      <c r="E46" s="206"/>
      <c r="F46" s="206"/>
      <c r="G46" s="206"/>
      <c r="H46" s="206"/>
      <c r="I46" s="206"/>
      <c r="J46" s="206"/>
      <c r="K46" s="206"/>
      <c r="L46" s="206"/>
      <c r="M46" s="206"/>
      <c r="N46" s="206"/>
      <c r="O46" s="206"/>
      <c r="P46" s="206"/>
      <c r="Q46" s="207"/>
    </row>
    <row r="47" spans="2:17">
      <c r="B47" s="52" t="s">
        <v>107</v>
      </c>
      <c r="C47" s="205" t="s">
        <v>108</v>
      </c>
      <c r="D47" s="206"/>
      <c r="E47" s="206"/>
      <c r="F47" s="206"/>
      <c r="G47" s="206"/>
      <c r="H47" s="206"/>
      <c r="I47" s="206"/>
      <c r="J47" s="206"/>
      <c r="K47" s="206"/>
      <c r="L47" s="206"/>
      <c r="M47" s="206"/>
      <c r="N47" s="206"/>
      <c r="O47" s="206"/>
      <c r="P47" s="206"/>
      <c r="Q47" s="207"/>
    </row>
    <row r="48" spans="2:17" ht="15" thickBot="1">
      <c r="B48" s="53" t="s">
        <v>109</v>
      </c>
      <c r="C48" s="208" t="s">
        <v>110</v>
      </c>
      <c r="D48" s="209"/>
      <c r="E48" s="209"/>
      <c r="F48" s="209"/>
      <c r="G48" s="209"/>
      <c r="H48" s="209"/>
      <c r="I48" s="209"/>
      <c r="J48" s="209"/>
      <c r="K48" s="209"/>
      <c r="L48" s="209"/>
      <c r="M48" s="209"/>
      <c r="N48" s="209"/>
      <c r="O48" s="209"/>
      <c r="P48" s="209"/>
      <c r="Q48" s="210"/>
    </row>
    <row r="49" s="8" customFormat="1" ht="15" thickTop="1"/>
    <row r="50" s="8" customFormat="1"/>
    <row r="51" s="8" customFormat="1"/>
    <row r="52" s="8" customFormat="1"/>
    <row r="53" s="8" customFormat="1"/>
    <row r="54" s="8" customFormat="1"/>
    <row r="55" s="8" customFormat="1"/>
    <row r="56" s="8" customFormat="1"/>
    <row r="57" s="8" customFormat="1"/>
    <row r="58" s="8" customFormat="1"/>
    <row r="59" s="8" customFormat="1"/>
    <row r="60" s="8" customFormat="1"/>
    <row r="61" s="8" customFormat="1"/>
    <row r="62" s="8" customFormat="1"/>
    <row r="63" s="8" customFormat="1"/>
    <row r="64" s="8" customFormat="1"/>
    <row r="65" s="8" customFormat="1"/>
    <row r="66" s="8" customFormat="1"/>
    <row r="67" s="8" customFormat="1"/>
    <row r="68" s="8" customFormat="1"/>
    <row r="69" s="8" customFormat="1"/>
    <row r="70" s="8" customFormat="1"/>
    <row r="71" s="8" customFormat="1"/>
    <row r="72" s="8" customFormat="1"/>
    <row r="73" s="8" customFormat="1"/>
    <row r="74" s="8" customFormat="1"/>
    <row r="75" s="8" customFormat="1"/>
    <row r="76" s="8" customFormat="1"/>
    <row r="77" s="8" customFormat="1"/>
    <row r="78" s="8" customFormat="1"/>
    <row r="79" s="8" customFormat="1"/>
    <row r="80" s="8" customFormat="1" hidden="1"/>
  </sheetData>
  <mergeCells count="47">
    <mergeCell ref="C14:Q14"/>
    <mergeCell ref="C3:Q3"/>
    <mergeCell ref="C4:Q4"/>
    <mergeCell ref="C5:Q5"/>
    <mergeCell ref="C6:Q6"/>
    <mergeCell ref="C7:Q7"/>
    <mergeCell ref="C8:Q8"/>
    <mergeCell ref="C9:Q9"/>
    <mergeCell ref="C10:Q10"/>
    <mergeCell ref="C11:Q11"/>
    <mergeCell ref="C12:Q12"/>
    <mergeCell ref="C13:Q13"/>
    <mergeCell ref="C26:Q26"/>
    <mergeCell ref="C15:Q15"/>
    <mergeCell ref="C16:Q16"/>
    <mergeCell ref="C17:Q17"/>
    <mergeCell ref="C18:Q18"/>
    <mergeCell ref="C19:Q19"/>
    <mergeCell ref="C20:Q20"/>
    <mergeCell ref="C21:Q21"/>
    <mergeCell ref="C22:Q22"/>
    <mergeCell ref="C23:Q23"/>
    <mergeCell ref="C24:Q24"/>
    <mergeCell ref="C25:Q25"/>
    <mergeCell ref="C38:Q38"/>
    <mergeCell ref="C27:Q27"/>
    <mergeCell ref="C28:Q28"/>
    <mergeCell ref="C29:Q29"/>
    <mergeCell ref="C30:Q30"/>
    <mergeCell ref="C31:Q31"/>
    <mergeCell ref="C32:Q32"/>
    <mergeCell ref="C45:Q45"/>
    <mergeCell ref="C46:Q46"/>
    <mergeCell ref="C47:Q47"/>
    <mergeCell ref="C48:Q48"/>
    <mergeCell ref="C2:Q2"/>
    <mergeCell ref="C39:Q39"/>
    <mergeCell ref="C40:Q40"/>
    <mergeCell ref="C41:Q41"/>
    <mergeCell ref="C42:Q42"/>
    <mergeCell ref="C43:Q43"/>
    <mergeCell ref="C44:Q44"/>
    <mergeCell ref="C33:Q33"/>
    <mergeCell ref="C34:Q34"/>
    <mergeCell ref="C35:Q35"/>
    <mergeCell ref="C36:Q36"/>
    <mergeCell ref="C37:Q37"/>
  </mergeCells>
  <conditionalFormatting sqref="B43:B48">
    <cfRule type="containsErrors" dxfId="90" priority="1">
      <formula>ISERROR(B43)</formula>
    </cfRule>
  </conditionalFormatting>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A2264-893E-49C0-B1E8-07D6EABF9CED}">
  <sheetPr>
    <tabColor theme="4" tint="0.59999389629810485"/>
  </sheetPr>
  <dimension ref="A1:AT155"/>
  <sheetViews>
    <sheetView topLeftCell="A129" zoomScale="70" zoomScaleNormal="70" workbookViewId="0">
      <selection activeCell="C49" sqref="C49"/>
    </sheetView>
  </sheetViews>
  <sheetFormatPr defaultColWidth="8.7109375" defaultRowHeight="14.45"/>
  <cols>
    <col min="1" max="1" width="9" customWidth="1"/>
    <col min="2" max="2" width="51.85546875" customWidth="1"/>
    <col min="3" max="3" width="16.28515625" customWidth="1"/>
    <col min="5" max="5" width="9.5703125" customWidth="1"/>
    <col min="6" max="6" width="9.28515625" customWidth="1"/>
    <col min="7" max="7" width="13.28515625" customWidth="1"/>
    <col min="8" max="8" width="15.140625" customWidth="1"/>
    <col min="9" max="9" width="20.28515625" customWidth="1"/>
    <col min="10" max="10" width="16.140625" customWidth="1"/>
    <col min="11" max="11" width="17.140625" customWidth="1"/>
    <col min="12" max="12" width="27.28515625" customWidth="1"/>
    <col min="13" max="13" width="11.7109375" customWidth="1"/>
    <col min="14" max="14" width="13.28515625" customWidth="1"/>
    <col min="16" max="16" width="9.5703125" customWidth="1"/>
    <col min="17" max="17" width="17.42578125" customWidth="1"/>
    <col min="18" max="18" width="88.140625" customWidth="1"/>
    <col min="19" max="19" width="15.28515625" style="2" customWidth="1"/>
    <col min="20" max="20" width="17.5703125" style="2" customWidth="1"/>
    <col min="21" max="21" width="15.7109375" customWidth="1"/>
    <col min="22" max="22" width="15.85546875" style="3" customWidth="1"/>
    <col min="24" max="24" width="24.140625" style="3" customWidth="1"/>
    <col min="25" max="25" width="52.85546875" customWidth="1"/>
    <col min="26" max="26" width="17.140625" style="6" customWidth="1"/>
    <col min="27" max="27" width="24.7109375" customWidth="1"/>
    <col min="28" max="30" width="17.140625" style="6" customWidth="1"/>
    <col min="31" max="31" width="38" style="5" customWidth="1"/>
    <col min="32" max="32" width="38" style="6" customWidth="1"/>
    <col min="33" max="33" width="33.7109375" style="6" customWidth="1"/>
    <col min="34" max="34" width="27.5703125" style="5" customWidth="1"/>
    <col min="35" max="35" width="21.140625" style="26" customWidth="1"/>
    <col min="36" max="36" width="35.140625" customWidth="1"/>
    <col min="37" max="38" width="27.5703125" style="26" customWidth="1"/>
    <col min="39" max="40" width="27.5703125" style="5" customWidth="1"/>
    <col min="41" max="41" width="34.5703125" customWidth="1"/>
    <col min="42" max="42" width="34.140625" customWidth="1"/>
    <col min="43" max="43" width="35.7109375" customWidth="1"/>
    <col min="44" max="44" width="29.7109375" customWidth="1"/>
    <col min="45" max="45" width="18" customWidth="1"/>
    <col min="46" max="46" width="25" style="29" customWidth="1"/>
  </cols>
  <sheetData>
    <row r="1" spans="1:46" ht="20.65" customHeight="1" thickBot="1">
      <c r="A1" s="237" t="s">
        <v>111</v>
      </c>
      <c r="B1" s="238"/>
      <c r="C1" s="238"/>
      <c r="D1" s="238"/>
      <c r="E1" s="238"/>
      <c r="F1" s="238"/>
      <c r="G1" s="238"/>
      <c r="H1" s="238"/>
      <c r="I1" s="238"/>
      <c r="J1" s="238"/>
      <c r="K1" s="238"/>
      <c r="L1" s="238"/>
      <c r="M1" s="238"/>
      <c r="N1" s="238"/>
      <c r="O1" s="238"/>
      <c r="P1" s="238"/>
      <c r="Q1" s="238"/>
      <c r="R1" s="238"/>
      <c r="S1" s="238"/>
      <c r="T1" s="238"/>
      <c r="U1" s="239"/>
      <c r="V1" s="229" t="s">
        <v>112</v>
      </c>
      <c r="W1" s="230"/>
      <c r="X1" s="230"/>
      <c r="Y1" s="230"/>
      <c r="Z1" s="230"/>
      <c r="AA1" s="230"/>
      <c r="AB1" s="230"/>
      <c r="AC1" s="230"/>
      <c r="AD1" s="230"/>
      <c r="AE1" s="230"/>
      <c r="AF1" s="230"/>
      <c r="AG1" s="230"/>
      <c r="AH1" s="230"/>
      <c r="AI1" s="230"/>
      <c r="AJ1" s="230"/>
      <c r="AK1" s="230"/>
      <c r="AL1" s="230"/>
      <c r="AM1" s="230"/>
      <c r="AN1" s="231"/>
      <c r="AO1" s="225" t="s">
        <v>113</v>
      </c>
      <c r="AP1" s="225"/>
      <c r="AQ1" s="225"/>
      <c r="AR1" s="225"/>
      <c r="AS1" s="225"/>
      <c r="AT1" s="225"/>
    </row>
    <row r="2" spans="1:46">
      <c r="A2" s="232" t="s">
        <v>114</v>
      </c>
      <c r="B2" s="233"/>
      <c r="C2" s="233"/>
      <c r="D2" s="234"/>
      <c r="E2" s="235" t="s">
        <v>115</v>
      </c>
      <c r="F2" s="233"/>
      <c r="G2" s="233"/>
      <c r="H2" s="233"/>
      <c r="I2" s="233"/>
      <c r="J2" s="233"/>
      <c r="K2" s="233"/>
      <c r="L2" s="234"/>
      <c r="M2" s="235" t="s">
        <v>116</v>
      </c>
      <c r="N2" s="233"/>
      <c r="O2" s="234"/>
      <c r="P2" s="235" t="s">
        <v>117</v>
      </c>
      <c r="Q2" s="233"/>
      <c r="R2" s="233"/>
      <c r="S2" s="233"/>
      <c r="T2" s="233"/>
      <c r="U2" s="236"/>
      <c r="V2" s="226" t="s">
        <v>118</v>
      </c>
      <c r="W2" s="227"/>
      <c r="X2" s="227"/>
      <c r="Y2" s="228"/>
      <c r="Z2" s="219" t="s">
        <v>119</v>
      </c>
      <c r="AA2" s="220"/>
      <c r="AB2" s="220"/>
      <c r="AC2" s="220"/>
      <c r="AD2" s="220"/>
      <c r="AE2" s="220"/>
      <c r="AF2" s="220"/>
      <c r="AG2" s="220"/>
      <c r="AH2" s="221"/>
      <c r="AI2" s="222" t="s">
        <v>120</v>
      </c>
      <c r="AJ2" s="223"/>
      <c r="AK2" s="223"/>
      <c r="AL2" s="223"/>
      <c r="AM2" s="224"/>
      <c r="AN2" s="7" t="s">
        <v>121</v>
      </c>
      <c r="AO2" s="225" t="s">
        <v>122</v>
      </c>
      <c r="AP2" s="225"/>
      <c r="AQ2" s="225"/>
      <c r="AR2" s="225"/>
      <c r="AS2" s="225"/>
      <c r="AT2" s="4" t="s">
        <v>123</v>
      </c>
    </row>
    <row r="3" spans="1:46">
      <c r="A3" s="31" t="s">
        <v>21</v>
      </c>
      <c r="B3" s="17" t="s">
        <v>23</v>
      </c>
      <c r="C3" s="17" t="s">
        <v>25</v>
      </c>
      <c r="D3" s="18" t="s">
        <v>27</v>
      </c>
      <c r="E3" s="16" t="s">
        <v>29</v>
      </c>
      <c r="F3" s="17" t="s">
        <v>31</v>
      </c>
      <c r="G3" s="17" t="s">
        <v>33</v>
      </c>
      <c r="H3" s="17" t="s">
        <v>35</v>
      </c>
      <c r="I3" t="s">
        <v>37</v>
      </c>
      <c r="J3" t="s">
        <v>39</v>
      </c>
      <c r="K3" s="17" t="s">
        <v>41</v>
      </c>
      <c r="L3" s="19" t="s">
        <v>43</v>
      </c>
      <c r="M3" s="16" t="s">
        <v>45</v>
      </c>
      <c r="N3" s="17" t="s">
        <v>47</v>
      </c>
      <c r="O3" s="18" t="s">
        <v>49</v>
      </c>
      <c r="P3" s="16" t="s">
        <v>51</v>
      </c>
      <c r="Q3" s="17" t="s">
        <v>53</v>
      </c>
      <c r="R3" s="17" t="s">
        <v>2</v>
      </c>
      <c r="S3" s="164" t="s">
        <v>56</v>
      </c>
      <c r="T3" s="163" t="s">
        <v>58</v>
      </c>
      <c r="U3" s="32" t="s">
        <v>60</v>
      </c>
      <c r="V3" s="30" t="s">
        <v>62</v>
      </c>
      <c r="W3" s="17" t="s">
        <v>64</v>
      </c>
      <c r="X3" s="20" t="s">
        <v>66</v>
      </c>
      <c r="Y3" s="165" t="s">
        <v>68</v>
      </c>
      <c r="Z3" s="21" t="s">
        <v>70</v>
      </c>
      <c r="AA3" t="s">
        <v>72</v>
      </c>
      <c r="AB3" s="22" t="s">
        <v>74</v>
      </c>
      <c r="AC3" s="22" t="s">
        <v>76</v>
      </c>
      <c r="AD3" s="22" t="s">
        <v>78</v>
      </c>
      <c r="AE3" s="5" t="s">
        <v>80</v>
      </c>
      <c r="AF3" s="23" t="s">
        <v>82</v>
      </c>
      <c r="AG3" s="23" t="s">
        <v>84</v>
      </c>
      <c r="AH3" s="24" t="s">
        <v>86</v>
      </c>
      <c r="AI3" s="25" t="s">
        <v>88</v>
      </c>
      <c r="AJ3" s="17" t="s">
        <v>90</v>
      </c>
      <c r="AK3" s="26" t="s">
        <v>92</v>
      </c>
      <c r="AL3" s="26" t="s">
        <v>94</v>
      </c>
      <c r="AM3" s="24" t="s">
        <v>96</v>
      </c>
      <c r="AN3" s="27" t="s">
        <v>97</v>
      </c>
      <c r="AO3" s="162" t="s">
        <v>99</v>
      </c>
      <c r="AP3" s="162" t="s">
        <v>101</v>
      </c>
      <c r="AQ3" s="162" t="s">
        <v>103</v>
      </c>
      <c r="AR3" s="162" t="s">
        <v>105</v>
      </c>
      <c r="AS3" s="162" t="s">
        <v>107</v>
      </c>
      <c r="AT3" s="28" t="s">
        <v>109</v>
      </c>
    </row>
    <row r="4" spans="1:46" s="9" customFormat="1">
      <c r="A4" s="125">
        <v>1</v>
      </c>
      <c r="B4" s="126" t="s">
        <v>124</v>
      </c>
      <c r="C4" s="126">
        <v>2019</v>
      </c>
      <c r="D4" s="127" t="s">
        <v>125</v>
      </c>
      <c r="E4" s="128" t="s">
        <v>126</v>
      </c>
      <c r="F4" s="9">
        <v>36</v>
      </c>
      <c r="G4" s="126" t="s">
        <v>127</v>
      </c>
      <c r="H4" s="126" t="s">
        <v>128</v>
      </c>
      <c r="I4" s="9" t="s">
        <v>129</v>
      </c>
      <c r="J4" s="9" t="s">
        <v>130</v>
      </c>
      <c r="K4" s="126"/>
      <c r="L4" s="115">
        <v>25.203199999999999</v>
      </c>
      <c r="M4" s="128">
        <v>1</v>
      </c>
      <c r="N4" s="126"/>
      <c r="O4" s="129"/>
      <c r="P4" s="128" t="s">
        <v>131</v>
      </c>
      <c r="Q4" s="126">
        <v>1</v>
      </c>
      <c r="R4" s="126" t="s">
        <v>132</v>
      </c>
      <c r="S4" s="130"/>
      <c r="T4" s="130"/>
      <c r="U4" s="131">
        <v>2017</v>
      </c>
      <c r="V4" s="132"/>
      <c r="W4" s="126"/>
      <c r="X4" s="132"/>
      <c r="Y4" s="129"/>
      <c r="Z4" s="133">
        <v>2500200</v>
      </c>
      <c r="AA4" s="9" t="s">
        <v>133</v>
      </c>
      <c r="AB4" s="119">
        <v>2500200</v>
      </c>
      <c r="AC4" s="119">
        <v>2500200</v>
      </c>
      <c r="AD4" s="134">
        <v>2500200</v>
      </c>
      <c r="AE4" s="121">
        <v>1</v>
      </c>
      <c r="AF4" s="120">
        <v>24584600</v>
      </c>
      <c r="AG4" s="120">
        <v>0</v>
      </c>
      <c r="AH4" s="122">
        <v>101.6978108246626</v>
      </c>
      <c r="AI4" s="123"/>
      <c r="AJ4" s="150"/>
      <c r="AK4" s="78" t="s">
        <v>134</v>
      </c>
      <c r="AL4" s="78" t="s">
        <v>134</v>
      </c>
      <c r="AM4" s="122" t="s">
        <v>134</v>
      </c>
      <c r="AN4" s="121">
        <f>IF(Level1[[#This Row],[Standardised_Normalised_Mass_kg/capita/year]]&lt;&gt;"",Level1[[#This Row],[Standardised_Normalised_Mass_kg/capita/year]],Level1[[#This Row],[Derived_Normalised_kg/capita/year]])</f>
        <v>101.6978108246626</v>
      </c>
      <c r="AO4" s="78">
        <f>IF(Level1[[#This Row],[Household]]=1,IF(Level1[[#This Row],[Household_Diary?]]=1,'Cover Sheet'!$R$31,1),1)</f>
        <v>1</v>
      </c>
      <c r="AP4" s="78">
        <f>IF(Level1[[#This Row],[Household]]=1,IF(Level1[[#This Row],[Edible_Waste_Only?]]=1,'Cover Sheet'!$R$32,1),1)</f>
        <v>1</v>
      </c>
      <c r="AQ4" s="78">
        <f>IF(Level1[[#This Row],[Food_Service]]=1,IF(Level1[[#This Row],[Edible_Waste_Only?]]=1,'Cover Sheet'!$R$33,1),1)</f>
        <v>1</v>
      </c>
      <c r="AR4" s="78">
        <f>IF(Level1[[#This Row],[Retail]]=1,IF(Level1[[#This Row],[Edible_Waste_Only?]]=1,'Cover Sheet'!$R$34,1),1)</f>
        <v>1</v>
      </c>
      <c r="AS4" s="78">
        <f>PRODUCT(Level1[[#This Row],[Household_Diary_Adjustment]:[Retail_Inedible_Adjustment]])</f>
        <v>1</v>
      </c>
      <c r="AT4" s="161">
        <f>Level1[[#This Row],[Preferred_estimate_kg/capita]]*Level1[[#This Row],[Total_Adjustment]]</f>
        <v>101.6978108246626</v>
      </c>
    </row>
    <row r="5" spans="1:46">
      <c r="A5" s="112">
        <v>1</v>
      </c>
      <c r="B5" s="126" t="s">
        <v>124</v>
      </c>
      <c r="C5" s="9">
        <v>2019</v>
      </c>
      <c r="D5" s="113" t="s">
        <v>125</v>
      </c>
      <c r="E5" s="114" t="s">
        <v>126</v>
      </c>
      <c r="F5" s="9">
        <v>36</v>
      </c>
      <c r="G5" s="9" t="s">
        <v>127</v>
      </c>
      <c r="H5" s="9" t="s">
        <v>128</v>
      </c>
      <c r="I5" s="9" t="s">
        <v>129</v>
      </c>
      <c r="J5" s="9" t="s">
        <v>130</v>
      </c>
      <c r="K5" s="9"/>
      <c r="L5" s="115">
        <v>25.203199999999999</v>
      </c>
      <c r="M5" s="114"/>
      <c r="N5" s="9">
        <v>1</v>
      </c>
      <c r="O5" s="115"/>
      <c r="P5" s="114" t="s">
        <v>135</v>
      </c>
      <c r="Q5" s="9">
        <v>1</v>
      </c>
      <c r="R5" s="9" t="s">
        <v>136</v>
      </c>
      <c r="S5" s="10"/>
      <c r="T5" s="10"/>
      <c r="U5" s="116">
        <v>2017</v>
      </c>
      <c r="V5" s="117"/>
      <c r="W5" s="9"/>
      <c r="X5" s="117"/>
      <c r="Y5" s="115"/>
      <c r="Z5" s="118">
        <f>324290+208640</f>
        <v>532930</v>
      </c>
      <c r="AA5" s="9" t="s">
        <v>133</v>
      </c>
      <c r="AB5" s="119">
        <v>532930</v>
      </c>
      <c r="AC5" s="119">
        <v>532930</v>
      </c>
      <c r="AD5" s="120">
        <v>532930</v>
      </c>
      <c r="AE5" s="121">
        <v>1</v>
      </c>
      <c r="AF5" s="120">
        <v>24584600</v>
      </c>
      <c r="AG5" s="120">
        <v>0</v>
      </c>
      <c r="AH5" s="122">
        <v>21.677391537791951</v>
      </c>
      <c r="AI5" s="123"/>
      <c r="AJ5" s="9"/>
      <c r="AK5" s="78" t="s">
        <v>134</v>
      </c>
      <c r="AL5" s="78" t="s">
        <v>134</v>
      </c>
      <c r="AM5" s="122" t="s">
        <v>134</v>
      </c>
      <c r="AN5" s="121">
        <f>IF(Level1[[#This Row],[Standardised_Normalised_Mass_kg/capita/year]]&lt;&gt;"",Level1[[#This Row],[Standardised_Normalised_Mass_kg/capita/year]],Level1[[#This Row],[Derived_Normalised_kg/capita/year]])</f>
        <v>21.677391537791951</v>
      </c>
      <c r="AO5" s="78">
        <f>IF(Level1[[#This Row],[Household]]=1,IF(Level1[[#This Row],[Household_Diary?]]=1,'Cover Sheet'!$R$31,1),1)</f>
        <v>1</v>
      </c>
      <c r="AP5" s="78">
        <f>IF(Level1[[#This Row],[Household]]=1,IF(Level1[[#This Row],[Edible_Waste_Only?]]=1,'Cover Sheet'!$R$32,1),1)</f>
        <v>1</v>
      </c>
      <c r="AQ5" s="78">
        <f>IF(Level1[[#This Row],[Food_Service]]=1,IF(Level1[[#This Row],[Edible_Waste_Only?]]=1,'Cover Sheet'!$R$33,1),1)</f>
        <v>1</v>
      </c>
      <c r="AR5" s="78">
        <f>IF(Level1[[#This Row],[Retail]]=1,IF(Level1[[#This Row],[Edible_Waste_Only?]]=1,'Cover Sheet'!$R$34,1),1)</f>
        <v>1</v>
      </c>
      <c r="AS5" s="78">
        <f>PRODUCT(Level1[[#This Row],[Household_Diary_Adjustment]:[Retail_Inedible_Adjustment]])</f>
        <v>1</v>
      </c>
      <c r="AT5" s="124">
        <f>Level1[[#This Row],[Preferred_estimate_kg/capita]]*Level1[[#This Row],[Total_Adjustment]]</f>
        <v>21.677391537791951</v>
      </c>
    </row>
    <row r="6" spans="1:46">
      <c r="A6" s="125">
        <v>1</v>
      </c>
      <c r="B6" s="126" t="s">
        <v>124</v>
      </c>
      <c r="C6" s="126">
        <v>2019</v>
      </c>
      <c r="D6" s="127" t="s">
        <v>125</v>
      </c>
      <c r="E6" s="128" t="s">
        <v>126</v>
      </c>
      <c r="F6" s="126">
        <v>36</v>
      </c>
      <c r="G6" s="126" t="s">
        <v>127</v>
      </c>
      <c r="H6" s="126" t="s">
        <v>128</v>
      </c>
      <c r="I6" s="9" t="s">
        <v>129</v>
      </c>
      <c r="J6" s="9" t="s">
        <v>130</v>
      </c>
      <c r="K6" s="126"/>
      <c r="L6" s="115">
        <v>25.203199999999999</v>
      </c>
      <c r="M6" s="128"/>
      <c r="N6" s="126"/>
      <c r="O6" s="129">
        <v>1</v>
      </c>
      <c r="P6" s="128" t="s">
        <v>135</v>
      </c>
      <c r="Q6" s="126">
        <v>1</v>
      </c>
      <c r="R6" s="126" t="s">
        <v>137</v>
      </c>
      <c r="S6" s="130"/>
      <c r="T6" s="130"/>
      <c r="U6" s="131">
        <v>2017</v>
      </c>
      <c r="V6" s="132"/>
      <c r="W6" s="126"/>
      <c r="X6" s="132"/>
      <c r="Y6" s="129"/>
      <c r="Z6" s="133">
        <f>232400</f>
        <v>232400</v>
      </c>
      <c r="AA6" s="9" t="s">
        <v>133</v>
      </c>
      <c r="AB6" s="119">
        <v>232400</v>
      </c>
      <c r="AC6" s="119">
        <v>232400</v>
      </c>
      <c r="AD6" s="134">
        <v>232400</v>
      </c>
      <c r="AE6" s="121">
        <v>1</v>
      </c>
      <c r="AF6" s="120">
        <v>24584600</v>
      </c>
      <c r="AG6" s="120">
        <v>0</v>
      </c>
      <c r="AH6" s="122">
        <v>9.4530722484807566</v>
      </c>
      <c r="AI6" s="123"/>
      <c r="AJ6" s="126"/>
      <c r="AK6" s="78" t="s">
        <v>134</v>
      </c>
      <c r="AL6" s="78" t="s">
        <v>134</v>
      </c>
      <c r="AM6" s="122" t="s">
        <v>134</v>
      </c>
      <c r="AN6" s="121">
        <f>IF(Level1[[#This Row],[Standardised_Normalised_Mass_kg/capita/year]]&lt;&gt;"",Level1[[#This Row],[Standardised_Normalised_Mass_kg/capita/year]],Level1[[#This Row],[Derived_Normalised_kg/capita/year]])</f>
        <v>9.4530722484807566</v>
      </c>
      <c r="AO6" s="78">
        <f>IF(Level1[[#This Row],[Household]]=1,IF(Level1[[#This Row],[Household_Diary?]]=1,'Cover Sheet'!$R$31,1),1)</f>
        <v>1</v>
      </c>
      <c r="AP6" s="78">
        <f>IF(Level1[[#This Row],[Household]]=1,IF(Level1[[#This Row],[Edible_Waste_Only?]]=1,'Cover Sheet'!$R$32,1),1)</f>
        <v>1</v>
      </c>
      <c r="AQ6" s="78">
        <f>IF(Level1[[#This Row],[Food_Service]]=1,IF(Level1[[#This Row],[Edible_Waste_Only?]]=1,'Cover Sheet'!$R$33,1),1)</f>
        <v>1</v>
      </c>
      <c r="AR6" s="78">
        <f>IF(Level1[[#This Row],[Retail]]=1,IF(Level1[[#This Row],[Edible_Waste_Only?]]=1,'Cover Sheet'!$R$34,1),1)</f>
        <v>1</v>
      </c>
      <c r="AS6" s="78">
        <f>PRODUCT(Level1[[#This Row],[Household_Diary_Adjustment]:[Retail_Inedible_Adjustment]])</f>
        <v>1</v>
      </c>
      <c r="AT6" s="124">
        <f>Level1[[#This Row],[Preferred_estimate_kg/capita]]*Level1[[#This Row],[Total_Adjustment]]</f>
        <v>9.4530722484807566</v>
      </c>
    </row>
    <row r="7" spans="1:46">
      <c r="A7" s="125">
        <v>2</v>
      </c>
      <c r="B7" s="126" t="s">
        <v>138</v>
      </c>
      <c r="C7" s="126">
        <v>2017</v>
      </c>
      <c r="D7" s="127" t="s">
        <v>139</v>
      </c>
      <c r="E7" s="128" t="s">
        <v>140</v>
      </c>
      <c r="F7" s="126">
        <v>40</v>
      </c>
      <c r="G7" s="126" t="s">
        <v>141</v>
      </c>
      <c r="H7" s="126" t="s">
        <v>128</v>
      </c>
      <c r="I7" s="9" t="s">
        <v>129</v>
      </c>
      <c r="J7" s="9" t="s">
        <v>130</v>
      </c>
      <c r="K7" s="126"/>
      <c r="L7" s="115">
        <v>8.9550999999999998</v>
      </c>
      <c r="M7" s="128"/>
      <c r="N7" s="126">
        <v>1</v>
      </c>
      <c r="O7" s="129"/>
      <c r="P7" s="128" t="s">
        <v>131</v>
      </c>
      <c r="Q7" s="126">
        <v>1</v>
      </c>
      <c r="R7" s="126" t="s">
        <v>142</v>
      </c>
      <c r="S7" s="130"/>
      <c r="T7" s="130"/>
      <c r="U7" s="135">
        <v>2015</v>
      </c>
      <c r="V7" s="132"/>
      <c r="W7" s="126"/>
      <c r="X7" s="136">
        <f>175000/Level1[[#This Row],[Standardised_Mass_tonnes/year]]</f>
        <v>0.78299776286353473</v>
      </c>
      <c r="Y7" s="137" t="s">
        <v>143</v>
      </c>
      <c r="Z7" s="133">
        <f>175000+48500</f>
        <v>223500</v>
      </c>
      <c r="AA7" s="9" t="s">
        <v>133</v>
      </c>
      <c r="AB7" s="119">
        <v>223500</v>
      </c>
      <c r="AC7" s="119">
        <v>223500</v>
      </c>
      <c r="AD7" s="134">
        <v>223500</v>
      </c>
      <c r="AE7" s="121">
        <v>1</v>
      </c>
      <c r="AF7" s="120">
        <v>8702757.1428571437</v>
      </c>
      <c r="AG7" s="120">
        <v>0</v>
      </c>
      <c r="AH7" s="122">
        <v>25.68151636673435</v>
      </c>
      <c r="AI7" s="123"/>
      <c r="AJ7" s="126"/>
      <c r="AK7" s="78" t="s">
        <v>134</v>
      </c>
      <c r="AL7" s="78" t="s">
        <v>134</v>
      </c>
      <c r="AM7" s="122" t="s">
        <v>134</v>
      </c>
      <c r="AN7" s="121">
        <f>IF(Level1[[#This Row],[Standardised_Normalised_Mass_kg/capita/year]]&lt;&gt;"",Level1[[#This Row],[Standardised_Normalised_Mass_kg/capita/year]],Level1[[#This Row],[Derived_Normalised_kg/capita/year]])</f>
        <v>25.68151636673435</v>
      </c>
      <c r="AO7" s="78">
        <f>IF(Level1[[#This Row],[Household]]=1,IF(Level1[[#This Row],[Household_Diary?]]=1,'Cover Sheet'!$R$31,1),1)</f>
        <v>1</v>
      </c>
      <c r="AP7" s="78">
        <f>IF(Level1[[#This Row],[Household]]=1,IF(Level1[[#This Row],[Edible_Waste_Only?]]=1,'Cover Sheet'!$R$32,1),1)</f>
        <v>1</v>
      </c>
      <c r="AQ7" s="78">
        <f>IF(Level1[[#This Row],[Food_Service]]=1,IF(Level1[[#This Row],[Edible_Waste_Only?]]=1,'Cover Sheet'!$R$33,1),1)</f>
        <v>1</v>
      </c>
      <c r="AR7" s="78">
        <f>IF(Level1[[#This Row],[Retail]]=1,IF(Level1[[#This Row],[Edible_Waste_Only?]]=1,'Cover Sheet'!$R$34,1),1)</f>
        <v>1</v>
      </c>
      <c r="AS7" s="78">
        <f>PRODUCT(Level1[[#This Row],[Household_Diary_Adjustment]:[Retail_Inedible_Adjustment]])</f>
        <v>1</v>
      </c>
      <c r="AT7" s="124">
        <f>Level1[[#This Row],[Preferred_estimate_kg/capita]]*Level1[[#This Row],[Total_Adjustment]]</f>
        <v>25.68151636673435</v>
      </c>
    </row>
    <row r="8" spans="1:46">
      <c r="A8" s="112">
        <v>2</v>
      </c>
      <c r="B8" s="126" t="s">
        <v>138</v>
      </c>
      <c r="C8" s="9">
        <v>2017</v>
      </c>
      <c r="D8" s="113" t="s">
        <v>139</v>
      </c>
      <c r="E8" s="114" t="s">
        <v>140</v>
      </c>
      <c r="F8" s="9">
        <v>40</v>
      </c>
      <c r="G8" s="9" t="s">
        <v>141</v>
      </c>
      <c r="H8" s="9" t="s">
        <v>128</v>
      </c>
      <c r="I8" s="9" t="s">
        <v>129</v>
      </c>
      <c r="J8" s="9" t="s">
        <v>130</v>
      </c>
      <c r="K8" s="9"/>
      <c r="L8" s="115">
        <v>8.9550999999999998</v>
      </c>
      <c r="M8" s="114">
        <v>1</v>
      </c>
      <c r="N8" s="9"/>
      <c r="O8" s="115"/>
      <c r="P8" s="114" t="s">
        <v>131</v>
      </c>
      <c r="Q8" s="9">
        <v>1</v>
      </c>
      <c r="R8" s="9" t="s">
        <v>144</v>
      </c>
      <c r="S8" s="10"/>
      <c r="T8" s="10"/>
      <c r="U8" s="138" t="s">
        <v>145</v>
      </c>
      <c r="V8" s="117"/>
      <c r="W8" s="9"/>
      <c r="X8" s="139">
        <f>157000/Level1[[#This Row],[Standardised_Mass_tonnes/year]]</f>
        <v>0.5688405797101449</v>
      </c>
      <c r="Y8" s="140" t="s">
        <v>146</v>
      </c>
      <c r="Z8" s="118">
        <v>276000</v>
      </c>
      <c r="AA8" s="9" t="s">
        <v>133</v>
      </c>
      <c r="AB8" s="119">
        <v>276000</v>
      </c>
      <c r="AC8" s="119">
        <v>276000</v>
      </c>
      <c r="AD8" s="120">
        <v>276000</v>
      </c>
      <c r="AE8" s="121">
        <v>0</v>
      </c>
      <c r="AF8" s="120">
        <v>0</v>
      </c>
      <c r="AG8" s="120">
        <v>0</v>
      </c>
      <c r="AH8" s="122">
        <v>0</v>
      </c>
      <c r="AI8" s="123">
        <v>39</v>
      </c>
      <c r="AJ8" s="9" t="s">
        <v>147</v>
      </c>
      <c r="AK8" s="78">
        <v>39</v>
      </c>
      <c r="AL8" s="78">
        <v>39</v>
      </c>
      <c r="AM8" s="122">
        <v>39</v>
      </c>
      <c r="AN8" s="121">
        <f>IF(Level1[[#This Row],[Standardised_Normalised_Mass_kg/capita/year]]&lt;&gt;"",Level1[[#This Row],[Standardised_Normalised_Mass_kg/capita/year]],Level1[[#This Row],[Derived_Normalised_kg/capita/year]])</f>
        <v>39</v>
      </c>
      <c r="AO8" s="78">
        <f>IF(Level1[[#This Row],[Household]]=1,IF(Level1[[#This Row],[Household_Diary?]]=1,'Cover Sheet'!$R$31,1),1)</f>
        <v>1</v>
      </c>
      <c r="AP8" s="78">
        <f>IF(Level1[[#This Row],[Household]]=1,IF(Level1[[#This Row],[Edible_Waste_Only?]]=1,'Cover Sheet'!$R$32,1),1)</f>
        <v>1</v>
      </c>
      <c r="AQ8" s="78">
        <f>IF(Level1[[#This Row],[Food_Service]]=1,IF(Level1[[#This Row],[Edible_Waste_Only?]]=1,'Cover Sheet'!$R$33,1),1)</f>
        <v>1</v>
      </c>
      <c r="AR8" s="78">
        <f>IF(Level1[[#This Row],[Retail]]=1,IF(Level1[[#This Row],[Edible_Waste_Only?]]=1,'Cover Sheet'!$R$34,1),1)</f>
        <v>1</v>
      </c>
      <c r="AS8" s="78">
        <f>PRODUCT(Level1[[#This Row],[Household_Diary_Adjustment]:[Retail_Inedible_Adjustment]])</f>
        <v>1</v>
      </c>
      <c r="AT8" s="124">
        <f>Level1[[#This Row],[Preferred_estimate_kg/capita]]*Level1[[#This Row],[Total_Adjustment]]</f>
        <v>39</v>
      </c>
    </row>
    <row r="9" spans="1:46">
      <c r="A9" s="112">
        <v>2</v>
      </c>
      <c r="B9" s="126" t="s">
        <v>138</v>
      </c>
      <c r="C9" s="9">
        <v>2017</v>
      </c>
      <c r="D9" s="113" t="s">
        <v>139</v>
      </c>
      <c r="E9" s="114" t="s">
        <v>140</v>
      </c>
      <c r="F9" s="9">
        <v>40</v>
      </c>
      <c r="G9" s="9" t="s">
        <v>141</v>
      </c>
      <c r="H9" s="9" t="s">
        <v>128</v>
      </c>
      <c r="I9" s="9" t="s">
        <v>129</v>
      </c>
      <c r="J9" s="9" t="s">
        <v>130</v>
      </c>
      <c r="K9" s="9"/>
      <c r="L9" s="115">
        <v>8.9550999999999998</v>
      </c>
      <c r="M9" s="114"/>
      <c r="N9" s="9"/>
      <c r="O9" s="115">
        <v>1</v>
      </c>
      <c r="P9" s="114" t="s">
        <v>135</v>
      </c>
      <c r="Q9" s="9">
        <v>1</v>
      </c>
      <c r="R9" s="9" t="s">
        <v>148</v>
      </c>
      <c r="S9" s="10"/>
      <c r="T9" s="10"/>
      <c r="U9" s="138">
        <v>2013</v>
      </c>
      <c r="V9" s="117"/>
      <c r="W9" s="9"/>
      <c r="X9" s="139"/>
      <c r="Y9" s="140"/>
      <c r="Z9" s="118">
        <v>74100</v>
      </c>
      <c r="AA9" s="9" t="s">
        <v>133</v>
      </c>
      <c r="AB9" s="119">
        <v>74100</v>
      </c>
      <c r="AC9" s="119">
        <v>74100</v>
      </c>
      <c r="AD9" s="120">
        <v>74100</v>
      </c>
      <c r="AE9" s="121">
        <v>1</v>
      </c>
      <c r="AF9" s="120">
        <v>8585614.2857142854</v>
      </c>
      <c r="AG9" s="120">
        <v>0</v>
      </c>
      <c r="AH9" s="122">
        <v>8.6307161647473443</v>
      </c>
      <c r="AI9" s="123"/>
      <c r="AJ9" s="9"/>
      <c r="AK9" s="78" t="s">
        <v>134</v>
      </c>
      <c r="AL9" s="78" t="s">
        <v>134</v>
      </c>
      <c r="AM9" s="122" t="s">
        <v>134</v>
      </c>
      <c r="AN9" s="121">
        <f>IF(Level1[[#This Row],[Standardised_Normalised_Mass_kg/capita/year]]&lt;&gt;"",Level1[[#This Row],[Standardised_Normalised_Mass_kg/capita/year]],Level1[[#This Row],[Derived_Normalised_kg/capita/year]])</f>
        <v>8.6307161647473443</v>
      </c>
      <c r="AO9" s="78">
        <f>IF(Level1[[#This Row],[Household]]=1,IF(Level1[[#This Row],[Household_Diary?]]=1,'Cover Sheet'!$R$31,1),1)</f>
        <v>1</v>
      </c>
      <c r="AP9" s="78">
        <f>IF(Level1[[#This Row],[Household]]=1,IF(Level1[[#This Row],[Edible_Waste_Only?]]=1,'Cover Sheet'!$R$32,1),1)</f>
        <v>1</v>
      </c>
      <c r="AQ9" s="78">
        <f>IF(Level1[[#This Row],[Food_Service]]=1,IF(Level1[[#This Row],[Edible_Waste_Only?]]=1,'Cover Sheet'!$R$33,1),1)</f>
        <v>1</v>
      </c>
      <c r="AR9" s="78">
        <f>IF(Level1[[#This Row],[Retail]]=1,IF(Level1[[#This Row],[Edible_Waste_Only?]]=1,'Cover Sheet'!$R$34,1),1)</f>
        <v>1</v>
      </c>
      <c r="AS9" s="78">
        <f>PRODUCT(Level1[[#This Row],[Household_Diary_Adjustment]:[Retail_Inedible_Adjustment]])</f>
        <v>1</v>
      </c>
      <c r="AT9" s="124">
        <f>Level1[[#This Row],[Preferred_estimate_kg/capita]]*Level1[[#This Row],[Total_Adjustment]]</f>
        <v>8.6307161647473443</v>
      </c>
    </row>
    <row r="10" spans="1:46">
      <c r="A10" s="125">
        <v>3</v>
      </c>
      <c r="B10" s="126" t="s">
        <v>149</v>
      </c>
      <c r="C10" s="126">
        <v>2019</v>
      </c>
      <c r="D10" s="127" t="s">
        <v>150</v>
      </c>
      <c r="E10" s="128" t="s">
        <v>140</v>
      </c>
      <c r="F10" s="126">
        <v>40</v>
      </c>
      <c r="G10" s="126" t="s">
        <v>141</v>
      </c>
      <c r="H10" s="126" t="s">
        <v>128</v>
      </c>
      <c r="I10" s="9" t="s">
        <v>129</v>
      </c>
      <c r="J10" s="9" t="s">
        <v>130</v>
      </c>
      <c r="K10" s="126"/>
      <c r="L10" s="115">
        <v>8.9550999999999998</v>
      </c>
      <c r="M10" s="128"/>
      <c r="N10" s="126">
        <v>1</v>
      </c>
      <c r="O10" s="129"/>
      <c r="P10" s="128" t="s">
        <v>151</v>
      </c>
      <c r="Q10" s="126">
        <v>1</v>
      </c>
      <c r="R10" s="126" t="s">
        <v>152</v>
      </c>
      <c r="S10" s="130"/>
      <c r="T10" s="130"/>
      <c r="U10" s="135">
        <v>2014</v>
      </c>
      <c r="V10" s="132"/>
      <c r="W10" s="126"/>
      <c r="X10" s="141">
        <f>23/32</f>
        <v>0.71875</v>
      </c>
      <c r="Y10" s="137" t="s">
        <v>153</v>
      </c>
      <c r="Z10" s="133">
        <v>268735</v>
      </c>
      <c r="AA10" s="9" t="s">
        <v>133</v>
      </c>
      <c r="AB10" s="119">
        <v>268735</v>
      </c>
      <c r="AC10" s="119">
        <v>268735</v>
      </c>
      <c r="AD10" s="134">
        <v>268735</v>
      </c>
      <c r="AE10" s="121">
        <v>1</v>
      </c>
      <c r="AF10" s="120">
        <v>8644185.7142857146</v>
      </c>
      <c r="AG10" s="120">
        <v>0</v>
      </c>
      <c r="AH10" s="122">
        <v>31.088526887602402</v>
      </c>
      <c r="AI10" s="123"/>
      <c r="AJ10" s="126"/>
      <c r="AK10" s="78" t="s">
        <v>134</v>
      </c>
      <c r="AL10" s="78" t="s">
        <v>134</v>
      </c>
      <c r="AM10" s="122" t="s">
        <v>134</v>
      </c>
      <c r="AN10" s="121">
        <f>IF(Level1[[#This Row],[Standardised_Normalised_Mass_kg/capita/year]]&lt;&gt;"",Level1[[#This Row],[Standardised_Normalised_Mass_kg/capita/year]],Level1[[#This Row],[Derived_Normalised_kg/capita/year]])</f>
        <v>31.088526887602402</v>
      </c>
      <c r="AO10" s="78">
        <f>IF(Level1[[#This Row],[Household]]=1,IF(Level1[[#This Row],[Household_Diary?]]=1,'Cover Sheet'!$R$31,1),1)</f>
        <v>1</v>
      </c>
      <c r="AP10" s="78">
        <f>IF(Level1[[#This Row],[Household]]=1,IF(Level1[[#This Row],[Edible_Waste_Only?]]=1,'Cover Sheet'!$R$32,1),1)</f>
        <v>1</v>
      </c>
      <c r="AQ10" s="78">
        <f>IF(Level1[[#This Row],[Food_Service]]=1,IF(Level1[[#This Row],[Edible_Waste_Only?]]=1,'Cover Sheet'!$R$33,1),1)</f>
        <v>1</v>
      </c>
      <c r="AR10" s="78">
        <f>IF(Level1[[#This Row],[Retail]]=1,IF(Level1[[#This Row],[Edible_Waste_Only?]]=1,'Cover Sheet'!$R$34,1),1)</f>
        <v>1</v>
      </c>
      <c r="AS10" s="78">
        <f>PRODUCT(Level1[[#This Row],[Household_Diary_Adjustment]:[Retail_Inedible_Adjustment]])</f>
        <v>1</v>
      </c>
      <c r="AT10" s="124">
        <f>Level1[[#This Row],[Preferred_estimate_kg/capita]]*Level1[[#This Row],[Total_Adjustment]]</f>
        <v>31.088526887602402</v>
      </c>
    </row>
    <row r="11" spans="1:46">
      <c r="A11" s="112">
        <v>3</v>
      </c>
      <c r="B11" s="126" t="s">
        <v>149</v>
      </c>
      <c r="C11" s="9">
        <v>2019</v>
      </c>
      <c r="D11" s="113" t="s">
        <v>150</v>
      </c>
      <c r="E11" s="114" t="s">
        <v>154</v>
      </c>
      <c r="F11" s="9">
        <v>233</v>
      </c>
      <c r="G11" s="9" t="s">
        <v>155</v>
      </c>
      <c r="H11" s="9" t="s">
        <v>128</v>
      </c>
      <c r="I11" s="9" t="s">
        <v>129</v>
      </c>
      <c r="J11" s="9" t="s">
        <v>130</v>
      </c>
      <c r="K11" s="9"/>
      <c r="L11" s="115">
        <v>1.3255999999999999</v>
      </c>
      <c r="M11" s="114"/>
      <c r="N11" s="9"/>
      <c r="O11" s="115">
        <v>1</v>
      </c>
      <c r="P11" s="114" t="s">
        <v>151</v>
      </c>
      <c r="Q11" s="9">
        <v>2</v>
      </c>
      <c r="R11" s="9" t="s">
        <v>156</v>
      </c>
      <c r="S11" s="10"/>
      <c r="T11" s="10"/>
      <c r="U11" s="116">
        <v>2017</v>
      </c>
      <c r="V11" s="117"/>
      <c r="W11" s="9"/>
      <c r="X11" s="139"/>
      <c r="Y11" s="140"/>
      <c r="Z11" s="118">
        <v>6200</v>
      </c>
      <c r="AA11" s="9" t="s">
        <v>133</v>
      </c>
      <c r="AB11" s="119">
        <v>6200</v>
      </c>
      <c r="AC11" s="119">
        <v>6200</v>
      </c>
      <c r="AD11" s="120">
        <v>6200</v>
      </c>
      <c r="AE11" s="121">
        <v>1</v>
      </c>
      <c r="AF11" s="120">
        <v>1319400</v>
      </c>
      <c r="AG11" s="120">
        <v>0</v>
      </c>
      <c r="AH11" s="122">
        <v>4.6991056540851899</v>
      </c>
      <c r="AI11" s="123"/>
      <c r="AJ11" s="9"/>
      <c r="AK11" s="78" t="s">
        <v>134</v>
      </c>
      <c r="AL11" s="78" t="s">
        <v>134</v>
      </c>
      <c r="AM11" s="122" t="s">
        <v>134</v>
      </c>
      <c r="AN11" s="121">
        <f>IF(Level1[[#This Row],[Standardised_Normalised_Mass_kg/capita/year]]&lt;&gt;"",Level1[[#This Row],[Standardised_Normalised_Mass_kg/capita/year]],Level1[[#This Row],[Derived_Normalised_kg/capita/year]])</f>
        <v>4.6991056540851899</v>
      </c>
      <c r="AO11" s="78">
        <f>IF(Level1[[#This Row],[Household]]=1,IF(Level1[[#This Row],[Household_Diary?]]=1,'Cover Sheet'!$R$31,1),1)</f>
        <v>1</v>
      </c>
      <c r="AP11" s="78">
        <f>IF(Level1[[#This Row],[Household]]=1,IF(Level1[[#This Row],[Edible_Waste_Only?]]=1,'Cover Sheet'!$R$32,1),1)</f>
        <v>1</v>
      </c>
      <c r="AQ11" s="78">
        <f>IF(Level1[[#This Row],[Food_Service]]=1,IF(Level1[[#This Row],[Edible_Waste_Only?]]=1,'Cover Sheet'!$R$33,1),1)</f>
        <v>1</v>
      </c>
      <c r="AR11" s="78">
        <f>IF(Level1[[#This Row],[Retail]]=1,IF(Level1[[#This Row],[Edible_Waste_Only?]]=1,'Cover Sheet'!$R$34,1),1)</f>
        <v>1</v>
      </c>
      <c r="AS11" s="78">
        <f>PRODUCT(Level1[[#This Row],[Household_Diary_Adjustment]:[Retail_Inedible_Adjustment]])</f>
        <v>1</v>
      </c>
      <c r="AT11" s="124">
        <f>Level1[[#This Row],[Preferred_estimate_kg/capita]]*Level1[[#This Row],[Total_Adjustment]]</f>
        <v>4.6991056540851899</v>
      </c>
    </row>
    <row r="12" spans="1:46">
      <c r="A12" s="112">
        <v>3</v>
      </c>
      <c r="B12" s="126" t="s">
        <v>149</v>
      </c>
      <c r="C12" s="9">
        <v>2019</v>
      </c>
      <c r="D12" s="113" t="s">
        <v>150</v>
      </c>
      <c r="E12" s="114" t="s">
        <v>157</v>
      </c>
      <c r="F12" s="9">
        <v>442</v>
      </c>
      <c r="G12" s="9" t="s">
        <v>141</v>
      </c>
      <c r="H12" s="9" t="s">
        <v>128</v>
      </c>
      <c r="I12" s="9" t="s">
        <v>129</v>
      </c>
      <c r="J12" s="9" t="s">
        <v>130</v>
      </c>
      <c r="K12" s="9"/>
      <c r="L12" s="115">
        <v>0.61570000000000003</v>
      </c>
      <c r="M12" s="114"/>
      <c r="N12" s="9"/>
      <c r="O12" s="115">
        <v>1</v>
      </c>
      <c r="P12" s="114" t="s">
        <v>151</v>
      </c>
      <c r="Q12" s="9">
        <v>2</v>
      </c>
      <c r="R12" s="9" t="s">
        <v>158</v>
      </c>
      <c r="S12" s="10"/>
      <c r="T12" s="10"/>
      <c r="U12" s="138">
        <v>2013</v>
      </c>
      <c r="V12" s="117"/>
      <c r="W12" s="9"/>
      <c r="X12" s="139"/>
      <c r="Y12" s="140"/>
      <c r="Z12" s="118">
        <v>4950</v>
      </c>
      <c r="AA12" s="9" t="s">
        <v>133</v>
      </c>
      <c r="AB12" s="119">
        <v>4950</v>
      </c>
      <c r="AC12" s="119">
        <v>4950</v>
      </c>
      <c r="AD12" s="120">
        <v>4950</v>
      </c>
      <c r="AE12" s="121"/>
      <c r="AF12" s="120">
        <v>543900</v>
      </c>
      <c r="AG12" s="120">
        <v>0</v>
      </c>
      <c r="AH12" s="122"/>
      <c r="AI12" s="123">
        <v>9</v>
      </c>
      <c r="AJ12" s="9" t="s">
        <v>147</v>
      </c>
      <c r="AK12" s="78">
        <v>9</v>
      </c>
      <c r="AL12" s="78">
        <v>9</v>
      </c>
      <c r="AM12" s="122">
        <v>9</v>
      </c>
      <c r="AN12" s="121">
        <f>IF(Level1[[#This Row],[Standardised_Normalised_Mass_kg/capita/year]]&lt;&gt;"",Level1[[#This Row],[Standardised_Normalised_Mass_kg/capita/year]],Level1[[#This Row],[Derived_Normalised_kg/capita/year]])</f>
        <v>9</v>
      </c>
      <c r="AO12" s="78">
        <f>IF(Level1[[#This Row],[Household]]=1,IF(Level1[[#This Row],[Household_Diary?]]=1,'Cover Sheet'!$R$31,1),1)</f>
        <v>1</v>
      </c>
      <c r="AP12" s="78">
        <f>IF(Level1[[#This Row],[Household]]=1,IF(Level1[[#This Row],[Edible_Waste_Only?]]=1,'Cover Sheet'!$R$32,1),1)</f>
        <v>1</v>
      </c>
      <c r="AQ12" s="78">
        <f>IF(Level1[[#This Row],[Food_Service]]=1,IF(Level1[[#This Row],[Edible_Waste_Only?]]=1,'Cover Sheet'!$R$33,1),1)</f>
        <v>1</v>
      </c>
      <c r="AR12" s="78">
        <f>IF(Level1[[#This Row],[Retail]]=1,IF(Level1[[#This Row],[Edible_Waste_Only?]]=1,'Cover Sheet'!$R$34,1),1)</f>
        <v>1</v>
      </c>
      <c r="AS12" s="78">
        <f>PRODUCT(Level1[[#This Row],[Household_Diary_Adjustment]:[Retail_Inedible_Adjustment]])</f>
        <v>1</v>
      </c>
      <c r="AT12" s="124">
        <f>Level1[[#This Row],[Preferred_estimate_kg/capita]]*Level1[[#This Row],[Total_Adjustment]]</f>
        <v>9</v>
      </c>
    </row>
    <row r="13" spans="1:46">
      <c r="A13" s="112">
        <v>3</v>
      </c>
      <c r="B13" s="126" t="s">
        <v>149</v>
      </c>
      <c r="C13" s="9">
        <v>2019</v>
      </c>
      <c r="D13" s="113" t="s">
        <v>150</v>
      </c>
      <c r="E13" s="114" t="s">
        <v>157</v>
      </c>
      <c r="F13" s="9">
        <v>442</v>
      </c>
      <c r="G13" s="9" t="s">
        <v>141</v>
      </c>
      <c r="H13" s="9" t="s">
        <v>128</v>
      </c>
      <c r="I13" s="9" t="s">
        <v>129</v>
      </c>
      <c r="J13" s="9" t="s">
        <v>130</v>
      </c>
      <c r="K13" s="9"/>
      <c r="L13" s="115">
        <v>0.61570000000000003</v>
      </c>
      <c r="M13" s="114">
        <v>1</v>
      </c>
      <c r="N13" s="9"/>
      <c r="O13" s="115"/>
      <c r="P13" s="114" t="s">
        <v>151</v>
      </c>
      <c r="Q13" s="9">
        <v>2</v>
      </c>
      <c r="R13" s="9" t="s">
        <v>159</v>
      </c>
      <c r="S13" s="10"/>
      <c r="T13" s="10"/>
      <c r="U13" s="138">
        <v>2013</v>
      </c>
      <c r="V13" s="117"/>
      <c r="W13" s="9"/>
      <c r="X13" s="139"/>
      <c r="Y13" s="140"/>
      <c r="Z13" s="118">
        <v>49260</v>
      </c>
      <c r="AA13" s="9" t="s">
        <v>133</v>
      </c>
      <c r="AB13" s="119">
        <v>49260</v>
      </c>
      <c r="AC13" s="119">
        <v>49260</v>
      </c>
      <c r="AD13" s="120">
        <v>49260</v>
      </c>
      <c r="AE13" s="121"/>
      <c r="AF13" s="120">
        <v>543900</v>
      </c>
      <c r="AG13" s="120">
        <v>0</v>
      </c>
      <c r="AH13" s="122"/>
      <c r="AI13" s="123">
        <v>90</v>
      </c>
      <c r="AJ13" s="9" t="s">
        <v>147</v>
      </c>
      <c r="AK13" s="78">
        <v>90</v>
      </c>
      <c r="AL13" s="78">
        <v>90</v>
      </c>
      <c r="AM13" s="122">
        <v>90</v>
      </c>
      <c r="AN13" s="121">
        <f>IF(Level1[[#This Row],[Standardised_Normalised_Mass_kg/capita/year]]&lt;&gt;"",Level1[[#This Row],[Standardised_Normalised_Mass_kg/capita/year]],Level1[[#This Row],[Derived_Normalised_kg/capita/year]])</f>
        <v>90</v>
      </c>
      <c r="AO13" s="78">
        <f>IF(Level1[[#This Row],[Household]]=1,IF(Level1[[#This Row],[Household_Diary?]]=1,'Cover Sheet'!$R$31,1),1)</f>
        <v>1</v>
      </c>
      <c r="AP13" s="78">
        <f>IF(Level1[[#This Row],[Household]]=1,IF(Level1[[#This Row],[Edible_Waste_Only?]]=1,'Cover Sheet'!$R$32,1),1)</f>
        <v>1</v>
      </c>
      <c r="AQ13" s="78">
        <f>IF(Level1[[#This Row],[Food_Service]]=1,IF(Level1[[#This Row],[Edible_Waste_Only?]]=1,'Cover Sheet'!$R$33,1),1)</f>
        <v>1</v>
      </c>
      <c r="AR13" s="78">
        <f>IF(Level1[[#This Row],[Retail]]=1,IF(Level1[[#This Row],[Edible_Waste_Only?]]=1,'Cover Sheet'!$R$34,1),1)</f>
        <v>1</v>
      </c>
      <c r="AS13" s="78">
        <f>PRODUCT(Level1[[#This Row],[Household_Diary_Adjustment]:[Retail_Inedible_Adjustment]])</f>
        <v>1</v>
      </c>
      <c r="AT13" s="124">
        <f>Level1[[#This Row],[Preferred_estimate_kg/capita]]*Level1[[#This Row],[Total_Adjustment]]</f>
        <v>90</v>
      </c>
    </row>
    <row r="14" spans="1:46">
      <c r="A14" s="112">
        <v>3</v>
      </c>
      <c r="B14" s="126" t="s">
        <v>149</v>
      </c>
      <c r="C14" s="9">
        <v>2019</v>
      </c>
      <c r="D14" s="113" t="s">
        <v>150</v>
      </c>
      <c r="E14" s="114" t="s">
        <v>160</v>
      </c>
      <c r="F14" s="9">
        <v>470</v>
      </c>
      <c r="G14" s="9" t="s">
        <v>161</v>
      </c>
      <c r="H14" s="9" t="s">
        <v>128</v>
      </c>
      <c r="I14" s="9" t="s">
        <v>129</v>
      </c>
      <c r="J14" s="9" t="s">
        <v>130</v>
      </c>
      <c r="K14" s="9"/>
      <c r="L14" s="115">
        <v>0.44040000000000001</v>
      </c>
      <c r="M14" s="114">
        <v>1</v>
      </c>
      <c r="N14" s="9"/>
      <c r="O14" s="115"/>
      <c r="P14" s="114" t="s">
        <v>151</v>
      </c>
      <c r="Q14" s="9">
        <v>1</v>
      </c>
      <c r="R14" s="9" t="s">
        <v>162</v>
      </c>
      <c r="S14" s="10"/>
      <c r="T14" s="10"/>
      <c r="U14" s="138" t="s">
        <v>163</v>
      </c>
      <c r="V14" s="117"/>
      <c r="W14" s="9"/>
      <c r="X14" s="139"/>
      <c r="Y14" s="140"/>
      <c r="Z14" s="118"/>
      <c r="AA14" s="9"/>
      <c r="AB14" s="119" t="s">
        <v>134</v>
      </c>
      <c r="AC14" s="119" t="s">
        <v>134</v>
      </c>
      <c r="AD14" s="120" t="s">
        <v>134</v>
      </c>
      <c r="AE14" s="121">
        <v>0</v>
      </c>
      <c r="AF14" s="120">
        <v>0</v>
      </c>
      <c r="AG14" s="120">
        <v>0</v>
      </c>
      <c r="AH14" s="122">
        <v>0</v>
      </c>
      <c r="AI14" s="123">
        <v>129</v>
      </c>
      <c r="AJ14" s="9" t="s">
        <v>147</v>
      </c>
      <c r="AK14" s="78">
        <v>129</v>
      </c>
      <c r="AL14" s="78">
        <v>129</v>
      </c>
      <c r="AM14" s="122">
        <v>129</v>
      </c>
      <c r="AN14" s="121">
        <f>IF(Level1[[#This Row],[Standardised_Normalised_Mass_kg/capita/year]]&lt;&gt;"",Level1[[#This Row],[Standardised_Normalised_Mass_kg/capita/year]],Level1[[#This Row],[Derived_Normalised_kg/capita/year]])</f>
        <v>129</v>
      </c>
      <c r="AO14" s="78">
        <f>IF(Level1[[#This Row],[Household]]=1,IF(Level1[[#This Row],[Household_Diary?]]=1,'Cover Sheet'!$R$31,1),1)</f>
        <v>1</v>
      </c>
      <c r="AP14" s="78">
        <f>IF(Level1[[#This Row],[Household]]=1,IF(Level1[[#This Row],[Edible_Waste_Only?]]=1,'Cover Sheet'!$R$32,1),1)</f>
        <v>1</v>
      </c>
      <c r="AQ14" s="78">
        <f>IF(Level1[[#This Row],[Food_Service]]=1,IF(Level1[[#This Row],[Edible_Waste_Only?]]=1,'Cover Sheet'!$R$33,1),1)</f>
        <v>1</v>
      </c>
      <c r="AR14" s="78">
        <f>IF(Level1[[#This Row],[Retail]]=1,IF(Level1[[#This Row],[Edible_Waste_Only?]]=1,'Cover Sheet'!$R$34,1),1)</f>
        <v>1</v>
      </c>
      <c r="AS14" s="78">
        <f>PRODUCT(Level1[[#This Row],[Household_Diary_Adjustment]:[Retail_Inedible_Adjustment]])</f>
        <v>1</v>
      </c>
      <c r="AT14" s="124">
        <f>Level1[[#This Row],[Preferred_estimate_kg/capita]]*Level1[[#This Row],[Total_Adjustment]]</f>
        <v>129</v>
      </c>
    </row>
    <row r="15" spans="1:46">
      <c r="A15" s="125">
        <v>3</v>
      </c>
      <c r="B15" s="126" t="s">
        <v>149</v>
      </c>
      <c r="C15" s="126">
        <v>2019</v>
      </c>
      <c r="D15" s="127" t="s">
        <v>150</v>
      </c>
      <c r="E15" s="128" t="s">
        <v>164</v>
      </c>
      <c r="F15" s="126">
        <v>578</v>
      </c>
      <c r="G15" s="126" t="s">
        <v>155</v>
      </c>
      <c r="H15" s="126" t="s">
        <v>128</v>
      </c>
      <c r="I15" s="9" t="s">
        <v>129</v>
      </c>
      <c r="J15" s="9" t="s">
        <v>130</v>
      </c>
      <c r="K15" s="126"/>
      <c r="L15" s="115">
        <v>5.3788999999999998</v>
      </c>
      <c r="M15" s="128"/>
      <c r="N15" s="126"/>
      <c r="O15" s="129">
        <v>1</v>
      </c>
      <c r="P15" s="128" t="s">
        <v>151</v>
      </c>
      <c r="Q15" s="126">
        <v>2</v>
      </c>
      <c r="R15" s="126" t="s">
        <v>165</v>
      </c>
      <c r="S15" s="130"/>
      <c r="T15" s="130">
        <v>1</v>
      </c>
      <c r="U15" s="135">
        <v>2016</v>
      </c>
      <c r="V15" s="132"/>
      <c r="W15" s="126"/>
      <c r="X15" s="141"/>
      <c r="Y15" s="137" t="s">
        <v>166</v>
      </c>
      <c r="Z15" s="133">
        <v>68499</v>
      </c>
      <c r="AA15" s="9" t="s">
        <v>133</v>
      </c>
      <c r="AB15" s="119">
        <v>68499</v>
      </c>
      <c r="AC15" s="119">
        <v>68499</v>
      </c>
      <c r="AD15" s="134">
        <v>68499</v>
      </c>
      <c r="AE15" s="121">
        <v>0</v>
      </c>
      <c r="AF15" s="120">
        <v>5237671.4285714282</v>
      </c>
      <c r="AG15" s="120">
        <v>0</v>
      </c>
      <c r="AH15" s="122">
        <v>0</v>
      </c>
      <c r="AI15" s="123">
        <v>11</v>
      </c>
      <c r="AJ15" s="126" t="s">
        <v>147</v>
      </c>
      <c r="AK15" s="78">
        <v>11</v>
      </c>
      <c r="AL15" s="78">
        <v>11</v>
      </c>
      <c r="AM15" s="122">
        <v>11</v>
      </c>
      <c r="AN15" s="121">
        <f>IF(Level1[[#This Row],[Standardised_Normalised_Mass_kg/capita/year]]&lt;&gt;"",Level1[[#This Row],[Standardised_Normalised_Mass_kg/capita/year]],Level1[[#This Row],[Derived_Normalised_kg/capita/year]])</f>
        <v>11</v>
      </c>
      <c r="AO15" s="78">
        <f>IF(Level1[[#This Row],[Household]]=1,IF(Level1[[#This Row],[Household_Diary?]]=1,'Cover Sheet'!$R$31,1),1)</f>
        <v>1</v>
      </c>
      <c r="AP15" s="78">
        <f>IF(Level1[[#This Row],[Household]]=1,IF(Level1[[#This Row],[Edible_Waste_Only?]]=1,'Cover Sheet'!$R$32,1),1)</f>
        <v>1</v>
      </c>
      <c r="AQ15" s="78">
        <f>IF(Level1[[#This Row],[Food_Service]]=1,IF(Level1[[#This Row],[Edible_Waste_Only?]]=1,'Cover Sheet'!$R$33,1),1)</f>
        <v>1</v>
      </c>
      <c r="AR15" s="78">
        <f>IF(Level1[[#This Row],[Retail]]=1,IF(Level1[[#This Row],[Edible_Waste_Only?]]=1,'Cover Sheet'!$R$34,1),1)</f>
        <v>1.1756101852337386</v>
      </c>
      <c r="AS15" s="78">
        <f>PRODUCT(Level1[[#This Row],[Household_Diary_Adjustment]:[Retail_Inedible_Adjustment]])</f>
        <v>1.1756101852337386</v>
      </c>
      <c r="AT15" s="124">
        <f>Level1[[#This Row],[Preferred_estimate_kg/capita]]*Level1[[#This Row],[Total_Adjustment]]</f>
        <v>12.931712037571124</v>
      </c>
    </row>
    <row r="16" spans="1:46">
      <c r="A16" s="112">
        <v>3</v>
      </c>
      <c r="B16" s="126" t="s">
        <v>149</v>
      </c>
      <c r="C16" s="9">
        <v>2019</v>
      </c>
      <c r="D16" s="113" t="s">
        <v>150</v>
      </c>
      <c r="E16" s="114" t="s">
        <v>164</v>
      </c>
      <c r="F16" s="9">
        <v>578</v>
      </c>
      <c r="G16" s="9" t="s">
        <v>155</v>
      </c>
      <c r="H16" s="9" t="s">
        <v>128</v>
      </c>
      <c r="I16" s="9" t="s">
        <v>129</v>
      </c>
      <c r="J16" s="9" t="s">
        <v>130</v>
      </c>
      <c r="K16" s="9"/>
      <c r="L16" s="115">
        <v>5.3788999999999998</v>
      </c>
      <c r="M16" s="114"/>
      <c r="N16" s="9"/>
      <c r="O16" s="115">
        <v>1</v>
      </c>
      <c r="P16" s="114" t="s">
        <v>151</v>
      </c>
      <c r="Q16" s="9">
        <v>2</v>
      </c>
      <c r="R16" s="9" t="s">
        <v>165</v>
      </c>
      <c r="S16" s="10"/>
      <c r="T16" s="10">
        <v>1</v>
      </c>
      <c r="U16" s="138">
        <v>2015</v>
      </c>
      <c r="V16" s="117"/>
      <c r="W16" s="9"/>
      <c r="X16" s="139"/>
      <c r="Y16" s="140" t="s">
        <v>166</v>
      </c>
      <c r="Z16" s="118">
        <v>63245</v>
      </c>
      <c r="AA16" s="9" t="s">
        <v>133</v>
      </c>
      <c r="AB16" s="119">
        <v>63245</v>
      </c>
      <c r="AC16" s="119">
        <v>63245</v>
      </c>
      <c r="AD16" s="120">
        <v>63245</v>
      </c>
      <c r="AE16" s="121">
        <v>0</v>
      </c>
      <c r="AF16" s="120">
        <v>5179042.8571428573</v>
      </c>
      <c r="AG16" s="120">
        <v>0</v>
      </c>
      <c r="AH16" s="122">
        <v>0</v>
      </c>
      <c r="AI16" s="123">
        <v>12</v>
      </c>
      <c r="AJ16" s="9" t="s">
        <v>147</v>
      </c>
      <c r="AK16" s="78">
        <v>12</v>
      </c>
      <c r="AL16" s="78">
        <v>12</v>
      </c>
      <c r="AM16" s="122">
        <v>12</v>
      </c>
      <c r="AN16" s="121">
        <f>IF(Level1[[#This Row],[Standardised_Normalised_Mass_kg/capita/year]]&lt;&gt;"",Level1[[#This Row],[Standardised_Normalised_Mass_kg/capita/year]],Level1[[#This Row],[Derived_Normalised_kg/capita/year]])</f>
        <v>12</v>
      </c>
      <c r="AO16" s="78">
        <f>IF(Level1[[#This Row],[Household]]=1,IF(Level1[[#This Row],[Household_Diary?]]=1,'Cover Sheet'!$R$31,1),1)</f>
        <v>1</v>
      </c>
      <c r="AP16" s="78">
        <f>IF(Level1[[#This Row],[Household]]=1,IF(Level1[[#This Row],[Edible_Waste_Only?]]=1,'Cover Sheet'!$R$32,1),1)</f>
        <v>1</v>
      </c>
      <c r="AQ16" s="78">
        <f>IF(Level1[[#This Row],[Food_Service]]=1,IF(Level1[[#This Row],[Edible_Waste_Only?]]=1,'Cover Sheet'!$R$33,1),1)</f>
        <v>1</v>
      </c>
      <c r="AR16" s="78">
        <f>IF(Level1[[#This Row],[Retail]]=1,IF(Level1[[#This Row],[Edible_Waste_Only?]]=1,'Cover Sheet'!$R$34,1),1)</f>
        <v>1.1756101852337386</v>
      </c>
      <c r="AS16" s="78">
        <f>PRODUCT(Level1[[#This Row],[Household_Diary_Adjustment]:[Retail_Inedible_Adjustment]])</f>
        <v>1.1756101852337386</v>
      </c>
      <c r="AT16" s="124">
        <f>Level1[[#This Row],[Preferred_estimate_kg/capita]]*Level1[[#This Row],[Total_Adjustment]]</f>
        <v>14.107322222804864</v>
      </c>
    </row>
    <row r="17" spans="1:46">
      <c r="A17" s="112">
        <v>3</v>
      </c>
      <c r="B17" s="126" t="s">
        <v>149</v>
      </c>
      <c r="C17" s="9">
        <v>2019</v>
      </c>
      <c r="D17" s="113" t="s">
        <v>150</v>
      </c>
      <c r="E17" s="114" t="s">
        <v>167</v>
      </c>
      <c r="F17" s="9">
        <v>724</v>
      </c>
      <c r="G17" s="9" t="s">
        <v>161</v>
      </c>
      <c r="H17" s="9" t="s">
        <v>128</v>
      </c>
      <c r="I17" s="9" t="s">
        <v>129</v>
      </c>
      <c r="J17" s="9" t="s">
        <v>130</v>
      </c>
      <c r="K17" s="9"/>
      <c r="L17" s="115">
        <v>46.736800000000002</v>
      </c>
      <c r="M17" s="114">
        <v>1</v>
      </c>
      <c r="N17" s="9"/>
      <c r="O17" s="115"/>
      <c r="P17" s="114" t="s">
        <v>151</v>
      </c>
      <c r="Q17" s="9">
        <v>2</v>
      </c>
      <c r="R17" s="9" t="s">
        <v>168</v>
      </c>
      <c r="S17" s="10">
        <v>1</v>
      </c>
      <c r="T17" s="10">
        <v>1</v>
      </c>
      <c r="U17" s="138">
        <v>2016</v>
      </c>
      <c r="V17" s="117"/>
      <c r="W17" s="9"/>
      <c r="X17" s="139"/>
      <c r="Y17" s="140" t="s">
        <v>166</v>
      </c>
      <c r="Z17" s="118">
        <v>1240000</v>
      </c>
      <c r="AA17" s="9" t="s">
        <v>133</v>
      </c>
      <c r="AB17" s="119">
        <v>1240000</v>
      </c>
      <c r="AC17" s="119">
        <v>1240000</v>
      </c>
      <c r="AD17" s="120">
        <v>1240000</v>
      </c>
      <c r="AE17" s="121">
        <v>1</v>
      </c>
      <c r="AF17" s="120">
        <v>46687914.285714284</v>
      </c>
      <c r="AG17" s="120">
        <v>0</v>
      </c>
      <c r="AH17" s="122">
        <v>26.559335943165472</v>
      </c>
      <c r="AI17" s="123"/>
      <c r="AJ17" s="9"/>
      <c r="AK17" s="78" t="s">
        <v>134</v>
      </c>
      <c r="AL17" s="78" t="s">
        <v>134</v>
      </c>
      <c r="AM17" s="122" t="s">
        <v>134</v>
      </c>
      <c r="AN17" s="121">
        <f>IF(Level1[[#This Row],[Standardised_Normalised_Mass_kg/capita/year]]&lt;&gt;"",Level1[[#This Row],[Standardised_Normalised_Mass_kg/capita/year]],Level1[[#This Row],[Derived_Normalised_kg/capita/year]])</f>
        <v>26.559335943165472</v>
      </c>
      <c r="AO17" s="78">
        <f>IF(Level1[[#This Row],[Household]]=1,IF(Level1[[#This Row],[Household_Diary?]]=1,'Cover Sheet'!$R$31,1),1)</f>
        <v>1.4326647564469914</v>
      </c>
      <c r="AP17" s="78">
        <f>IF(Level1[[#This Row],[Household]]=1,IF(Level1[[#This Row],[Edible_Waste_Only?]]=1,'Cover Sheet'!$R$32,1),1)</f>
        <v>2.0408117215309693</v>
      </c>
      <c r="AQ17" s="78">
        <f>IF(Level1[[#This Row],[Food_Service]]=1,IF(Level1[[#This Row],[Edible_Waste_Only?]]=1,'Cover Sheet'!$R$33,1),1)</f>
        <v>1</v>
      </c>
      <c r="AR17" s="78">
        <f>IF(Level1[[#This Row],[Retail]]=1,IF(Level1[[#This Row],[Edible_Waste_Only?]]=1,'Cover Sheet'!$R$34,1),1)</f>
        <v>1</v>
      </c>
      <c r="AS17" s="78">
        <f>PRODUCT(Level1[[#This Row],[Household_Diary_Adjustment]:[Retail_Inedible_Adjustment]])</f>
        <v>2.9237990279813313</v>
      </c>
      <c r="AT17" s="124">
        <f>Level1[[#This Row],[Preferred_estimate_kg/capita]]*Level1[[#This Row],[Total_Adjustment]]</f>
        <v>77.654160614456842</v>
      </c>
    </row>
    <row r="18" spans="1:46">
      <c r="A18" s="125">
        <v>3</v>
      </c>
      <c r="B18" s="126" t="s">
        <v>149</v>
      </c>
      <c r="C18" s="126">
        <v>2019</v>
      </c>
      <c r="D18" s="127" t="s">
        <v>150</v>
      </c>
      <c r="E18" s="128" t="s">
        <v>167</v>
      </c>
      <c r="F18" s="126">
        <v>724</v>
      </c>
      <c r="G18" s="126" t="s">
        <v>161</v>
      </c>
      <c r="H18" s="126" t="s">
        <v>128</v>
      </c>
      <c r="I18" s="9" t="s">
        <v>129</v>
      </c>
      <c r="J18" s="9" t="s">
        <v>130</v>
      </c>
      <c r="K18" s="126"/>
      <c r="L18" s="115">
        <v>46.736800000000002</v>
      </c>
      <c r="M18" s="128">
        <v>1</v>
      </c>
      <c r="N18" s="126"/>
      <c r="O18" s="129"/>
      <c r="P18" s="128" t="s">
        <v>151</v>
      </c>
      <c r="Q18" s="126">
        <v>2</v>
      </c>
      <c r="R18" s="126" t="s">
        <v>169</v>
      </c>
      <c r="S18" s="130">
        <v>1</v>
      </c>
      <c r="T18" s="130">
        <v>1</v>
      </c>
      <c r="U18" s="135">
        <v>2016</v>
      </c>
      <c r="V18" s="132"/>
      <c r="W18" s="126"/>
      <c r="X18" s="141"/>
      <c r="Y18" s="137" t="s">
        <v>166</v>
      </c>
      <c r="Z18" s="133">
        <v>1229509</v>
      </c>
      <c r="AA18" s="9" t="s">
        <v>133</v>
      </c>
      <c r="AB18" s="119">
        <v>1229509</v>
      </c>
      <c r="AC18" s="119">
        <v>1229509</v>
      </c>
      <c r="AD18" s="134">
        <v>1229509</v>
      </c>
      <c r="AE18" s="121">
        <v>1</v>
      </c>
      <c r="AF18" s="120">
        <v>46687914.285714284</v>
      </c>
      <c r="AG18" s="120">
        <v>0</v>
      </c>
      <c r="AH18" s="122">
        <v>26.334631109794707</v>
      </c>
      <c r="AI18" s="123"/>
      <c r="AJ18" s="126"/>
      <c r="AK18" s="78" t="s">
        <v>134</v>
      </c>
      <c r="AL18" s="78" t="s">
        <v>134</v>
      </c>
      <c r="AM18" s="122" t="s">
        <v>134</v>
      </c>
      <c r="AN18" s="121">
        <f>IF(Level1[[#This Row],[Standardised_Normalised_Mass_kg/capita/year]]&lt;&gt;"",Level1[[#This Row],[Standardised_Normalised_Mass_kg/capita/year]],Level1[[#This Row],[Derived_Normalised_kg/capita/year]])</f>
        <v>26.334631109794707</v>
      </c>
      <c r="AO18" s="78">
        <f>IF(Level1[[#This Row],[Household]]=1,IF(Level1[[#This Row],[Household_Diary?]]=1,'Cover Sheet'!$R$31,1),1)</f>
        <v>1.4326647564469914</v>
      </c>
      <c r="AP18" s="78">
        <f>IF(Level1[[#This Row],[Household]]=1,IF(Level1[[#This Row],[Edible_Waste_Only?]]=1,'Cover Sheet'!$R$32,1),1)</f>
        <v>2.0408117215309693</v>
      </c>
      <c r="AQ18" s="78">
        <f>IF(Level1[[#This Row],[Food_Service]]=1,IF(Level1[[#This Row],[Edible_Waste_Only?]]=1,'Cover Sheet'!$R$33,1),1)</f>
        <v>1</v>
      </c>
      <c r="AR18" s="78">
        <f>IF(Level1[[#This Row],[Retail]]=1,IF(Level1[[#This Row],[Edible_Waste_Only?]]=1,'Cover Sheet'!$R$34,1),1)</f>
        <v>1</v>
      </c>
      <c r="AS18" s="78">
        <f>PRODUCT(Level1[[#This Row],[Household_Diary_Adjustment]:[Retail_Inedible_Adjustment]])</f>
        <v>2.9237990279813313</v>
      </c>
      <c r="AT18" s="124">
        <f>Level1[[#This Row],[Preferred_estimate_kg/capita]]*Level1[[#This Row],[Total_Adjustment]]</f>
        <v>76.997168841064692</v>
      </c>
    </row>
    <row r="19" spans="1:46">
      <c r="A19" s="112">
        <v>4</v>
      </c>
      <c r="B19" s="126" t="s">
        <v>170</v>
      </c>
      <c r="C19" s="9">
        <v>2018</v>
      </c>
      <c r="D19" s="113" t="s">
        <v>171</v>
      </c>
      <c r="E19" s="114" t="s">
        <v>172</v>
      </c>
      <c r="F19" s="9">
        <v>48</v>
      </c>
      <c r="G19" s="9" t="s">
        <v>173</v>
      </c>
      <c r="H19" s="9" t="s">
        <v>174</v>
      </c>
      <c r="I19" s="9" t="s">
        <v>129</v>
      </c>
      <c r="J19" s="9" t="s">
        <v>130</v>
      </c>
      <c r="K19" s="9"/>
      <c r="L19" s="115">
        <v>1.6412</v>
      </c>
      <c r="M19" s="114">
        <v>1</v>
      </c>
      <c r="N19" s="9"/>
      <c r="O19" s="115"/>
      <c r="P19" s="114" t="s">
        <v>131</v>
      </c>
      <c r="Q19" s="9">
        <v>2</v>
      </c>
      <c r="R19" s="9" t="s">
        <v>175</v>
      </c>
      <c r="S19" s="10"/>
      <c r="T19" s="10"/>
      <c r="U19" s="138">
        <v>2017</v>
      </c>
      <c r="V19" s="117">
        <v>0.35199999999999998</v>
      </c>
      <c r="W19" s="9" t="s">
        <v>176</v>
      </c>
      <c r="X19" s="142"/>
      <c r="Y19" s="143"/>
      <c r="Z19" s="118">
        <f>559053*Level1[[#This Row],[FW_Share_estimate]]</f>
        <v>196786.65599999999</v>
      </c>
      <c r="AA19" s="9" t="s">
        <v>133</v>
      </c>
      <c r="AB19" s="119">
        <v>196786.65600000002</v>
      </c>
      <c r="AC19" s="119">
        <v>196786.65600000002</v>
      </c>
      <c r="AD19" s="120">
        <v>196786.65600000002</v>
      </c>
      <c r="AE19" s="121">
        <v>1</v>
      </c>
      <c r="AF19" s="120">
        <v>1494100</v>
      </c>
      <c r="AG19" s="120">
        <v>0</v>
      </c>
      <c r="AH19" s="122">
        <v>131.70916002944918</v>
      </c>
      <c r="AI19" s="123"/>
      <c r="AJ19" s="9"/>
      <c r="AK19" s="78" t="s">
        <v>134</v>
      </c>
      <c r="AL19" s="78" t="s">
        <v>134</v>
      </c>
      <c r="AM19" s="122" t="s">
        <v>134</v>
      </c>
      <c r="AN19" s="121">
        <f>IF(Level1[[#This Row],[Standardised_Normalised_Mass_kg/capita/year]]&lt;&gt;"",Level1[[#This Row],[Standardised_Normalised_Mass_kg/capita/year]],Level1[[#This Row],[Derived_Normalised_kg/capita/year]])</f>
        <v>131.70916002944918</v>
      </c>
      <c r="AO19" s="78">
        <f>IF(Level1[[#This Row],[Household]]=1,IF(Level1[[#This Row],[Household_Diary?]]=1,'Cover Sheet'!$R$31,1),1)</f>
        <v>1</v>
      </c>
      <c r="AP19" s="78">
        <f>IF(Level1[[#This Row],[Household]]=1,IF(Level1[[#This Row],[Edible_Waste_Only?]]=1,'Cover Sheet'!$R$32,1),1)</f>
        <v>1</v>
      </c>
      <c r="AQ19" s="78">
        <f>IF(Level1[[#This Row],[Food_Service]]=1,IF(Level1[[#This Row],[Edible_Waste_Only?]]=1,'Cover Sheet'!$R$33,1),1)</f>
        <v>1</v>
      </c>
      <c r="AR19" s="78">
        <f>IF(Level1[[#This Row],[Retail]]=1,IF(Level1[[#This Row],[Edible_Waste_Only?]]=1,'Cover Sheet'!$R$34,1),1)</f>
        <v>1</v>
      </c>
      <c r="AS19" s="78">
        <f>PRODUCT(Level1[[#This Row],[Household_Diary_Adjustment]:[Retail_Inedible_Adjustment]])</f>
        <v>1</v>
      </c>
      <c r="AT19" s="124">
        <f>Level1[[#This Row],[Preferred_estimate_kg/capita]]*Level1[[#This Row],[Total_Adjustment]]</f>
        <v>131.70916002944918</v>
      </c>
    </row>
    <row r="20" spans="1:46">
      <c r="A20" s="125">
        <v>5</v>
      </c>
      <c r="B20" s="126" t="s">
        <v>177</v>
      </c>
      <c r="C20" s="126">
        <v>2012</v>
      </c>
      <c r="D20" s="127" t="s">
        <v>178</v>
      </c>
      <c r="E20" s="128" t="s">
        <v>179</v>
      </c>
      <c r="F20" s="126">
        <v>50</v>
      </c>
      <c r="G20" s="126" t="s">
        <v>180</v>
      </c>
      <c r="H20" s="126" t="s">
        <v>174</v>
      </c>
      <c r="I20" s="9" t="s">
        <v>181</v>
      </c>
      <c r="J20" s="9" t="s">
        <v>182</v>
      </c>
      <c r="K20" s="126" t="s">
        <v>183</v>
      </c>
      <c r="L20" s="115">
        <v>163.0462</v>
      </c>
      <c r="M20" s="128">
        <v>1</v>
      </c>
      <c r="N20" s="126"/>
      <c r="O20" s="129"/>
      <c r="P20" s="128" t="s">
        <v>131</v>
      </c>
      <c r="Q20" s="126">
        <v>2</v>
      </c>
      <c r="R20" s="126" t="s">
        <v>184</v>
      </c>
      <c r="S20" s="130"/>
      <c r="T20" s="130"/>
      <c r="U20" s="135">
        <v>2010</v>
      </c>
      <c r="V20" s="132">
        <v>0.72</v>
      </c>
      <c r="W20" s="126" t="s">
        <v>176</v>
      </c>
      <c r="X20" s="141"/>
      <c r="Y20" s="144"/>
      <c r="Z20" s="133"/>
      <c r="AA20" s="9"/>
      <c r="AB20" s="119" t="s">
        <v>134</v>
      </c>
      <c r="AC20" s="119" t="s">
        <v>134</v>
      </c>
      <c r="AD20" s="134" t="s">
        <v>134</v>
      </c>
      <c r="AE20" s="121">
        <v>0</v>
      </c>
      <c r="AF20" s="120">
        <v>0</v>
      </c>
      <c r="AG20" s="120">
        <v>0</v>
      </c>
      <c r="AH20" s="122">
        <v>0</v>
      </c>
      <c r="AI20" s="123">
        <f>0.28*Level1[[#This Row],[FW_Share_estimate]]</f>
        <v>0.2016</v>
      </c>
      <c r="AJ20" s="126" t="s">
        <v>185</v>
      </c>
      <c r="AK20" s="78">
        <v>0.2016</v>
      </c>
      <c r="AL20" s="78">
        <v>73.634399999999999</v>
      </c>
      <c r="AM20" s="122">
        <v>73.634399999999999</v>
      </c>
      <c r="AN20" s="121">
        <f>IF(Level1[[#This Row],[Standardised_Normalised_Mass_kg/capita/year]]&lt;&gt;"",Level1[[#This Row],[Standardised_Normalised_Mass_kg/capita/year]],Level1[[#This Row],[Derived_Normalised_kg/capita/year]])</f>
        <v>73.634399999999999</v>
      </c>
      <c r="AO20" s="78">
        <f>IF(Level1[[#This Row],[Household]]=1,IF(Level1[[#This Row],[Household_Diary?]]=1,'Cover Sheet'!$R$31,1),1)</f>
        <v>1</v>
      </c>
      <c r="AP20" s="78">
        <f>IF(Level1[[#This Row],[Household]]=1,IF(Level1[[#This Row],[Edible_Waste_Only?]]=1,'Cover Sheet'!$R$32,1),1)</f>
        <v>1</v>
      </c>
      <c r="AQ20" s="78">
        <f>IF(Level1[[#This Row],[Food_Service]]=1,IF(Level1[[#This Row],[Edible_Waste_Only?]]=1,'Cover Sheet'!$R$33,1),1)</f>
        <v>1</v>
      </c>
      <c r="AR20" s="78">
        <f>IF(Level1[[#This Row],[Retail]]=1,IF(Level1[[#This Row],[Edible_Waste_Only?]]=1,'Cover Sheet'!$R$34,1),1)</f>
        <v>1</v>
      </c>
      <c r="AS20" s="78">
        <f>PRODUCT(Level1[[#This Row],[Household_Diary_Adjustment]:[Retail_Inedible_Adjustment]])</f>
        <v>1</v>
      </c>
      <c r="AT20" s="124">
        <f>Level1[[#This Row],[Preferred_estimate_kg/capita]]*Level1[[#This Row],[Total_Adjustment]]</f>
        <v>73.634399999999999</v>
      </c>
    </row>
    <row r="21" spans="1:46">
      <c r="A21" s="112">
        <v>6</v>
      </c>
      <c r="B21" s="126" t="s">
        <v>186</v>
      </c>
      <c r="C21" s="9">
        <v>2008</v>
      </c>
      <c r="D21" s="113" t="s">
        <v>187</v>
      </c>
      <c r="E21" s="114" t="s">
        <v>179</v>
      </c>
      <c r="F21" s="9">
        <v>50</v>
      </c>
      <c r="G21" s="9" t="s">
        <v>180</v>
      </c>
      <c r="H21" s="9" t="s">
        <v>174</v>
      </c>
      <c r="I21" s="9" t="s">
        <v>181</v>
      </c>
      <c r="J21" s="9" t="s">
        <v>182</v>
      </c>
      <c r="K21" s="9" t="s">
        <v>183</v>
      </c>
      <c r="L21" s="115">
        <v>163.0462</v>
      </c>
      <c r="M21" s="114">
        <v>1</v>
      </c>
      <c r="N21" s="9"/>
      <c r="O21" s="115"/>
      <c r="P21" s="114" t="s">
        <v>131</v>
      </c>
      <c r="Q21" s="9">
        <v>2</v>
      </c>
      <c r="R21" s="9" t="s">
        <v>188</v>
      </c>
      <c r="S21" s="10"/>
      <c r="T21" s="10"/>
      <c r="U21" s="138">
        <v>2006</v>
      </c>
      <c r="V21" s="117">
        <v>0.62</v>
      </c>
      <c r="W21" s="9" t="s">
        <v>176</v>
      </c>
      <c r="X21" s="117"/>
      <c r="Y21" s="115"/>
      <c r="Z21" s="118"/>
      <c r="AA21" s="9"/>
      <c r="AB21" s="119" t="s">
        <v>134</v>
      </c>
      <c r="AC21" s="119" t="s">
        <v>134</v>
      </c>
      <c r="AD21" s="120" t="s">
        <v>134</v>
      </c>
      <c r="AE21" s="121">
        <v>0</v>
      </c>
      <c r="AF21" s="120">
        <v>0</v>
      </c>
      <c r="AG21" s="120">
        <v>0</v>
      </c>
      <c r="AH21" s="122">
        <v>0</v>
      </c>
      <c r="AI21" s="123">
        <f>0.25*Level1[[#This Row],[FW_Share_estimate]]</f>
        <v>0.155</v>
      </c>
      <c r="AJ21" s="9" t="s">
        <v>185</v>
      </c>
      <c r="AK21" s="78">
        <v>0.155</v>
      </c>
      <c r="AL21" s="78">
        <v>56.613750000000003</v>
      </c>
      <c r="AM21" s="122">
        <v>56.613750000000003</v>
      </c>
      <c r="AN21" s="121">
        <f>IF(Level1[[#This Row],[Standardised_Normalised_Mass_kg/capita/year]]&lt;&gt;"",Level1[[#This Row],[Standardised_Normalised_Mass_kg/capita/year]],Level1[[#This Row],[Derived_Normalised_kg/capita/year]])</f>
        <v>56.613750000000003</v>
      </c>
      <c r="AO21" s="78">
        <f>IF(Level1[[#This Row],[Household]]=1,IF(Level1[[#This Row],[Household_Diary?]]=1,'Cover Sheet'!$R$31,1),1)</f>
        <v>1</v>
      </c>
      <c r="AP21" s="78">
        <f>IF(Level1[[#This Row],[Household]]=1,IF(Level1[[#This Row],[Edible_Waste_Only?]]=1,'Cover Sheet'!$R$32,1),1)</f>
        <v>1</v>
      </c>
      <c r="AQ21" s="78">
        <f>IF(Level1[[#This Row],[Food_Service]]=1,IF(Level1[[#This Row],[Edible_Waste_Only?]]=1,'Cover Sheet'!$R$33,1),1)</f>
        <v>1</v>
      </c>
      <c r="AR21" s="78">
        <f>IF(Level1[[#This Row],[Retail]]=1,IF(Level1[[#This Row],[Edible_Waste_Only?]]=1,'Cover Sheet'!$R$34,1),1)</f>
        <v>1</v>
      </c>
      <c r="AS21" s="78">
        <f>PRODUCT(Level1[[#This Row],[Household_Diary_Adjustment]:[Retail_Inedible_Adjustment]])</f>
        <v>1</v>
      </c>
      <c r="AT21" s="124">
        <f>Level1[[#This Row],[Preferred_estimate_kg/capita]]*Level1[[#This Row],[Total_Adjustment]]</f>
        <v>56.613750000000003</v>
      </c>
    </row>
    <row r="22" spans="1:46">
      <c r="A22" s="125">
        <v>7</v>
      </c>
      <c r="B22" s="126" t="s">
        <v>189</v>
      </c>
      <c r="C22" s="126">
        <v>2005</v>
      </c>
      <c r="D22" s="127" t="s">
        <v>190</v>
      </c>
      <c r="E22" s="128" t="s">
        <v>179</v>
      </c>
      <c r="F22" s="126">
        <v>50</v>
      </c>
      <c r="G22" s="126" t="s">
        <v>180</v>
      </c>
      <c r="H22" s="126" t="s">
        <v>174</v>
      </c>
      <c r="I22" s="9" t="s">
        <v>181</v>
      </c>
      <c r="J22" s="9" t="s">
        <v>182</v>
      </c>
      <c r="K22" s="126" t="s">
        <v>191</v>
      </c>
      <c r="L22" s="115">
        <v>163.0462</v>
      </c>
      <c r="M22" s="128"/>
      <c r="N22" s="126">
        <v>1</v>
      </c>
      <c r="O22" s="129"/>
      <c r="P22" s="128" t="s">
        <v>131</v>
      </c>
      <c r="Q22" s="126">
        <v>2</v>
      </c>
      <c r="R22" s="126" t="s">
        <v>192</v>
      </c>
      <c r="S22" s="130"/>
      <c r="T22" s="130"/>
      <c r="U22" s="135">
        <v>2004</v>
      </c>
      <c r="V22" s="132">
        <f>AVERAGE(97,96)%</f>
        <v>0.96499999999999997</v>
      </c>
      <c r="W22" s="126" t="s">
        <v>176</v>
      </c>
      <c r="X22" s="141"/>
      <c r="Y22" s="137"/>
      <c r="Z22" s="133">
        <f>54*Level1[[#This Row],[FW_Share_estimate]]</f>
        <v>52.11</v>
      </c>
      <c r="AA22" s="9" t="s">
        <v>193</v>
      </c>
      <c r="AB22" s="119">
        <v>19033.177500000002</v>
      </c>
      <c r="AC22" s="119">
        <v>19033.177500000002</v>
      </c>
      <c r="AD22" s="134">
        <v>19033.177500000002</v>
      </c>
      <c r="AE22" s="121">
        <v>1</v>
      </c>
      <c r="AF22" s="120">
        <v>0</v>
      </c>
      <c r="AG22" s="120">
        <v>5700000</v>
      </c>
      <c r="AH22" s="122">
        <v>3.3391539473684211</v>
      </c>
      <c r="AI22" s="123">
        <f>23.8*Level1[[#This Row],[FW_Share_estimate]]</f>
        <v>22.966999999999999</v>
      </c>
      <c r="AJ22" s="126" t="s">
        <v>194</v>
      </c>
      <c r="AK22" s="78">
        <v>22.966999999999999</v>
      </c>
      <c r="AL22" s="78">
        <v>8388.6967499999992</v>
      </c>
      <c r="AM22" s="122" t="s">
        <v>134</v>
      </c>
      <c r="AN22" s="121">
        <f>IF(Level1[[#This Row],[Standardised_Normalised_Mass_kg/capita/year]]&lt;&gt;"",Level1[[#This Row],[Standardised_Normalised_Mass_kg/capita/year]],Level1[[#This Row],[Derived_Normalised_kg/capita/year]])</f>
        <v>3.3391539473684211</v>
      </c>
      <c r="AO22" s="78">
        <f>IF(Level1[[#This Row],[Household]]=1,IF(Level1[[#This Row],[Household_Diary?]]=1,'Cover Sheet'!$R$31,1),1)</f>
        <v>1</v>
      </c>
      <c r="AP22" s="78">
        <f>IF(Level1[[#This Row],[Household]]=1,IF(Level1[[#This Row],[Edible_Waste_Only?]]=1,'Cover Sheet'!$R$32,1),1)</f>
        <v>1</v>
      </c>
      <c r="AQ22" s="78">
        <f>IF(Level1[[#This Row],[Food_Service]]=1,IF(Level1[[#This Row],[Edible_Waste_Only?]]=1,'Cover Sheet'!$R$33,1),1)</f>
        <v>1</v>
      </c>
      <c r="AR22" s="78">
        <f>IF(Level1[[#This Row],[Retail]]=1,IF(Level1[[#This Row],[Edible_Waste_Only?]]=1,'Cover Sheet'!$R$34,1),1)</f>
        <v>1</v>
      </c>
      <c r="AS22" s="78">
        <f>PRODUCT(Level1[[#This Row],[Household_Diary_Adjustment]:[Retail_Inedible_Adjustment]])</f>
        <v>1</v>
      </c>
      <c r="AT22" s="124">
        <f>Level1[[#This Row],[Preferred_estimate_kg/capita]]*Level1[[#This Row],[Total_Adjustment]]</f>
        <v>3.3391539473684211</v>
      </c>
    </row>
    <row r="23" spans="1:46">
      <c r="A23" s="125">
        <v>8</v>
      </c>
      <c r="B23" s="126" t="s">
        <v>195</v>
      </c>
      <c r="C23" s="126">
        <v>2017</v>
      </c>
      <c r="D23" s="127" t="s">
        <v>196</v>
      </c>
      <c r="E23" s="128" t="s">
        <v>197</v>
      </c>
      <c r="F23" s="126">
        <v>56</v>
      </c>
      <c r="G23" s="126" t="s">
        <v>141</v>
      </c>
      <c r="H23" s="126" t="s">
        <v>128</v>
      </c>
      <c r="I23" s="9" t="s">
        <v>129</v>
      </c>
      <c r="J23" s="9" t="s">
        <v>182</v>
      </c>
      <c r="K23" s="126" t="s">
        <v>198</v>
      </c>
      <c r="L23" s="115">
        <v>11.539300000000001</v>
      </c>
      <c r="M23" s="128"/>
      <c r="N23" s="126"/>
      <c r="O23" s="129">
        <v>1</v>
      </c>
      <c r="P23" s="128" t="s">
        <v>135</v>
      </c>
      <c r="Q23" s="126">
        <v>2</v>
      </c>
      <c r="R23" s="126" t="s">
        <v>199</v>
      </c>
      <c r="S23" s="130"/>
      <c r="T23" s="130"/>
      <c r="U23" s="135">
        <v>2015</v>
      </c>
      <c r="V23" s="132"/>
      <c r="W23" s="126"/>
      <c r="X23" s="141">
        <f>43391/Level1[[#This Row],[Mass_estimate]]</f>
        <v>0.69002575570311675</v>
      </c>
      <c r="Y23" s="137" t="s">
        <v>200</v>
      </c>
      <c r="Z23" s="133">
        <f>SUM(43391,21437)*97%</f>
        <v>62883.159999999996</v>
      </c>
      <c r="AA23" s="9" t="s">
        <v>133</v>
      </c>
      <c r="AB23" s="119">
        <v>62883.159999999996</v>
      </c>
      <c r="AC23" s="119">
        <v>62883.159999999996</v>
      </c>
      <c r="AD23" s="134">
        <v>62883.159999999996</v>
      </c>
      <c r="AE23" s="121">
        <v>1</v>
      </c>
      <c r="AF23" s="120">
        <v>0</v>
      </c>
      <c r="AG23" s="120">
        <v>6473029.0456431536</v>
      </c>
      <c r="AH23" s="122">
        <v>9.7146420256410249</v>
      </c>
      <c r="AI23" s="123"/>
      <c r="AJ23" s="126"/>
      <c r="AK23" s="78" t="s">
        <v>134</v>
      </c>
      <c r="AL23" s="78" t="s">
        <v>134</v>
      </c>
      <c r="AM23" s="122" t="s">
        <v>134</v>
      </c>
      <c r="AN23" s="121">
        <f>IF(Level1[[#This Row],[Standardised_Normalised_Mass_kg/capita/year]]&lt;&gt;"",Level1[[#This Row],[Standardised_Normalised_Mass_kg/capita/year]],Level1[[#This Row],[Derived_Normalised_kg/capita/year]])</f>
        <v>9.7146420256410249</v>
      </c>
      <c r="AO23" s="78">
        <f>IF(Level1[[#This Row],[Household]]=1,IF(Level1[[#This Row],[Household_Diary?]]=1,'Cover Sheet'!$R$31,1),1)</f>
        <v>1</v>
      </c>
      <c r="AP23" s="78">
        <f>IF(Level1[[#This Row],[Household]]=1,IF(Level1[[#This Row],[Edible_Waste_Only?]]=1,'Cover Sheet'!$R$32,1),1)</f>
        <v>1</v>
      </c>
      <c r="AQ23" s="78">
        <f>IF(Level1[[#This Row],[Food_Service]]=1,IF(Level1[[#This Row],[Edible_Waste_Only?]]=1,'Cover Sheet'!$R$33,1),1)</f>
        <v>1</v>
      </c>
      <c r="AR23" s="78">
        <f>IF(Level1[[#This Row],[Retail]]=1,IF(Level1[[#This Row],[Edible_Waste_Only?]]=1,'Cover Sheet'!$R$34,1),1)</f>
        <v>1</v>
      </c>
      <c r="AS23" s="78">
        <f>PRODUCT(Level1[[#This Row],[Household_Diary_Adjustment]:[Retail_Inedible_Adjustment]])</f>
        <v>1</v>
      </c>
      <c r="AT23" s="124">
        <f>Level1[[#This Row],[Preferred_estimate_kg/capita]]*Level1[[#This Row],[Total_Adjustment]]</f>
        <v>9.7146420256410249</v>
      </c>
    </row>
    <row r="24" spans="1:46">
      <c r="A24" s="112">
        <v>8</v>
      </c>
      <c r="B24" s="126" t="s">
        <v>195</v>
      </c>
      <c r="C24" s="9">
        <v>2017</v>
      </c>
      <c r="D24" s="113" t="s">
        <v>196</v>
      </c>
      <c r="E24" s="114" t="s">
        <v>197</v>
      </c>
      <c r="F24" s="9">
        <v>56</v>
      </c>
      <c r="G24" s="9" t="s">
        <v>141</v>
      </c>
      <c r="H24" s="9" t="s">
        <v>128</v>
      </c>
      <c r="I24" s="9" t="s">
        <v>129</v>
      </c>
      <c r="J24" s="9" t="s">
        <v>182</v>
      </c>
      <c r="K24" s="9" t="s">
        <v>198</v>
      </c>
      <c r="L24" s="115">
        <v>11.539300000000001</v>
      </c>
      <c r="M24" s="114"/>
      <c r="N24" s="9">
        <v>1</v>
      </c>
      <c r="O24" s="115"/>
      <c r="P24" s="114" t="s">
        <v>135</v>
      </c>
      <c r="Q24" s="9">
        <v>2</v>
      </c>
      <c r="R24" s="9" t="s">
        <v>201</v>
      </c>
      <c r="S24" s="10"/>
      <c r="T24" s="10"/>
      <c r="U24" s="138">
        <v>2015</v>
      </c>
      <c r="V24" s="117"/>
      <c r="W24" s="9"/>
      <c r="X24" s="145">
        <f>(19109+57090)/Level1[[#This Row],[Standardised_Mass_tonnes/year]]</f>
        <v>0.59742835861852683</v>
      </c>
      <c r="Y24" s="140" t="s">
        <v>202</v>
      </c>
      <c r="Z24" s="118">
        <f>(19108+48342)+(57090+3005)</f>
        <v>127545</v>
      </c>
      <c r="AA24" s="9" t="s">
        <v>133</v>
      </c>
      <c r="AB24" s="119">
        <v>127545</v>
      </c>
      <c r="AC24" s="119">
        <v>127545</v>
      </c>
      <c r="AD24" s="120">
        <v>127545</v>
      </c>
      <c r="AE24" s="121">
        <v>1</v>
      </c>
      <c r="AF24" s="120">
        <v>0</v>
      </c>
      <c r="AG24" s="120">
        <v>6473029.0456431536</v>
      </c>
      <c r="AH24" s="122">
        <v>19.704067307692309</v>
      </c>
      <c r="AI24" s="123"/>
      <c r="AJ24" s="9"/>
      <c r="AK24" s="78" t="s">
        <v>134</v>
      </c>
      <c r="AL24" s="78" t="s">
        <v>134</v>
      </c>
      <c r="AM24" s="122" t="s">
        <v>134</v>
      </c>
      <c r="AN24" s="121">
        <f>IF(Level1[[#This Row],[Standardised_Normalised_Mass_kg/capita/year]]&lt;&gt;"",Level1[[#This Row],[Standardised_Normalised_Mass_kg/capita/year]],Level1[[#This Row],[Derived_Normalised_kg/capita/year]])</f>
        <v>19.704067307692309</v>
      </c>
      <c r="AO24" s="78">
        <f>IF(Level1[[#This Row],[Household]]=1,IF(Level1[[#This Row],[Household_Diary?]]=1,'Cover Sheet'!$R$31,1),1)</f>
        <v>1</v>
      </c>
      <c r="AP24" s="78">
        <f>IF(Level1[[#This Row],[Household]]=1,IF(Level1[[#This Row],[Edible_Waste_Only?]]=1,'Cover Sheet'!$R$32,1),1)</f>
        <v>1</v>
      </c>
      <c r="AQ24" s="78">
        <f>IF(Level1[[#This Row],[Food_Service]]=1,IF(Level1[[#This Row],[Edible_Waste_Only?]]=1,'Cover Sheet'!$R$33,1),1)</f>
        <v>1</v>
      </c>
      <c r="AR24" s="78">
        <f>IF(Level1[[#This Row],[Retail]]=1,IF(Level1[[#This Row],[Edible_Waste_Only?]]=1,'Cover Sheet'!$R$34,1),1)</f>
        <v>1</v>
      </c>
      <c r="AS24" s="78">
        <f>PRODUCT(Level1[[#This Row],[Household_Diary_Adjustment]:[Retail_Inedible_Adjustment]])</f>
        <v>1</v>
      </c>
      <c r="AT24" s="124">
        <f>Level1[[#This Row],[Preferred_estimate_kg/capita]]*Level1[[#This Row],[Total_Adjustment]]</f>
        <v>19.704067307692309</v>
      </c>
    </row>
    <row r="25" spans="1:46">
      <c r="A25" s="112">
        <v>8</v>
      </c>
      <c r="B25" s="126" t="s">
        <v>195</v>
      </c>
      <c r="C25" s="9">
        <v>2017</v>
      </c>
      <c r="D25" s="113" t="s">
        <v>196</v>
      </c>
      <c r="E25" s="114" t="s">
        <v>197</v>
      </c>
      <c r="F25" s="9">
        <v>56</v>
      </c>
      <c r="G25" s="9" t="s">
        <v>141</v>
      </c>
      <c r="H25" s="9" t="s">
        <v>128</v>
      </c>
      <c r="I25" s="9" t="s">
        <v>129</v>
      </c>
      <c r="J25" s="9" t="s">
        <v>182</v>
      </c>
      <c r="K25" s="9" t="s">
        <v>198</v>
      </c>
      <c r="L25" s="115">
        <v>11.539300000000001</v>
      </c>
      <c r="M25" s="114">
        <v>1</v>
      </c>
      <c r="N25" s="9"/>
      <c r="O25" s="115"/>
      <c r="P25" s="114" t="s">
        <v>203</v>
      </c>
      <c r="Q25" s="9">
        <v>2</v>
      </c>
      <c r="R25" s="146" t="s">
        <v>204</v>
      </c>
      <c r="S25" s="10"/>
      <c r="T25" s="10"/>
      <c r="U25" s="138">
        <v>2015</v>
      </c>
      <c r="V25" s="117"/>
      <c r="W25" s="9"/>
      <c r="X25" s="145">
        <f>(211858)*(1-28%)/Level1[[#This Row],[Mass_estimate]]</f>
        <v>0.47206247507778981</v>
      </c>
      <c r="Y25" s="140" t="s">
        <v>205</v>
      </c>
      <c r="Z25" s="118">
        <f>(211858+256447)*(1-28%-3%)</f>
        <v>323130.44999999995</v>
      </c>
      <c r="AA25" s="9" t="s">
        <v>133</v>
      </c>
      <c r="AB25" s="119">
        <v>323130.44999999995</v>
      </c>
      <c r="AC25" s="119">
        <v>323130.44999999995</v>
      </c>
      <c r="AD25" s="120">
        <v>323130.44999999995</v>
      </c>
      <c r="AE25" s="121">
        <v>1</v>
      </c>
      <c r="AF25" s="120">
        <v>0</v>
      </c>
      <c r="AG25" s="120">
        <v>6473029.0456431536</v>
      </c>
      <c r="AH25" s="122">
        <v>49.91951182692307</v>
      </c>
      <c r="AI25" s="123"/>
      <c r="AJ25" s="9"/>
      <c r="AK25" s="78" t="s">
        <v>134</v>
      </c>
      <c r="AL25" s="78" t="s">
        <v>134</v>
      </c>
      <c r="AM25" s="122" t="s">
        <v>134</v>
      </c>
      <c r="AN25" s="121">
        <f>IF(Level1[[#This Row],[Standardised_Normalised_Mass_kg/capita/year]]&lt;&gt;"",Level1[[#This Row],[Standardised_Normalised_Mass_kg/capita/year]],Level1[[#This Row],[Derived_Normalised_kg/capita/year]])</f>
        <v>49.91951182692307</v>
      </c>
      <c r="AO25" s="78">
        <f>IF(Level1[[#This Row],[Household]]=1,IF(Level1[[#This Row],[Household_Diary?]]=1,'Cover Sheet'!$R$31,1),1)</f>
        <v>1</v>
      </c>
      <c r="AP25" s="78">
        <f>IF(Level1[[#This Row],[Household]]=1,IF(Level1[[#This Row],[Edible_Waste_Only?]]=1,'Cover Sheet'!$R$32,1),1)</f>
        <v>1</v>
      </c>
      <c r="AQ25" s="78">
        <f>IF(Level1[[#This Row],[Food_Service]]=1,IF(Level1[[#This Row],[Edible_Waste_Only?]]=1,'Cover Sheet'!$R$33,1),1)</f>
        <v>1</v>
      </c>
      <c r="AR25" s="78">
        <f>IF(Level1[[#This Row],[Retail]]=1,IF(Level1[[#This Row],[Edible_Waste_Only?]]=1,'Cover Sheet'!$R$34,1),1)</f>
        <v>1</v>
      </c>
      <c r="AS25" s="78">
        <f>PRODUCT(Level1[[#This Row],[Household_Diary_Adjustment]:[Retail_Inedible_Adjustment]])</f>
        <v>1</v>
      </c>
      <c r="AT25" s="124">
        <f>Level1[[#This Row],[Preferred_estimate_kg/capita]]*Level1[[#This Row],[Total_Adjustment]]</f>
        <v>49.91951182692307</v>
      </c>
    </row>
    <row r="26" spans="1:46">
      <c r="A26" s="125">
        <v>9</v>
      </c>
      <c r="B26" s="126" t="s">
        <v>206</v>
      </c>
      <c r="C26" s="126">
        <v>2011</v>
      </c>
      <c r="D26" s="127" t="s">
        <v>207</v>
      </c>
      <c r="E26" s="128" t="s">
        <v>208</v>
      </c>
      <c r="F26" s="126">
        <v>84</v>
      </c>
      <c r="G26" s="126" t="s">
        <v>209</v>
      </c>
      <c r="H26" s="126" t="s">
        <v>174</v>
      </c>
      <c r="I26" s="9" t="s">
        <v>210</v>
      </c>
      <c r="J26" s="9" t="s">
        <v>182</v>
      </c>
      <c r="K26" s="126" t="s">
        <v>211</v>
      </c>
      <c r="L26" s="115">
        <v>0.39040000000000002</v>
      </c>
      <c r="M26" s="128">
        <v>1</v>
      </c>
      <c r="N26" s="126"/>
      <c r="O26" s="129"/>
      <c r="P26" s="128" t="s">
        <v>131</v>
      </c>
      <c r="Q26" s="126">
        <v>2</v>
      </c>
      <c r="R26" s="126" t="s">
        <v>212</v>
      </c>
      <c r="S26" s="130"/>
      <c r="T26" s="130"/>
      <c r="U26" s="135"/>
      <c r="V26" s="132">
        <f>(481.59/980.83)</f>
        <v>0.4910025182753382</v>
      </c>
      <c r="W26" s="126" t="s">
        <v>176</v>
      </c>
      <c r="X26" s="141"/>
      <c r="Y26" s="137"/>
      <c r="Z26" s="133"/>
      <c r="AA26" s="9"/>
      <c r="AB26" s="119" t="s">
        <v>134</v>
      </c>
      <c r="AC26" s="119" t="s">
        <v>134</v>
      </c>
      <c r="AD26" s="134" t="s">
        <v>134</v>
      </c>
      <c r="AE26" s="121">
        <v>0</v>
      </c>
      <c r="AF26" s="120">
        <v>0</v>
      </c>
      <c r="AG26" s="120">
        <v>0</v>
      </c>
      <c r="AH26" s="122">
        <v>0</v>
      </c>
      <c r="AI26" s="123">
        <f>0.53*Level1[[#This Row],[FW_Share_estimate]]</f>
        <v>0.26023133468592924</v>
      </c>
      <c r="AJ26" s="126" t="s">
        <v>185</v>
      </c>
      <c r="AK26" s="78">
        <v>0.26023133468592924</v>
      </c>
      <c r="AL26" s="78">
        <v>95.049494994035655</v>
      </c>
      <c r="AM26" s="122">
        <v>95.049494994035655</v>
      </c>
      <c r="AN26" s="121">
        <f>IF(Level1[[#This Row],[Standardised_Normalised_Mass_kg/capita/year]]&lt;&gt;"",Level1[[#This Row],[Standardised_Normalised_Mass_kg/capita/year]],Level1[[#This Row],[Derived_Normalised_kg/capita/year]])</f>
        <v>95.049494994035655</v>
      </c>
      <c r="AO26" s="78">
        <f>IF(Level1[[#This Row],[Household]]=1,IF(Level1[[#This Row],[Household_Diary?]]=1,'Cover Sheet'!$R$31,1),1)</f>
        <v>1</v>
      </c>
      <c r="AP26" s="78">
        <f>IF(Level1[[#This Row],[Household]]=1,IF(Level1[[#This Row],[Edible_Waste_Only?]]=1,'Cover Sheet'!$R$32,1),1)</f>
        <v>1</v>
      </c>
      <c r="AQ26" s="78">
        <f>IF(Level1[[#This Row],[Food_Service]]=1,IF(Level1[[#This Row],[Edible_Waste_Only?]]=1,'Cover Sheet'!$R$33,1),1)</f>
        <v>1</v>
      </c>
      <c r="AR26" s="78">
        <f>IF(Level1[[#This Row],[Retail]]=1,IF(Level1[[#This Row],[Edible_Waste_Only?]]=1,'Cover Sheet'!$R$34,1),1)</f>
        <v>1</v>
      </c>
      <c r="AS26" s="78">
        <f>PRODUCT(Level1[[#This Row],[Household_Diary_Adjustment]:[Retail_Inedible_Adjustment]])</f>
        <v>1</v>
      </c>
      <c r="AT26" s="124">
        <f>Level1[[#This Row],[Preferred_estimate_kg/capita]]*Level1[[#This Row],[Total_Adjustment]]</f>
        <v>95.049494994035655</v>
      </c>
    </row>
    <row r="27" spans="1:46">
      <c r="A27" s="112">
        <v>9</v>
      </c>
      <c r="B27" s="126" t="s">
        <v>206</v>
      </c>
      <c r="C27" s="9">
        <v>2011</v>
      </c>
      <c r="D27" s="113" t="s">
        <v>207</v>
      </c>
      <c r="E27" s="114" t="s">
        <v>208</v>
      </c>
      <c r="F27" s="9">
        <v>84</v>
      </c>
      <c r="G27" s="9" t="s">
        <v>209</v>
      </c>
      <c r="H27" s="9" t="s">
        <v>174</v>
      </c>
      <c r="I27" s="9" t="s">
        <v>210</v>
      </c>
      <c r="J27" s="9" t="s">
        <v>182</v>
      </c>
      <c r="K27" s="9" t="s">
        <v>213</v>
      </c>
      <c r="L27" s="115">
        <v>0.39040000000000002</v>
      </c>
      <c r="M27" s="114">
        <v>1</v>
      </c>
      <c r="N27" s="9"/>
      <c r="O27" s="115"/>
      <c r="P27" s="114" t="s">
        <v>131</v>
      </c>
      <c r="Q27" s="9">
        <v>2</v>
      </c>
      <c r="R27" s="9" t="s">
        <v>214</v>
      </c>
      <c r="S27" s="10"/>
      <c r="T27" s="10"/>
      <c r="U27" s="138"/>
      <c r="V27" s="117">
        <f>171.65/790.12</f>
        <v>0.21724548169898245</v>
      </c>
      <c r="W27" s="9" t="s">
        <v>176</v>
      </c>
      <c r="X27" s="139"/>
      <c r="Y27" s="140"/>
      <c r="Z27" s="118"/>
      <c r="AA27" s="9"/>
      <c r="AB27" s="119" t="s">
        <v>134</v>
      </c>
      <c r="AC27" s="119" t="s">
        <v>134</v>
      </c>
      <c r="AD27" s="120" t="s">
        <v>134</v>
      </c>
      <c r="AE27" s="121">
        <v>0</v>
      </c>
      <c r="AF27" s="120">
        <v>0</v>
      </c>
      <c r="AG27" s="120">
        <v>0</v>
      </c>
      <c r="AH27" s="122">
        <v>0</v>
      </c>
      <c r="AI27" s="123">
        <f>0.57*Level1[[#This Row],[FW_Share_estimate]]</f>
        <v>0.12382992456841999</v>
      </c>
      <c r="AJ27" s="9" t="s">
        <v>185</v>
      </c>
      <c r="AK27" s="78">
        <v>0.12382992456841999</v>
      </c>
      <c r="AL27" s="78">
        <v>45.228879948615401</v>
      </c>
      <c r="AM27" s="122">
        <v>45.228879948615401</v>
      </c>
      <c r="AN27" s="121">
        <f>IF(Level1[[#This Row],[Standardised_Normalised_Mass_kg/capita/year]]&lt;&gt;"",Level1[[#This Row],[Standardised_Normalised_Mass_kg/capita/year]],Level1[[#This Row],[Derived_Normalised_kg/capita/year]])</f>
        <v>45.228879948615401</v>
      </c>
      <c r="AO27" s="78">
        <f>IF(Level1[[#This Row],[Household]]=1,IF(Level1[[#This Row],[Household_Diary?]]=1,'Cover Sheet'!$R$31,1),1)</f>
        <v>1</v>
      </c>
      <c r="AP27" s="78">
        <f>IF(Level1[[#This Row],[Household]]=1,IF(Level1[[#This Row],[Edible_Waste_Only?]]=1,'Cover Sheet'!$R$32,1),1)</f>
        <v>1</v>
      </c>
      <c r="AQ27" s="78">
        <f>IF(Level1[[#This Row],[Food_Service]]=1,IF(Level1[[#This Row],[Edible_Waste_Only?]]=1,'Cover Sheet'!$R$33,1),1)</f>
        <v>1</v>
      </c>
      <c r="AR27" s="78">
        <f>IF(Level1[[#This Row],[Retail]]=1,IF(Level1[[#This Row],[Edible_Waste_Only?]]=1,'Cover Sheet'!$R$34,1),1)</f>
        <v>1</v>
      </c>
      <c r="AS27" s="78">
        <f>PRODUCT(Level1[[#This Row],[Household_Diary_Adjustment]:[Retail_Inedible_Adjustment]])</f>
        <v>1</v>
      </c>
      <c r="AT27" s="124">
        <f>Level1[[#This Row],[Preferred_estimate_kg/capita]]*Level1[[#This Row],[Total_Adjustment]]</f>
        <v>45.228879948615401</v>
      </c>
    </row>
    <row r="28" spans="1:46">
      <c r="A28" s="125">
        <v>9</v>
      </c>
      <c r="B28" s="126" t="s">
        <v>206</v>
      </c>
      <c r="C28" s="126">
        <v>2011</v>
      </c>
      <c r="D28" s="127" t="s">
        <v>207</v>
      </c>
      <c r="E28" s="128" t="s">
        <v>208</v>
      </c>
      <c r="F28" s="126">
        <v>84</v>
      </c>
      <c r="G28" s="126" t="s">
        <v>209</v>
      </c>
      <c r="H28" s="126" t="s">
        <v>174</v>
      </c>
      <c r="I28" s="9" t="s">
        <v>210</v>
      </c>
      <c r="J28" s="9" t="s">
        <v>182</v>
      </c>
      <c r="K28" s="126" t="s">
        <v>215</v>
      </c>
      <c r="L28" s="115">
        <v>0.39040000000000002</v>
      </c>
      <c r="M28" s="128">
        <v>1</v>
      </c>
      <c r="N28" s="126"/>
      <c r="O28" s="129"/>
      <c r="P28" s="128" t="s">
        <v>131</v>
      </c>
      <c r="Q28" s="126">
        <v>2</v>
      </c>
      <c r="R28" s="126" t="s">
        <v>216</v>
      </c>
      <c r="S28" s="130"/>
      <c r="T28" s="130"/>
      <c r="U28" s="135"/>
      <c r="V28" s="132">
        <f>194.82/845.14</f>
        <v>0.23051802068296376</v>
      </c>
      <c r="W28" s="126" t="s">
        <v>176</v>
      </c>
      <c r="X28" s="141"/>
      <c r="Y28" s="137"/>
      <c r="Z28" s="133"/>
      <c r="AA28" s="9"/>
      <c r="AB28" s="119" t="s">
        <v>134</v>
      </c>
      <c r="AC28" s="119" t="s">
        <v>134</v>
      </c>
      <c r="AD28" s="134" t="s">
        <v>134</v>
      </c>
      <c r="AE28" s="121">
        <v>0</v>
      </c>
      <c r="AF28" s="120">
        <v>0</v>
      </c>
      <c r="AG28" s="120">
        <v>0</v>
      </c>
      <c r="AH28" s="122">
        <v>0</v>
      </c>
      <c r="AI28" s="123">
        <f>0.43*Level1[[#This Row],[FW_Share_estimate]]</f>
        <v>9.9122748893674409E-2</v>
      </c>
      <c r="AJ28" s="126" t="s">
        <v>185</v>
      </c>
      <c r="AK28" s="78">
        <v>9.9122748893674409E-2</v>
      </c>
      <c r="AL28" s="78">
        <v>36.204584033414577</v>
      </c>
      <c r="AM28" s="122">
        <v>36.204584033414577</v>
      </c>
      <c r="AN28" s="121">
        <f>IF(Level1[[#This Row],[Standardised_Normalised_Mass_kg/capita/year]]&lt;&gt;"",Level1[[#This Row],[Standardised_Normalised_Mass_kg/capita/year]],Level1[[#This Row],[Derived_Normalised_kg/capita/year]])</f>
        <v>36.204584033414577</v>
      </c>
      <c r="AO28" s="78">
        <f>IF(Level1[[#This Row],[Household]]=1,IF(Level1[[#This Row],[Household_Diary?]]=1,'Cover Sheet'!$R$31,1),1)</f>
        <v>1</v>
      </c>
      <c r="AP28" s="78">
        <f>IF(Level1[[#This Row],[Household]]=1,IF(Level1[[#This Row],[Edible_Waste_Only?]]=1,'Cover Sheet'!$R$32,1),1)</f>
        <v>1</v>
      </c>
      <c r="AQ28" s="78">
        <f>IF(Level1[[#This Row],[Food_Service]]=1,IF(Level1[[#This Row],[Edible_Waste_Only?]]=1,'Cover Sheet'!$R$33,1),1)</f>
        <v>1</v>
      </c>
      <c r="AR28" s="78">
        <f>IF(Level1[[#This Row],[Retail]]=1,IF(Level1[[#This Row],[Edible_Waste_Only?]]=1,'Cover Sheet'!$R$34,1),1)</f>
        <v>1</v>
      </c>
      <c r="AS28" s="78">
        <f>PRODUCT(Level1[[#This Row],[Household_Diary_Adjustment]:[Retail_Inedible_Adjustment]])</f>
        <v>1</v>
      </c>
      <c r="AT28" s="124">
        <f>Level1[[#This Row],[Preferred_estimate_kg/capita]]*Level1[[#This Row],[Total_Adjustment]]</f>
        <v>36.204584033414577</v>
      </c>
    </row>
    <row r="29" spans="1:46">
      <c r="A29" s="112">
        <v>9</v>
      </c>
      <c r="B29" s="126" t="s">
        <v>206</v>
      </c>
      <c r="C29" s="9">
        <v>2011</v>
      </c>
      <c r="D29" s="113" t="s">
        <v>207</v>
      </c>
      <c r="E29" s="114" t="s">
        <v>208</v>
      </c>
      <c r="F29" s="9">
        <v>84</v>
      </c>
      <c r="G29" s="9" t="s">
        <v>209</v>
      </c>
      <c r="H29" s="9" t="s">
        <v>174</v>
      </c>
      <c r="I29" s="9" t="s">
        <v>210</v>
      </c>
      <c r="J29" s="9" t="s">
        <v>182</v>
      </c>
      <c r="K29" s="9" t="s">
        <v>217</v>
      </c>
      <c r="L29" s="115">
        <v>0.39040000000000002</v>
      </c>
      <c r="M29" s="114">
        <v>1</v>
      </c>
      <c r="N29" s="9"/>
      <c r="O29" s="115"/>
      <c r="P29" s="114" t="s">
        <v>131</v>
      </c>
      <c r="Q29" s="9">
        <v>2</v>
      </c>
      <c r="R29" s="9" t="s">
        <v>218</v>
      </c>
      <c r="S29" s="10"/>
      <c r="T29" s="10"/>
      <c r="U29" s="138"/>
      <c r="V29" s="117">
        <f>120.76/992.7</f>
        <v>0.12164803062355192</v>
      </c>
      <c r="W29" s="9" t="s">
        <v>176</v>
      </c>
      <c r="X29" s="139"/>
      <c r="Y29" s="140"/>
      <c r="Z29" s="118"/>
      <c r="AA29" s="9"/>
      <c r="AB29" s="119" t="s">
        <v>134</v>
      </c>
      <c r="AC29" s="119" t="s">
        <v>134</v>
      </c>
      <c r="AD29" s="120" t="s">
        <v>134</v>
      </c>
      <c r="AE29" s="121">
        <v>0</v>
      </c>
      <c r="AF29" s="120">
        <v>0</v>
      </c>
      <c r="AG29" s="120">
        <v>0</v>
      </c>
      <c r="AH29" s="122">
        <v>0</v>
      </c>
      <c r="AI29" s="123">
        <f>0.77*Level1[[#This Row],[FW_Share_estimate]]</f>
        <v>9.3668983580134979E-2</v>
      </c>
      <c r="AJ29" s="9" t="s">
        <v>185</v>
      </c>
      <c r="AK29" s="78">
        <v>9.3668983580134979E-2</v>
      </c>
      <c r="AL29" s="78">
        <v>34.212596252644303</v>
      </c>
      <c r="AM29" s="122">
        <v>34.212596252644303</v>
      </c>
      <c r="AN29" s="121">
        <f>IF(Level1[[#This Row],[Standardised_Normalised_Mass_kg/capita/year]]&lt;&gt;"",Level1[[#This Row],[Standardised_Normalised_Mass_kg/capita/year]],Level1[[#This Row],[Derived_Normalised_kg/capita/year]])</f>
        <v>34.212596252644303</v>
      </c>
      <c r="AO29" s="78">
        <f>IF(Level1[[#This Row],[Household]]=1,IF(Level1[[#This Row],[Household_Diary?]]=1,'Cover Sheet'!$R$31,1),1)</f>
        <v>1</v>
      </c>
      <c r="AP29" s="78">
        <f>IF(Level1[[#This Row],[Household]]=1,IF(Level1[[#This Row],[Edible_Waste_Only?]]=1,'Cover Sheet'!$R$32,1),1)</f>
        <v>1</v>
      </c>
      <c r="AQ29" s="78">
        <f>IF(Level1[[#This Row],[Food_Service]]=1,IF(Level1[[#This Row],[Edible_Waste_Only?]]=1,'Cover Sheet'!$R$33,1),1)</f>
        <v>1</v>
      </c>
      <c r="AR29" s="78">
        <f>IF(Level1[[#This Row],[Retail]]=1,IF(Level1[[#This Row],[Edible_Waste_Only?]]=1,'Cover Sheet'!$R$34,1),1)</f>
        <v>1</v>
      </c>
      <c r="AS29" s="78">
        <f>PRODUCT(Level1[[#This Row],[Household_Diary_Adjustment]:[Retail_Inedible_Adjustment]])</f>
        <v>1</v>
      </c>
      <c r="AT29" s="124">
        <f>Level1[[#This Row],[Preferred_estimate_kg/capita]]*Level1[[#This Row],[Total_Adjustment]]</f>
        <v>34.212596252644303</v>
      </c>
    </row>
    <row r="30" spans="1:46">
      <c r="A30" s="125">
        <v>10</v>
      </c>
      <c r="B30" s="126" t="s">
        <v>219</v>
      </c>
      <c r="C30" s="126">
        <v>2018</v>
      </c>
      <c r="D30" s="127" t="s">
        <v>220</v>
      </c>
      <c r="E30" s="128" t="s">
        <v>221</v>
      </c>
      <c r="F30" s="126">
        <v>76</v>
      </c>
      <c r="G30" s="126" t="s">
        <v>209</v>
      </c>
      <c r="H30" s="126" t="s">
        <v>174</v>
      </c>
      <c r="I30" s="9" t="s">
        <v>210</v>
      </c>
      <c r="J30" s="9" t="s">
        <v>130</v>
      </c>
      <c r="K30" s="126"/>
      <c r="L30" s="115">
        <v>211.04949999999999</v>
      </c>
      <c r="M30" s="128">
        <v>1</v>
      </c>
      <c r="N30" s="126"/>
      <c r="O30" s="129"/>
      <c r="P30" s="128" t="s">
        <v>222</v>
      </c>
      <c r="Q30" s="126">
        <v>2</v>
      </c>
      <c r="R30" s="126" t="s">
        <v>223</v>
      </c>
      <c r="S30" s="130">
        <v>1</v>
      </c>
      <c r="T30" s="130"/>
      <c r="U30" s="135"/>
      <c r="V30" s="132"/>
      <c r="W30" s="126"/>
      <c r="X30" s="141"/>
      <c r="Y30" s="137"/>
      <c r="Z30" s="133"/>
      <c r="AA30" s="9"/>
      <c r="AB30" s="119" t="s">
        <v>134</v>
      </c>
      <c r="AC30" s="119" t="s">
        <v>134</v>
      </c>
      <c r="AD30" s="134" t="s">
        <v>134</v>
      </c>
      <c r="AE30" s="121">
        <v>0</v>
      </c>
      <c r="AF30" s="120">
        <v>0</v>
      </c>
      <c r="AG30" s="120">
        <v>0</v>
      </c>
      <c r="AH30" s="122">
        <v>0</v>
      </c>
      <c r="AI30" s="123">
        <v>41.6</v>
      </c>
      <c r="AJ30" s="126" t="s">
        <v>147</v>
      </c>
      <c r="AK30" s="78">
        <v>41.6</v>
      </c>
      <c r="AL30" s="78">
        <v>41.6</v>
      </c>
      <c r="AM30" s="122">
        <v>41.6</v>
      </c>
      <c r="AN30" s="121">
        <f>IF(Level1[[#This Row],[Standardised_Normalised_Mass_kg/capita/year]]&lt;&gt;"",Level1[[#This Row],[Standardised_Normalised_Mass_kg/capita/year]],Level1[[#This Row],[Derived_Normalised_kg/capita/year]])</f>
        <v>41.6</v>
      </c>
      <c r="AO30" s="78">
        <f>IF(Level1[[#This Row],[Household]]=1,IF(Level1[[#This Row],[Household_Diary?]]=1,'Cover Sheet'!$R$31,1),1)</f>
        <v>1.4326647564469914</v>
      </c>
      <c r="AP30" s="78">
        <f>IF(Level1[[#This Row],[Household]]=1,IF(Level1[[#This Row],[Edible_Waste_Only?]]=1,'Cover Sheet'!$R$32,1),1)</f>
        <v>1</v>
      </c>
      <c r="AQ30" s="78">
        <f>IF(Level1[[#This Row],[Food_Service]]=1,IF(Level1[[#This Row],[Edible_Waste_Only?]]=1,'Cover Sheet'!$R$33,1),1)</f>
        <v>1</v>
      </c>
      <c r="AR30" s="78">
        <f>IF(Level1[[#This Row],[Retail]]=1,IF(Level1[[#This Row],[Edible_Waste_Only?]]=1,'Cover Sheet'!$R$34,1),1)</f>
        <v>1</v>
      </c>
      <c r="AS30" s="78">
        <f>PRODUCT(Level1[[#This Row],[Household_Diary_Adjustment]:[Retail_Inedible_Adjustment]])</f>
        <v>1.4326647564469914</v>
      </c>
      <c r="AT30" s="124">
        <f>Level1[[#This Row],[Preferred_estimate_kg/capita]]*Level1[[#This Row],[Total_Adjustment]]</f>
        <v>59.598853868194844</v>
      </c>
    </row>
    <row r="31" spans="1:46">
      <c r="A31" s="112">
        <v>11</v>
      </c>
      <c r="B31" s="126" t="s">
        <v>224</v>
      </c>
      <c r="C31" s="9">
        <v>2019</v>
      </c>
      <c r="D31" s="113" t="s">
        <v>225</v>
      </c>
      <c r="E31" s="114" t="s">
        <v>226</v>
      </c>
      <c r="F31" s="9">
        <v>124</v>
      </c>
      <c r="G31" s="9" t="s">
        <v>227</v>
      </c>
      <c r="H31" s="9" t="s">
        <v>128</v>
      </c>
      <c r="I31" s="9" t="s">
        <v>129</v>
      </c>
      <c r="J31" s="9" t="s">
        <v>130</v>
      </c>
      <c r="K31" s="9"/>
      <c r="L31" s="115">
        <v>37.411000000000001</v>
      </c>
      <c r="M31" s="114">
        <v>1</v>
      </c>
      <c r="N31" s="9"/>
      <c r="O31" s="115"/>
      <c r="P31" s="114" t="s">
        <v>131</v>
      </c>
      <c r="Q31" s="9">
        <v>1</v>
      </c>
      <c r="R31" s="9" t="s">
        <v>228</v>
      </c>
      <c r="S31" s="10"/>
      <c r="T31" s="10"/>
      <c r="U31" s="138">
        <v>2016</v>
      </c>
      <c r="V31" s="117">
        <v>0.28000000000000003</v>
      </c>
      <c r="W31" s="9" t="s">
        <v>176</v>
      </c>
      <c r="X31" s="139"/>
      <c r="Y31" s="147"/>
      <c r="Z31" s="118">
        <f>10.2*Level1[[#This Row],[FW_Share_estimate]]</f>
        <v>2.8559999999999999</v>
      </c>
      <c r="AA31" s="9" t="s">
        <v>229</v>
      </c>
      <c r="AB31" s="119">
        <v>2.8559999999999999</v>
      </c>
      <c r="AC31" s="119">
        <v>2856000</v>
      </c>
      <c r="AD31" s="120">
        <v>2856000</v>
      </c>
      <c r="AE31" s="121">
        <v>1</v>
      </c>
      <c r="AF31" s="120">
        <v>36362885.714285716</v>
      </c>
      <c r="AG31" s="120">
        <v>0</v>
      </c>
      <c r="AH31" s="122">
        <v>78.541621323468746</v>
      </c>
      <c r="AI31" s="123"/>
      <c r="AJ31" s="148"/>
      <c r="AK31" s="78" t="s">
        <v>134</v>
      </c>
      <c r="AL31" s="78" t="s">
        <v>134</v>
      </c>
      <c r="AM31" s="122" t="s">
        <v>134</v>
      </c>
      <c r="AN31" s="121">
        <f>IF(Level1[[#This Row],[Standardised_Normalised_Mass_kg/capita/year]]&lt;&gt;"",Level1[[#This Row],[Standardised_Normalised_Mass_kg/capita/year]],Level1[[#This Row],[Derived_Normalised_kg/capita/year]])</f>
        <v>78.541621323468746</v>
      </c>
      <c r="AO31" s="78">
        <f>IF(Level1[[#This Row],[Household]]=1,IF(Level1[[#This Row],[Household_Diary?]]=1,'Cover Sheet'!$R$31,1),1)</f>
        <v>1</v>
      </c>
      <c r="AP31" s="78">
        <f>IF(Level1[[#This Row],[Household]]=1,IF(Level1[[#This Row],[Edible_Waste_Only?]]=1,'Cover Sheet'!$R$32,1),1)</f>
        <v>1</v>
      </c>
      <c r="AQ31" s="78">
        <f>IF(Level1[[#This Row],[Food_Service]]=1,IF(Level1[[#This Row],[Edible_Waste_Only?]]=1,'Cover Sheet'!$R$33,1),1)</f>
        <v>1</v>
      </c>
      <c r="AR31" s="78">
        <f>IF(Level1[[#This Row],[Retail]]=1,IF(Level1[[#This Row],[Edible_Waste_Only?]]=1,'Cover Sheet'!$R$34,1),1)</f>
        <v>1</v>
      </c>
      <c r="AS31" s="78">
        <f>PRODUCT(Level1[[#This Row],[Household_Diary_Adjustment]:[Retail_Inedible_Adjustment]])</f>
        <v>1</v>
      </c>
      <c r="AT31" s="124">
        <f>Level1[[#This Row],[Preferred_estimate_kg/capita]]*Level1[[#This Row],[Total_Adjustment]]</f>
        <v>78.541621323468746</v>
      </c>
    </row>
    <row r="32" spans="1:46">
      <c r="A32" s="125">
        <v>12</v>
      </c>
      <c r="B32" s="126" t="s">
        <v>230</v>
      </c>
      <c r="C32" s="126">
        <v>2013</v>
      </c>
      <c r="D32" s="127" t="s">
        <v>231</v>
      </c>
      <c r="E32" s="128" t="s">
        <v>232</v>
      </c>
      <c r="F32" s="126">
        <v>156</v>
      </c>
      <c r="G32" s="126" t="s">
        <v>233</v>
      </c>
      <c r="H32" s="126" t="s">
        <v>174</v>
      </c>
      <c r="I32" s="9" t="s">
        <v>210</v>
      </c>
      <c r="J32" s="9" t="s">
        <v>182</v>
      </c>
      <c r="K32" s="126" t="s">
        <v>234</v>
      </c>
      <c r="L32" s="115">
        <v>1433.7837</v>
      </c>
      <c r="M32" s="128">
        <v>1</v>
      </c>
      <c r="N32" s="126"/>
      <c r="O32" s="129"/>
      <c r="P32" s="128" t="s">
        <v>151</v>
      </c>
      <c r="Q32" s="126">
        <v>2</v>
      </c>
      <c r="R32" s="126" t="s">
        <v>235</v>
      </c>
      <c r="S32" s="130"/>
      <c r="T32" s="130"/>
      <c r="U32" s="135">
        <v>2010</v>
      </c>
      <c r="V32" s="132"/>
      <c r="W32" s="126"/>
      <c r="X32" s="132"/>
      <c r="Y32" s="129"/>
      <c r="Z32" s="133"/>
      <c r="AA32" s="9"/>
      <c r="AB32" s="119" t="s">
        <v>134</v>
      </c>
      <c r="AC32" s="119" t="s">
        <v>134</v>
      </c>
      <c r="AD32" s="134" t="s">
        <v>134</v>
      </c>
      <c r="AE32" s="121">
        <v>0</v>
      </c>
      <c r="AF32" s="120">
        <v>0</v>
      </c>
      <c r="AG32" s="120">
        <v>0</v>
      </c>
      <c r="AH32" s="122">
        <v>0</v>
      </c>
      <c r="AI32" s="123">
        <v>7.0000000000000007E-2</v>
      </c>
      <c r="AJ32" s="126" t="s">
        <v>185</v>
      </c>
      <c r="AK32" s="78">
        <v>7.0000000000000007E-2</v>
      </c>
      <c r="AL32" s="78">
        <v>25.567500000000003</v>
      </c>
      <c r="AM32" s="122">
        <v>25.567500000000003</v>
      </c>
      <c r="AN32" s="121">
        <f>IF(Level1[[#This Row],[Standardised_Normalised_Mass_kg/capita/year]]&lt;&gt;"",Level1[[#This Row],[Standardised_Normalised_Mass_kg/capita/year]],Level1[[#This Row],[Derived_Normalised_kg/capita/year]])</f>
        <v>25.567500000000003</v>
      </c>
      <c r="AO32" s="78">
        <f>IF(Level1[[#This Row],[Household]]=1,IF(Level1[[#This Row],[Household_Diary?]]=1,'Cover Sheet'!$R$31,1),1)</f>
        <v>1</v>
      </c>
      <c r="AP32" s="78">
        <f>IF(Level1[[#This Row],[Household]]=1,IF(Level1[[#This Row],[Edible_Waste_Only?]]=1,'Cover Sheet'!$R$32,1),1)</f>
        <v>1</v>
      </c>
      <c r="AQ32" s="78">
        <f>IF(Level1[[#This Row],[Food_Service]]=1,IF(Level1[[#This Row],[Edible_Waste_Only?]]=1,'Cover Sheet'!$R$33,1),1)</f>
        <v>1</v>
      </c>
      <c r="AR32" s="78">
        <f>IF(Level1[[#This Row],[Retail]]=1,IF(Level1[[#This Row],[Edible_Waste_Only?]]=1,'Cover Sheet'!$R$34,1),1)</f>
        <v>1</v>
      </c>
      <c r="AS32" s="78">
        <f>PRODUCT(Level1[[#This Row],[Household_Diary_Adjustment]:[Retail_Inedible_Adjustment]])</f>
        <v>1</v>
      </c>
      <c r="AT32" s="124">
        <f>Level1[[#This Row],[Preferred_estimate_kg/capita]]*Level1[[#This Row],[Total_Adjustment]]</f>
        <v>25.567500000000003</v>
      </c>
    </row>
    <row r="33" spans="1:46">
      <c r="A33" s="112">
        <v>13</v>
      </c>
      <c r="B33" s="126" t="s">
        <v>236</v>
      </c>
      <c r="C33" s="9">
        <v>2015</v>
      </c>
      <c r="D33" s="113" t="s">
        <v>237</v>
      </c>
      <c r="E33" s="114" t="s">
        <v>232</v>
      </c>
      <c r="F33" s="9">
        <v>156</v>
      </c>
      <c r="G33" s="9" t="s">
        <v>233</v>
      </c>
      <c r="H33" s="9" t="s">
        <v>174</v>
      </c>
      <c r="I33" s="9" t="s">
        <v>210</v>
      </c>
      <c r="J33" s="9" t="s">
        <v>182</v>
      </c>
      <c r="K33" s="9" t="s">
        <v>238</v>
      </c>
      <c r="L33" s="115">
        <v>1433.7837</v>
      </c>
      <c r="M33" s="114">
        <v>1</v>
      </c>
      <c r="N33" s="9"/>
      <c r="O33" s="115"/>
      <c r="P33" s="114" t="s">
        <v>131</v>
      </c>
      <c r="Q33" s="9">
        <v>2</v>
      </c>
      <c r="R33" s="9" t="s">
        <v>239</v>
      </c>
      <c r="S33" s="10"/>
      <c r="T33" s="10"/>
      <c r="U33" s="138" t="s">
        <v>163</v>
      </c>
      <c r="V33" s="117">
        <v>0.65700000000000003</v>
      </c>
      <c r="W33" s="9" t="s">
        <v>176</v>
      </c>
      <c r="X33" s="139"/>
      <c r="Y33" s="140"/>
      <c r="Z33" s="118">
        <f>568*V33</f>
        <v>373.17600000000004</v>
      </c>
      <c r="AA33" s="9" t="s">
        <v>240</v>
      </c>
      <c r="AB33" s="119">
        <v>373.17600000000004</v>
      </c>
      <c r="AC33" s="119">
        <v>373176.00000000006</v>
      </c>
      <c r="AD33" s="120">
        <v>373176.00000000006</v>
      </c>
      <c r="AE33" s="121">
        <v>0</v>
      </c>
      <c r="AF33" s="120">
        <v>0</v>
      </c>
      <c r="AG33" s="120">
        <v>0</v>
      </c>
      <c r="AH33" s="122">
        <v>0</v>
      </c>
      <c r="AI33" s="123">
        <f>280.5*Level1[[#This Row],[FW_Share_estimate]]</f>
        <v>184.2885</v>
      </c>
      <c r="AJ33" s="9" t="s">
        <v>241</v>
      </c>
      <c r="AK33" s="78">
        <v>0.18428849999999999</v>
      </c>
      <c r="AL33" s="78">
        <v>67.311374624999999</v>
      </c>
      <c r="AM33" s="122">
        <v>67.311374624999999</v>
      </c>
      <c r="AN33" s="121">
        <f>IF(Level1[[#This Row],[Standardised_Normalised_Mass_kg/capita/year]]&lt;&gt;"",Level1[[#This Row],[Standardised_Normalised_Mass_kg/capita/year]],Level1[[#This Row],[Derived_Normalised_kg/capita/year]])</f>
        <v>67.311374624999999</v>
      </c>
      <c r="AO33" s="78">
        <f>IF(Level1[[#This Row],[Household]]=1,IF(Level1[[#This Row],[Household_Diary?]]=1,'Cover Sheet'!$R$31,1),1)</f>
        <v>1</v>
      </c>
      <c r="AP33" s="78">
        <f>IF(Level1[[#This Row],[Household]]=1,IF(Level1[[#This Row],[Edible_Waste_Only?]]=1,'Cover Sheet'!$R$32,1),1)</f>
        <v>1</v>
      </c>
      <c r="AQ33" s="78">
        <f>IF(Level1[[#This Row],[Food_Service]]=1,IF(Level1[[#This Row],[Edible_Waste_Only?]]=1,'Cover Sheet'!$R$33,1),1)</f>
        <v>1</v>
      </c>
      <c r="AR33" s="78">
        <f>IF(Level1[[#This Row],[Retail]]=1,IF(Level1[[#This Row],[Edible_Waste_Only?]]=1,'Cover Sheet'!$R$34,1),1)</f>
        <v>1</v>
      </c>
      <c r="AS33" s="78">
        <f>PRODUCT(Level1[[#This Row],[Household_Diary_Adjustment]:[Retail_Inedible_Adjustment]])</f>
        <v>1</v>
      </c>
      <c r="AT33" s="124">
        <f>Level1[[#This Row],[Preferred_estimate_kg/capita]]*Level1[[#This Row],[Total_Adjustment]]</f>
        <v>67.311374624999999</v>
      </c>
    </row>
    <row r="34" spans="1:46">
      <c r="A34" s="125">
        <v>14</v>
      </c>
      <c r="B34" s="126" t="s">
        <v>242</v>
      </c>
      <c r="C34" s="126">
        <v>2021</v>
      </c>
      <c r="D34" s="127" t="s">
        <v>243</v>
      </c>
      <c r="E34" s="128" t="s">
        <v>232</v>
      </c>
      <c r="F34" s="126">
        <v>156</v>
      </c>
      <c r="G34" s="126" t="s">
        <v>233</v>
      </c>
      <c r="H34" s="126" t="s">
        <v>174</v>
      </c>
      <c r="I34" s="9" t="s">
        <v>210</v>
      </c>
      <c r="J34" s="9" t="s">
        <v>182</v>
      </c>
      <c r="K34" s="126" t="s">
        <v>244</v>
      </c>
      <c r="L34" s="115">
        <v>1433.7837</v>
      </c>
      <c r="M34" s="128">
        <v>1</v>
      </c>
      <c r="N34" s="126"/>
      <c r="O34" s="129"/>
      <c r="P34" s="128" t="s">
        <v>222</v>
      </c>
      <c r="Q34" s="126">
        <v>2</v>
      </c>
      <c r="R34" s="126" t="s">
        <v>245</v>
      </c>
      <c r="S34" s="130">
        <v>1</v>
      </c>
      <c r="T34" s="130">
        <v>1</v>
      </c>
      <c r="U34" s="135">
        <v>2017</v>
      </c>
      <c r="V34" s="132"/>
      <c r="W34" s="126"/>
      <c r="X34" s="141"/>
      <c r="Y34" s="137"/>
      <c r="Z34" s="133"/>
      <c r="AA34" s="9"/>
      <c r="AB34" s="119" t="s">
        <v>134</v>
      </c>
      <c r="AC34" s="119" t="s">
        <v>134</v>
      </c>
      <c r="AD34" s="134" t="s">
        <v>134</v>
      </c>
      <c r="AE34" s="121">
        <v>0</v>
      </c>
      <c r="AF34" s="120">
        <v>0</v>
      </c>
      <c r="AG34" s="120">
        <v>0</v>
      </c>
      <c r="AH34" s="122">
        <v>0</v>
      </c>
      <c r="AI34" s="123">
        <v>7.25</v>
      </c>
      <c r="AJ34" s="126" t="s">
        <v>147</v>
      </c>
      <c r="AK34" s="78">
        <v>7.25</v>
      </c>
      <c r="AL34" s="78">
        <v>7.25</v>
      </c>
      <c r="AM34" s="122">
        <v>7.25</v>
      </c>
      <c r="AN34" s="121">
        <f>IF(Level1[[#This Row],[Standardised_Normalised_Mass_kg/capita/year]]&lt;&gt;"",Level1[[#This Row],[Standardised_Normalised_Mass_kg/capita/year]],Level1[[#This Row],[Derived_Normalised_kg/capita/year]])</f>
        <v>7.25</v>
      </c>
      <c r="AO34" s="78">
        <f>IF(Level1[[#This Row],[Household]]=1,IF(Level1[[#This Row],[Household_Diary?]]=1,'Cover Sheet'!$R$31,1),1)</f>
        <v>1.4326647564469914</v>
      </c>
      <c r="AP34" s="78">
        <f>IF(Level1[[#This Row],[Household]]=1,IF(Level1[[#This Row],[Edible_Waste_Only?]]=1,'Cover Sheet'!$R$32,1),1)</f>
        <v>2.0408117215309693</v>
      </c>
      <c r="AQ34" s="78">
        <f>IF(Level1[[#This Row],[Food_Service]]=1,IF(Level1[[#This Row],[Edible_Waste_Only?]]=1,'Cover Sheet'!$R$33,1),1)</f>
        <v>1</v>
      </c>
      <c r="AR34" s="78">
        <f>IF(Level1[[#This Row],[Retail]]=1,IF(Level1[[#This Row],[Edible_Waste_Only?]]=1,'Cover Sheet'!$R$34,1),1)</f>
        <v>1</v>
      </c>
      <c r="AS34" s="78">
        <f>PRODUCT(Level1[[#This Row],[Household_Diary_Adjustment]:[Retail_Inedible_Adjustment]])</f>
        <v>2.9237990279813313</v>
      </c>
      <c r="AT34" s="124">
        <f>Level1[[#This Row],[Preferred_estimate_kg/capita]]*Level1[[#This Row],[Total_Adjustment]]</f>
        <v>21.197542952864652</v>
      </c>
    </row>
    <row r="35" spans="1:46">
      <c r="A35" s="112">
        <v>15</v>
      </c>
      <c r="B35" s="126" t="s">
        <v>246</v>
      </c>
      <c r="C35" s="9">
        <v>2015</v>
      </c>
      <c r="D35" s="113" t="s">
        <v>247</v>
      </c>
      <c r="E35" s="114" t="s">
        <v>232</v>
      </c>
      <c r="F35" s="9">
        <v>156</v>
      </c>
      <c r="G35" s="9" t="s">
        <v>233</v>
      </c>
      <c r="H35" s="9" t="s">
        <v>174</v>
      </c>
      <c r="I35" s="9" t="s">
        <v>210</v>
      </c>
      <c r="J35" s="9" t="s">
        <v>182</v>
      </c>
      <c r="K35" s="9" t="s">
        <v>248</v>
      </c>
      <c r="L35" s="115">
        <v>1433.7837</v>
      </c>
      <c r="M35" s="114">
        <v>1</v>
      </c>
      <c r="N35" s="9"/>
      <c r="O35" s="115"/>
      <c r="P35" s="114" t="s">
        <v>151</v>
      </c>
      <c r="Q35" s="9">
        <v>2</v>
      </c>
      <c r="R35" s="9" t="s">
        <v>249</v>
      </c>
      <c r="S35" s="10"/>
      <c r="T35" s="10"/>
      <c r="U35" s="138">
        <v>2013</v>
      </c>
      <c r="V35" s="117">
        <v>0.69</v>
      </c>
      <c r="W35" s="9" t="s">
        <v>250</v>
      </c>
      <c r="X35" s="117"/>
      <c r="Y35" s="115"/>
      <c r="Z35" s="118">
        <v>2500</v>
      </c>
      <c r="AA35" s="9" t="s">
        <v>193</v>
      </c>
      <c r="AB35" s="119">
        <v>913125</v>
      </c>
      <c r="AC35" s="119">
        <v>913125</v>
      </c>
      <c r="AD35" s="120">
        <v>913125</v>
      </c>
      <c r="AE35" s="121">
        <v>1</v>
      </c>
      <c r="AF35" s="120">
        <v>0</v>
      </c>
      <c r="AG35" s="120">
        <v>9000000</v>
      </c>
      <c r="AH35" s="122">
        <v>101.45833333333333</v>
      </c>
      <c r="AI35" s="123"/>
      <c r="AJ35" s="9"/>
      <c r="AK35" s="78" t="s">
        <v>134</v>
      </c>
      <c r="AL35" s="78" t="s">
        <v>134</v>
      </c>
      <c r="AM35" s="122" t="s">
        <v>134</v>
      </c>
      <c r="AN35" s="121">
        <f>IF(Level1[[#This Row],[Standardised_Normalised_Mass_kg/capita/year]]&lt;&gt;"",Level1[[#This Row],[Standardised_Normalised_Mass_kg/capita/year]],Level1[[#This Row],[Derived_Normalised_kg/capita/year]])</f>
        <v>101.45833333333333</v>
      </c>
      <c r="AO35" s="78">
        <f>IF(Level1[[#This Row],[Household]]=1,IF(Level1[[#This Row],[Household_Diary?]]=1,'Cover Sheet'!$R$31,1),1)</f>
        <v>1</v>
      </c>
      <c r="AP35" s="78">
        <f>IF(Level1[[#This Row],[Household]]=1,IF(Level1[[#This Row],[Edible_Waste_Only?]]=1,'Cover Sheet'!$R$32,1),1)</f>
        <v>1</v>
      </c>
      <c r="AQ35" s="78">
        <f>IF(Level1[[#This Row],[Food_Service]]=1,IF(Level1[[#This Row],[Edible_Waste_Only?]]=1,'Cover Sheet'!$R$33,1),1)</f>
        <v>1</v>
      </c>
      <c r="AR35" s="78">
        <f>IF(Level1[[#This Row],[Retail]]=1,IF(Level1[[#This Row],[Edible_Waste_Only?]]=1,'Cover Sheet'!$R$34,1),1)</f>
        <v>1</v>
      </c>
      <c r="AS35" s="78">
        <f>PRODUCT(Level1[[#This Row],[Household_Diary_Adjustment]:[Retail_Inedible_Adjustment]])</f>
        <v>1</v>
      </c>
      <c r="AT35" s="124">
        <f>Level1[[#This Row],[Preferred_estimate_kg/capita]]*Level1[[#This Row],[Total_Adjustment]]</f>
        <v>101.45833333333333</v>
      </c>
    </row>
    <row r="36" spans="1:46">
      <c r="A36" s="125">
        <v>16</v>
      </c>
      <c r="B36" s="126" t="s">
        <v>251</v>
      </c>
      <c r="C36" s="126">
        <v>2009</v>
      </c>
      <c r="D36" s="149" t="s">
        <v>252</v>
      </c>
      <c r="E36" s="128" t="s">
        <v>232</v>
      </c>
      <c r="F36" s="126">
        <v>156</v>
      </c>
      <c r="G36" s="126" t="s">
        <v>233</v>
      </c>
      <c r="H36" s="126" t="s">
        <v>174</v>
      </c>
      <c r="I36" s="9" t="s">
        <v>210</v>
      </c>
      <c r="J36" s="9" t="s">
        <v>182</v>
      </c>
      <c r="K36" s="126" t="s">
        <v>234</v>
      </c>
      <c r="L36" s="115">
        <v>1433.7837</v>
      </c>
      <c r="M36" s="128">
        <v>1</v>
      </c>
      <c r="N36" s="126"/>
      <c r="O36" s="129"/>
      <c r="P36" s="128" t="s">
        <v>131</v>
      </c>
      <c r="Q36" s="126">
        <v>2</v>
      </c>
      <c r="R36" s="126" t="s">
        <v>253</v>
      </c>
      <c r="S36" s="130"/>
      <c r="T36" s="130"/>
      <c r="U36" s="135">
        <v>2008</v>
      </c>
      <c r="V36" s="132">
        <v>0.69299999999999995</v>
      </c>
      <c r="W36" s="126" t="s">
        <v>254</v>
      </c>
      <c r="X36" s="132"/>
      <c r="Y36" s="129"/>
      <c r="Z36" s="133"/>
      <c r="AA36" s="9"/>
      <c r="AB36" s="119" t="s">
        <v>134</v>
      </c>
      <c r="AC36" s="119" t="s">
        <v>134</v>
      </c>
      <c r="AD36" s="134" t="s">
        <v>134</v>
      </c>
      <c r="AE36" s="121">
        <v>0</v>
      </c>
      <c r="AF36" s="120">
        <v>0</v>
      </c>
      <c r="AG36" s="120">
        <v>0</v>
      </c>
      <c r="AH36" s="122">
        <v>0</v>
      </c>
      <c r="AI36" s="123">
        <f>0.233*Level1[[#This Row],[FW_Share_estimate]]</f>
        <v>0.161469</v>
      </c>
      <c r="AJ36" s="126" t="s">
        <v>185</v>
      </c>
      <c r="AK36" s="78">
        <v>0.161469</v>
      </c>
      <c r="AL36" s="78">
        <v>58.976552249999997</v>
      </c>
      <c r="AM36" s="122">
        <v>58.976552249999997</v>
      </c>
      <c r="AN36" s="121">
        <f>IF(Level1[[#This Row],[Standardised_Normalised_Mass_kg/capita/year]]&lt;&gt;"",Level1[[#This Row],[Standardised_Normalised_Mass_kg/capita/year]],Level1[[#This Row],[Derived_Normalised_kg/capita/year]])</f>
        <v>58.976552249999997</v>
      </c>
      <c r="AO36" s="78">
        <f>IF(Level1[[#This Row],[Household]]=1,IF(Level1[[#This Row],[Household_Diary?]]=1,'Cover Sheet'!$R$31,1),1)</f>
        <v>1</v>
      </c>
      <c r="AP36" s="78">
        <f>IF(Level1[[#This Row],[Household]]=1,IF(Level1[[#This Row],[Edible_Waste_Only?]]=1,'Cover Sheet'!$R$32,1),1)</f>
        <v>1</v>
      </c>
      <c r="AQ36" s="78">
        <f>IF(Level1[[#This Row],[Food_Service]]=1,IF(Level1[[#This Row],[Edible_Waste_Only?]]=1,'Cover Sheet'!$R$33,1),1)</f>
        <v>1</v>
      </c>
      <c r="AR36" s="78">
        <f>IF(Level1[[#This Row],[Retail]]=1,IF(Level1[[#This Row],[Edible_Waste_Only?]]=1,'Cover Sheet'!$R$34,1),1)</f>
        <v>1</v>
      </c>
      <c r="AS36" s="78">
        <f>PRODUCT(Level1[[#This Row],[Household_Diary_Adjustment]:[Retail_Inedible_Adjustment]])</f>
        <v>1</v>
      </c>
      <c r="AT36" s="124">
        <f>Level1[[#This Row],[Preferred_estimate_kg/capita]]*Level1[[#This Row],[Total_Adjustment]]</f>
        <v>58.976552249999997</v>
      </c>
    </row>
    <row r="37" spans="1:46">
      <c r="A37" s="112">
        <v>17</v>
      </c>
      <c r="B37" s="126" t="s">
        <v>255</v>
      </c>
      <c r="C37" s="9">
        <v>2015</v>
      </c>
      <c r="D37" s="113" t="s">
        <v>256</v>
      </c>
      <c r="E37" s="114" t="s">
        <v>232</v>
      </c>
      <c r="F37" s="9">
        <v>156</v>
      </c>
      <c r="G37" s="9" t="s">
        <v>233</v>
      </c>
      <c r="H37" s="9" t="s">
        <v>174</v>
      </c>
      <c r="I37" s="9" t="s">
        <v>210</v>
      </c>
      <c r="J37" s="9" t="s">
        <v>130</v>
      </c>
      <c r="K37" s="9"/>
      <c r="L37" s="115">
        <v>1433.7837</v>
      </c>
      <c r="M37" s="114">
        <v>1</v>
      </c>
      <c r="N37" s="9"/>
      <c r="O37" s="115"/>
      <c r="P37" s="114" t="s">
        <v>222</v>
      </c>
      <c r="Q37" s="9">
        <v>2</v>
      </c>
      <c r="R37" s="9" t="s">
        <v>257</v>
      </c>
      <c r="S37" s="10">
        <v>1</v>
      </c>
      <c r="T37" s="10"/>
      <c r="U37" s="138" t="s">
        <v>258</v>
      </c>
      <c r="V37" s="117"/>
      <c r="W37" s="9"/>
      <c r="X37" s="139"/>
      <c r="Y37" s="140"/>
      <c r="Z37" s="118">
        <v>21.03</v>
      </c>
      <c r="AA37" s="9" t="s">
        <v>229</v>
      </c>
      <c r="AB37" s="119">
        <v>21.03</v>
      </c>
      <c r="AC37" s="119">
        <v>21030000</v>
      </c>
      <c r="AD37" s="120">
        <v>21030000</v>
      </c>
      <c r="AE37" s="121">
        <v>0</v>
      </c>
      <c r="AF37" s="120">
        <v>0</v>
      </c>
      <c r="AG37" s="120">
        <v>0</v>
      </c>
      <c r="AH37" s="122">
        <v>0</v>
      </c>
      <c r="AI37" s="123">
        <v>16</v>
      </c>
      <c r="AJ37" s="9" t="s">
        <v>147</v>
      </c>
      <c r="AK37" s="78">
        <v>16</v>
      </c>
      <c r="AL37" s="78">
        <v>16</v>
      </c>
      <c r="AM37" s="122">
        <v>16</v>
      </c>
      <c r="AN37" s="121">
        <f>IF(Level1[[#This Row],[Standardised_Normalised_Mass_kg/capita/year]]&lt;&gt;"",Level1[[#This Row],[Standardised_Normalised_Mass_kg/capita/year]],Level1[[#This Row],[Derived_Normalised_kg/capita/year]])</f>
        <v>16</v>
      </c>
      <c r="AO37" s="78">
        <f>IF(Level1[[#This Row],[Household]]=1,IF(Level1[[#This Row],[Household_Diary?]]=1,'Cover Sheet'!$R$31,1),1)</f>
        <v>1.4326647564469914</v>
      </c>
      <c r="AP37" s="78">
        <f>IF(Level1[[#This Row],[Household]]=1,IF(Level1[[#This Row],[Edible_Waste_Only?]]=1,'Cover Sheet'!$R$32,1),1)</f>
        <v>1</v>
      </c>
      <c r="AQ37" s="78">
        <f>IF(Level1[[#This Row],[Food_Service]]=1,IF(Level1[[#This Row],[Edible_Waste_Only?]]=1,'Cover Sheet'!$R$33,1),1)</f>
        <v>1</v>
      </c>
      <c r="AR37" s="78">
        <f>IF(Level1[[#This Row],[Retail]]=1,IF(Level1[[#This Row],[Edible_Waste_Only?]]=1,'Cover Sheet'!$R$34,1),1)</f>
        <v>1</v>
      </c>
      <c r="AS37" s="78">
        <f>PRODUCT(Level1[[#This Row],[Household_Diary_Adjustment]:[Retail_Inedible_Adjustment]])</f>
        <v>1.4326647564469914</v>
      </c>
      <c r="AT37" s="124">
        <f>Level1[[#This Row],[Preferred_estimate_kg/capita]]*Level1[[#This Row],[Total_Adjustment]]</f>
        <v>22.922636103151863</v>
      </c>
    </row>
    <row r="38" spans="1:46">
      <c r="A38" s="125">
        <v>18</v>
      </c>
      <c r="B38" s="126" t="s">
        <v>259</v>
      </c>
      <c r="C38" s="126">
        <v>2020</v>
      </c>
      <c r="D38" s="127" t="s">
        <v>260</v>
      </c>
      <c r="E38" s="128" t="s">
        <v>232</v>
      </c>
      <c r="F38" s="126">
        <v>156</v>
      </c>
      <c r="G38" s="126" t="s">
        <v>233</v>
      </c>
      <c r="H38" s="126" t="s">
        <v>174</v>
      </c>
      <c r="I38" s="9" t="s">
        <v>210</v>
      </c>
      <c r="J38" s="9" t="s">
        <v>182</v>
      </c>
      <c r="K38" s="126" t="s">
        <v>261</v>
      </c>
      <c r="L38" s="115">
        <v>1433.7837</v>
      </c>
      <c r="M38" s="128">
        <v>1</v>
      </c>
      <c r="N38" s="126"/>
      <c r="O38" s="129"/>
      <c r="P38" s="128" t="s">
        <v>203</v>
      </c>
      <c r="Q38" s="126">
        <v>2</v>
      </c>
      <c r="R38" s="126" t="s">
        <v>262</v>
      </c>
      <c r="S38" s="130"/>
      <c r="T38" s="130"/>
      <c r="U38" s="135">
        <v>2018</v>
      </c>
      <c r="V38" s="132"/>
      <c r="W38" s="126"/>
      <c r="X38" s="141"/>
      <c r="Y38" s="137"/>
      <c r="Z38" s="133">
        <v>126</v>
      </c>
      <c r="AA38" s="9" t="s">
        <v>229</v>
      </c>
      <c r="AB38" s="119">
        <v>126</v>
      </c>
      <c r="AC38" s="119">
        <v>126000000</v>
      </c>
      <c r="AD38" s="134">
        <v>126000000</v>
      </c>
      <c r="AE38" s="121">
        <v>0</v>
      </c>
      <c r="AF38" s="120">
        <v>0</v>
      </c>
      <c r="AG38" s="120">
        <v>839460000</v>
      </c>
      <c r="AH38" s="122">
        <v>0</v>
      </c>
      <c r="AI38" s="123">
        <v>150</v>
      </c>
      <c r="AJ38" s="126" t="s">
        <v>147</v>
      </c>
      <c r="AK38" s="78">
        <v>150</v>
      </c>
      <c r="AL38" s="78">
        <v>150</v>
      </c>
      <c r="AM38" s="122">
        <v>150</v>
      </c>
      <c r="AN38" s="121">
        <f>IF(Level1[[#This Row],[Standardised_Normalised_Mass_kg/capita/year]]&lt;&gt;"",Level1[[#This Row],[Standardised_Normalised_Mass_kg/capita/year]],Level1[[#This Row],[Derived_Normalised_kg/capita/year]])</f>
        <v>150</v>
      </c>
      <c r="AO38" s="78">
        <f>IF(Level1[[#This Row],[Household]]=1,IF(Level1[[#This Row],[Household_Diary?]]=1,'Cover Sheet'!$R$31,1),1)</f>
        <v>1</v>
      </c>
      <c r="AP38" s="78">
        <f>IF(Level1[[#This Row],[Household]]=1,IF(Level1[[#This Row],[Edible_Waste_Only?]]=1,'Cover Sheet'!$R$32,1),1)</f>
        <v>1</v>
      </c>
      <c r="AQ38" s="78">
        <f>IF(Level1[[#This Row],[Food_Service]]=1,IF(Level1[[#This Row],[Edible_Waste_Only?]]=1,'Cover Sheet'!$R$33,1),1)</f>
        <v>1</v>
      </c>
      <c r="AR38" s="78">
        <f>IF(Level1[[#This Row],[Retail]]=1,IF(Level1[[#This Row],[Edible_Waste_Only?]]=1,'Cover Sheet'!$R$34,1),1)</f>
        <v>1</v>
      </c>
      <c r="AS38" s="78">
        <f>PRODUCT(Level1[[#This Row],[Household_Diary_Adjustment]:[Retail_Inedible_Adjustment]])</f>
        <v>1</v>
      </c>
      <c r="AT38" s="124">
        <f>Level1[[#This Row],[Preferred_estimate_kg/capita]]*Level1[[#This Row],[Total_Adjustment]]</f>
        <v>150</v>
      </c>
    </row>
    <row r="39" spans="1:46">
      <c r="A39" s="112">
        <v>18</v>
      </c>
      <c r="B39" s="126" t="s">
        <v>259</v>
      </c>
      <c r="C39" s="9">
        <v>2020</v>
      </c>
      <c r="D39" s="113" t="s">
        <v>260</v>
      </c>
      <c r="E39" s="114" t="s">
        <v>232</v>
      </c>
      <c r="F39" s="9">
        <v>156</v>
      </c>
      <c r="G39" s="9" t="s">
        <v>233</v>
      </c>
      <c r="H39" s="9" t="s">
        <v>174</v>
      </c>
      <c r="I39" s="9" t="s">
        <v>210</v>
      </c>
      <c r="J39" s="9" t="s">
        <v>182</v>
      </c>
      <c r="K39" s="9" t="s">
        <v>263</v>
      </c>
      <c r="L39" s="115">
        <v>1433.7837</v>
      </c>
      <c r="M39" s="114"/>
      <c r="N39" s="9">
        <v>1</v>
      </c>
      <c r="O39" s="115"/>
      <c r="P39" s="114" t="s">
        <v>203</v>
      </c>
      <c r="Q39" s="9">
        <v>1</v>
      </c>
      <c r="R39" s="9" t="s">
        <v>264</v>
      </c>
      <c r="S39" s="10"/>
      <c r="T39" s="10"/>
      <c r="U39" s="138">
        <v>2018</v>
      </c>
      <c r="V39" s="117"/>
      <c r="W39" s="9"/>
      <c r="X39" s="139"/>
      <c r="Y39" s="140"/>
      <c r="Z39" s="118"/>
      <c r="AA39" s="9"/>
      <c r="AB39" s="119" t="s">
        <v>134</v>
      </c>
      <c r="AC39" s="119" t="s">
        <v>134</v>
      </c>
      <c r="AD39" s="120" t="s">
        <v>134</v>
      </c>
      <c r="AE39" s="121">
        <v>0</v>
      </c>
      <c r="AF39" s="120">
        <v>0</v>
      </c>
      <c r="AG39" s="120">
        <v>0</v>
      </c>
      <c r="AH39" s="122">
        <v>0</v>
      </c>
      <c r="AI39" s="123">
        <v>0.14199999999999999</v>
      </c>
      <c r="AJ39" s="9" t="s">
        <v>185</v>
      </c>
      <c r="AK39" s="78">
        <v>0.14199999999999999</v>
      </c>
      <c r="AL39" s="78">
        <v>51.865499999999997</v>
      </c>
      <c r="AM39" s="122">
        <v>51.865499999999997</v>
      </c>
      <c r="AN39" s="121">
        <f>IF(Level1[[#This Row],[Standardised_Normalised_Mass_kg/capita/year]]&lt;&gt;"",Level1[[#This Row],[Standardised_Normalised_Mass_kg/capita/year]],Level1[[#This Row],[Derived_Normalised_kg/capita/year]])</f>
        <v>51.865499999999997</v>
      </c>
      <c r="AO39" s="78">
        <f>IF(Level1[[#This Row],[Household]]=1,IF(Level1[[#This Row],[Household_Diary?]]=1,'Cover Sheet'!$R$31,1),1)</f>
        <v>1</v>
      </c>
      <c r="AP39" s="78">
        <f>IF(Level1[[#This Row],[Household]]=1,IF(Level1[[#This Row],[Edible_Waste_Only?]]=1,'Cover Sheet'!$R$32,1),1)</f>
        <v>1</v>
      </c>
      <c r="AQ39" s="78">
        <f>IF(Level1[[#This Row],[Food_Service]]=1,IF(Level1[[#This Row],[Edible_Waste_Only?]]=1,'Cover Sheet'!$R$33,1),1)</f>
        <v>1</v>
      </c>
      <c r="AR39" s="78">
        <f>IF(Level1[[#This Row],[Retail]]=1,IF(Level1[[#This Row],[Edible_Waste_Only?]]=1,'Cover Sheet'!$R$34,1),1)</f>
        <v>1</v>
      </c>
      <c r="AS39" s="78">
        <f>PRODUCT(Level1[[#This Row],[Household_Diary_Adjustment]:[Retail_Inedible_Adjustment]])</f>
        <v>1</v>
      </c>
      <c r="AT39" s="124">
        <f>Level1[[#This Row],[Preferred_estimate_kg/capita]]*Level1[[#This Row],[Total_Adjustment]]</f>
        <v>51.865499999999997</v>
      </c>
    </row>
    <row r="40" spans="1:46">
      <c r="A40" s="125">
        <v>18</v>
      </c>
      <c r="B40" s="126" t="s">
        <v>259</v>
      </c>
      <c r="C40" s="126">
        <v>2020</v>
      </c>
      <c r="D40" s="127" t="s">
        <v>260</v>
      </c>
      <c r="E40" s="128" t="s">
        <v>232</v>
      </c>
      <c r="F40" s="126">
        <v>156</v>
      </c>
      <c r="G40" s="126" t="s">
        <v>233</v>
      </c>
      <c r="H40" s="126" t="s">
        <v>174</v>
      </c>
      <c r="I40" s="9" t="s">
        <v>210</v>
      </c>
      <c r="J40" s="9" t="s">
        <v>182</v>
      </c>
      <c r="K40" s="126" t="s">
        <v>265</v>
      </c>
      <c r="L40" s="115">
        <v>1433.7837</v>
      </c>
      <c r="M40" s="128"/>
      <c r="N40" s="126">
        <v>1</v>
      </c>
      <c r="O40" s="129"/>
      <c r="P40" s="128" t="s">
        <v>203</v>
      </c>
      <c r="Q40" s="126">
        <v>1</v>
      </c>
      <c r="R40" s="126" t="s">
        <v>264</v>
      </c>
      <c r="S40" s="130"/>
      <c r="T40" s="130"/>
      <c r="U40" s="135">
        <v>2018</v>
      </c>
      <c r="V40" s="132"/>
      <c r="W40" s="126"/>
      <c r="X40" s="141"/>
      <c r="Y40" s="137"/>
      <c r="Z40" s="133"/>
      <c r="AA40" s="9"/>
      <c r="AB40" s="119" t="s">
        <v>134</v>
      </c>
      <c r="AC40" s="119" t="s">
        <v>134</v>
      </c>
      <c r="AD40" s="134" t="s">
        <v>134</v>
      </c>
      <c r="AE40" s="121">
        <v>0</v>
      </c>
      <c r="AF40" s="120">
        <v>0</v>
      </c>
      <c r="AG40" s="120">
        <v>0</v>
      </c>
      <c r="AH40" s="122">
        <v>0</v>
      </c>
      <c r="AI40" s="123">
        <v>0.13500000000000001</v>
      </c>
      <c r="AJ40" s="126" t="s">
        <v>185</v>
      </c>
      <c r="AK40" s="78">
        <v>0.13500000000000001</v>
      </c>
      <c r="AL40" s="78">
        <v>49.308750000000003</v>
      </c>
      <c r="AM40" s="122">
        <v>49.308750000000003</v>
      </c>
      <c r="AN40" s="121">
        <f>IF(Level1[[#This Row],[Standardised_Normalised_Mass_kg/capita/year]]&lt;&gt;"",Level1[[#This Row],[Standardised_Normalised_Mass_kg/capita/year]],Level1[[#This Row],[Derived_Normalised_kg/capita/year]])</f>
        <v>49.308750000000003</v>
      </c>
      <c r="AO40" s="78">
        <f>IF(Level1[[#This Row],[Household]]=1,IF(Level1[[#This Row],[Household_Diary?]]=1,'Cover Sheet'!$R$31,1),1)</f>
        <v>1</v>
      </c>
      <c r="AP40" s="78">
        <f>IF(Level1[[#This Row],[Household]]=1,IF(Level1[[#This Row],[Edible_Waste_Only?]]=1,'Cover Sheet'!$R$32,1),1)</f>
        <v>1</v>
      </c>
      <c r="AQ40" s="78">
        <f>IF(Level1[[#This Row],[Food_Service]]=1,IF(Level1[[#This Row],[Edible_Waste_Only?]]=1,'Cover Sheet'!$R$33,1),1)</f>
        <v>1</v>
      </c>
      <c r="AR40" s="78">
        <f>IF(Level1[[#This Row],[Retail]]=1,IF(Level1[[#This Row],[Edible_Waste_Only?]]=1,'Cover Sheet'!$R$34,1),1)</f>
        <v>1</v>
      </c>
      <c r="AS40" s="78">
        <f>PRODUCT(Level1[[#This Row],[Household_Diary_Adjustment]:[Retail_Inedible_Adjustment]])</f>
        <v>1</v>
      </c>
      <c r="AT40" s="124">
        <f>Level1[[#This Row],[Preferred_estimate_kg/capita]]*Level1[[#This Row],[Total_Adjustment]]</f>
        <v>49.308750000000003</v>
      </c>
    </row>
    <row r="41" spans="1:46">
      <c r="A41" s="112">
        <v>18</v>
      </c>
      <c r="B41" s="126" t="s">
        <v>259</v>
      </c>
      <c r="C41" s="9">
        <v>2020</v>
      </c>
      <c r="D41" s="113" t="s">
        <v>260</v>
      </c>
      <c r="E41" s="114" t="s">
        <v>232</v>
      </c>
      <c r="F41" s="9">
        <v>156</v>
      </c>
      <c r="G41" s="9" t="s">
        <v>233</v>
      </c>
      <c r="H41" s="9" t="s">
        <v>174</v>
      </c>
      <c r="I41" s="9" t="s">
        <v>210</v>
      </c>
      <c r="J41" s="9" t="s">
        <v>182</v>
      </c>
      <c r="K41" s="9" t="s">
        <v>266</v>
      </c>
      <c r="L41" s="115">
        <v>1433.7837</v>
      </c>
      <c r="M41" s="114"/>
      <c r="N41" s="9">
        <v>1</v>
      </c>
      <c r="O41" s="115"/>
      <c r="P41" s="114" t="s">
        <v>203</v>
      </c>
      <c r="Q41" s="9">
        <v>1</v>
      </c>
      <c r="R41" s="9" t="s">
        <v>264</v>
      </c>
      <c r="S41" s="10"/>
      <c r="T41" s="10"/>
      <c r="U41" s="138">
        <v>2018</v>
      </c>
      <c r="V41" s="117"/>
      <c r="W41" s="9"/>
      <c r="X41" s="139"/>
      <c r="Y41" s="140"/>
      <c r="Z41" s="118"/>
      <c r="AA41" s="9"/>
      <c r="AB41" s="119" t="s">
        <v>134</v>
      </c>
      <c r="AC41" s="119" t="s">
        <v>134</v>
      </c>
      <c r="AD41" s="120" t="s">
        <v>134</v>
      </c>
      <c r="AE41" s="121">
        <v>0</v>
      </c>
      <c r="AF41" s="120">
        <v>0</v>
      </c>
      <c r="AG41" s="120">
        <v>0</v>
      </c>
      <c r="AH41" s="122">
        <v>0</v>
      </c>
      <c r="AI41" s="123">
        <v>0.13</v>
      </c>
      <c r="AJ41" s="9" t="s">
        <v>185</v>
      </c>
      <c r="AK41" s="78">
        <v>0.13</v>
      </c>
      <c r="AL41" s="78">
        <v>47.482500000000002</v>
      </c>
      <c r="AM41" s="122">
        <v>47.482500000000002</v>
      </c>
      <c r="AN41" s="121">
        <f>IF(Level1[[#This Row],[Standardised_Normalised_Mass_kg/capita/year]]&lt;&gt;"",Level1[[#This Row],[Standardised_Normalised_Mass_kg/capita/year]],Level1[[#This Row],[Derived_Normalised_kg/capita/year]])</f>
        <v>47.482500000000002</v>
      </c>
      <c r="AO41" s="78">
        <f>IF(Level1[[#This Row],[Household]]=1,IF(Level1[[#This Row],[Household_Diary?]]=1,'Cover Sheet'!$R$31,1),1)</f>
        <v>1</v>
      </c>
      <c r="AP41" s="78">
        <f>IF(Level1[[#This Row],[Household]]=1,IF(Level1[[#This Row],[Edible_Waste_Only?]]=1,'Cover Sheet'!$R$32,1),1)</f>
        <v>1</v>
      </c>
      <c r="AQ41" s="78">
        <f>IF(Level1[[#This Row],[Food_Service]]=1,IF(Level1[[#This Row],[Edible_Waste_Only?]]=1,'Cover Sheet'!$R$33,1),1)</f>
        <v>1</v>
      </c>
      <c r="AR41" s="78">
        <f>IF(Level1[[#This Row],[Retail]]=1,IF(Level1[[#This Row],[Edible_Waste_Only?]]=1,'Cover Sheet'!$R$34,1),1)</f>
        <v>1</v>
      </c>
      <c r="AS41" s="78">
        <f>PRODUCT(Level1[[#This Row],[Household_Diary_Adjustment]:[Retail_Inedible_Adjustment]])</f>
        <v>1</v>
      </c>
      <c r="AT41" s="124">
        <f>Level1[[#This Row],[Preferred_estimate_kg/capita]]*Level1[[#This Row],[Total_Adjustment]]</f>
        <v>47.482500000000002</v>
      </c>
    </row>
    <row r="42" spans="1:46">
      <c r="A42" s="125">
        <v>18</v>
      </c>
      <c r="B42" s="126" t="s">
        <v>259</v>
      </c>
      <c r="C42" s="126">
        <v>2020</v>
      </c>
      <c r="D42" s="127" t="s">
        <v>260</v>
      </c>
      <c r="E42" s="128" t="s">
        <v>232</v>
      </c>
      <c r="F42" s="126">
        <v>156</v>
      </c>
      <c r="G42" s="126" t="s">
        <v>233</v>
      </c>
      <c r="H42" s="126" t="s">
        <v>174</v>
      </c>
      <c r="I42" s="9" t="s">
        <v>210</v>
      </c>
      <c r="J42" s="9" t="s">
        <v>182</v>
      </c>
      <c r="K42" s="126" t="s">
        <v>261</v>
      </c>
      <c r="L42" s="115">
        <v>1433.7837</v>
      </c>
      <c r="M42" s="128"/>
      <c r="N42" s="126">
        <v>1</v>
      </c>
      <c r="O42" s="129"/>
      <c r="P42" s="128" t="s">
        <v>203</v>
      </c>
      <c r="Q42" s="126">
        <v>1</v>
      </c>
      <c r="R42" s="126" t="s">
        <v>267</v>
      </c>
      <c r="S42" s="130"/>
      <c r="T42" s="130"/>
      <c r="U42" s="135">
        <v>2018</v>
      </c>
      <c r="V42" s="132"/>
      <c r="W42" s="126"/>
      <c r="X42" s="141"/>
      <c r="Y42" s="137"/>
      <c r="Z42" s="133">
        <v>38</v>
      </c>
      <c r="AA42" s="9" t="s">
        <v>229</v>
      </c>
      <c r="AB42" s="119">
        <v>38</v>
      </c>
      <c r="AC42" s="119">
        <v>38000000</v>
      </c>
      <c r="AD42" s="134">
        <v>38000000</v>
      </c>
      <c r="AE42" s="121">
        <v>0</v>
      </c>
      <c r="AF42" s="120">
        <v>0</v>
      </c>
      <c r="AG42" s="120">
        <v>839460000</v>
      </c>
      <c r="AH42" s="122">
        <v>0</v>
      </c>
      <c r="AI42" s="123">
        <v>45</v>
      </c>
      <c r="AJ42" s="126" t="s">
        <v>147</v>
      </c>
      <c r="AK42" s="78">
        <v>45</v>
      </c>
      <c r="AL42" s="78">
        <v>45</v>
      </c>
      <c r="AM42" s="122">
        <v>45</v>
      </c>
      <c r="AN42" s="121">
        <f>IF(Level1[[#This Row],[Standardised_Normalised_Mass_kg/capita/year]]&lt;&gt;"",Level1[[#This Row],[Standardised_Normalised_Mass_kg/capita/year]],Level1[[#This Row],[Derived_Normalised_kg/capita/year]])</f>
        <v>45</v>
      </c>
      <c r="AO42" s="78">
        <f>IF(Level1[[#This Row],[Household]]=1,IF(Level1[[#This Row],[Household_Diary?]]=1,'Cover Sheet'!$R$31,1),1)</f>
        <v>1</v>
      </c>
      <c r="AP42" s="78">
        <f>IF(Level1[[#This Row],[Household]]=1,IF(Level1[[#This Row],[Edible_Waste_Only?]]=1,'Cover Sheet'!$R$32,1),1)</f>
        <v>1</v>
      </c>
      <c r="AQ42" s="78">
        <f>IF(Level1[[#This Row],[Food_Service]]=1,IF(Level1[[#This Row],[Edible_Waste_Only?]]=1,'Cover Sheet'!$R$33,1),1)</f>
        <v>1</v>
      </c>
      <c r="AR42" s="78">
        <f>IF(Level1[[#This Row],[Retail]]=1,IF(Level1[[#This Row],[Edible_Waste_Only?]]=1,'Cover Sheet'!$R$34,1),1)</f>
        <v>1</v>
      </c>
      <c r="AS42" s="78">
        <f>PRODUCT(Level1[[#This Row],[Household_Diary_Adjustment]:[Retail_Inedible_Adjustment]])</f>
        <v>1</v>
      </c>
      <c r="AT42" s="124">
        <f>Level1[[#This Row],[Preferred_estimate_kg/capita]]*Level1[[#This Row],[Total_Adjustment]]</f>
        <v>45</v>
      </c>
    </row>
    <row r="43" spans="1:46">
      <c r="A43" s="112">
        <v>18</v>
      </c>
      <c r="B43" s="126" t="s">
        <v>259</v>
      </c>
      <c r="C43" s="9">
        <v>2020</v>
      </c>
      <c r="D43" s="113" t="s">
        <v>260</v>
      </c>
      <c r="E43" s="114" t="s">
        <v>232</v>
      </c>
      <c r="F43" s="9">
        <v>156</v>
      </c>
      <c r="G43" s="9" t="s">
        <v>233</v>
      </c>
      <c r="H43" s="9" t="s">
        <v>174</v>
      </c>
      <c r="I43" s="9" t="s">
        <v>210</v>
      </c>
      <c r="J43" s="9" t="s">
        <v>182</v>
      </c>
      <c r="K43" s="9" t="s">
        <v>268</v>
      </c>
      <c r="L43" s="115">
        <v>1433.7837</v>
      </c>
      <c r="M43" s="114"/>
      <c r="N43" s="9">
        <v>1</v>
      </c>
      <c r="O43" s="115"/>
      <c r="P43" s="114" t="s">
        <v>203</v>
      </c>
      <c r="Q43" s="9">
        <v>1</v>
      </c>
      <c r="R43" s="9" t="s">
        <v>264</v>
      </c>
      <c r="S43" s="10"/>
      <c r="T43" s="10"/>
      <c r="U43" s="138">
        <v>2018</v>
      </c>
      <c r="V43" s="117"/>
      <c r="W43" s="9"/>
      <c r="X43" s="139"/>
      <c r="Y43" s="140"/>
      <c r="Z43" s="118"/>
      <c r="AA43" s="9"/>
      <c r="AB43" s="119" t="s">
        <v>134</v>
      </c>
      <c r="AC43" s="119" t="s">
        <v>134</v>
      </c>
      <c r="AD43" s="120" t="s">
        <v>134</v>
      </c>
      <c r="AE43" s="121">
        <v>0</v>
      </c>
      <c r="AF43" s="120">
        <v>0</v>
      </c>
      <c r="AG43" s="120">
        <v>0</v>
      </c>
      <c r="AH43" s="122">
        <v>0</v>
      </c>
      <c r="AI43" s="123">
        <v>9.4E-2</v>
      </c>
      <c r="AJ43" s="9" t="s">
        <v>185</v>
      </c>
      <c r="AK43" s="78">
        <v>9.4E-2</v>
      </c>
      <c r="AL43" s="78">
        <v>34.333500000000001</v>
      </c>
      <c r="AM43" s="122">
        <v>34.333500000000001</v>
      </c>
      <c r="AN43" s="121">
        <f>IF(Level1[[#This Row],[Standardised_Normalised_Mass_kg/capita/year]]&lt;&gt;"",Level1[[#This Row],[Standardised_Normalised_Mass_kg/capita/year]],Level1[[#This Row],[Derived_Normalised_kg/capita/year]])</f>
        <v>34.333500000000001</v>
      </c>
      <c r="AO43" s="78">
        <f>IF(Level1[[#This Row],[Household]]=1,IF(Level1[[#This Row],[Household_Diary?]]=1,'Cover Sheet'!$R$31,1),1)</f>
        <v>1</v>
      </c>
      <c r="AP43" s="78">
        <f>IF(Level1[[#This Row],[Household]]=1,IF(Level1[[#This Row],[Edible_Waste_Only?]]=1,'Cover Sheet'!$R$32,1),1)</f>
        <v>1</v>
      </c>
      <c r="AQ43" s="78">
        <f>IF(Level1[[#This Row],[Food_Service]]=1,IF(Level1[[#This Row],[Edible_Waste_Only?]]=1,'Cover Sheet'!$R$33,1),1)</f>
        <v>1</v>
      </c>
      <c r="AR43" s="78">
        <f>IF(Level1[[#This Row],[Retail]]=1,IF(Level1[[#This Row],[Edible_Waste_Only?]]=1,'Cover Sheet'!$R$34,1),1)</f>
        <v>1</v>
      </c>
      <c r="AS43" s="78">
        <f>PRODUCT(Level1[[#This Row],[Household_Diary_Adjustment]:[Retail_Inedible_Adjustment]])</f>
        <v>1</v>
      </c>
      <c r="AT43" s="124">
        <f>Level1[[#This Row],[Preferred_estimate_kg/capita]]*Level1[[#This Row],[Total_Adjustment]]</f>
        <v>34.333500000000001</v>
      </c>
    </row>
    <row r="44" spans="1:46">
      <c r="A44" s="125">
        <v>19</v>
      </c>
      <c r="B44" s="126" t="s">
        <v>269</v>
      </c>
      <c r="C44" s="126">
        <v>2013</v>
      </c>
      <c r="D44" s="127" t="s">
        <v>270</v>
      </c>
      <c r="E44" s="128" t="s">
        <v>271</v>
      </c>
      <c r="F44" s="126">
        <v>170</v>
      </c>
      <c r="G44" s="126" t="s">
        <v>209</v>
      </c>
      <c r="H44" s="126" t="s">
        <v>174</v>
      </c>
      <c r="I44" s="9" t="s">
        <v>210</v>
      </c>
      <c r="J44" s="9" t="s">
        <v>182</v>
      </c>
      <c r="K44" s="126" t="s">
        <v>272</v>
      </c>
      <c r="L44" s="115">
        <v>50.339399999999998</v>
      </c>
      <c r="M44" s="128">
        <v>1</v>
      </c>
      <c r="N44" s="126"/>
      <c r="O44" s="129"/>
      <c r="P44" s="128" t="s">
        <v>131</v>
      </c>
      <c r="Q44" s="126">
        <v>2</v>
      </c>
      <c r="R44" s="126" t="s">
        <v>273</v>
      </c>
      <c r="S44" s="130"/>
      <c r="T44" s="130"/>
      <c r="U44" s="131">
        <v>2011</v>
      </c>
      <c r="V44" s="132">
        <v>0.60260000000000002</v>
      </c>
      <c r="W44" s="126" t="s">
        <v>176</v>
      </c>
      <c r="X44" s="141" t="s">
        <v>274</v>
      </c>
      <c r="Y44" s="137" t="s">
        <v>275</v>
      </c>
      <c r="Z44" s="133"/>
      <c r="AA44" s="9"/>
      <c r="AB44" s="119" t="s">
        <v>134</v>
      </c>
      <c r="AC44" s="119" t="s">
        <v>134</v>
      </c>
      <c r="AD44" s="134" t="s">
        <v>134</v>
      </c>
      <c r="AE44" s="121">
        <v>0</v>
      </c>
      <c r="AF44" s="120">
        <v>0</v>
      </c>
      <c r="AG44" s="120">
        <v>7258629</v>
      </c>
      <c r="AH44" s="122">
        <v>0</v>
      </c>
      <c r="AI44" s="123">
        <f>0.32*Level1[[#This Row],[FW_Share_estimate]]</f>
        <v>0.192832</v>
      </c>
      <c r="AJ44" s="126" t="s">
        <v>185</v>
      </c>
      <c r="AK44" s="78">
        <v>0.192832</v>
      </c>
      <c r="AL44" s="78">
        <v>70.431888000000001</v>
      </c>
      <c r="AM44" s="122">
        <v>70.431888000000001</v>
      </c>
      <c r="AN44" s="121">
        <f>IF(Level1[[#This Row],[Standardised_Normalised_Mass_kg/capita/year]]&lt;&gt;"",Level1[[#This Row],[Standardised_Normalised_Mass_kg/capita/year]],Level1[[#This Row],[Derived_Normalised_kg/capita/year]])</f>
        <v>70.431888000000001</v>
      </c>
      <c r="AO44" s="78">
        <f>IF(Level1[[#This Row],[Household]]=1,IF(Level1[[#This Row],[Household_Diary?]]=1,'Cover Sheet'!$R$31,1),1)</f>
        <v>1</v>
      </c>
      <c r="AP44" s="78">
        <f>IF(Level1[[#This Row],[Household]]=1,IF(Level1[[#This Row],[Edible_Waste_Only?]]=1,'Cover Sheet'!$R$32,1),1)</f>
        <v>1</v>
      </c>
      <c r="AQ44" s="78">
        <f>IF(Level1[[#This Row],[Food_Service]]=1,IF(Level1[[#This Row],[Edible_Waste_Only?]]=1,'Cover Sheet'!$R$33,1),1)</f>
        <v>1</v>
      </c>
      <c r="AR44" s="78">
        <f>IF(Level1[[#This Row],[Retail]]=1,IF(Level1[[#This Row],[Edible_Waste_Only?]]=1,'Cover Sheet'!$R$34,1),1)</f>
        <v>1</v>
      </c>
      <c r="AS44" s="78">
        <f>PRODUCT(Level1[[#This Row],[Household_Diary_Adjustment]:[Retail_Inedible_Adjustment]])</f>
        <v>1</v>
      </c>
      <c r="AT44" s="124">
        <f>Level1[[#This Row],[Preferred_estimate_kg/capita]]*Level1[[#This Row],[Total_Adjustment]]</f>
        <v>70.431888000000001</v>
      </c>
    </row>
    <row r="45" spans="1:46">
      <c r="A45" s="112">
        <v>20</v>
      </c>
      <c r="B45" s="126" t="s">
        <v>276</v>
      </c>
      <c r="C45" s="9">
        <v>2016</v>
      </c>
      <c r="D45" s="113" t="s">
        <v>277</v>
      </c>
      <c r="E45" s="114" t="s">
        <v>278</v>
      </c>
      <c r="F45" s="9">
        <v>208</v>
      </c>
      <c r="G45" s="9" t="s">
        <v>155</v>
      </c>
      <c r="H45" s="9" t="s">
        <v>128</v>
      </c>
      <c r="I45" s="9" t="s">
        <v>129</v>
      </c>
      <c r="J45" s="9" t="s">
        <v>130</v>
      </c>
      <c r="K45" s="9"/>
      <c r="L45" s="115">
        <v>5.7718999999999996</v>
      </c>
      <c r="M45" s="114"/>
      <c r="N45" s="9"/>
      <c r="O45" s="115">
        <v>1</v>
      </c>
      <c r="P45" s="114" t="s">
        <v>131</v>
      </c>
      <c r="Q45" s="9">
        <v>1</v>
      </c>
      <c r="R45" s="9" t="s">
        <v>279</v>
      </c>
      <c r="S45" s="10"/>
      <c r="T45" s="10"/>
      <c r="U45" s="138">
        <v>2012</v>
      </c>
      <c r="V45" s="117"/>
      <c r="W45" s="9"/>
      <c r="X45" s="139">
        <f>SUM(151000,11660)/Level1[[#This Row],[Mass_estimate]]</f>
        <v>0.97342908438061038</v>
      </c>
      <c r="Y45" s="140" t="s">
        <v>280</v>
      </c>
      <c r="Z45" s="118">
        <v>167100</v>
      </c>
      <c r="AA45" s="9" t="s">
        <v>133</v>
      </c>
      <c r="AB45" s="119">
        <v>167100</v>
      </c>
      <c r="AC45" s="119">
        <v>167100</v>
      </c>
      <c r="AD45" s="120">
        <v>167100</v>
      </c>
      <c r="AE45" s="121">
        <v>0</v>
      </c>
      <c r="AF45" s="120">
        <v>5605514.2857142864</v>
      </c>
      <c r="AG45" s="120">
        <v>0</v>
      </c>
      <c r="AH45" s="122">
        <v>0</v>
      </c>
      <c r="AI45" s="123">
        <v>29.8</v>
      </c>
      <c r="AJ45" s="9" t="s">
        <v>147</v>
      </c>
      <c r="AK45" s="78">
        <v>29.8</v>
      </c>
      <c r="AL45" s="78">
        <v>29.8</v>
      </c>
      <c r="AM45" s="122">
        <v>29.8</v>
      </c>
      <c r="AN45" s="121">
        <f>IF(Level1[[#This Row],[Standardised_Normalised_Mass_kg/capita/year]]&lt;&gt;"",Level1[[#This Row],[Standardised_Normalised_Mass_kg/capita/year]],Level1[[#This Row],[Derived_Normalised_kg/capita/year]])</f>
        <v>29.8</v>
      </c>
      <c r="AO45" s="78">
        <f>IF(Level1[[#This Row],[Household]]=1,IF(Level1[[#This Row],[Household_Diary?]]=1,'Cover Sheet'!$R$31,1),1)</f>
        <v>1</v>
      </c>
      <c r="AP45" s="78">
        <f>IF(Level1[[#This Row],[Household]]=1,IF(Level1[[#This Row],[Edible_Waste_Only?]]=1,'Cover Sheet'!$R$32,1),1)</f>
        <v>1</v>
      </c>
      <c r="AQ45" s="78">
        <f>IF(Level1[[#This Row],[Food_Service]]=1,IF(Level1[[#This Row],[Edible_Waste_Only?]]=1,'Cover Sheet'!$R$33,1),1)</f>
        <v>1</v>
      </c>
      <c r="AR45" s="78">
        <f>IF(Level1[[#This Row],[Retail]]=1,IF(Level1[[#This Row],[Edible_Waste_Only?]]=1,'Cover Sheet'!$R$34,1),1)</f>
        <v>1</v>
      </c>
      <c r="AS45" s="78">
        <f>PRODUCT(Level1[[#This Row],[Household_Diary_Adjustment]:[Retail_Inedible_Adjustment]])</f>
        <v>1</v>
      </c>
      <c r="AT45" s="124">
        <f>Level1[[#This Row],[Preferred_estimate_kg/capita]]*Level1[[#This Row],[Total_Adjustment]]</f>
        <v>29.8</v>
      </c>
    </row>
    <row r="46" spans="1:46">
      <c r="A46" s="125">
        <v>20</v>
      </c>
      <c r="B46" s="126" t="s">
        <v>276</v>
      </c>
      <c r="C46" s="126">
        <v>2016</v>
      </c>
      <c r="D46" s="127" t="s">
        <v>277</v>
      </c>
      <c r="E46" s="128" t="s">
        <v>278</v>
      </c>
      <c r="F46" s="126">
        <v>208</v>
      </c>
      <c r="G46" s="126" t="s">
        <v>155</v>
      </c>
      <c r="H46" s="126" t="s">
        <v>128</v>
      </c>
      <c r="I46" s="9" t="s">
        <v>129</v>
      </c>
      <c r="J46" s="9" t="s">
        <v>130</v>
      </c>
      <c r="K46" s="126"/>
      <c r="L46" s="115">
        <v>5.7718999999999996</v>
      </c>
      <c r="M46" s="128"/>
      <c r="N46" s="126">
        <v>1</v>
      </c>
      <c r="O46" s="129"/>
      <c r="P46" s="128" t="s">
        <v>281</v>
      </c>
      <c r="Q46" s="126">
        <v>1</v>
      </c>
      <c r="R46" s="126" t="s">
        <v>282</v>
      </c>
      <c r="S46" s="130"/>
      <c r="T46" s="130"/>
      <c r="U46" s="135">
        <v>2012</v>
      </c>
      <c r="V46" s="132"/>
      <c r="W46" s="126"/>
      <c r="X46" s="141">
        <f>SUM(8400,20100,21000,10200)/Level1[[#This Row],[Mass_estimate]]</f>
        <v>0.51598962834917894</v>
      </c>
      <c r="Y46" s="137" t="s">
        <v>283</v>
      </c>
      <c r="Z46" s="133">
        <f>SUM(11800,60800,26100,17000)</f>
        <v>115700</v>
      </c>
      <c r="AA46" s="9" t="s">
        <v>133</v>
      </c>
      <c r="AB46" s="119">
        <v>115700</v>
      </c>
      <c r="AC46" s="119">
        <v>115700</v>
      </c>
      <c r="AD46" s="134">
        <v>115700</v>
      </c>
      <c r="AE46" s="121">
        <v>1</v>
      </c>
      <c r="AF46" s="120">
        <v>5605514.2857142864</v>
      </c>
      <c r="AG46" s="120">
        <v>0</v>
      </c>
      <c r="AH46" s="122">
        <v>20.640389820228037</v>
      </c>
      <c r="AI46" s="123">
        <v>20.9</v>
      </c>
      <c r="AJ46" s="126" t="s">
        <v>284</v>
      </c>
      <c r="AK46" s="78" t="s">
        <v>134</v>
      </c>
      <c r="AL46" s="78" t="s">
        <v>134</v>
      </c>
      <c r="AM46" s="122" t="s">
        <v>134</v>
      </c>
      <c r="AN46" s="121">
        <f>IF(Level1[[#This Row],[Standardised_Normalised_Mass_kg/capita/year]]&lt;&gt;"",Level1[[#This Row],[Standardised_Normalised_Mass_kg/capita/year]],Level1[[#This Row],[Derived_Normalised_kg/capita/year]])</f>
        <v>20.640389820228037</v>
      </c>
      <c r="AO46" s="78">
        <f>IF(Level1[[#This Row],[Household]]=1,IF(Level1[[#This Row],[Household_Diary?]]=1,'Cover Sheet'!$R$31,1),1)</f>
        <v>1</v>
      </c>
      <c r="AP46" s="78">
        <f>IF(Level1[[#This Row],[Household]]=1,IF(Level1[[#This Row],[Edible_Waste_Only?]]=1,'Cover Sheet'!$R$32,1),1)</f>
        <v>1</v>
      </c>
      <c r="AQ46" s="78">
        <f>IF(Level1[[#This Row],[Food_Service]]=1,IF(Level1[[#This Row],[Edible_Waste_Only?]]=1,'Cover Sheet'!$R$33,1),1)</f>
        <v>1</v>
      </c>
      <c r="AR46" s="78">
        <f>IF(Level1[[#This Row],[Retail]]=1,IF(Level1[[#This Row],[Edible_Waste_Only?]]=1,'Cover Sheet'!$R$34,1),1)</f>
        <v>1</v>
      </c>
      <c r="AS46" s="78">
        <f>PRODUCT(Level1[[#This Row],[Household_Diary_Adjustment]:[Retail_Inedible_Adjustment]])</f>
        <v>1</v>
      </c>
      <c r="AT46" s="124">
        <f>Level1[[#This Row],[Preferred_estimate_kg/capita]]*Level1[[#This Row],[Total_Adjustment]]</f>
        <v>20.640389820228037</v>
      </c>
    </row>
    <row r="47" spans="1:46">
      <c r="A47" s="112">
        <v>21</v>
      </c>
      <c r="B47" s="126" t="s">
        <v>285</v>
      </c>
      <c r="C47" s="9">
        <v>2016</v>
      </c>
      <c r="D47" s="113" t="s">
        <v>286</v>
      </c>
      <c r="E47" s="114" t="s">
        <v>278</v>
      </c>
      <c r="F47" s="9">
        <v>208</v>
      </c>
      <c r="G47" s="9" t="s">
        <v>155</v>
      </c>
      <c r="H47" s="9" t="s">
        <v>128</v>
      </c>
      <c r="I47" s="9" t="s">
        <v>129</v>
      </c>
      <c r="J47" s="9" t="s">
        <v>130</v>
      </c>
      <c r="K47" s="9"/>
      <c r="L47" s="115">
        <v>5.7718999999999996</v>
      </c>
      <c r="M47" s="114">
        <v>1</v>
      </c>
      <c r="N47" s="9"/>
      <c r="O47" s="115"/>
      <c r="P47" s="114" t="s">
        <v>131</v>
      </c>
      <c r="Q47" s="9">
        <v>1</v>
      </c>
      <c r="R47" s="9" t="s">
        <v>287</v>
      </c>
      <c r="S47" s="10"/>
      <c r="T47" s="10"/>
      <c r="U47" s="138">
        <v>2012</v>
      </c>
      <c r="V47" s="117">
        <v>0.43</v>
      </c>
      <c r="W47" s="9" t="s">
        <v>254</v>
      </c>
      <c r="X47" s="139">
        <f>103/183</f>
        <v>0.56284153005464477</v>
      </c>
      <c r="Y47" s="140" t="s">
        <v>288</v>
      </c>
      <c r="Z47" s="118"/>
      <c r="AA47" s="9"/>
      <c r="AB47" s="119" t="s">
        <v>134</v>
      </c>
      <c r="AC47" s="119" t="s">
        <v>134</v>
      </c>
      <c r="AD47" s="120" t="s">
        <v>134</v>
      </c>
      <c r="AE47" s="121">
        <v>0</v>
      </c>
      <c r="AF47" s="120">
        <v>5605514.2857142864</v>
      </c>
      <c r="AG47" s="120">
        <v>0</v>
      </c>
      <c r="AH47" s="122">
        <v>0</v>
      </c>
      <c r="AI47" s="123">
        <v>1.6</v>
      </c>
      <c r="AJ47" s="9" t="s">
        <v>289</v>
      </c>
      <c r="AK47" s="78">
        <v>1.6</v>
      </c>
      <c r="AL47" s="78">
        <v>83.2</v>
      </c>
      <c r="AM47" s="122">
        <v>83.2</v>
      </c>
      <c r="AN47" s="121">
        <f>IF(Level1[[#This Row],[Standardised_Normalised_Mass_kg/capita/year]]&lt;&gt;"",Level1[[#This Row],[Standardised_Normalised_Mass_kg/capita/year]],Level1[[#This Row],[Derived_Normalised_kg/capita/year]])</f>
        <v>83.2</v>
      </c>
      <c r="AO47" s="78">
        <f>IF(Level1[[#This Row],[Household]]=1,IF(Level1[[#This Row],[Household_Diary?]]=1,'Cover Sheet'!$R$31,1),1)</f>
        <v>1</v>
      </c>
      <c r="AP47" s="78">
        <f>IF(Level1[[#This Row],[Household]]=1,IF(Level1[[#This Row],[Edible_Waste_Only?]]=1,'Cover Sheet'!$R$32,1),1)</f>
        <v>1</v>
      </c>
      <c r="AQ47" s="78">
        <f>IF(Level1[[#This Row],[Food_Service]]=1,IF(Level1[[#This Row],[Edible_Waste_Only?]]=1,'Cover Sheet'!$R$33,1),1)</f>
        <v>1</v>
      </c>
      <c r="AR47" s="78">
        <f>IF(Level1[[#This Row],[Retail]]=1,IF(Level1[[#This Row],[Edible_Waste_Only?]]=1,'Cover Sheet'!$R$34,1),1)</f>
        <v>1</v>
      </c>
      <c r="AS47" s="78">
        <f>PRODUCT(Level1[[#This Row],[Household_Diary_Adjustment]:[Retail_Inedible_Adjustment]])</f>
        <v>1</v>
      </c>
      <c r="AT47" s="124">
        <f>Level1[[#This Row],[Preferred_estimate_kg/capita]]*Level1[[#This Row],[Total_Adjustment]]</f>
        <v>83.2</v>
      </c>
    </row>
    <row r="48" spans="1:46">
      <c r="A48" s="125">
        <v>22</v>
      </c>
      <c r="B48" s="126" t="s">
        <v>290</v>
      </c>
      <c r="C48" s="126">
        <v>2018</v>
      </c>
      <c r="D48" s="127" t="s">
        <v>291</v>
      </c>
      <c r="E48" s="128" t="s">
        <v>278</v>
      </c>
      <c r="F48" s="126">
        <v>208</v>
      </c>
      <c r="G48" s="126" t="s">
        <v>155</v>
      </c>
      <c r="H48" s="126" t="s">
        <v>128</v>
      </c>
      <c r="I48" s="9" t="s">
        <v>129</v>
      </c>
      <c r="J48" s="9" t="s">
        <v>130</v>
      </c>
      <c r="K48" s="126"/>
      <c r="L48" s="115">
        <v>5.7718999999999996</v>
      </c>
      <c r="M48" s="128">
        <v>1</v>
      </c>
      <c r="N48" s="126"/>
      <c r="O48" s="129"/>
      <c r="P48" s="128" t="s">
        <v>131</v>
      </c>
      <c r="Q48" s="126">
        <v>1</v>
      </c>
      <c r="R48" s="126" t="s">
        <v>292</v>
      </c>
      <c r="S48" s="130"/>
      <c r="T48" s="130"/>
      <c r="U48" s="135">
        <v>2017</v>
      </c>
      <c r="V48" s="132">
        <f>24.8%+21%</f>
        <v>0.45799999999999996</v>
      </c>
      <c r="W48" s="126" t="s">
        <v>176</v>
      </c>
      <c r="X48" s="132">
        <f>246977/Level1[[#This Row],[Mass_estimate]]</f>
        <v>0.54217623905393508</v>
      </c>
      <c r="Y48" s="129" t="s">
        <v>293</v>
      </c>
      <c r="Z48" s="133">
        <v>455529</v>
      </c>
      <c r="AA48" s="9" t="s">
        <v>133</v>
      </c>
      <c r="AB48" s="119">
        <v>455529</v>
      </c>
      <c r="AC48" s="119">
        <v>455529</v>
      </c>
      <c r="AD48" s="134">
        <v>455529</v>
      </c>
      <c r="AE48" s="121">
        <v>1</v>
      </c>
      <c r="AF48" s="120">
        <v>5732300</v>
      </c>
      <c r="AG48" s="120">
        <v>0</v>
      </c>
      <c r="AH48" s="122">
        <v>79.4670551087696</v>
      </c>
      <c r="AI48" s="123"/>
      <c r="AJ48" s="150"/>
      <c r="AK48" s="78" t="s">
        <v>134</v>
      </c>
      <c r="AL48" s="78" t="s">
        <v>134</v>
      </c>
      <c r="AM48" s="122" t="s">
        <v>134</v>
      </c>
      <c r="AN48" s="121">
        <f>IF(Level1[[#This Row],[Standardised_Normalised_Mass_kg/capita/year]]&lt;&gt;"",Level1[[#This Row],[Standardised_Normalised_Mass_kg/capita/year]],Level1[[#This Row],[Derived_Normalised_kg/capita/year]])</f>
        <v>79.4670551087696</v>
      </c>
      <c r="AO48" s="78">
        <f>IF(Level1[[#This Row],[Household]]=1,IF(Level1[[#This Row],[Household_Diary?]]=1,'Cover Sheet'!$R$31,1),1)</f>
        <v>1</v>
      </c>
      <c r="AP48" s="78">
        <f>IF(Level1[[#This Row],[Household]]=1,IF(Level1[[#This Row],[Edible_Waste_Only?]]=1,'Cover Sheet'!$R$32,1),1)</f>
        <v>1</v>
      </c>
      <c r="AQ48" s="78">
        <f>IF(Level1[[#This Row],[Food_Service]]=1,IF(Level1[[#This Row],[Edible_Waste_Only?]]=1,'Cover Sheet'!$R$33,1),1)</f>
        <v>1</v>
      </c>
      <c r="AR48" s="78">
        <f>IF(Level1[[#This Row],[Retail]]=1,IF(Level1[[#This Row],[Edible_Waste_Only?]]=1,'Cover Sheet'!$R$34,1),1)</f>
        <v>1</v>
      </c>
      <c r="AS48" s="78">
        <f>PRODUCT(Level1[[#This Row],[Household_Diary_Adjustment]:[Retail_Inedible_Adjustment]])</f>
        <v>1</v>
      </c>
      <c r="AT48" s="124">
        <f>Level1[[#This Row],[Preferred_estimate_kg/capita]]*Level1[[#This Row],[Total_Adjustment]]</f>
        <v>79.4670551087696</v>
      </c>
    </row>
    <row r="49" spans="1:46">
      <c r="A49" s="112">
        <v>23</v>
      </c>
      <c r="B49" s="126" t="s">
        <v>294</v>
      </c>
      <c r="C49" s="9">
        <v>2015</v>
      </c>
      <c r="D49" s="113" t="s">
        <v>295</v>
      </c>
      <c r="E49" s="114" t="s">
        <v>154</v>
      </c>
      <c r="F49" s="9">
        <v>233</v>
      </c>
      <c r="G49" s="9" t="s">
        <v>155</v>
      </c>
      <c r="H49" s="9" t="s">
        <v>128</v>
      </c>
      <c r="I49" s="9" t="s">
        <v>129</v>
      </c>
      <c r="J49" s="9" t="s">
        <v>130</v>
      </c>
      <c r="K49" s="9"/>
      <c r="L49" s="115">
        <v>1.3255999999999999</v>
      </c>
      <c r="M49" s="114"/>
      <c r="N49" s="9">
        <v>1</v>
      </c>
      <c r="O49" s="115"/>
      <c r="P49" s="114" t="s">
        <v>131</v>
      </c>
      <c r="Q49" s="9">
        <v>1</v>
      </c>
      <c r="R49" s="9" t="s">
        <v>296</v>
      </c>
      <c r="S49" s="10"/>
      <c r="T49" s="10"/>
      <c r="U49" s="138">
        <v>2014</v>
      </c>
      <c r="V49" s="117"/>
      <c r="W49" s="9"/>
      <c r="X49" s="117">
        <v>0.59</v>
      </c>
      <c r="Y49" s="115" t="s">
        <v>297</v>
      </c>
      <c r="Z49" s="118">
        <f>13000+9000</f>
        <v>22000</v>
      </c>
      <c r="AA49" s="9" t="s">
        <v>133</v>
      </c>
      <c r="AB49" s="119">
        <v>22000</v>
      </c>
      <c r="AC49" s="119">
        <v>22000</v>
      </c>
      <c r="AD49" s="120">
        <v>22000</v>
      </c>
      <c r="AE49" s="121">
        <v>1</v>
      </c>
      <c r="AF49" s="120">
        <v>1324842.8571428573</v>
      </c>
      <c r="AG49" s="120">
        <v>0</v>
      </c>
      <c r="AH49" s="122">
        <v>16.60574299916971</v>
      </c>
      <c r="AI49" s="123"/>
      <c r="AJ49" s="9"/>
      <c r="AK49" s="78" t="s">
        <v>134</v>
      </c>
      <c r="AL49" s="78" t="s">
        <v>134</v>
      </c>
      <c r="AM49" s="122" t="s">
        <v>134</v>
      </c>
      <c r="AN49" s="121">
        <f>IF(Level1[[#This Row],[Standardised_Normalised_Mass_kg/capita/year]]&lt;&gt;"",Level1[[#This Row],[Standardised_Normalised_Mass_kg/capita/year]],Level1[[#This Row],[Derived_Normalised_kg/capita/year]])</f>
        <v>16.60574299916971</v>
      </c>
      <c r="AO49" s="78">
        <f>IF(Level1[[#This Row],[Household]]=1,IF(Level1[[#This Row],[Household_Diary?]]=1,'Cover Sheet'!$R$31,1),1)</f>
        <v>1</v>
      </c>
      <c r="AP49" s="78">
        <f>IF(Level1[[#This Row],[Household]]=1,IF(Level1[[#This Row],[Edible_Waste_Only?]]=1,'Cover Sheet'!$R$32,1),1)</f>
        <v>1</v>
      </c>
      <c r="AQ49" s="78">
        <f>IF(Level1[[#This Row],[Food_Service]]=1,IF(Level1[[#This Row],[Edible_Waste_Only?]]=1,'Cover Sheet'!$R$33,1),1)</f>
        <v>1</v>
      </c>
      <c r="AR49" s="78">
        <f>IF(Level1[[#This Row],[Retail]]=1,IF(Level1[[#This Row],[Edible_Waste_Only?]]=1,'Cover Sheet'!$R$34,1),1)</f>
        <v>1</v>
      </c>
      <c r="AS49" s="78">
        <f>PRODUCT(Level1[[#This Row],[Household_Diary_Adjustment]:[Retail_Inedible_Adjustment]])</f>
        <v>1</v>
      </c>
      <c r="AT49" s="124">
        <f>Level1[[#This Row],[Preferred_estimate_kg/capita]]*Level1[[#This Row],[Total_Adjustment]]</f>
        <v>16.60574299916971</v>
      </c>
    </row>
    <row r="50" spans="1:46">
      <c r="A50" s="125">
        <v>23</v>
      </c>
      <c r="B50" s="126" t="s">
        <v>294</v>
      </c>
      <c r="C50" s="126">
        <v>2015</v>
      </c>
      <c r="D50" s="127" t="s">
        <v>295</v>
      </c>
      <c r="E50" s="128" t="s">
        <v>154</v>
      </c>
      <c r="F50" s="126">
        <v>233</v>
      </c>
      <c r="G50" s="126" t="s">
        <v>155</v>
      </c>
      <c r="H50" s="126" t="s">
        <v>128</v>
      </c>
      <c r="I50" s="9" t="s">
        <v>129</v>
      </c>
      <c r="J50" s="9" t="s">
        <v>130</v>
      </c>
      <c r="K50" s="126"/>
      <c r="L50" s="115">
        <v>1.3255999999999999</v>
      </c>
      <c r="M50" s="128">
        <v>1</v>
      </c>
      <c r="N50" s="126"/>
      <c r="O50" s="129"/>
      <c r="P50" s="128" t="s">
        <v>222</v>
      </c>
      <c r="Q50" s="126">
        <v>2</v>
      </c>
      <c r="R50" s="126" t="s">
        <v>298</v>
      </c>
      <c r="S50" s="130">
        <v>1</v>
      </c>
      <c r="T50" s="130"/>
      <c r="U50" s="135">
        <v>2014</v>
      </c>
      <c r="V50" s="132"/>
      <c r="W50" s="126"/>
      <c r="X50" s="132">
        <f>36%</f>
        <v>0.36</v>
      </c>
      <c r="Y50" s="129" t="s">
        <v>299</v>
      </c>
      <c r="Z50" s="133">
        <f>71000+25000</f>
        <v>96000</v>
      </c>
      <c r="AA50" s="9" t="s">
        <v>133</v>
      </c>
      <c r="AB50" s="119">
        <v>96000</v>
      </c>
      <c r="AC50" s="119">
        <v>96000</v>
      </c>
      <c r="AD50" s="134">
        <v>96000</v>
      </c>
      <c r="AE50" s="121">
        <v>0</v>
      </c>
      <c r="AF50" s="120">
        <v>1324842.8571428573</v>
      </c>
      <c r="AG50" s="120">
        <v>0</v>
      </c>
      <c r="AH50" s="122">
        <v>0</v>
      </c>
      <c r="AI50" s="123">
        <v>54.1</v>
      </c>
      <c r="AJ50" s="126" t="s">
        <v>147</v>
      </c>
      <c r="AK50" s="78">
        <v>54.1</v>
      </c>
      <c r="AL50" s="78">
        <v>54.1</v>
      </c>
      <c r="AM50" s="122">
        <v>54.1</v>
      </c>
      <c r="AN50" s="121">
        <f>IF(Level1[[#This Row],[Standardised_Normalised_Mass_kg/capita/year]]&lt;&gt;"",Level1[[#This Row],[Standardised_Normalised_Mass_kg/capita/year]],Level1[[#This Row],[Derived_Normalised_kg/capita/year]])</f>
        <v>54.1</v>
      </c>
      <c r="AO50" s="78">
        <f>IF(Level1[[#This Row],[Household]]=1,IF(Level1[[#This Row],[Household_Diary?]]=1,'Cover Sheet'!$R$31,1),1)</f>
        <v>1.4326647564469914</v>
      </c>
      <c r="AP50" s="78">
        <f>IF(Level1[[#This Row],[Household]]=1,IF(Level1[[#This Row],[Edible_Waste_Only?]]=1,'Cover Sheet'!$R$32,1),1)</f>
        <v>1</v>
      </c>
      <c r="AQ50" s="78">
        <f>IF(Level1[[#This Row],[Food_Service]]=1,IF(Level1[[#This Row],[Edible_Waste_Only?]]=1,'Cover Sheet'!$R$33,1),1)</f>
        <v>1</v>
      </c>
      <c r="AR50" s="78">
        <f>IF(Level1[[#This Row],[Retail]]=1,IF(Level1[[#This Row],[Edible_Waste_Only?]]=1,'Cover Sheet'!$R$34,1),1)</f>
        <v>1</v>
      </c>
      <c r="AS50" s="78">
        <f>PRODUCT(Level1[[#This Row],[Household_Diary_Adjustment]:[Retail_Inedible_Adjustment]])</f>
        <v>1.4326647564469914</v>
      </c>
      <c r="AT50" s="124">
        <f>Level1[[#This Row],[Preferred_estimate_kg/capita]]*Level1[[#This Row],[Total_Adjustment]]</f>
        <v>77.507163323782237</v>
      </c>
    </row>
    <row r="51" spans="1:46">
      <c r="A51" s="125">
        <v>24</v>
      </c>
      <c r="B51" s="126" t="s">
        <v>300</v>
      </c>
      <c r="C51" s="126">
        <v>2015</v>
      </c>
      <c r="D51" s="127" t="s">
        <v>301</v>
      </c>
      <c r="E51" s="128" t="s">
        <v>154</v>
      </c>
      <c r="F51" s="126">
        <v>233</v>
      </c>
      <c r="G51" s="126" t="s">
        <v>155</v>
      </c>
      <c r="H51" s="126" t="s">
        <v>128</v>
      </c>
      <c r="I51" s="9" t="s">
        <v>129</v>
      </c>
      <c r="J51" s="9" t="s">
        <v>130</v>
      </c>
      <c r="K51" s="126"/>
      <c r="L51" s="115">
        <v>1.3255999999999999</v>
      </c>
      <c r="M51" s="128"/>
      <c r="N51" s="126"/>
      <c r="O51" s="129">
        <v>1</v>
      </c>
      <c r="P51" s="128" t="s">
        <v>203</v>
      </c>
      <c r="Q51" s="126">
        <v>2</v>
      </c>
      <c r="R51" s="126" t="s">
        <v>302</v>
      </c>
      <c r="S51" s="130"/>
      <c r="T51" s="130"/>
      <c r="U51" s="135">
        <v>2012</v>
      </c>
      <c r="V51" s="132"/>
      <c r="W51" s="126"/>
      <c r="X51" s="141"/>
      <c r="Y51" s="137"/>
      <c r="Z51" s="133">
        <v>6270</v>
      </c>
      <c r="AA51" s="9" t="s">
        <v>133</v>
      </c>
      <c r="AB51" s="119">
        <v>6270</v>
      </c>
      <c r="AC51" s="119">
        <v>6270</v>
      </c>
      <c r="AD51" s="134">
        <v>6270</v>
      </c>
      <c r="AE51" s="121">
        <v>1</v>
      </c>
      <c r="AF51" s="120">
        <v>1328471.4285714286</v>
      </c>
      <c r="AG51" s="120">
        <v>0</v>
      </c>
      <c r="AH51" s="122">
        <v>4.7197100857053753</v>
      </c>
      <c r="AI51" s="123"/>
      <c r="AJ51" s="126"/>
      <c r="AK51" s="78" t="s">
        <v>134</v>
      </c>
      <c r="AL51" s="78" t="s">
        <v>134</v>
      </c>
      <c r="AM51" s="122" t="s">
        <v>134</v>
      </c>
      <c r="AN51" s="121">
        <f>IF(Level1[[#This Row],[Standardised_Normalised_Mass_kg/capita/year]]&lt;&gt;"",Level1[[#This Row],[Standardised_Normalised_Mass_kg/capita/year]],Level1[[#This Row],[Derived_Normalised_kg/capita/year]])</f>
        <v>4.7197100857053753</v>
      </c>
      <c r="AO51" s="78">
        <f>IF(Level1[[#This Row],[Household]]=1,IF(Level1[[#This Row],[Household_Diary?]]=1,'Cover Sheet'!$R$31,1),1)</f>
        <v>1</v>
      </c>
      <c r="AP51" s="78">
        <f>IF(Level1[[#This Row],[Household]]=1,IF(Level1[[#This Row],[Edible_Waste_Only?]]=1,'Cover Sheet'!$R$32,1),1)</f>
        <v>1</v>
      </c>
      <c r="AQ51" s="78">
        <f>IF(Level1[[#This Row],[Food_Service]]=1,IF(Level1[[#This Row],[Edible_Waste_Only?]]=1,'Cover Sheet'!$R$33,1),1)</f>
        <v>1</v>
      </c>
      <c r="AR51" s="78">
        <f>IF(Level1[[#This Row],[Retail]]=1,IF(Level1[[#This Row],[Edible_Waste_Only?]]=1,'Cover Sheet'!$R$34,1),1)</f>
        <v>1</v>
      </c>
      <c r="AS51" s="78">
        <f>PRODUCT(Level1[[#This Row],[Household_Diary_Adjustment]:[Retail_Inedible_Adjustment]])</f>
        <v>1</v>
      </c>
      <c r="AT51" s="124">
        <f>Level1[[#This Row],[Preferred_estimate_kg/capita]]*Level1[[#This Row],[Total_Adjustment]]</f>
        <v>4.7197100857053753</v>
      </c>
    </row>
    <row r="52" spans="1:46">
      <c r="A52" s="112">
        <v>25</v>
      </c>
      <c r="B52" s="126" t="s">
        <v>303</v>
      </c>
      <c r="C52" s="9">
        <v>2017</v>
      </c>
      <c r="D52" s="113" t="s">
        <v>304</v>
      </c>
      <c r="E52" s="114" t="s">
        <v>305</v>
      </c>
      <c r="F52" s="9">
        <v>231</v>
      </c>
      <c r="G52" s="9" t="s">
        <v>306</v>
      </c>
      <c r="H52" s="9" t="s">
        <v>174</v>
      </c>
      <c r="I52" s="9" t="s">
        <v>307</v>
      </c>
      <c r="J52" s="9" t="s">
        <v>182</v>
      </c>
      <c r="K52" s="9" t="s">
        <v>308</v>
      </c>
      <c r="L52" s="115">
        <v>112.0787</v>
      </c>
      <c r="M52" s="114">
        <v>1</v>
      </c>
      <c r="N52" s="9"/>
      <c r="O52" s="115"/>
      <c r="P52" s="114" t="s">
        <v>131</v>
      </c>
      <c r="Q52" s="9">
        <v>2</v>
      </c>
      <c r="R52" s="9" t="s">
        <v>309</v>
      </c>
      <c r="S52" s="10"/>
      <c r="T52" s="10"/>
      <c r="U52" s="116">
        <v>2015</v>
      </c>
      <c r="V52" s="117">
        <v>0.61529999999999996</v>
      </c>
      <c r="W52" s="9" t="s">
        <v>176</v>
      </c>
      <c r="X52" s="139"/>
      <c r="Y52" s="140"/>
      <c r="Z52" s="118">
        <v>16170.4</v>
      </c>
      <c r="AA52" s="9" t="s">
        <v>310</v>
      </c>
      <c r="AB52" s="119">
        <v>5906238.5999999996</v>
      </c>
      <c r="AC52" s="119">
        <v>5906.2385999999997</v>
      </c>
      <c r="AD52" s="120">
        <v>5906.2385999999997</v>
      </c>
      <c r="AE52" s="121">
        <v>0</v>
      </c>
      <c r="AF52" s="120">
        <v>0</v>
      </c>
      <c r="AG52" s="120">
        <v>52310</v>
      </c>
      <c r="AH52" s="122">
        <v>0</v>
      </c>
      <c r="AI52" s="123">
        <f>0.41*Level1[[#This Row],[FW_Share_estimate]]</f>
        <v>0.25227299999999997</v>
      </c>
      <c r="AJ52" s="9" t="s">
        <v>185</v>
      </c>
      <c r="AK52" s="78">
        <v>0.25227299999999997</v>
      </c>
      <c r="AL52" s="78">
        <v>92.142713249999986</v>
      </c>
      <c r="AM52" s="122">
        <v>92.142713249999986</v>
      </c>
      <c r="AN52" s="121">
        <f>IF(Level1[[#This Row],[Standardised_Normalised_Mass_kg/capita/year]]&lt;&gt;"",Level1[[#This Row],[Standardised_Normalised_Mass_kg/capita/year]],Level1[[#This Row],[Derived_Normalised_kg/capita/year]])</f>
        <v>92.142713249999986</v>
      </c>
      <c r="AO52" s="78">
        <f>IF(Level1[[#This Row],[Household]]=1,IF(Level1[[#This Row],[Household_Diary?]]=1,'Cover Sheet'!$R$31,1),1)</f>
        <v>1</v>
      </c>
      <c r="AP52" s="78">
        <f>IF(Level1[[#This Row],[Household]]=1,IF(Level1[[#This Row],[Edible_Waste_Only?]]=1,'Cover Sheet'!$R$32,1),1)</f>
        <v>1</v>
      </c>
      <c r="AQ52" s="78">
        <f>IF(Level1[[#This Row],[Food_Service]]=1,IF(Level1[[#This Row],[Edible_Waste_Only?]]=1,'Cover Sheet'!$R$33,1),1)</f>
        <v>1</v>
      </c>
      <c r="AR52" s="78">
        <f>IF(Level1[[#This Row],[Retail]]=1,IF(Level1[[#This Row],[Edible_Waste_Only?]]=1,'Cover Sheet'!$R$34,1),1)</f>
        <v>1</v>
      </c>
      <c r="AS52" s="78">
        <f>PRODUCT(Level1[[#This Row],[Household_Diary_Adjustment]:[Retail_Inedible_Adjustment]])</f>
        <v>1</v>
      </c>
      <c r="AT52" s="124">
        <f>Level1[[#This Row],[Preferred_estimate_kg/capita]]*Level1[[#This Row],[Total_Adjustment]]</f>
        <v>92.142713249999986</v>
      </c>
    </row>
    <row r="53" spans="1:46">
      <c r="A53" s="125">
        <v>26</v>
      </c>
      <c r="B53" s="126" t="s">
        <v>311</v>
      </c>
      <c r="C53" s="126">
        <v>2016</v>
      </c>
      <c r="D53" s="127" t="s">
        <v>312</v>
      </c>
      <c r="E53" s="128" t="s">
        <v>313</v>
      </c>
      <c r="F53" s="126">
        <v>246</v>
      </c>
      <c r="G53" s="126" t="s">
        <v>155</v>
      </c>
      <c r="H53" s="126" t="s">
        <v>128</v>
      </c>
      <c r="I53" s="9" t="s">
        <v>129</v>
      </c>
      <c r="J53" s="9" t="s">
        <v>130</v>
      </c>
      <c r="K53" s="126"/>
      <c r="L53" s="115">
        <v>5.5321999999999996</v>
      </c>
      <c r="M53" s="128">
        <v>1</v>
      </c>
      <c r="N53" s="126"/>
      <c r="O53" s="129"/>
      <c r="P53" s="128" t="s">
        <v>151</v>
      </c>
      <c r="Q53" s="126">
        <v>2</v>
      </c>
      <c r="R53" s="126" t="s">
        <v>314</v>
      </c>
      <c r="S53" s="130"/>
      <c r="T53" s="130"/>
      <c r="U53" s="135">
        <v>2012</v>
      </c>
      <c r="V53" s="132"/>
      <c r="W53" s="126"/>
      <c r="X53" s="141"/>
      <c r="Y53" s="137"/>
      <c r="Z53" s="133">
        <v>345000</v>
      </c>
      <c r="AA53" s="9" t="s">
        <v>133</v>
      </c>
      <c r="AB53" s="119">
        <v>345000</v>
      </c>
      <c r="AC53" s="119">
        <v>345000</v>
      </c>
      <c r="AD53" s="134">
        <v>345000</v>
      </c>
      <c r="AE53" s="121">
        <v>0</v>
      </c>
      <c r="AF53" s="120">
        <v>5407400</v>
      </c>
      <c r="AG53" s="120">
        <v>0</v>
      </c>
      <c r="AH53" s="122">
        <v>0</v>
      </c>
      <c r="AI53" s="123">
        <v>63.6</v>
      </c>
      <c r="AJ53" s="126" t="s">
        <v>147</v>
      </c>
      <c r="AK53" s="78">
        <v>63.6</v>
      </c>
      <c r="AL53" s="78">
        <v>63.6</v>
      </c>
      <c r="AM53" s="122">
        <v>63.6</v>
      </c>
      <c r="AN53" s="121">
        <f>IF(Level1[[#This Row],[Standardised_Normalised_Mass_kg/capita/year]]&lt;&gt;"",Level1[[#This Row],[Standardised_Normalised_Mass_kg/capita/year]],Level1[[#This Row],[Derived_Normalised_kg/capita/year]])</f>
        <v>63.6</v>
      </c>
      <c r="AO53" s="78">
        <f>IF(Level1[[#This Row],[Household]]=1,IF(Level1[[#This Row],[Household_Diary?]]=1,'Cover Sheet'!$R$31,1),1)</f>
        <v>1</v>
      </c>
      <c r="AP53" s="78">
        <f>IF(Level1[[#This Row],[Household]]=1,IF(Level1[[#This Row],[Edible_Waste_Only?]]=1,'Cover Sheet'!$R$32,1),1)</f>
        <v>1</v>
      </c>
      <c r="AQ53" s="78">
        <f>IF(Level1[[#This Row],[Food_Service]]=1,IF(Level1[[#This Row],[Edible_Waste_Only?]]=1,'Cover Sheet'!$R$33,1),1)</f>
        <v>1</v>
      </c>
      <c r="AR53" s="78">
        <f>IF(Level1[[#This Row],[Retail]]=1,IF(Level1[[#This Row],[Edible_Waste_Only?]]=1,'Cover Sheet'!$R$34,1),1)</f>
        <v>1</v>
      </c>
      <c r="AS53" s="78">
        <f>PRODUCT(Level1[[#This Row],[Household_Diary_Adjustment]:[Retail_Inedible_Adjustment]])</f>
        <v>1</v>
      </c>
      <c r="AT53" s="124">
        <f>Level1[[#This Row],[Preferred_estimate_kg/capita]]*Level1[[#This Row],[Total_Adjustment]]</f>
        <v>63.6</v>
      </c>
    </row>
    <row r="54" spans="1:46">
      <c r="A54" s="125">
        <v>26</v>
      </c>
      <c r="B54" s="126" t="s">
        <v>311</v>
      </c>
      <c r="C54" s="126">
        <v>2016</v>
      </c>
      <c r="D54" s="127" t="s">
        <v>312</v>
      </c>
      <c r="E54" s="128" t="s">
        <v>313</v>
      </c>
      <c r="F54" s="126">
        <v>246</v>
      </c>
      <c r="G54" s="126" t="s">
        <v>155</v>
      </c>
      <c r="H54" s="126" t="s">
        <v>128</v>
      </c>
      <c r="I54" s="9" t="s">
        <v>129</v>
      </c>
      <c r="J54" s="9" t="s">
        <v>130</v>
      </c>
      <c r="K54" s="126"/>
      <c r="L54" s="115">
        <v>5.5321999999999996</v>
      </c>
      <c r="M54" s="128"/>
      <c r="N54" s="126">
        <v>1</v>
      </c>
      <c r="O54" s="129"/>
      <c r="P54" s="128" t="s">
        <v>151</v>
      </c>
      <c r="Q54" s="126">
        <v>2</v>
      </c>
      <c r="R54" s="126" t="s">
        <v>315</v>
      </c>
      <c r="S54" s="130"/>
      <c r="T54" s="130"/>
      <c r="U54" s="135">
        <v>2012</v>
      </c>
      <c r="V54" s="132"/>
      <c r="W54" s="126"/>
      <c r="X54" s="141"/>
      <c r="Y54" s="137"/>
      <c r="Z54" s="133">
        <v>130000</v>
      </c>
      <c r="AA54" s="9" t="s">
        <v>133</v>
      </c>
      <c r="AB54" s="119">
        <v>130000</v>
      </c>
      <c r="AC54" s="119">
        <v>130000</v>
      </c>
      <c r="AD54" s="134">
        <v>130000</v>
      </c>
      <c r="AE54" s="121">
        <v>1</v>
      </c>
      <c r="AF54" s="120">
        <v>5407400</v>
      </c>
      <c r="AG54" s="120">
        <v>0</v>
      </c>
      <c r="AH54" s="122">
        <v>24.041128823464142</v>
      </c>
      <c r="AI54" s="123">
        <v>22.4</v>
      </c>
      <c r="AJ54" s="126" t="s">
        <v>284</v>
      </c>
      <c r="AK54" s="78" t="s">
        <v>134</v>
      </c>
      <c r="AL54" s="78" t="s">
        <v>134</v>
      </c>
      <c r="AM54" s="122" t="s">
        <v>134</v>
      </c>
      <c r="AN54" s="121">
        <f>IF(Level1[[#This Row],[Standardised_Normalised_Mass_kg/capita/year]]&lt;&gt;"",Level1[[#This Row],[Standardised_Normalised_Mass_kg/capita/year]],Level1[[#This Row],[Derived_Normalised_kg/capita/year]])</f>
        <v>24.041128823464142</v>
      </c>
      <c r="AO54" s="78">
        <f>IF(Level1[[#This Row],[Household]]=1,IF(Level1[[#This Row],[Household_Diary?]]=1,'Cover Sheet'!$R$31,1),1)</f>
        <v>1</v>
      </c>
      <c r="AP54" s="78">
        <f>IF(Level1[[#This Row],[Household]]=1,IF(Level1[[#This Row],[Edible_Waste_Only?]]=1,'Cover Sheet'!$R$32,1),1)</f>
        <v>1</v>
      </c>
      <c r="AQ54" s="78">
        <f>IF(Level1[[#This Row],[Food_Service]]=1,IF(Level1[[#This Row],[Edible_Waste_Only?]]=1,'Cover Sheet'!$R$33,1),1)</f>
        <v>1</v>
      </c>
      <c r="AR54" s="78">
        <f>IF(Level1[[#This Row],[Retail]]=1,IF(Level1[[#This Row],[Edible_Waste_Only?]]=1,'Cover Sheet'!$R$34,1),1)</f>
        <v>1</v>
      </c>
      <c r="AS54" s="78">
        <f>PRODUCT(Level1[[#This Row],[Household_Diary_Adjustment]:[Retail_Inedible_Adjustment]])</f>
        <v>1</v>
      </c>
      <c r="AT54" s="124">
        <f>Level1[[#This Row],[Preferred_estimate_kg/capita]]*Level1[[#This Row],[Total_Adjustment]]</f>
        <v>24.041128823464142</v>
      </c>
    </row>
    <row r="55" spans="1:46">
      <c r="A55" s="112">
        <v>26</v>
      </c>
      <c r="B55" s="126" t="s">
        <v>311</v>
      </c>
      <c r="C55" s="9">
        <v>2016</v>
      </c>
      <c r="D55" s="113" t="s">
        <v>312</v>
      </c>
      <c r="E55" s="114" t="s">
        <v>316</v>
      </c>
      <c r="F55" s="9">
        <v>300</v>
      </c>
      <c r="G55" s="9" t="s">
        <v>161</v>
      </c>
      <c r="H55" s="9" t="s">
        <v>128</v>
      </c>
      <c r="I55" s="9" t="s">
        <v>129</v>
      </c>
      <c r="J55" s="9" t="s">
        <v>130</v>
      </c>
      <c r="K55" s="9"/>
      <c r="L55" s="115">
        <v>10.4735</v>
      </c>
      <c r="M55" s="114"/>
      <c r="N55" s="9"/>
      <c r="O55" s="115">
        <v>1</v>
      </c>
      <c r="P55" s="114" t="s">
        <v>151</v>
      </c>
      <c r="Q55" s="9">
        <v>2</v>
      </c>
      <c r="R55" s="9" t="s">
        <v>317</v>
      </c>
      <c r="S55" s="10"/>
      <c r="T55" s="10"/>
      <c r="U55" s="138">
        <v>2012</v>
      </c>
      <c r="V55" s="117"/>
      <c r="W55" s="9"/>
      <c r="X55" s="139"/>
      <c r="Y55" s="140"/>
      <c r="Z55" s="118">
        <v>79718</v>
      </c>
      <c r="AA55" s="9" t="s">
        <v>133</v>
      </c>
      <c r="AB55" s="119">
        <v>79718</v>
      </c>
      <c r="AC55" s="119">
        <v>79718</v>
      </c>
      <c r="AD55" s="120">
        <v>79718</v>
      </c>
      <c r="AE55" s="121">
        <v>1</v>
      </c>
      <c r="AF55" s="120">
        <v>10796714.285714285</v>
      </c>
      <c r="AG55" s="120">
        <v>0</v>
      </c>
      <c r="AH55" s="122">
        <v>7.3835426121703698</v>
      </c>
      <c r="AI55" s="123"/>
      <c r="AJ55" s="9"/>
      <c r="AK55" s="78" t="s">
        <v>134</v>
      </c>
      <c r="AL55" s="78" t="s">
        <v>134</v>
      </c>
      <c r="AM55" s="122" t="s">
        <v>134</v>
      </c>
      <c r="AN55" s="121">
        <f>IF(Level1[[#This Row],[Standardised_Normalised_Mass_kg/capita/year]]&lt;&gt;"",Level1[[#This Row],[Standardised_Normalised_Mass_kg/capita/year]],Level1[[#This Row],[Derived_Normalised_kg/capita/year]])</f>
        <v>7.3835426121703698</v>
      </c>
      <c r="AO55" s="78">
        <f>IF(Level1[[#This Row],[Household]]=1,IF(Level1[[#This Row],[Household_Diary?]]=1,'Cover Sheet'!$R$31,1),1)</f>
        <v>1</v>
      </c>
      <c r="AP55" s="78">
        <f>IF(Level1[[#This Row],[Household]]=1,IF(Level1[[#This Row],[Edible_Waste_Only?]]=1,'Cover Sheet'!$R$32,1),1)</f>
        <v>1</v>
      </c>
      <c r="AQ55" s="78">
        <f>IF(Level1[[#This Row],[Food_Service]]=1,IF(Level1[[#This Row],[Edible_Waste_Only?]]=1,'Cover Sheet'!$R$33,1),1)</f>
        <v>1</v>
      </c>
      <c r="AR55" s="78">
        <f>IF(Level1[[#This Row],[Retail]]=1,IF(Level1[[#This Row],[Edible_Waste_Only?]]=1,'Cover Sheet'!$R$34,1),1)</f>
        <v>1</v>
      </c>
      <c r="AS55" s="78">
        <f>PRODUCT(Level1[[#This Row],[Household_Diary_Adjustment]:[Retail_Inedible_Adjustment]])</f>
        <v>1</v>
      </c>
      <c r="AT55" s="124">
        <f>Level1[[#This Row],[Preferred_estimate_kg/capita]]*Level1[[#This Row],[Total_Adjustment]]</f>
        <v>7.3835426121703698</v>
      </c>
    </row>
    <row r="56" spans="1:46">
      <c r="A56" s="112">
        <v>26</v>
      </c>
      <c r="B56" s="126" t="s">
        <v>311</v>
      </c>
      <c r="C56" s="9">
        <v>2016</v>
      </c>
      <c r="D56" s="113" t="s">
        <v>312</v>
      </c>
      <c r="E56" s="114" t="s">
        <v>318</v>
      </c>
      <c r="F56" s="9">
        <v>372</v>
      </c>
      <c r="G56" s="9" t="s">
        <v>155</v>
      </c>
      <c r="H56" s="9" t="s">
        <v>128</v>
      </c>
      <c r="I56" s="9" t="s">
        <v>129</v>
      </c>
      <c r="J56" s="9" t="s">
        <v>130</v>
      </c>
      <c r="K56" s="9"/>
      <c r="L56" s="115">
        <v>4.8825000000000003</v>
      </c>
      <c r="M56" s="114"/>
      <c r="N56" s="9">
        <v>1</v>
      </c>
      <c r="O56" s="115"/>
      <c r="P56" s="114" t="s">
        <v>151</v>
      </c>
      <c r="Q56" s="9">
        <v>2</v>
      </c>
      <c r="R56" s="9" t="s">
        <v>319</v>
      </c>
      <c r="S56" s="10"/>
      <c r="T56" s="10"/>
      <c r="U56" s="138">
        <v>2012</v>
      </c>
      <c r="V56" s="117"/>
      <c r="W56" s="9"/>
      <c r="X56" s="139"/>
      <c r="Y56" s="140"/>
      <c r="Z56" s="118">
        <v>258900</v>
      </c>
      <c r="AA56" s="9" t="s">
        <v>133</v>
      </c>
      <c r="AB56" s="119">
        <v>258900</v>
      </c>
      <c r="AC56" s="119">
        <v>258900</v>
      </c>
      <c r="AD56" s="120">
        <v>258900</v>
      </c>
      <c r="AE56" s="121">
        <v>1</v>
      </c>
      <c r="AF56" s="120">
        <v>4611157.1428571427</v>
      </c>
      <c r="AG56" s="120">
        <v>0</v>
      </c>
      <c r="AH56" s="122">
        <v>56.14642745390838</v>
      </c>
      <c r="AI56" s="123">
        <v>27.8</v>
      </c>
      <c r="AJ56" s="9" t="s">
        <v>284</v>
      </c>
      <c r="AK56" s="78" t="s">
        <v>134</v>
      </c>
      <c r="AL56" s="78" t="s">
        <v>134</v>
      </c>
      <c r="AM56" s="122" t="s">
        <v>134</v>
      </c>
      <c r="AN56" s="121">
        <f>IF(Level1[[#This Row],[Standardised_Normalised_Mass_kg/capita/year]]&lt;&gt;"",Level1[[#This Row],[Standardised_Normalised_Mass_kg/capita/year]],Level1[[#This Row],[Derived_Normalised_kg/capita/year]])</f>
        <v>56.14642745390838</v>
      </c>
      <c r="AO56" s="78">
        <f>IF(Level1[[#This Row],[Household]]=1,IF(Level1[[#This Row],[Household_Diary?]]=1,'Cover Sheet'!$R$31,1),1)</f>
        <v>1</v>
      </c>
      <c r="AP56" s="78">
        <f>IF(Level1[[#This Row],[Household]]=1,IF(Level1[[#This Row],[Edible_Waste_Only?]]=1,'Cover Sheet'!$R$32,1),1)</f>
        <v>1</v>
      </c>
      <c r="AQ56" s="78">
        <f>IF(Level1[[#This Row],[Food_Service]]=1,IF(Level1[[#This Row],[Edible_Waste_Only?]]=1,'Cover Sheet'!$R$33,1),1)</f>
        <v>1</v>
      </c>
      <c r="AR56" s="78">
        <f>IF(Level1[[#This Row],[Retail]]=1,IF(Level1[[#This Row],[Edible_Waste_Only?]]=1,'Cover Sheet'!$R$34,1),1)</f>
        <v>1</v>
      </c>
      <c r="AS56" s="78">
        <f>PRODUCT(Level1[[#This Row],[Household_Diary_Adjustment]:[Retail_Inedible_Adjustment]])</f>
        <v>1</v>
      </c>
      <c r="AT56" s="124">
        <f>Level1[[#This Row],[Preferred_estimate_kg/capita]]*Level1[[#This Row],[Total_Adjustment]]</f>
        <v>56.14642745390838</v>
      </c>
    </row>
    <row r="57" spans="1:46">
      <c r="A57" s="125">
        <v>26</v>
      </c>
      <c r="B57" s="126" t="s">
        <v>311</v>
      </c>
      <c r="C57" s="126">
        <v>2016</v>
      </c>
      <c r="D57" s="127" t="s">
        <v>312</v>
      </c>
      <c r="E57" s="128" t="s">
        <v>318</v>
      </c>
      <c r="F57" s="126">
        <v>372</v>
      </c>
      <c r="G57" s="126" t="s">
        <v>155</v>
      </c>
      <c r="H57" s="126" t="s">
        <v>128</v>
      </c>
      <c r="I57" s="9" t="s">
        <v>129</v>
      </c>
      <c r="J57" s="9" t="s">
        <v>130</v>
      </c>
      <c r="K57" s="126"/>
      <c r="L57" s="115">
        <v>4.8825000000000003</v>
      </c>
      <c r="M57" s="128">
        <v>1</v>
      </c>
      <c r="N57" s="126"/>
      <c r="O57" s="129"/>
      <c r="P57" s="128" t="s">
        <v>151</v>
      </c>
      <c r="Q57" s="126">
        <v>2</v>
      </c>
      <c r="R57" s="126" t="s">
        <v>319</v>
      </c>
      <c r="S57" s="130"/>
      <c r="T57" s="130"/>
      <c r="U57" s="135">
        <v>2012</v>
      </c>
      <c r="V57" s="132"/>
      <c r="W57" s="126"/>
      <c r="X57" s="141"/>
      <c r="Y57" s="137"/>
      <c r="Z57" s="133">
        <v>251000</v>
      </c>
      <c r="AA57" s="9" t="s">
        <v>133</v>
      </c>
      <c r="AB57" s="119">
        <v>251000</v>
      </c>
      <c r="AC57" s="119">
        <v>251000</v>
      </c>
      <c r="AD57" s="134">
        <v>251000</v>
      </c>
      <c r="AE57" s="121">
        <v>0</v>
      </c>
      <c r="AF57" s="120">
        <v>4611157.1428571427</v>
      </c>
      <c r="AG57" s="120">
        <v>0</v>
      </c>
      <c r="AH57" s="122">
        <v>0</v>
      </c>
      <c r="AI57" s="123">
        <v>54.7</v>
      </c>
      <c r="AJ57" s="126" t="s">
        <v>147</v>
      </c>
      <c r="AK57" s="78">
        <v>54.7</v>
      </c>
      <c r="AL57" s="78">
        <v>54.7</v>
      </c>
      <c r="AM57" s="122">
        <v>54.7</v>
      </c>
      <c r="AN57" s="121">
        <f>IF(Level1[[#This Row],[Standardised_Normalised_Mass_kg/capita/year]]&lt;&gt;"",Level1[[#This Row],[Standardised_Normalised_Mass_kg/capita/year]],Level1[[#This Row],[Derived_Normalised_kg/capita/year]])</f>
        <v>54.7</v>
      </c>
      <c r="AO57" s="78">
        <f>IF(Level1[[#This Row],[Household]]=1,IF(Level1[[#This Row],[Household_Diary?]]=1,'Cover Sheet'!$R$31,1),1)</f>
        <v>1</v>
      </c>
      <c r="AP57" s="78">
        <f>IF(Level1[[#This Row],[Household]]=1,IF(Level1[[#This Row],[Edible_Waste_Only?]]=1,'Cover Sheet'!$R$32,1),1)</f>
        <v>1</v>
      </c>
      <c r="AQ57" s="78">
        <f>IF(Level1[[#This Row],[Food_Service]]=1,IF(Level1[[#This Row],[Edible_Waste_Only?]]=1,'Cover Sheet'!$R$33,1),1)</f>
        <v>1</v>
      </c>
      <c r="AR57" s="78">
        <f>IF(Level1[[#This Row],[Retail]]=1,IF(Level1[[#This Row],[Edible_Waste_Only?]]=1,'Cover Sheet'!$R$34,1),1)</f>
        <v>1</v>
      </c>
      <c r="AS57" s="78">
        <f>PRODUCT(Level1[[#This Row],[Household_Diary_Adjustment]:[Retail_Inedible_Adjustment]])</f>
        <v>1</v>
      </c>
      <c r="AT57" s="124">
        <f>Level1[[#This Row],[Preferred_estimate_kg/capita]]*Level1[[#This Row],[Total_Adjustment]]</f>
        <v>54.7</v>
      </c>
    </row>
    <row r="58" spans="1:46">
      <c r="A58" s="125">
        <v>26</v>
      </c>
      <c r="B58" s="126" t="s">
        <v>311</v>
      </c>
      <c r="C58" s="126">
        <v>2016</v>
      </c>
      <c r="D58" s="127" t="s">
        <v>312</v>
      </c>
      <c r="E58" s="128" t="s">
        <v>157</v>
      </c>
      <c r="F58" s="126">
        <v>442</v>
      </c>
      <c r="G58" s="126" t="s">
        <v>141</v>
      </c>
      <c r="H58" s="126" t="s">
        <v>128</v>
      </c>
      <c r="I58" s="9" t="s">
        <v>129</v>
      </c>
      <c r="J58" s="9" t="s">
        <v>130</v>
      </c>
      <c r="K58" s="126"/>
      <c r="L58" s="115">
        <v>0.61570000000000003</v>
      </c>
      <c r="M58" s="128"/>
      <c r="N58" s="126"/>
      <c r="O58" s="129">
        <v>1</v>
      </c>
      <c r="P58" s="128" t="s">
        <v>151</v>
      </c>
      <c r="Q58" s="126">
        <v>2</v>
      </c>
      <c r="R58" s="126" t="s">
        <v>320</v>
      </c>
      <c r="S58" s="130"/>
      <c r="T58" s="130"/>
      <c r="U58" s="135">
        <v>2012</v>
      </c>
      <c r="V58" s="132"/>
      <c r="W58" s="126"/>
      <c r="X58" s="141"/>
      <c r="Y58" s="137"/>
      <c r="Z58" s="133">
        <v>2099</v>
      </c>
      <c r="AA58" s="9" t="s">
        <v>133</v>
      </c>
      <c r="AB58" s="119">
        <v>2099</v>
      </c>
      <c r="AC58" s="119">
        <v>2099</v>
      </c>
      <c r="AD58" s="134">
        <v>2099</v>
      </c>
      <c r="AE58" s="121">
        <v>0</v>
      </c>
      <c r="AF58" s="120">
        <v>0</v>
      </c>
      <c r="AG58" s="120">
        <v>0</v>
      </c>
      <c r="AH58" s="122">
        <v>0</v>
      </c>
      <c r="AI58" s="123">
        <v>3.9</v>
      </c>
      <c r="AJ58" s="126" t="s">
        <v>147</v>
      </c>
      <c r="AK58" s="78">
        <v>3.9</v>
      </c>
      <c r="AL58" s="78">
        <v>3.9</v>
      </c>
      <c r="AM58" s="122">
        <v>3.9</v>
      </c>
      <c r="AN58" s="121">
        <f>IF(Level1[[#This Row],[Standardised_Normalised_Mass_kg/capita/year]]&lt;&gt;"",Level1[[#This Row],[Standardised_Normalised_Mass_kg/capita/year]],Level1[[#This Row],[Derived_Normalised_kg/capita/year]])</f>
        <v>3.9</v>
      </c>
      <c r="AO58" s="78">
        <f>IF(Level1[[#This Row],[Household]]=1,IF(Level1[[#This Row],[Household_Diary?]]=1,'Cover Sheet'!$R$31,1),1)</f>
        <v>1</v>
      </c>
      <c r="AP58" s="78">
        <f>IF(Level1[[#This Row],[Household]]=1,IF(Level1[[#This Row],[Edible_Waste_Only?]]=1,'Cover Sheet'!$R$32,1),1)</f>
        <v>1</v>
      </c>
      <c r="AQ58" s="78">
        <f>IF(Level1[[#This Row],[Food_Service]]=1,IF(Level1[[#This Row],[Edible_Waste_Only?]]=1,'Cover Sheet'!$R$33,1),1)</f>
        <v>1</v>
      </c>
      <c r="AR58" s="78">
        <f>IF(Level1[[#This Row],[Retail]]=1,IF(Level1[[#This Row],[Edible_Waste_Only?]]=1,'Cover Sheet'!$R$34,1),1)</f>
        <v>1</v>
      </c>
      <c r="AS58" s="78">
        <f>PRODUCT(Level1[[#This Row],[Household_Diary_Adjustment]:[Retail_Inedible_Adjustment]])</f>
        <v>1</v>
      </c>
      <c r="AT58" s="124">
        <f>Level1[[#This Row],[Preferred_estimate_kg/capita]]*Level1[[#This Row],[Total_Adjustment]]</f>
        <v>3.9</v>
      </c>
    </row>
    <row r="59" spans="1:46">
      <c r="A59" s="112">
        <v>26</v>
      </c>
      <c r="B59" s="126" t="s">
        <v>311</v>
      </c>
      <c r="C59" s="9">
        <v>2016</v>
      </c>
      <c r="D59" s="113" t="s">
        <v>312</v>
      </c>
      <c r="E59" s="114" t="s">
        <v>321</v>
      </c>
      <c r="F59" s="9">
        <v>528</v>
      </c>
      <c r="G59" s="9" t="s">
        <v>141</v>
      </c>
      <c r="H59" s="9" t="s">
        <v>128</v>
      </c>
      <c r="I59" s="9" t="s">
        <v>129</v>
      </c>
      <c r="J59" s="9" t="s">
        <v>130</v>
      </c>
      <c r="K59" s="9"/>
      <c r="L59" s="115">
        <v>17.097100000000001</v>
      </c>
      <c r="M59" s="114"/>
      <c r="N59" s="9"/>
      <c r="O59" s="115">
        <v>1</v>
      </c>
      <c r="P59" s="114" t="s">
        <v>151</v>
      </c>
      <c r="Q59" s="9">
        <v>2</v>
      </c>
      <c r="R59" s="9" t="s">
        <v>322</v>
      </c>
      <c r="S59" s="10"/>
      <c r="T59" s="10"/>
      <c r="U59" s="138">
        <v>2012</v>
      </c>
      <c r="V59" s="117"/>
      <c r="W59" s="9"/>
      <c r="X59" s="139"/>
      <c r="Y59" s="140"/>
      <c r="Z59" s="118">
        <v>180000</v>
      </c>
      <c r="AA59" s="9" t="s">
        <v>133</v>
      </c>
      <c r="AB59" s="119">
        <v>180000</v>
      </c>
      <c r="AC59" s="119">
        <v>180000</v>
      </c>
      <c r="AD59" s="120">
        <v>180000</v>
      </c>
      <c r="AE59" s="121">
        <v>0</v>
      </c>
      <c r="AF59" s="120">
        <v>0</v>
      </c>
      <c r="AG59" s="120">
        <v>0</v>
      </c>
      <c r="AH59" s="122">
        <v>0</v>
      </c>
      <c r="AI59" s="123">
        <v>11</v>
      </c>
      <c r="AJ59" s="9" t="s">
        <v>147</v>
      </c>
      <c r="AK59" s="78">
        <v>11</v>
      </c>
      <c r="AL59" s="78">
        <v>11</v>
      </c>
      <c r="AM59" s="122">
        <v>11</v>
      </c>
      <c r="AN59" s="121">
        <f>IF(Level1[[#This Row],[Standardised_Normalised_Mass_kg/capita/year]]&lt;&gt;"",Level1[[#This Row],[Standardised_Normalised_Mass_kg/capita/year]],Level1[[#This Row],[Derived_Normalised_kg/capita/year]])</f>
        <v>11</v>
      </c>
      <c r="AO59" s="78">
        <f>IF(Level1[[#This Row],[Household]]=1,IF(Level1[[#This Row],[Household_Diary?]]=1,'Cover Sheet'!$R$31,1),1)</f>
        <v>1</v>
      </c>
      <c r="AP59" s="78">
        <f>IF(Level1[[#This Row],[Household]]=1,IF(Level1[[#This Row],[Edible_Waste_Only?]]=1,'Cover Sheet'!$R$32,1),1)</f>
        <v>1</v>
      </c>
      <c r="AQ59" s="78">
        <f>IF(Level1[[#This Row],[Food_Service]]=1,IF(Level1[[#This Row],[Edible_Waste_Only?]]=1,'Cover Sheet'!$R$33,1),1)</f>
        <v>1</v>
      </c>
      <c r="AR59" s="78">
        <f>IF(Level1[[#This Row],[Retail]]=1,IF(Level1[[#This Row],[Edible_Waste_Only?]]=1,'Cover Sheet'!$R$34,1),1)</f>
        <v>1</v>
      </c>
      <c r="AS59" s="78">
        <f>PRODUCT(Level1[[#This Row],[Household_Diary_Adjustment]:[Retail_Inedible_Adjustment]])</f>
        <v>1</v>
      </c>
      <c r="AT59" s="124">
        <f>Level1[[#This Row],[Preferred_estimate_kg/capita]]*Level1[[#This Row],[Total_Adjustment]]</f>
        <v>11</v>
      </c>
    </row>
    <row r="60" spans="1:46">
      <c r="A60" s="112">
        <v>27</v>
      </c>
      <c r="B60" s="126" t="s">
        <v>323</v>
      </c>
      <c r="C60" s="9">
        <v>2014</v>
      </c>
      <c r="D60" s="115" t="s">
        <v>324</v>
      </c>
      <c r="E60" s="114" t="s">
        <v>313</v>
      </c>
      <c r="F60" s="9">
        <v>246</v>
      </c>
      <c r="G60" s="9" t="s">
        <v>155</v>
      </c>
      <c r="H60" s="9" t="s">
        <v>128</v>
      </c>
      <c r="I60" s="9" t="s">
        <v>129</v>
      </c>
      <c r="J60" s="9" t="s">
        <v>130</v>
      </c>
      <c r="K60" s="9"/>
      <c r="L60" s="115">
        <v>5.5321999999999996</v>
      </c>
      <c r="M60" s="114">
        <v>1</v>
      </c>
      <c r="N60" s="9"/>
      <c r="O60" s="115"/>
      <c r="P60" s="114" t="s">
        <v>222</v>
      </c>
      <c r="Q60" s="9">
        <v>2</v>
      </c>
      <c r="R60" s="9" t="s">
        <v>325</v>
      </c>
      <c r="S60" s="10">
        <v>1</v>
      </c>
      <c r="T60" s="10">
        <v>1</v>
      </c>
      <c r="U60" s="138">
        <v>2010</v>
      </c>
      <c r="V60" s="117"/>
      <c r="W60" s="9"/>
      <c r="X60" s="139"/>
      <c r="Y60" s="140" t="s">
        <v>166</v>
      </c>
      <c r="Z60" s="118">
        <f>AVERAGE(120,160)</f>
        <v>140</v>
      </c>
      <c r="AA60" s="9" t="s">
        <v>326</v>
      </c>
      <c r="AB60" s="119">
        <v>140</v>
      </c>
      <c r="AC60" s="119">
        <v>140000</v>
      </c>
      <c r="AD60" s="120">
        <v>140000</v>
      </c>
      <c r="AE60" s="121">
        <v>0</v>
      </c>
      <c r="AF60" s="120">
        <v>0</v>
      </c>
      <c r="AG60" s="120">
        <v>0</v>
      </c>
      <c r="AH60" s="122">
        <v>0</v>
      </c>
      <c r="AI60" s="123">
        <v>23</v>
      </c>
      <c r="AJ60" s="9" t="s">
        <v>147</v>
      </c>
      <c r="AK60" s="78">
        <v>23</v>
      </c>
      <c r="AL60" s="78">
        <v>23</v>
      </c>
      <c r="AM60" s="122">
        <v>23</v>
      </c>
      <c r="AN60" s="121">
        <f>IF(Level1[[#This Row],[Standardised_Normalised_Mass_kg/capita/year]]&lt;&gt;"",Level1[[#This Row],[Standardised_Normalised_Mass_kg/capita/year]],Level1[[#This Row],[Derived_Normalised_kg/capita/year]])</f>
        <v>23</v>
      </c>
      <c r="AO60" s="78">
        <f>IF(Level1[[#This Row],[Household]]=1,IF(Level1[[#This Row],[Household_Diary?]]=1,'Cover Sheet'!$R$31,1),1)</f>
        <v>1.4326647564469914</v>
      </c>
      <c r="AP60" s="78">
        <f>IF(Level1[[#This Row],[Household]]=1,IF(Level1[[#This Row],[Edible_Waste_Only?]]=1,'Cover Sheet'!$R$32,1),1)</f>
        <v>2.0408117215309693</v>
      </c>
      <c r="AQ60" s="78">
        <f>IF(Level1[[#This Row],[Food_Service]]=1,IF(Level1[[#This Row],[Edible_Waste_Only?]]=1,'Cover Sheet'!$R$33,1),1)</f>
        <v>1</v>
      </c>
      <c r="AR60" s="78">
        <f>IF(Level1[[#This Row],[Retail]]=1,IF(Level1[[#This Row],[Edible_Waste_Only?]]=1,'Cover Sheet'!$R$34,1),1)</f>
        <v>1</v>
      </c>
      <c r="AS60" s="78">
        <f>PRODUCT(Level1[[#This Row],[Household_Diary_Adjustment]:[Retail_Inedible_Adjustment]])</f>
        <v>2.9237990279813313</v>
      </c>
      <c r="AT60" s="124">
        <f>Level1[[#This Row],[Preferred_estimate_kg/capita]]*Level1[[#This Row],[Total_Adjustment]]</f>
        <v>67.247377643570616</v>
      </c>
    </row>
    <row r="61" spans="1:46">
      <c r="A61" s="112">
        <v>27</v>
      </c>
      <c r="B61" s="126" t="s">
        <v>323</v>
      </c>
      <c r="C61" s="9">
        <v>2014</v>
      </c>
      <c r="D61" s="151" t="s">
        <v>327</v>
      </c>
      <c r="E61" s="114" t="s">
        <v>313</v>
      </c>
      <c r="F61" s="9">
        <v>246</v>
      </c>
      <c r="G61" s="9" t="s">
        <v>155</v>
      </c>
      <c r="H61" s="9" t="s">
        <v>128</v>
      </c>
      <c r="I61" s="9" t="s">
        <v>129</v>
      </c>
      <c r="J61" s="9" t="s">
        <v>130</v>
      </c>
      <c r="K61" s="9"/>
      <c r="L61" s="115">
        <v>5.5321999999999996</v>
      </c>
      <c r="M61" s="114"/>
      <c r="N61" s="9">
        <v>1</v>
      </c>
      <c r="O61" s="115"/>
      <c r="P61" s="114" t="s">
        <v>131</v>
      </c>
      <c r="Q61" s="15">
        <v>2</v>
      </c>
      <c r="R61" s="9" t="s">
        <v>328</v>
      </c>
      <c r="S61" s="12"/>
      <c r="T61" s="12">
        <v>1</v>
      </c>
      <c r="U61" s="138">
        <v>2012</v>
      </c>
      <c r="V61" s="117"/>
      <c r="W61" s="9"/>
      <c r="X61" s="117"/>
      <c r="Y61" s="115" t="s">
        <v>166</v>
      </c>
      <c r="Z61" s="118">
        <f>4+19+6+19+18+15+2</f>
        <v>83</v>
      </c>
      <c r="AA61" s="9" t="s">
        <v>326</v>
      </c>
      <c r="AB61" s="119">
        <v>83</v>
      </c>
      <c r="AC61" s="119">
        <v>83000</v>
      </c>
      <c r="AD61" s="120">
        <v>83000</v>
      </c>
      <c r="AE61" s="121">
        <v>0</v>
      </c>
      <c r="AF61" s="120">
        <v>5407400</v>
      </c>
      <c r="AG61" s="120">
        <v>0</v>
      </c>
      <c r="AH61" s="122">
        <v>0</v>
      </c>
      <c r="AI61" s="123">
        <v>15</v>
      </c>
      <c r="AJ61" s="9" t="s">
        <v>147</v>
      </c>
      <c r="AK61" s="78">
        <v>15</v>
      </c>
      <c r="AL61" s="78">
        <v>15</v>
      </c>
      <c r="AM61" s="122">
        <v>15</v>
      </c>
      <c r="AN61" s="121">
        <f>IF(Level1[[#This Row],[Standardised_Normalised_Mass_kg/capita/year]]&lt;&gt;"",Level1[[#This Row],[Standardised_Normalised_Mass_kg/capita/year]],Level1[[#This Row],[Derived_Normalised_kg/capita/year]])</f>
        <v>15</v>
      </c>
      <c r="AO61" s="78">
        <f>IF(Level1[[#This Row],[Household]]=1,IF(Level1[[#This Row],[Household_Diary?]]=1,'Cover Sheet'!$R$31,1),1)</f>
        <v>1</v>
      </c>
      <c r="AP61" s="78">
        <f>IF(Level1[[#This Row],[Household]]=1,IF(Level1[[#This Row],[Edible_Waste_Only?]]=1,'Cover Sheet'!$R$32,1),1)</f>
        <v>1</v>
      </c>
      <c r="AQ61" s="78">
        <f>IF(Level1[[#This Row],[Food_Service]]=1,IF(Level1[[#This Row],[Edible_Waste_Only?]]=1,'Cover Sheet'!$R$33,1),1)</f>
        <v>1.5045789123242672</v>
      </c>
      <c r="AR61" s="78">
        <f>IF(Level1[[#This Row],[Retail]]=1,IF(Level1[[#This Row],[Edible_Waste_Only?]]=1,'Cover Sheet'!$R$34,1),1)</f>
        <v>1</v>
      </c>
      <c r="AS61" s="78">
        <f>PRODUCT(Level1[[#This Row],[Household_Diary_Adjustment]:[Retail_Inedible_Adjustment]])</f>
        <v>1.5045789123242672</v>
      </c>
      <c r="AT61" s="124">
        <f>Level1[[#This Row],[Preferred_estimate_kg/capita]]*Level1[[#This Row],[Total_Adjustment]]</f>
        <v>22.568683684864009</v>
      </c>
    </row>
    <row r="62" spans="1:46">
      <c r="A62" s="125">
        <v>28</v>
      </c>
      <c r="B62" s="126" t="s">
        <v>329</v>
      </c>
      <c r="C62" s="126">
        <v>2016</v>
      </c>
      <c r="D62" s="127" t="s">
        <v>330</v>
      </c>
      <c r="E62" s="128" t="s">
        <v>331</v>
      </c>
      <c r="F62" s="126">
        <v>250</v>
      </c>
      <c r="G62" s="126" t="s">
        <v>141</v>
      </c>
      <c r="H62" s="126" t="s">
        <v>128</v>
      </c>
      <c r="I62" s="9" t="s">
        <v>129</v>
      </c>
      <c r="J62" s="9" t="s">
        <v>130</v>
      </c>
      <c r="K62" s="126"/>
      <c r="L62" s="115">
        <v>65.1297</v>
      </c>
      <c r="M62" s="128">
        <v>1</v>
      </c>
      <c r="N62" s="126"/>
      <c r="O62" s="129"/>
      <c r="P62" s="128" t="s">
        <v>222</v>
      </c>
      <c r="Q62" s="126">
        <v>2</v>
      </c>
      <c r="R62" s="126" t="s">
        <v>332</v>
      </c>
      <c r="S62" s="130">
        <v>1</v>
      </c>
      <c r="T62" s="130">
        <v>1</v>
      </c>
      <c r="U62" s="131">
        <v>2014</v>
      </c>
      <c r="V62" s="132"/>
      <c r="W62" s="126"/>
      <c r="X62" s="141"/>
      <c r="Y62" s="137" t="s">
        <v>166</v>
      </c>
      <c r="Z62" s="133"/>
      <c r="AA62" s="9"/>
      <c r="AB62" s="119" t="s">
        <v>134</v>
      </c>
      <c r="AC62" s="119" t="s">
        <v>134</v>
      </c>
      <c r="AD62" s="134" t="s">
        <v>134</v>
      </c>
      <c r="AE62" s="121">
        <v>0</v>
      </c>
      <c r="AF62" s="120">
        <v>0</v>
      </c>
      <c r="AG62" s="120">
        <v>0</v>
      </c>
      <c r="AH62" s="122">
        <v>0</v>
      </c>
      <c r="AI62" s="123">
        <v>29</v>
      </c>
      <c r="AJ62" s="126" t="s">
        <v>147</v>
      </c>
      <c r="AK62" s="78">
        <v>29</v>
      </c>
      <c r="AL62" s="78">
        <v>29</v>
      </c>
      <c r="AM62" s="122">
        <v>29</v>
      </c>
      <c r="AN62" s="121">
        <f>IF(Level1[[#This Row],[Standardised_Normalised_Mass_kg/capita/year]]&lt;&gt;"",Level1[[#This Row],[Standardised_Normalised_Mass_kg/capita/year]],Level1[[#This Row],[Derived_Normalised_kg/capita/year]])</f>
        <v>29</v>
      </c>
      <c r="AO62" s="78">
        <f>IF(Level1[[#This Row],[Household]]=1,IF(Level1[[#This Row],[Household_Diary?]]=1,'Cover Sheet'!$R$31,1),1)</f>
        <v>1.4326647564469914</v>
      </c>
      <c r="AP62" s="78">
        <f>IF(Level1[[#This Row],[Household]]=1,IF(Level1[[#This Row],[Edible_Waste_Only?]]=1,'Cover Sheet'!$R$32,1),1)</f>
        <v>2.0408117215309693</v>
      </c>
      <c r="AQ62" s="78">
        <f>IF(Level1[[#This Row],[Food_Service]]=1,IF(Level1[[#This Row],[Edible_Waste_Only?]]=1,'Cover Sheet'!$R$33,1),1)</f>
        <v>1</v>
      </c>
      <c r="AR62" s="78">
        <f>IF(Level1[[#This Row],[Retail]]=1,IF(Level1[[#This Row],[Edible_Waste_Only?]]=1,'Cover Sheet'!$R$34,1),1)</f>
        <v>1</v>
      </c>
      <c r="AS62" s="78">
        <f>PRODUCT(Level1[[#This Row],[Household_Diary_Adjustment]:[Retail_Inedible_Adjustment]])</f>
        <v>2.9237990279813313</v>
      </c>
      <c r="AT62" s="124">
        <f>Level1[[#This Row],[Preferred_estimate_kg/capita]]*Level1[[#This Row],[Total_Adjustment]]</f>
        <v>84.790171811458606</v>
      </c>
    </row>
    <row r="63" spans="1:46">
      <c r="A63" s="112">
        <v>28</v>
      </c>
      <c r="B63" s="126" t="s">
        <v>329</v>
      </c>
      <c r="C63" s="9">
        <v>2016</v>
      </c>
      <c r="D63" s="113" t="s">
        <v>330</v>
      </c>
      <c r="E63" s="114" t="s">
        <v>331</v>
      </c>
      <c r="F63" s="9">
        <v>250</v>
      </c>
      <c r="G63" s="9" t="s">
        <v>141</v>
      </c>
      <c r="H63" s="9" t="s">
        <v>128</v>
      </c>
      <c r="I63" s="9" t="s">
        <v>129</v>
      </c>
      <c r="J63" s="9" t="s">
        <v>130</v>
      </c>
      <c r="K63" s="9"/>
      <c r="L63" s="115">
        <v>65.1297</v>
      </c>
      <c r="M63" s="114"/>
      <c r="N63" s="9"/>
      <c r="O63" s="115">
        <v>1</v>
      </c>
      <c r="P63" s="114" t="s">
        <v>281</v>
      </c>
      <c r="Q63" s="9">
        <v>2</v>
      </c>
      <c r="R63" s="9" t="s">
        <v>333</v>
      </c>
      <c r="S63" s="10"/>
      <c r="T63" s="10">
        <v>1</v>
      </c>
      <c r="U63" s="138">
        <v>2015</v>
      </c>
      <c r="V63" s="117"/>
      <c r="W63" s="9"/>
      <c r="X63" s="139"/>
      <c r="Y63" s="140" t="s">
        <v>166</v>
      </c>
      <c r="Z63" s="118">
        <v>1400000</v>
      </c>
      <c r="AA63" s="9" t="s">
        <v>133</v>
      </c>
      <c r="AB63" s="119">
        <v>1400000</v>
      </c>
      <c r="AC63" s="119">
        <v>1400000</v>
      </c>
      <c r="AD63" s="120">
        <v>1400000</v>
      </c>
      <c r="AE63" s="121">
        <v>1</v>
      </c>
      <c r="AF63" s="120">
        <v>64281642.857142858</v>
      </c>
      <c r="AG63" s="120">
        <v>0</v>
      </c>
      <c r="AH63" s="122">
        <v>21.779157124395656</v>
      </c>
      <c r="AI63" s="123"/>
      <c r="AJ63" s="9"/>
      <c r="AK63" s="78" t="s">
        <v>134</v>
      </c>
      <c r="AL63" s="78" t="s">
        <v>134</v>
      </c>
      <c r="AM63" s="122" t="s">
        <v>134</v>
      </c>
      <c r="AN63" s="121">
        <f>IF(Level1[[#This Row],[Standardised_Normalised_Mass_kg/capita/year]]&lt;&gt;"",Level1[[#This Row],[Standardised_Normalised_Mass_kg/capita/year]],Level1[[#This Row],[Derived_Normalised_kg/capita/year]])</f>
        <v>21.779157124395656</v>
      </c>
      <c r="AO63" s="78">
        <f>IF(Level1[[#This Row],[Household]]=1,IF(Level1[[#This Row],[Household_Diary?]]=1,'Cover Sheet'!$R$31,1),1)</f>
        <v>1</v>
      </c>
      <c r="AP63" s="78">
        <f>IF(Level1[[#This Row],[Household]]=1,IF(Level1[[#This Row],[Edible_Waste_Only?]]=1,'Cover Sheet'!$R$32,1),1)</f>
        <v>1</v>
      </c>
      <c r="AQ63" s="78">
        <f>IF(Level1[[#This Row],[Food_Service]]=1,IF(Level1[[#This Row],[Edible_Waste_Only?]]=1,'Cover Sheet'!$R$33,1),1)</f>
        <v>1</v>
      </c>
      <c r="AR63" s="78">
        <f>IF(Level1[[#This Row],[Retail]]=1,IF(Level1[[#This Row],[Edible_Waste_Only?]]=1,'Cover Sheet'!$R$34,1),1)</f>
        <v>1.1756101852337386</v>
      </c>
      <c r="AS63" s="78">
        <f>PRODUCT(Level1[[#This Row],[Household_Diary_Adjustment]:[Retail_Inedible_Adjustment]])</f>
        <v>1.1756101852337386</v>
      </c>
      <c r="AT63" s="124">
        <f>Level1[[#This Row],[Preferred_estimate_kg/capita]]*Level1[[#This Row],[Total_Adjustment]]</f>
        <v>25.603798941245476</v>
      </c>
    </row>
    <row r="64" spans="1:46">
      <c r="A64" s="125">
        <v>28</v>
      </c>
      <c r="B64" s="126" t="s">
        <v>329</v>
      </c>
      <c r="C64" s="126">
        <v>2016</v>
      </c>
      <c r="D64" s="127" t="s">
        <v>330</v>
      </c>
      <c r="E64" s="128" t="s">
        <v>331</v>
      </c>
      <c r="F64" s="126">
        <v>250</v>
      </c>
      <c r="G64" s="126" t="s">
        <v>141</v>
      </c>
      <c r="H64" s="126" t="s">
        <v>128</v>
      </c>
      <c r="I64" s="9" t="s">
        <v>129</v>
      </c>
      <c r="J64" s="9" t="s">
        <v>130</v>
      </c>
      <c r="K64" s="126"/>
      <c r="L64" s="115">
        <v>65.1297</v>
      </c>
      <c r="M64" s="128"/>
      <c r="N64" s="126">
        <v>1</v>
      </c>
      <c r="O64" s="129"/>
      <c r="P64" s="128" t="s">
        <v>131</v>
      </c>
      <c r="Q64" s="126">
        <v>2</v>
      </c>
      <c r="R64" s="126" t="s">
        <v>334</v>
      </c>
      <c r="S64" s="130"/>
      <c r="T64" s="130">
        <v>1</v>
      </c>
      <c r="U64" s="135"/>
      <c r="V64" s="132"/>
      <c r="W64" s="126"/>
      <c r="X64" s="141"/>
      <c r="Y64" s="137" t="s">
        <v>166</v>
      </c>
      <c r="Z64" s="133">
        <v>1.33</v>
      </c>
      <c r="AA64" s="9" t="s">
        <v>229</v>
      </c>
      <c r="AB64" s="119">
        <v>1.33</v>
      </c>
      <c r="AC64" s="119">
        <v>1330000</v>
      </c>
      <c r="AD64" s="134">
        <v>1330000</v>
      </c>
      <c r="AE64" s="121">
        <v>0</v>
      </c>
      <c r="AF64" s="120">
        <v>0</v>
      </c>
      <c r="AG64" s="120">
        <v>0</v>
      </c>
      <c r="AH64" s="122">
        <v>0</v>
      </c>
      <c r="AI64" s="123">
        <v>21</v>
      </c>
      <c r="AJ64" s="126" t="s">
        <v>147</v>
      </c>
      <c r="AK64" s="78">
        <v>21</v>
      </c>
      <c r="AL64" s="78">
        <v>21</v>
      </c>
      <c r="AM64" s="122">
        <v>21</v>
      </c>
      <c r="AN64" s="121">
        <f>IF(Level1[[#This Row],[Standardised_Normalised_Mass_kg/capita/year]]&lt;&gt;"",Level1[[#This Row],[Standardised_Normalised_Mass_kg/capita/year]],Level1[[#This Row],[Derived_Normalised_kg/capita/year]])</f>
        <v>21</v>
      </c>
      <c r="AO64" s="78">
        <f>IF(Level1[[#This Row],[Household]]=1,IF(Level1[[#This Row],[Household_Diary?]]=1,'Cover Sheet'!$R$31,1),1)</f>
        <v>1</v>
      </c>
      <c r="AP64" s="78">
        <f>IF(Level1[[#This Row],[Household]]=1,IF(Level1[[#This Row],[Edible_Waste_Only?]]=1,'Cover Sheet'!$R$32,1),1)</f>
        <v>1</v>
      </c>
      <c r="AQ64" s="78">
        <f>IF(Level1[[#This Row],[Food_Service]]=1,IF(Level1[[#This Row],[Edible_Waste_Only?]]=1,'Cover Sheet'!$R$33,1),1)</f>
        <v>1.5045789123242672</v>
      </c>
      <c r="AR64" s="78">
        <f>IF(Level1[[#This Row],[Retail]]=1,IF(Level1[[#This Row],[Edible_Waste_Only?]]=1,'Cover Sheet'!$R$34,1),1)</f>
        <v>1</v>
      </c>
      <c r="AS64" s="78">
        <f>PRODUCT(Level1[[#This Row],[Household_Diary_Adjustment]:[Retail_Inedible_Adjustment]])</f>
        <v>1.5045789123242672</v>
      </c>
      <c r="AT64" s="124">
        <f>Level1[[#This Row],[Preferred_estimate_kg/capita]]*Level1[[#This Row],[Total_Adjustment]]</f>
        <v>31.596157158809611</v>
      </c>
    </row>
    <row r="65" spans="1:46">
      <c r="A65" s="112">
        <v>29</v>
      </c>
      <c r="B65" s="126" t="s">
        <v>335</v>
      </c>
      <c r="C65" s="9">
        <v>2010</v>
      </c>
      <c r="D65" s="113" t="s">
        <v>336</v>
      </c>
      <c r="E65" s="114" t="s">
        <v>331</v>
      </c>
      <c r="F65" s="9">
        <v>250</v>
      </c>
      <c r="G65" s="9" t="s">
        <v>141</v>
      </c>
      <c r="H65" s="9" t="s">
        <v>128</v>
      </c>
      <c r="I65" s="9" t="s">
        <v>129</v>
      </c>
      <c r="J65" s="9" t="s">
        <v>130</v>
      </c>
      <c r="K65" s="9"/>
      <c r="L65" s="115">
        <v>65.1297</v>
      </c>
      <c r="M65" s="114"/>
      <c r="N65" s="9">
        <v>1</v>
      </c>
      <c r="O65" s="115"/>
      <c r="P65" s="114" t="s">
        <v>151</v>
      </c>
      <c r="Q65" s="9">
        <v>2</v>
      </c>
      <c r="R65" s="9" t="s">
        <v>337</v>
      </c>
      <c r="S65" s="10"/>
      <c r="T65" s="10"/>
      <c r="U65" s="116">
        <v>2008</v>
      </c>
      <c r="V65" s="117"/>
      <c r="W65" s="9"/>
      <c r="X65" s="139"/>
      <c r="Y65" s="140"/>
      <c r="Z65" s="118">
        <v>1080000</v>
      </c>
      <c r="AA65" s="9" t="s">
        <v>133</v>
      </c>
      <c r="AB65" s="119">
        <v>1080000</v>
      </c>
      <c r="AC65" s="119">
        <v>1080000</v>
      </c>
      <c r="AD65" s="120">
        <v>1080000</v>
      </c>
      <c r="AE65" s="121">
        <v>1</v>
      </c>
      <c r="AF65" s="120">
        <v>62175740</v>
      </c>
      <c r="AG65" s="120">
        <v>0</v>
      </c>
      <c r="AH65" s="122">
        <v>17.370118956364653</v>
      </c>
      <c r="AI65" s="123"/>
      <c r="AJ65" s="9"/>
      <c r="AK65" s="78" t="s">
        <v>134</v>
      </c>
      <c r="AL65" s="78" t="s">
        <v>134</v>
      </c>
      <c r="AM65" s="122" t="s">
        <v>134</v>
      </c>
      <c r="AN65" s="121">
        <f>IF(Level1[[#This Row],[Standardised_Normalised_Mass_kg/capita/year]]&lt;&gt;"",Level1[[#This Row],[Standardised_Normalised_Mass_kg/capita/year]],Level1[[#This Row],[Derived_Normalised_kg/capita/year]])</f>
        <v>17.370118956364653</v>
      </c>
      <c r="AO65" s="78">
        <f>IF(Level1[[#This Row],[Household]]=1,IF(Level1[[#This Row],[Household_Diary?]]=1,'Cover Sheet'!$R$31,1),1)</f>
        <v>1</v>
      </c>
      <c r="AP65" s="78">
        <f>IF(Level1[[#This Row],[Household]]=1,IF(Level1[[#This Row],[Edible_Waste_Only?]]=1,'Cover Sheet'!$R$32,1),1)</f>
        <v>1</v>
      </c>
      <c r="AQ65" s="78">
        <f>IF(Level1[[#This Row],[Food_Service]]=1,IF(Level1[[#This Row],[Edible_Waste_Only?]]=1,'Cover Sheet'!$R$33,1),1)</f>
        <v>1</v>
      </c>
      <c r="AR65" s="78">
        <f>IF(Level1[[#This Row],[Retail]]=1,IF(Level1[[#This Row],[Edible_Waste_Only?]]=1,'Cover Sheet'!$R$34,1),1)</f>
        <v>1</v>
      </c>
      <c r="AS65" s="78">
        <f>PRODUCT(Level1[[#This Row],[Household_Diary_Adjustment]:[Retail_Inedible_Adjustment]])</f>
        <v>1</v>
      </c>
      <c r="AT65" s="124">
        <f>Level1[[#This Row],[Preferred_estimate_kg/capita]]*Level1[[#This Row],[Total_Adjustment]]</f>
        <v>17.370118956364653</v>
      </c>
    </row>
    <row r="66" spans="1:46">
      <c r="A66" s="125">
        <v>30</v>
      </c>
      <c r="B66" s="126" t="s">
        <v>338</v>
      </c>
      <c r="C66" s="126">
        <v>2014</v>
      </c>
      <c r="D66" s="127" t="s">
        <v>339</v>
      </c>
      <c r="E66" s="128" t="s">
        <v>340</v>
      </c>
      <c r="F66" s="126">
        <v>268</v>
      </c>
      <c r="G66" s="126" t="s">
        <v>173</v>
      </c>
      <c r="H66" s="126" t="s">
        <v>174</v>
      </c>
      <c r="I66" s="9" t="s">
        <v>210</v>
      </c>
      <c r="J66" s="9" t="s">
        <v>182</v>
      </c>
      <c r="K66" s="126" t="s">
        <v>341</v>
      </c>
      <c r="L66" s="115">
        <v>3.9967999999999999</v>
      </c>
      <c r="M66" s="128">
        <v>1</v>
      </c>
      <c r="N66" s="126"/>
      <c r="O66" s="129"/>
      <c r="P66" s="128" t="s">
        <v>131</v>
      </c>
      <c r="Q66" s="126">
        <v>2</v>
      </c>
      <c r="R66" s="126" t="s">
        <v>342</v>
      </c>
      <c r="S66" s="130"/>
      <c r="T66" s="130"/>
      <c r="U66" s="135" t="s">
        <v>343</v>
      </c>
      <c r="V66" s="132"/>
      <c r="W66" s="126"/>
      <c r="X66" s="141"/>
      <c r="Y66" s="137"/>
      <c r="Z66" s="133"/>
      <c r="AA66" s="9"/>
      <c r="AB66" s="119" t="s">
        <v>134</v>
      </c>
      <c r="AC66" s="119" t="s">
        <v>134</v>
      </c>
      <c r="AD66" s="134" t="s">
        <v>134</v>
      </c>
      <c r="AE66" s="121">
        <v>0</v>
      </c>
      <c r="AF66" s="120">
        <v>0</v>
      </c>
      <c r="AG66" s="120">
        <v>0</v>
      </c>
      <c r="AH66" s="122">
        <v>0</v>
      </c>
      <c r="AI66" s="123">
        <v>8.4145000000000003</v>
      </c>
      <c r="AJ66" s="126" t="s">
        <v>344</v>
      </c>
      <c r="AK66" s="78">
        <v>8.4145000000000003</v>
      </c>
      <c r="AL66" s="78">
        <v>100.974</v>
      </c>
      <c r="AM66" s="122">
        <v>100.974</v>
      </c>
      <c r="AN66" s="121">
        <f>IF(Level1[[#This Row],[Standardised_Normalised_Mass_kg/capita/year]]&lt;&gt;"",Level1[[#This Row],[Standardised_Normalised_Mass_kg/capita/year]],Level1[[#This Row],[Derived_Normalised_kg/capita/year]])</f>
        <v>100.974</v>
      </c>
      <c r="AO66" s="78">
        <f>IF(Level1[[#This Row],[Household]]=1,IF(Level1[[#This Row],[Household_Diary?]]=1,'Cover Sheet'!$R$31,1),1)</f>
        <v>1</v>
      </c>
      <c r="AP66" s="78">
        <f>IF(Level1[[#This Row],[Household]]=1,IF(Level1[[#This Row],[Edible_Waste_Only?]]=1,'Cover Sheet'!$R$32,1),1)</f>
        <v>1</v>
      </c>
      <c r="AQ66" s="78">
        <f>IF(Level1[[#This Row],[Food_Service]]=1,IF(Level1[[#This Row],[Edible_Waste_Only?]]=1,'Cover Sheet'!$R$33,1),1)</f>
        <v>1</v>
      </c>
      <c r="AR66" s="78">
        <f>IF(Level1[[#This Row],[Retail]]=1,IF(Level1[[#This Row],[Edible_Waste_Only?]]=1,'Cover Sheet'!$R$34,1),1)</f>
        <v>1</v>
      </c>
      <c r="AS66" s="78">
        <f>PRODUCT(Level1[[#This Row],[Household_Diary_Adjustment]:[Retail_Inedible_Adjustment]])</f>
        <v>1</v>
      </c>
      <c r="AT66" s="124">
        <f>Level1[[#This Row],[Preferred_estimate_kg/capita]]*Level1[[#This Row],[Total_Adjustment]]</f>
        <v>100.974</v>
      </c>
    </row>
    <row r="67" spans="1:46">
      <c r="A67" s="125">
        <v>31</v>
      </c>
      <c r="B67" s="126" t="s">
        <v>345</v>
      </c>
      <c r="C67" s="126">
        <v>2019</v>
      </c>
      <c r="D67" s="127" t="s">
        <v>346</v>
      </c>
      <c r="E67" s="128" t="s">
        <v>347</v>
      </c>
      <c r="F67" s="126">
        <v>276</v>
      </c>
      <c r="G67" s="126" t="s">
        <v>141</v>
      </c>
      <c r="H67" s="126" t="s">
        <v>128</v>
      </c>
      <c r="I67" s="9" t="s">
        <v>129</v>
      </c>
      <c r="J67" s="9" t="s">
        <v>130</v>
      </c>
      <c r="K67" s="126"/>
      <c r="L67" s="115">
        <v>83.516999999999996</v>
      </c>
      <c r="M67" s="128"/>
      <c r="N67" s="126"/>
      <c r="O67" s="129">
        <v>1</v>
      </c>
      <c r="P67" s="128" t="s">
        <v>151</v>
      </c>
      <c r="Q67" s="126">
        <v>1</v>
      </c>
      <c r="R67" s="126" t="s">
        <v>348</v>
      </c>
      <c r="S67" s="130"/>
      <c r="T67" s="130"/>
      <c r="U67" s="135">
        <v>2015</v>
      </c>
      <c r="V67" s="132"/>
      <c r="W67" s="126"/>
      <c r="X67" s="141">
        <f>0.41/Level1[[#This Row],[Mass_estimate]]</f>
        <v>0.83673469387755095</v>
      </c>
      <c r="Y67" s="137" t="s">
        <v>349</v>
      </c>
      <c r="Z67" s="133">
        <v>0.49</v>
      </c>
      <c r="AA67" s="9" t="s">
        <v>229</v>
      </c>
      <c r="AB67" s="119">
        <v>0.49</v>
      </c>
      <c r="AC67" s="119">
        <v>490000</v>
      </c>
      <c r="AD67" s="134">
        <v>490000</v>
      </c>
      <c r="AE67" s="121">
        <v>1</v>
      </c>
      <c r="AF67" s="120">
        <v>82135142.857142851</v>
      </c>
      <c r="AG67" s="120">
        <v>0</v>
      </c>
      <c r="AH67" s="122">
        <v>5.9657776556407045</v>
      </c>
      <c r="AI67" s="123"/>
      <c r="AJ67" s="126"/>
      <c r="AK67" s="78" t="s">
        <v>134</v>
      </c>
      <c r="AL67" s="78" t="s">
        <v>134</v>
      </c>
      <c r="AM67" s="122" t="s">
        <v>134</v>
      </c>
      <c r="AN67" s="121">
        <f>IF(Level1[[#This Row],[Standardised_Normalised_Mass_kg/capita/year]]&lt;&gt;"",Level1[[#This Row],[Standardised_Normalised_Mass_kg/capita/year]],Level1[[#This Row],[Derived_Normalised_kg/capita/year]])</f>
        <v>5.9657776556407045</v>
      </c>
      <c r="AO67" s="78">
        <f>IF(Level1[[#This Row],[Household]]=1,IF(Level1[[#This Row],[Household_Diary?]]=1,'Cover Sheet'!$R$31,1),1)</f>
        <v>1</v>
      </c>
      <c r="AP67" s="78">
        <f>IF(Level1[[#This Row],[Household]]=1,IF(Level1[[#This Row],[Edible_Waste_Only?]]=1,'Cover Sheet'!$R$32,1),1)</f>
        <v>1</v>
      </c>
      <c r="AQ67" s="78">
        <f>IF(Level1[[#This Row],[Food_Service]]=1,IF(Level1[[#This Row],[Edible_Waste_Only?]]=1,'Cover Sheet'!$R$33,1),1)</f>
        <v>1</v>
      </c>
      <c r="AR67" s="78">
        <f>IF(Level1[[#This Row],[Retail]]=1,IF(Level1[[#This Row],[Edible_Waste_Only?]]=1,'Cover Sheet'!$R$34,1),1)</f>
        <v>1</v>
      </c>
      <c r="AS67" s="78">
        <f>PRODUCT(Level1[[#This Row],[Household_Diary_Adjustment]:[Retail_Inedible_Adjustment]])</f>
        <v>1</v>
      </c>
      <c r="AT67" s="124">
        <f>Level1[[#This Row],[Preferred_estimate_kg/capita]]*Level1[[#This Row],[Total_Adjustment]]</f>
        <v>5.9657776556407045</v>
      </c>
    </row>
    <row r="68" spans="1:46">
      <c r="A68" s="112">
        <v>31</v>
      </c>
      <c r="B68" s="126" t="s">
        <v>345</v>
      </c>
      <c r="C68" s="9">
        <v>2019</v>
      </c>
      <c r="D68" s="113" t="s">
        <v>346</v>
      </c>
      <c r="E68" s="114" t="s">
        <v>347</v>
      </c>
      <c r="F68" s="9">
        <v>276</v>
      </c>
      <c r="G68" s="9" t="s">
        <v>141</v>
      </c>
      <c r="H68" s="9" t="s">
        <v>128</v>
      </c>
      <c r="I68" s="9" t="s">
        <v>129</v>
      </c>
      <c r="J68" s="9" t="s">
        <v>130</v>
      </c>
      <c r="K68" s="9"/>
      <c r="L68" s="115">
        <v>83.516999999999996</v>
      </c>
      <c r="M68" s="114"/>
      <c r="N68" s="9">
        <v>1</v>
      </c>
      <c r="O68" s="115"/>
      <c r="P68" s="114" t="s">
        <v>151</v>
      </c>
      <c r="Q68" s="9">
        <v>1</v>
      </c>
      <c r="R68" s="9" t="s">
        <v>350</v>
      </c>
      <c r="S68" s="10"/>
      <c r="T68" s="10"/>
      <c r="U68" s="138">
        <v>2015</v>
      </c>
      <c r="V68" s="117"/>
      <c r="W68" s="9"/>
      <c r="X68" s="139">
        <f>1.22/Level1[[#This Row],[Mass_estimate]]</f>
        <v>0.72189349112426038</v>
      </c>
      <c r="Y68" s="140" t="s">
        <v>351</v>
      </c>
      <c r="Z68" s="118">
        <v>1.69</v>
      </c>
      <c r="AA68" s="9" t="s">
        <v>229</v>
      </c>
      <c r="AB68" s="119">
        <v>1.69</v>
      </c>
      <c r="AC68" s="119">
        <v>1690000</v>
      </c>
      <c r="AD68" s="120">
        <v>1690000</v>
      </c>
      <c r="AE68" s="121">
        <v>1</v>
      </c>
      <c r="AF68" s="120">
        <v>82135142.857142851</v>
      </c>
      <c r="AG68" s="120">
        <v>0</v>
      </c>
      <c r="AH68" s="122">
        <v>20.575845383740386</v>
      </c>
      <c r="AI68" s="123"/>
      <c r="AJ68" s="9"/>
      <c r="AK68" s="78" t="s">
        <v>134</v>
      </c>
      <c r="AL68" s="78" t="s">
        <v>134</v>
      </c>
      <c r="AM68" s="122" t="s">
        <v>134</v>
      </c>
      <c r="AN68" s="121">
        <f>IF(Level1[[#This Row],[Standardised_Normalised_Mass_kg/capita/year]]&lt;&gt;"",Level1[[#This Row],[Standardised_Normalised_Mass_kg/capita/year]],Level1[[#This Row],[Derived_Normalised_kg/capita/year]])</f>
        <v>20.575845383740386</v>
      </c>
      <c r="AO68" s="78">
        <f>IF(Level1[[#This Row],[Household]]=1,IF(Level1[[#This Row],[Household_Diary?]]=1,'Cover Sheet'!$R$31,1),1)</f>
        <v>1</v>
      </c>
      <c r="AP68" s="78">
        <f>IF(Level1[[#This Row],[Household]]=1,IF(Level1[[#This Row],[Edible_Waste_Only?]]=1,'Cover Sheet'!$R$32,1),1)</f>
        <v>1</v>
      </c>
      <c r="AQ68" s="78">
        <f>IF(Level1[[#This Row],[Food_Service]]=1,IF(Level1[[#This Row],[Edible_Waste_Only?]]=1,'Cover Sheet'!$R$33,1),1)</f>
        <v>1</v>
      </c>
      <c r="AR68" s="78">
        <f>IF(Level1[[#This Row],[Retail]]=1,IF(Level1[[#This Row],[Edible_Waste_Only?]]=1,'Cover Sheet'!$R$34,1),1)</f>
        <v>1</v>
      </c>
      <c r="AS68" s="78">
        <f>PRODUCT(Level1[[#This Row],[Household_Diary_Adjustment]:[Retail_Inedible_Adjustment]])</f>
        <v>1</v>
      </c>
      <c r="AT68" s="124">
        <f>Level1[[#This Row],[Preferred_estimate_kg/capita]]*Level1[[#This Row],[Total_Adjustment]]</f>
        <v>20.575845383740386</v>
      </c>
    </row>
    <row r="69" spans="1:46">
      <c r="A69" s="112">
        <v>31</v>
      </c>
      <c r="B69" s="126" t="s">
        <v>345</v>
      </c>
      <c r="C69" s="9">
        <v>2019</v>
      </c>
      <c r="D69" s="113" t="s">
        <v>346</v>
      </c>
      <c r="E69" s="114" t="s">
        <v>347</v>
      </c>
      <c r="F69" s="9">
        <v>276</v>
      </c>
      <c r="G69" s="9" t="s">
        <v>141</v>
      </c>
      <c r="H69" s="9" t="s">
        <v>128</v>
      </c>
      <c r="I69" s="9" t="s">
        <v>129</v>
      </c>
      <c r="J69" s="9" t="s">
        <v>130</v>
      </c>
      <c r="K69" s="9"/>
      <c r="L69" s="115">
        <v>83.516999999999996</v>
      </c>
      <c r="M69" s="114">
        <v>1</v>
      </c>
      <c r="N69" s="9"/>
      <c r="O69" s="115"/>
      <c r="P69" s="114" t="s">
        <v>151</v>
      </c>
      <c r="Q69" s="9">
        <v>1</v>
      </c>
      <c r="R69" s="9" t="s">
        <v>352</v>
      </c>
      <c r="S69" s="10"/>
      <c r="T69" s="10"/>
      <c r="U69" s="138">
        <v>2015</v>
      </c>
      <c r="V69" s="117"/>
      <c r="W69" s="9"/>
      <c r="X69" s="139">
        <f>2.69/Level1[[#This Row],[Mass_estimate]]</f>
        <v>0.43811074918566778</v>
      </c>
      <c r="Y69" s="140" t="s">
        <v>353</v>
      </c>
      <c r="Z69" s="118">
        <v>6.14</v>
      </c>
      <c r="AA69" s="9" t="s">
        <v>229</v>
      </c>
      <c r="AB69" s="119">
        <v>6.14</v>
      </c>
      <c r="AC69" s="119">
        <v>6140000</v>
      </c>
      <c r="AD69" s="120">
        <v>6140000</v>
      </c>
      <c r="AE69" s="121">
        <v>0</v>
      </c>
      <c r="AF69" s="120">
        <v>82135142.857142851</v>
      </c>
      <c r="AG69" s="120">
        <v>0</v>
      </c>
      <c r="AH69" s="122">
        <v>0</v>
      </c>
      <c r="AI69" s="123">
        <v>75</v>
      </c>
      <c r="AJ69" s="9" t="s">
        <v>147</v>
      </c>
      <c r="AK69" s="78">
        <v>75</v>
      </c>
      <c r="AL69" s="78">
        <v>75</v>
      </c>
      <c r="AM69" s="122">
        <v>75</v>
      </c>
      <c r="AN69" s="121">
        <f>IF(Level1[[#This Row],[Standardised_Normalised_Mass_kg/capita/year]]&lt;&gt;"",Level1[[#This Row],[Standardised_Normalised_Mass_kg/capita/year]],Level1[[#This Row],[Derived_Normalised_kg/capita/year]])</f>
        <v>75</v>
      </c>
      <c r="AO69" s="78">
        <f>IF(Level1[[#This Row],[Household]]=1,IF(Level1[[#This Row],[Household_Diary?]]=1,'Cover Sheet'!$R$31,1),1)</f>
        <v>1</v>
      </c>
      <c r="AP69" s="78">
        <f>IF(Level1[[#This Row],[Household]]=1,IF(Level1[[#This Row],[Edible_Waste_Only?]]=1,'Cover Sheet'!$R$32,1),1)</f>
        <v>1</v>
      </c>
      <c r="AQ69" s="78">
        <f>IF(Level1[[#This Row],[Food_Service]]=1,IF(Level1[[#This Row],[Edible_Waste_Only?]]=1,'Cover Sheet'!$R$33,1),1)</f>
        <v>1</v>
      </c>
      <c r="AR69" s="78">
        <f>IF(Level1[[#This Row],[Retail]]=1,IF(Level1[[#This Row],[Edible_Waste_Only?]]=1,'Cover Sheet'!$R$34,1),1)</f>
        <v>1</v>
      </c>
      <c r="AS69" s="78">
        <f>PRODUCT(Level1[[#This Row],[Household_Diary_Adjustment]:[Retail_Inedible_Adjustment]])</f>
        <v>1</v>
      </c>
      <c r="AT69" s="124">
        <f>Level1[[#This Row],[Preferred_estimate_kg/capita]]*Level1[[#This Row],[Total_Adjustment]]</f>
        <v>75</v>
      </c>
    </row>
    <row r="70" spans="1:46">
      <c r="A70" s="125">
        <v>32</v>
      </c>
      <c r="B70" s="126" t="s">
        <v>354</v>
      </c>
      <c r="C70" s="126">
        <v>2015</v>
      </c>
      <c r="D70" s="127" t="s">
        <v>355</v>
      </c>
      <c r="E70" s="128" t="s">
        <v>356</v>
      </c>
      <c r="F70" s="126">
        <v>288</v>
      </c>
      <c r="G70" s="126" t="s">
        <v>306</v>
      </c>
      <c r="H70" s="126" t="s">
        <v>174</v>
      </c>
      <c r="I70" s="9" t="s">
        <v>181</v>
      </c>
      <c r="J70" s="9" t="s">
        <v>130</v>
      </c>
      <c r="K70" s="152"/>
      <c r="L70" s="115">
        <v>30.417899999999999</v>
      </c>
      <c r="M70" s="128">
        <v>1</v>
      </c>
      <c r="N70" s="126"/>
      <c r="O70" s="129"/>
      <c r="P70" s="128" t="s">
        <v>131</v>
      </c>
      <c r="Q70" s="126">
        <v>1</v>
      </c>
      <c r="R70" s="126" t="s">
        <v>357</v>
      </c>
      <c r="S70" s="130"/>
      <c r="T70" s="130"/>
      <c r="U70" s="135">
        <v>2014</v>
      </c>
      <c r="V70" s="132">
        <v>0.48</v>
      </c>
      <c r="W70" s="126" t="s">
        <v>176</v>
      </c>
      <c r="X70" s="141"/>
      <c r="Y70" s="137"/>
      <c r="Z70" s="133"/>
      <c r="AA70" s="9"/>
      <c r="AB70" s="119" t="s">
        <v>134</v>
      </c>
      <c r="AC70" s="119" t="s">
        <v>134</v>
      </c>
      <c r="AD70" s="134" t="s">
        <v>134</v>
      </c>
      <c r="AE70" s="121">
        <v>0</v>
      </c>
      <c r="AF70" s="120">
        <v>0</v>
      </c>
      <c r="AG70" s="120">
        <v>0</v>
      </c>
      <c r="AH70" s="122">
        <v>0</v>
      </c>
      <c r="AI70" s="123">
        <v>0.23</v>
      </c>
      <c r="AJ70" s="126" t="s">
        <v>185</v>
      </c>
      <c r="AK70" s="78">
        <v>0.23</v>
      </c>
      <c r="AL70" s="78">
        <v>84.007500000000007</v>
      </c>
      <c r="AM70" s="122">
        <v>84.007500000000007</v>
      </c>
      <c r="AN70" s="121">
        <f>IF(Level1[[#This Row],[Standardised_Normalised_Mass_kg/capita/year]]&lt;&gt;"",Level1[[#This Row],[Standardised_Normalised_Mass_kg/capita/year]],Level1[[#This Row],[Derived_Normalised_kg/capita/year]])</f>
        <v>84.007500000000007</v>
      </c>
      <c r="AO70" s="78">
        <f>IF(Level1[[#This Row],[Household]]=1,IF(Level1[[#This Row],[Household_Diary?]]=1,'Cover Sheet'!$R$31,1),1)</f>
        <v>1</v>
      </c>
      <c r="AP70" s="78">
        <f>IF(Level1[[#This Row],[Household]]=1,IF(Level1[[#This Row],[Edible_Waste_Only?]]=1,'Cover Sheet'!$R$32,1),1)</f>
        <v>1</v>
      </c>
      <c r="AQ70" s="78">
        <f>IF(Level1[[#This Row],[Food_Service]]=1,IF(Level1[[#This Row],[Edible_Waste_Only?]]=1,'Cover Sheet'!$R$33,1),1)</f>
        <v>1</v>
      </c>
      <c r="AR70" s="78">
        <f>IF(Level1[[#This Row],[Retail]]=1,IF(Level1[[#This Row],[Edible_Waste_Only?]]=1,'Cover Sheet'!$R$34,1),1)</f>
        <v>1</v>
      </c>
      <c r="AS70" s="78">
        <f>PRODUCT(Level1[[#This Row],[Household_Diary_Adjustment]:[Retail_Inedible_Adjustment]])</f>
        <v>1</v>
      </c>
      <c r="AT70" s="124">
        <f>Level1[[#This Row],[Preferred_estimate_kg/capita]]*Level1[[#This Row],[Total_Adjustment]]</f>
        <v>84.007500000000007</v>
      </c>
    </row>
    <row r="71" spans="1:46">
      <c r="A71" s="125">
        <v>33</v>
      </c>
      <c r="B71" s="126" t="s">
        <v>358</v>
      </c>
      <c r="C71" s="126">
        <v>2015</v>
      </c>
      <c r="D71" s="127" t="s">
        <v>359</v>
      </c>
      <c r="E71" s="128" t="s">
        <v>316</v>
      </c>
      <c r="F71" s="126">
        <v>300</v>
      </c>
      <c r="G71" s="126" t="s">
        <v>161</v>
      </c>
      <c r="H71" s="126" t="s">
        <v>128</v>
      </c>
      <c r="I71" s="9" t="s">
        <v>129</v>
      </c>
      <c r="J71" s="9" t="s">
        <v>130</v>
      </c>
      <c r="K71" s="126"/>
      <c r="L71" s="115">
        <v>10.4735</v>
      </c>
      <c r="M71" s="128">
        <v>1</v>
      </c>
      <c r="N71" s="126"/>
      <c r="O71" s="129"/>
      <c r="P71" s="128" t="s">
        <v>222</v>
      </c>
      <c r="Q71" s="126">
        <v>2</v>
      </c>
      <c r="R71" s="126" t="s">
        <v>360</v>
      </c>
      <c r="S71" s="130">
        <v>1</v>
      </c>
      <c r="T71" s="130"/>
      <c r="U71" s="135">
        <v>2013</v>
      </c>
      <c r="V71" s="132"/>
      <c r="W71" s="126"/>
      <c r="X71" s="141">
        <f>29.8/Level1[[#This Row],[Normalised_Mass_Estimate]]</f>
        <v>0.30131445904954496</v>
      </c>
      <c r="Y71" s="137" t="s">
        <v>361</v>
      </c>
      <c r="Z71" s="133"/>
      <c r="AA71" s="9"/>
      <c r="AB71" s="119" t="s">
        <v>134</v>
      </c>
      <c r="AC71" s="119" t="s">
        <v>134</v>
      </c>
      <c r="AD71" s="134" t="s">
        <v>134</v>
      </c>
      <c r="AE71" s="121">
        <v>0</v>
      </c>
      <c r="AF71" s="120">
        <v>0</v>
      </c>
      <c r="AG71" s="120">
        <v>0</v>
      </c>
      <c r="AH71" s="122">
        <v>0</v>
      </c>
      <c r="AI71" s="123">
        <v>98.9</v>
      </c>
      <c r="AJ71" s="126" t="s">
        <v>147</v>
      </c>
      <c r="AK71" s="78">
        <v>98.9</v>
      </c>
      <c r="AL71" s="78">
        <v>98.9</v>
      </c>
      <c r="AM71" s="122">
        <v>98.9</v>
      </c>
      <c r="AN71" s="121">
        <f>IF(Level1[[#This Row],[Standardised_Normalised_Mass_kg/capita/year]]&lt;&gt;"",Level1[[#This Row],[Standardised_Normalised_Mass_kg/capita/year]],Level1[[#This Row],[Derived_Normalised_kg/capita/year]])</f>
        <v>98.9</v>
      </c>
      <c r="AO71" s="78">
        <f>IF(Level1[[#This Row],[Household]]=1,IF(Level1[[#This Row],[Household_Diary?]]=1,'Cover Sheet'!$R$31,1),1)</f>
        <v>1.4326647564469914</v>
      </c>
      <c r="AP71" s="78">
        <f>IF(Level1[[#This Row],[Household]]=1,IF(Level1[[#This Row],[Edible_Waste_Only?]]=1,'Cover Sheet'!$R$32,1),1)</f>
        <v>1</v>
      </c>
      <c r="AQ71" s="78">
        <f>IF(Level1[[#This Row],[Food_Service]]=1,IF(Level1[[#This Row],[Edible_Waste_Only?]]=1,'Cover Sheet'!$R$33,1),1)</f>
        <v>1</v>
      </c>
      <c r="AR71" s="78">
        <f>IF(Level1[[#This Row],[Retail]]=1,IF(Level1[[#This Row],[Edible_Waste_Only?]]=1,'Cover Sheet'!$R$34,1),1)</f>
        <v>1</v>
      </c>
      <c r="AS71" s="78">
        <f>PRODUCT(Level1[[#This Row],[Household_Diary_Adjustment]:[Retail_Inedible_Adjustment]])</f>
        <v>1.4326647564469914</v>
      </c>
      <c r="AT71" s="124">
        <f>Level1[[#This Row],[Preferred_estimate_kg/capita]]*Level1[[#This Row],[Total_Adjustment]]</f>
        <v>141.69054441260747</v>
      </c>
    </row>
    <row r="72" spans="1:46">
      <c r="A72" s="112">
        <v>34</v>
      </c>
      <c r="B72" s="126" t="s">
        <v>362</v>
      </c>
      <c r="C72" s="9">
        <v>2020</v>
      </c>
      <c r="D72" s="115" t="s">
        <v>363</v>
      </c>
      <c r="E72" s="114" t="s">
        <v>364</v>
      </c>
      <c r="F72" s="9">
        <v>348</v>
      </c>
      <c r="G72" s="9" t="s">
        <v>365</v>
      </c>
      <c r="H72" s="9" t="s">
        <v>128</v>
      </c>
      <c r="I72" s="9" t="s">
        <v>129</v>
      </c>
      <c r="J72" s="9" t="s">
        <v>130</v>
      </c>
      <c r="K72" s="9"/>
      <c r="L72" s="115">
        <v>9.6846999999999994</v>
      </c>
      <c r="M72" s="114">
        <v>1</v>
      </c>
      <c r="N72" s="9"/>
      <c r="O72" s="115"/>
      <c r="P72" s="114" t="s">
        <v>222</v>
      </c>
      <c r="Q72" s="9">
        <v>2</v>
      </c>
      <c r="R72" s="9" t="s">
        <v>366</v>
      </c>
      <c r="S72" s="10">
        <v>1</v>
      </c>
      <c r="T72" s="10"/>
      <c r="U72" s="138">
        <v>2019</v>
      </c>
      <c r="V72" s="117"/>
      <c r="W72" s="9"/>
      <c r="X72" s="139">
        <f>48.81%+(4.16%/2)</f>
        <v>0.50890000000000002</v>
      </c>
      <c r="Y72" s="115" t="s">
        <v>367</v>
      </c>
      <c r="Z72" s="118"/>
      <c r="AA72" s="9"/>
      <c r="AB72" s="119" t="s">
        <v>134</v>
      </c>
      <c r="AC72" s="119" t="s">
        <v>134</v>
      </c>
      <c r="AD72" s="120" t="s">
        <v>134</v>
      </c>
      <c r="AE72" s="121">
        <v>0</v>
      </c>
      <c r="AF72" s="120">
        <v>0</v>
      </c>
      <c r="AG72" s="120">
        <v>0</v>
      </c>
      <c r="AH72" s="122">
        <v>0</v>
      </c>
      <c r="AI72" s="123">
        <v>65.489999999999995</v>
      </c>
      <c r="AJ72" s="9" t="s">
        <v>147</v>
      </c>
      <c r="AK72" s="78">
        <v>65.489999999999995</v>
      </c>
      <c r="AL72" s="78">
        <v>65.489999999999995</v>
      </c>
      <c r="AM72" s="122">
        <v>65.489999999999995</v>
      </c>
      <c r="AN72" s="121">
        <f>IF(Level1[[#This Row],[Standardised_Normalised_Mass_kg/capita/year]]&lt;&gt;"",Level1[[#This Row],[Standardised_Normalised_Mass_kg/capita/year]],Level1[[#This Row],[Derived_Normalised_kg/capita/year]])</f>
        <v>65.489999999999995</v>
      </c>
      <c r="AO72" s="78">
        <f>IF(Level1[[#This Row],[Household]]=1,IF(Level1[[#This Row],[Household_Diary?]]=1,'Cover Sheet'!$R$31,1),1)</f>
        <v>1.4326647564469914</v>
      </c>
      <c r="AP72" s="78">
        <f>IF(Level1[[#This Row],[Household]]=1,IF(Level1[[#This Row],[Edible_Waste_Only?]]=1,'Cover Sheet'!$R$32,1),1)</f>
        <v>1</v>
      </c>
      <c r="AQ72" s="78">
        <f>IF(Level1[[#This Row],[Food_Service]]=1,IF(Level1[[#This Row],[Edible_Waste_Only?]]=1,'Cover Sheet'!$R$33,1),1)</f>
        <v>1</v>
      </c>
      <c r="AR72" s="78">
        <f>IF(Level1[[#This Row],[Retail]]=1,IF(Level1[[#This Row],[Edible_Waste_Only?]]=1,'Cover Sheet'!$R$34,1),1)</f>
        <v>1</v>
      </c>
      <c r="AS72" s="78">
        <f>PRODUCT(Level1[[#This Row],[Household_Diary_Adjustment]:[Retail_Inedible_Adjustment]])</f>
        <v>1.4326647564469914</v>
      </c>
      <c r="AT72" s="124">
        <f>Level1[[#This Row],[Preferred_estimate_kg/capita]]*Level1[[#This Row],[Total_Adjustment]]</f>
        <v>93.825214899713458</v>
      </c>
    </row>
    <row r="73" spans="1:46">
      <c r="A73" s="125">
        <v>35</v>
      </c>
      <c r="B73" s="126" t="s">
        <v>368</v>
      </c>
      <c r="C73" s="126">
        <v>2014</v>
      </c>
      <c r="D73" s="127" t="s">
        <v>369</v>
      </c>
      <c r="E73" s="128" t="s">
        <v>370</v>
      </c>
      <c r="F73" s="126">
        <v>356</v>
      </c>
      <c r="G73" s="126" t="s">
        <v>180</v>
      </c>
      <c r="H73" s="126" t="s">
        <v>174</v>
      </c>
      <c r="I73" s="9" t="s">
        <v>181</v>
      </c>
      <c r="J73" s="9" t="s">
        <v>182</v>
      </c>
      <c r="K73" s="126" t="s">
        <v>371</v>
      </c>
      <c r="L73" s="115">
        <v>1366.4177999999999</v>
      </c>
      <c r="M73" s="128">
        <v>1</v>
      </c>
      <c r="N73" s="126"/>
      <c r="O73" s="129"/>
      <c r="P73" s="128" t="s">
        <v>131</v>
      </c>
      <c r="Q73" s="126">
        <v>2</v>
      </c>
      <c r="R73" s="126" t="s">
        <v>372</v>
      </c>
      <c r="S73" s="130"/>
      <c r="T73" s="130"/>
      <c r="U73" s="135"/>
      <c r="V73" s="132">
        <f>SUM(80.7%*(42/144),74.5%*(67/144),83.45%*(35/144))</f>
        <v>0.78483680555555557</v>
      </c>
      <c r="W73" s="126" t="s">
        <v>176</v>
      </c>
      <c r="X73" s="141"/>
      <c r="Y73" s="137"/>
      <c r="Z73" s="133"/>
      <c r="AA73" s="9"/>
      <c r="AB73" s="119" t="s">
        <v>134</v>
      </c>
      <c r="AC73" s="119" t="s">
        <v>134</v>
      </c>
      <c r="AD73" s="134" t="s">
        <v>134</v>
      </c>
      <c r="AE73" s="121">
        <v>0</v>
      </c>
      <c r="AF73" s="120">
        <v>0</v>
      </c>
      <c r="AG73" s="120">
        <v>0</v>
      </c>
      <c r="AH73" s="122">
        <v>0</v>
      </c>
      <c r="AI73" s="123">
        <f>SUM(245.34*(185/630),186.34*(285/630),171.27*(160/630))</f>
        <v>199.83809523809524</v>
      </c>
      <c r="AJ73" s="126" t="s">
        <v>241</v>
      </c>
      <c r="AK73" s="78">
        <v>0.19983809523809523</v>
      </c>
      <c r="AL73" s="78">
        <v>72.990864285714281</v>
      </c>
      <c r="AM73" s="122">
        <v>72.990864285714281</v>
      </c>
      <c r="AN73" s="121">
        <f>IF(Level1[[#This Row],[Standardised_Normalised_Mass_kg/capita/year]]&lt;&gt;"",Level1[[#This Row],[Standardised_Normalised_Mass_kg/capita/year]],Level1[[#This Row],[Derived_Normalised_kg/capita/year]])</f>
        <v>72.990864285714281</v>
      </c>
      <c r="AO73" s="78">
        <f>IF(Level1[[#This Row],[Household]]=1,IF(Level1[[#This Row],[Household_Diary?]]=1,'Cover Sheet'!$R$31,1),1)</f>
        <v>1</v>
      </c>
      <c r="AP73" s="78">
        <f>IF(Level1[[#This Row],[Household]]=1,IF(Level1[[#This Row],[Edible_Waste_Only?]]=1,'Cover Sheet'!$R$32,1),1)</f>
        <v>1</v>
      </c>
      <c r="AQ73" s="78">
        <f>IF(Level1[[#This Row],[Food_Service]]=1,IF(Level1[[#This Row],[Edible_Waste_Only?]]=1,'Cover Sheet'!$R$33,1),1)</f>
        <v>1</v>
      </c>
      <c r="AR73" s="78">
        <f>IF(Level1[[#This Row],[Retail]]=1,IF(Level1[[#This Row],[Edible_Waste_Only?]]=1,'Cover Sheet'!$R$34,1),1)</f>
        <v>1</v>
      </c>
      <c r="AS73" s="78">
        <f>PRODUCT(Level1[[#This Row],[Household_Diary_Adjustment]:[Retail_Inedible_Adjustment]])</f>
        <v>1</v>
      </c>
      <c r="AT73" s="124">
        <f>Level1[[#This Row],[Preferred_estimate_kg/capita]]*Level1[[#This Row],[Total_Adjustment]]</f>
        <v>72.990864285714281</v>
      </c>
    </row>
    <row r="74" spans="1:46">
      <c r="A74" s="112">
        <v>36</v>
      </c>
      <c r="B74" s="126" t="s">
        <v>373</v>
      </c>
      <c r="C74" s="9">
        <v>2016</v>
      </c>
      <c r="D74" s="113" t="s">
        <v>374</v>
      </c>
      <c r="E74" s="114" t="s">
        <v>370</v>
      </c>
      <c r="F74" s="9">
        <v>356</v>
      </c>
      <c r="G74" s="9" t="s">
        <v>180</v>
      </c>
      <c r="H74" s="9" t="s">
        <v>174</v>
      </c>
      <c r="I74" s="9" t="s">
        <v>181</v>
      </c>
      <c r="J74" s="9" t="s">
        <v>182</v>
      </c>
      <c r="K74" s="9" t="s">
        <v>375</v>
      </c>
      <c r="L74" s="115">
        <v>1366.4177999999999</v>
      </c>
      <c r="M74" s="114">
        <v>1</v>
      </c>
      <c r="N74" s="9"/>
      <c r="O74" s="115"/>
      <c r="P74" s="114" t="s">
        <v>131</v>
      </c>
      <c r="Q74" s="9">
        <v>2</v>
      </c>
      <c r="R74" s="9" t="s">
        <v>376</v>
      </c>
      <c r="S74" s="10"/>
      <c r="T74" s="10"/>
      <c r="U74" s="138">
        <v>2014</v>
      </c>
      <c r="V74" s="117">
        <v>0.74</v>
      </c>
      <c r="W74" s="9" t="s">
        <v>254</v>
      </c>
      <c r="X74" s="139"/>
      <c r="Y74" s="140"/>
      <c r="Z74" s="118"/>
      <c r="AA74" s="9"/>
      <c r="AB74" s="119" t="s">
        <v>134</v>
      </c>
      <c r="AC74" s="119" t="s">
        <v>134</v>
      </c>
      <c r="AD74" s="120" t="s">
        <v>134</v>
      </c>
      <c r="AE74" s="121">
        <v>0</v>
      </c>
      <c r="AF74" s="120">
        <v>0</v>
      </c>
      <c r="AG74" s="120">
        <v>0</v>
      </c>
      <c r="AH74" s="122">
        <v>0</v>
      </c>
      <c r="AI74" s="123">
        <f>0.214*Level1[[#This Row],[FW_Share_estimate]]</f>
        <v>0.15836</v>
      </c>
      <c r="AJ74" s="9" t="s">
        <v>185</v>
      </c>
      <c r="AK74" s="78">
        <v>0.15836</v>
      </c>
      <c r="AL74" s="78">
        <v>57.840989999999998</v>
      </c>
      <c r="AM74" s="122">
        <v>57.840989999999998</v>
      </c>
      <c r="AN74" s="121">
        <f>IF(Level1[[#This Row],[Standardised_Normalised_Mass_kg/capita/year]]&lt;&gt;"",Level1[[#This Row],[Standardised_Normalised_Mass_kg/capita/year]],Level1[[#This Row],[Derived_Normalised_kg/capita/year]])</f>
        <v>57.840989999999998</v>
      </c>
      <c r="AO74" s="78">
        <f>IF(Level1[[#This Row],[Household]]=1,IF(Level1[[#This Row],[Household_Diary?]]=1,'Cover Sheet'!$R$31,1),1)</f>
        <v>1</v>
      </c>
      <c r="AP74" s="78">
        <f>IF(Level1[[#This Row],[Household]]=1,IF(Level1[[#This Row],[Edible_Waste_Only?]]=1,'Cover Sheet'!$R$32,1),1)</f>
        <v>1</v>
      </c>
      <c r="AQ74" s="78">
        <f>IF(Level1[[#This Row],[Food_Service]]=1,IF(Level1[[#This Row],[Edible_Waste_Only?]]=1,'Cover Sheet'!$R$33,1),1)</f>
        <v>1</v>
      </c>
      <c r="AR74" s="78">
        <f>IF(Level1[[#This Row],[Retail]]=1,IF(Level1[[#This Row],[Edible_Waste_Only?]]=1,'Cover Sheet'!$R$34,1),1)</f>
        <v>1</v>
      </c>
      <c r="AS74" s="78">
        <f>PRODUCT(Level1[[#This Row],[Household_Diary_Adjustment]:[Retail_Inedible_Adjustment]])</f>
        <v>1</v>
      </c>
      <c r="AT74" s="124">
        <f>Level1[[#This Row],[Preferred_estimate_kg/capita]]*Level1[[#This Row],[Total_Adjustment]]</f>
        <v>57.840989999999998</v>
      </c>
    </row>
    <row r="75" spans="1:46">
      <c r="A75" s="125">
        <v>37</v>
      </c>
      <c r="B75" s="126" t="s">
        <v>377</v>
      </c>
      <c r="C75" s="126">
        <v>2015</v>
      </c>
      <c r="D75" s="127" t="s">
        <v>378</v>
      </c>
      <c r="E75" s="128" t="s">
        <v>370</v>
      </c>
      <c r="F75" s="126">
        <v>356</v>
      </c>
      <c r="G75" s="126" t="s">
        <v>180</v>
      </c>
      <c r="H75" s="126" t="s">
        <v>174</v>
      </c>
      <c r="I75" s="9" t="s">
        <v>181</v>
      </c>
      <c r="J75" s="9" t="s">
        <v>182</v>
      </c>
      <c r="K75" s="126" t="s">
        <v>371</v>
      </c>
      <c r="L75" s="115">
        <v>1366.4177999999999</v>
      </c>
      <c r="M75" s="128">
        <v>1</v>
      </c>
      <c r="N75" s="126"/>
      <c r="O75" s="129"/>
      <c r="P75" s="128" t="s">
        <v>131</v>
      </c>
      <c r="Q75" s="126">
        <v>2</v>
      </c>
      <c r="R75" s="126" t="s">
        <v>379</v>
      </c>
      <c r="S75" s="130"/>
      <c r="T75" s="130"/>
      <c r="U75" s="135">
        <v>2011</v>
      </c>
      <c r="V75" s="153">
        <v>0.8</v>
      </c>
      <c r="W75" s="126" t="s">
        <v>176</v>
      </c>
      <c r="X75" s="132"/>
      <c r="Y75" s="129"/>
      <c r="Z75" s="133"/>
      <c r="AA75" s="9"/>
      <c r="AB75" s="119" t="s">
        <v>134</v>
      </c>
      <c r="AC75" s="119" t="s">
        <v>134</v>
      </c>
      <c r="AD75" s="134" t="s">
        <v>134</v>
      </c>
      <c r="AE75" s="121">
        <v>0</v>
      </c>
      <c r="AF75" s="120">
        <v>0</v>
      </c>
      <c r="AG75" s="120">
        <v>0</v>
      </c>
      <c r="AH75" s="122">
        <v>0</v>
      </c>
      <c r="AI75" s="123">
        <v>55.12</v>
      </c>
      <c r="AJ75" s="126" t="s">
        <v>241</v>
      </c>
      <c r="AK75" s="78">
        <v>5.5119999999999995E-2</v>
      </c>
      <c r="AL75" s="78">
        <v>20.132579999999997</v>
      </c>
      <c r="AM75" s="122">
        <v>20.132579999999997</v>
      </c>
      <c r="AN75" s="121">
        <f>IF(Level1[[#This Row],[Standardised_Normalised_Mass_kg/capita/year]]&lt;&gt;"",Level1[[#This Row],[Standardised_Normalised_Mass_kg/capita/year]],Level1[[#This Row],[Derived_Normalised_kg/capita/year]])</f>
        <v>20.132579999999997</v>
      </c>
      <c r="AO75" s="78">
        <f>IF(Level1[[#This Row],[Household]]=1,IF(Level1[[#This Row],[Household_Diary?]]=1,'Cover Sheet'!$R$31,1),1)</f>
        <v>1</v>
      </c>
      <c r="AP75" s="78">
        <f>IF(Level1[[#This Row],[Household]]=1,IF(Level1[[#This Row],[Edible_Waste_Only?]]=1,'Cover Sheet'!$R$32,1),1)</f>
        <v>1</v>
      </c>
      <c r="AQ75" s="78">
        <f>IF(Level1[[#This Row],[Food_Service]]=1,IF(Level1[[#This Row],[Edible_Waste_Only?]]=1,'Cover Sheet'!$R$33,1),1)</f>
        <v>1</v>
      </c>
      <c r="AR75" s="78">
        <f>IF(Level1[[#This Row],[Retail]]=1,IF(Level1[[#This Row],[Edible_Waste_Only?]]=1,'Cover Sheet'!$R$34,1),1)</f>
        <v>1</v>
      </c>
      <c r="AS75" s="78">
        <f>PRODUCT(Level1[[#This Row],[Household_Diary_Adjustment]:[Retail_Inedible_Adjustment]])</f>
        <v>1</v>
      </c>
      <c r="AT75" s="124">
        <f>Level1[[#This Row],[Preferred_estimate_kg/capita]]*Level1[[#This Row],[Total_Adjustment]]</f>
        <v>20.132579999999997</v>
      </c>
    </row>
    <row r="76" spans="1:46">
      <c r="A76" s="112">
        <v>38</v>
      </c>
      <c r="B76" s="126" t="s">
        <v>380</v>
      </c>
      <c r="C76" s="9">
        <v>2015</v>
      </c>
      <c r="D76" s="113" t="s">
        <v>381</v>
      </c>
      <c r="E76" s="114" t="s">
        <v>382</v>
      </c>
      <c r="F76" s="9">
        <v>360</v>
      </c>
      <c r="G76" s="9" t="s">
        <v>383</v>
      </c>
      <c r="H76" s="9" t="s">
        <v>174</v>
      </c>
      <c r="I76" s="9" t="s">
        <v>210</v>
      </c>
      <c r="J76" s="9" t="s">
        <v>182</v>
      </c>
      <c r="K76" s="9" t="s">
        <v>384</v>
      </c>
      <c r="L76" s="115">
        <v>270.62560000000002</v>
      </c>
      <c r="M76" s="114">
        <v>1</v>
      </c>
      <c r="N76" s="9"/>
      <c r="O76" s="115"/>
      <c r="P76" s="114" t="s">
        <v>131</v>
      </c>
      <c r="Q76" s="9">
        <v>2</v>
      </c>
      <c r="R76" s="9" t="s">
        <v>385</v>
      </c>
      <c r="S76" s="10"/>
      <c r="T76" s="10"/>
      <c r="U76" s="138">
        <v>2013</v>
      </c>
      <c r="V76" s="117">
        <v>0.64190000000000003</v>
      </c>
      <c r="W76" s="9" t="s">
        <v>176</v>
      </c>
      <c r="X76" s="139"/>
      <c r="Y76" s="140"/>
      <c r="Z76" s="118"/>
      <c r="AA76" s="9"/>
      <c r="AB76" s="119" t="s">
        <v>134</v>
      </c>
      <c r="AC76" s="119" t="s">
        <v>134</v>
      </c>
      <c r="AD76" s="120" t="s">
        <v>134</v>
      </c>
      <c r="AE76" s="121">
        <v>0</v>
      </c>
      <c r="AF76" s="120">
        <v>0</v>
      </c>
      <c r="AG76" s="120">
        <v>0</v>
      </c>
      <c r="AH76" s="122">
        <v>0</v>
      </c>
      <c r="AI76" s="123">
        <f>0.33*Level1[[#This Row],[FW_Share_estimate]]</f>
        <v>0.21182700000000002</v>
      </c>
      <c r="AJ76" s="9" t="s">
        <v>185</v>
      </c>
      <c r="AK76" s="78">
        <v>0.21182700000000002</v>
      </c>
      <c r="AL76" s="78">
        <v>77.369811750000011</v>
      </c>
      <c r="AM76" s="122">
        <v>77.369811750000011</v>
      </c>
      <c r="AN76" s="121">
        <f>IF(Level1[[#This Row],[Standardised_Normalised_Mass_kg/capita/year]]&lt;&gt;"",Level1[[#This Row],[Standardised_Normalised_Mass_kg/capita/year]],Level1[[#This Row],[Derived_Normalised_kg/capita/year]])</f>
        <v>77.369811750000011</v>
      </c>
      <c r="AO76" s="78">
        <f>IF(Level1[[#This Row],[Household]]=1,IF(Level1[[#This Row],[Household_Diary?]]=1,'Cover Sheet'!$R$31,1),1)</f>
        <v>1</v>
      </c>
      <c r="AP76" s="78">
        <f>IF(Level1[[#This Row],[Household]]=1,IF(Level1[[#This Row],[Edible_Waste_Only?]]=1,'Cover Sheet'!$R$32,1),1)</f>
        <v>1</v>
      </c>
      <c r="AQ76" s="78">
        <f>IF(Level1[[#This Row],[Food_Service]]=1,IF(Level1[[#This Row],[Edible_Waste_Only?]]=1,'Cover Sheet'!$R$33,1),1)</f>
        <v>1</v>
      </c>
      <c r="AR76" s="78">
        <f>IF(Level1[[#This Row],[Retail]]=1,IF(Level1[[#This Row],[Edible_Waste_Only?]]=1,'Cover Sheet'!$R$34,1),1)</f>
        <v>1</v>
      </c>
      <c r="AS76" s="78">
        <f>PRODUCT(Level1[[#This Row],[Household_Diary_Adjustment]:[Retail_Inedible_Adjustment]])</f>
        <v>1</v>
      </c>
      <c r="AT76" s="124">
        <f>Level1[[#This Row],[Preferred_estimate_kg/capita]]*Level1[[#This Row],[Total_Adjustment]]</f>
        <v>77.369811750000011</v>
      </c>
    </row>
    <row r="77" spans="1:46">
      <c r="A77" s="125">
        <v>39</v>
      </c>
      <c r="B77" s="126" t="s">
        <v>386</v>
      </c>
      <c r="C77" s="126">
        <v>2012</v>
      </c>
      <c r="D77" s="127" t="s">
        <v>387</v>
      </c>
      <c r="E77" s="128" t="s">
        <v>388</v>
      </c>
      <c r="F77" s="126">
        <v>368</v>
      </c>
      <c r="G77" s="126" t="s">
        <v>173</v>
      </c>
      <c r="H77" s="126" t="s">
        <v>174</v>
      </c>
      <c r="I77" s="9" t="s">
        <v>210</v>
      </c>
      <c r="J77" s="9" t="s">
        <v>182</v>
      </c>
      <c r="K77" s="126" t="s">
        <v>389</v>
      </c>
      <c r="L77" s="115">
        <v>39.309800000000003</v>
      </c>
      <c r="M77" s="128">
        <v>1</v>
      </c>
      <c r="N77" s="126"/>
      <c r="O77" s="129"/>
      <c r="P77" s="128" t="s">
        <v>222</v>
      </c>
      <c r="Q77" s="126">
        <v>2</v>
      </c>
      <c r="R77" s="126" t="s">
        <v>390</v>
      </c>
      <c r="S77" s="130">
        <v>1</v>
      </c>
      <c r="T77" s="130"/>
      <c r="U77" s="135">
        <v>2012</v>
      </c>
      <c r="V77" s="132">
        <v>0.28189999999999998</v>
      </c>
      <c r="W77" s="126" t="s">
        <v>391</v>
      </c>
      <c r="X77" s="141"/>
      <c r="Y77" s="137"/>
      <c r="Z77" s="133"/>
      <c r="AA77" s="9"/>
      <c r="AB77" s="119" t="s">
        <v>134</v>
      </c>
      <c r="AC77" s="119" t="s">
        <v>134</v>
      </c>
      <c r="AD77" s="134" t="s">
        <v>134</v>
      </c>
      <c r="AE77" s="121">
        <v>0</v>
      </c>
      <c r="AF77" s="120">
        <v>0</v>
      </c>
      <c r="AG77" s="120">
        <v>0</v>
      </c>
      <c r="AH77" s="122">
        <v>0</v>
      </c>
      <c r="AI77" s="123">
        <f>5239.6/5.2</f>
        <v>1007.6153846153846</v>
      </c>
      <c r="AJ77" s="126" t="s">
        <v>392</v>
      </c>
      <c r="AK77" s="78">
        <v>1.0076153846153846</v>
      </c>
      <c r="AL77" s="78">
        <v>52.396000000000001</v>
      </c>
      <c r="AM77" s="122">
        <v>52.396000000000001</v>
      </c>
      <c r="AN77" s="121">
        <f>IF(Level1[[#This Row],[Standardised_Normalised_Mass_kg/capita/year]]&lt;&gt;"",Level1[[#This Row],[Standardised_Normalised_Mass_kg/capita/year]],Level1[[#This Row],[Derived_Normalised_kg/capita/year]])</f>
        <v>52.396000000000001</v>
      </c>
      <c r="AO77" s="78">
        <f>IF(Level1[[#This Row],[Household]]=1,IF(Level1[[#This Row],[Household_Diary?]]=1,'Cover Sheet'!$R$31,1),1)</f>
        <v>1.4326647564469914</v>
      </c>
      <c r="AP77" s="78">
        <f>IF(Level1[[#This Row],[Household]]=1,IF(Level1[[#This Row],[Edible_Waste_Only?]]=1,'Cover Sheet'!$R$32,1),1)</f>
        <v>1</v>
      </c>
      <c r="AQ77" s="78">
        <f>IF(Level1[[#This Row],[Food_Service]]=1,IF(Level1[[#This Row],[Edible_Waste_Only?]]=1,'Cover Sheet'!$R$33,1),1)</f>
        <v>1</v>
      </c>
      <c r="AR77" s="78">
        <f>IF(Level1[[#This Row],[Retail]]=1,IF(Level1[[#This Row],[Edible_Waste_Only?]]=1,'Cover Sheet'!$R$34,1),1)</f>
        <v>1</v>
      </c>
      <c r="AS77" s="78">
        <f>PRODUCT(Level1[[#This Row],[Household_Diary_Adjustment]:[Retail_Inedible_Adjustment]])</f>
        <v>1.4326647564469914</v>
      </c>
      <c r="AT77" s="124">
        <f>Level1[[#This Row],[Preferred_estimate_kg/capita]]*Level1[[#This Row],[Total_Adjustment]]</f>
        <v>75.065902578796567</v>
      </c>
    </row>
    <row r="78" spans="1:46">
      <c r="A78" s="112">
        <v>40</v>
      </c>
      <c r="B78" s="126" t="s">
        <v>393</v>
      </c>
      <c r="C78" s="9">
        <v>2013</v>
      </c>
      <c r="D78" s="113" t="s">
        <v>394</v>
      </c>
      <c r="E78" s="114" t="s">
        <v>388</v>
      </c>
      <c r="F78" s="9">
        <v>368</v>
      </c>
      <c r="G78" s="9" t="s">
        <v>173</v>
      </c>
      <c r="H78" s="9" t="s">
        <v>174</v>
      </c>
      <c r="I78" s="9" t="s">
        <v>210</v>
      </c>
      <c r="J78" s="9" t="s">
        <v>182</v>
      </c>
      <c r="K78" s="9" t="s">
        <v>395</v>
      </c>
      <c r="L78" s="115">
        <v>39.309800000000003</v>
      </c>
      <c r="M78" s="114">
        <v>1</v>
      </c>
      <c r="N78" s="9"/>
      <c r="O78" s="115"/>
      <c r="P78" s="114" t="s">
        <v>131</v>
      </c>
      <c r="Q78" s="9">
        <v>2</v>
      </c>
      <c r="R78" s="9" t="s">
        <v>396</v>
      </c>
      <c r="S78" s="10"/>
      <c r="T78" s="10"/>
      <c r="U78" s="138">
        <v>2009</v>
      </c>
      <c r="V78" s="117">
        <v>0.68169999999999997</v>
      </c>
      <c r="W78" s="9" t="s">
        <v>176</v>
      </c>
      <c r="X78" s="139"/>
      <c r="Y78" s="140"/>
      <c r="Z78" s="118"/>
      <c r="AA78" s="9"/>
      <c r="AB78" s="119" t="s">
        <v>134</v>
      </c>
      <c r="AC78" s="119" t="s">
        <v>134</v>
      </c>
      <c r="AD78" s="120" t="s">
        <v>134</v>
      </c>
      <c r="AE78" s="121">
        <v>0</v>
      </c>
      <c r="AF78" s="120">
        <v>0</v>
      </c>
      <c r="AG78" s="120">
        <v>0</v>
      </c>
      <c r="AH78" s="122">
        <v>0</v>
      </c>
      <c r="AI78" s="123">
        <f>0.34*Level1[[#This Row],[FW_Share_estimate]]</f>
        <v>0.23177800000000001</v>
      </c>
      <c r="AJ78" s="9" t="s">
        <v>185</v>
      </c>
      <c r="AK78" s="78">
        <v>0.23177800000000001</v>
      </c>
      <c r="AL78" s="78">
        <v>84.656914499999999</v>
      </c>
      <c r="AM78" s="122">
        <v>84.656914499999999</v>
      </c>
      <c r="AN78" s="121">
        <f>IF(Level1[[#This Row],[Standardised_Normalised_Mass_kg/capita/year]]&lt;&gt;"",Level1[[#This Row],[Standardised_Normalised_Mass_kg/capita/year]],Level1[[#This Row],[Derived_Normalised_kg/capita/year]])</f>
        <v>84.656914499999999</v>
      </c>
      <c r="AO78" s="78">
        <f>IF(Level1[[#This Row],[Household]]=1,IF(Level1[[#This Row],[Household_Diary?]]=1,'Cover Sheet'!$R$31,1),1)</f>
        <v>1</v>
      </c>
      <c r="AP78" s="78">
        <f>IF(Level1[[#This Row],[Household]]=1,IF(Level1[[#This Row],[Edible_Waste_Only?]]=1,'Cover Sheet'!$R$32,1),1)</f>
        <v>1</v>
      </c>
      <c r="AQ78" s="78">
        <f>IF(Level1[[#This Row],[Food_Service]]=1,IF(Level1[[#This Row],[Edible_Waste_Only?]]=1,'Cover Sheet'!$R$33,1),1)</f>
        <v>1</v>
      </c>
      <c r="AR78" s="78">
        <f>IF(Level1[[#This Row],[Retail]]=1,IF(Level1[[#This Row],[Edible_Waste_Only?]]=1,'Cover Sheet'!$R$34,1),1)</f>
        <v>1</v>
      </c>
      <c r="AS78" s="78">
        <f>PRODUCT(Level1[[#This Row],[Household_Diary_Adjustment]:[Retail_Inedible_Adjustment]])</f>
        <v>1</v>
      </c>
      <c r="AT78" s="124">
        <f>Level1[[#This Row],[Preferred_estimate_kg/capita]]*Level1[[#This Row],[Total_Adjustment]]</f>
        <v>84.656914499999999</v>
      </c>
    </row>
    <row r="79" spans="1:46">
      <c r="A79" s="125">
        <v>41</v>
      </c>
      <c r="B79" s="126" t="s">
        <v>397</v>
      </c>
      <c r="C79" s="126">
        <v>2015</v>
      </c>
      <c r="D79" s="127" t="s">
        <v>398</v>
      </c>
      <c r="E79" s="128" t="s">
        <v>388</v>
      </c>
      <c r="F79" s="126">
        <v>368</v>
      </c>
      <c r="G79" s="126" t="s">
        <v>173</v>
      </c>
      <c r="H79" s="126" t="s">
        <v>174</v>
      </c>
      <c r="I79" s="9" t="s">
        <v>210</v>
      </c>
      <c r="J79" s="9" t="s">
        <v>182</v>
      </c>
      <c r="K79" s="126" t="s">
        <v>399</v>
      </c>
      <c r="L79" s="115">
        <v>39.309800000000003</v>
      </c>
      <c r="M79" s="128">
        <v>1</v>
      </c>
      <c r="N79" s="126"/>
      <c r="O79" s="129"/>
      <c r="P79" s="128" t="s">
        <v>131</v>
      </c>
      <c r="Q79" s="126">
        <v>2</v>
      </c>
      <c r="R79" s="126" t="s">
        <v>400</v>
      </c>
      <c r="S79" s="130"/>
      <c r="T79" s="130"/>
      <c r="U79" s="135">
        <v>2014</v>
      </c>
      <c r="V79" s="132">
        <v>0.56599999999999995</v>
      </c>
      <c r="W79" s="126" t="s">
        <v>176</v>
      </c>
      <c r="X79" s="141"/>
      <c r="Y79" s="137"/>
      <c r="Z79" s="133"/>
      <c r="AA79" s="9"/>
      <c r="AB79" s="119" t="s">
        <v>134</v>
      </c>
      <c r="AC79" s="119" t="s">
        <v>134</v>
      </c>
      <c r="AD79" s="134" t="s">
        <v>134</v>
      </c>
      <c r="AE79" s="121">
        <v>0</v>
      </c>
      <c r="AF79" s="120">
        <v>0</v>
      </c>
      <c r="AG79" s="120">
        <v>0</v>
      </c>
      <c r="AH79" s="122">
        <v>0</v>
      </c>
      <c r="AI79" s="123">
        <f>0.685*Level1[[#This Row],[FW_Share_estimate]]</f>
        <v>0.38771</v>
      </c>
      <c r="AJ79" s="126" t="s">
        <v>185</v>
      </c>
      <c r="AK79" s="78">
        <v>0.38771</v>
      </c>
      <c r="AL79" s="78">
        <v>141.61107749999999</v>
      </c>
      <c r="AM79" s="122">
        <v>141.61107749999999</v>
      </c>
      <c r="AN79" s="121">
        <f>IF(Level1[[#This Row],[Standardised_Normalised_Mass_kg/capita/year]]&lt;&gt;"",Level1[[#This Row],[Standardised_Normalised_Mass_kg/capita/year]],Level1[[#This Row],[Derived_Normalised_kg/capita/year]])</f>
        <v>141.61107749999999</v>
      </c>
      <c r="AO79" s="78">
        <f>IF(Level1[[#This Row],[Household]]=1,IF(Level1[[#This Row],[Household_Diary?]]=1,'Cover Sheet'!$R$31,1),1)</f>
        <v>1</v>
      </c>
      <c r="AP79" s="78">
        <f>IF(Level1[[#This Row],[Household]]=1,IF(Level1[[#This Row],[Edible_Waste_Only?]]=1,'Cover Sheet'!$R$32,1),1)</f>
        <v>1</v>
      </c>
      <c r="AQ79" s="78">
        <f>IF(Level1[[#This Row],[Food_Service]]=1,IF(Level1[[#This Row],[Edible_Waste_Only?]]=1,'Cover Sheet'!$R$33,1),1)</f>
        <v>1</v>
      </c>
      <c r="AR79" s="78">
        <f>IF(Level1[[#This Row],[Retail]]=1,IF(Level1[[#This Row],[Edible_Waste_Only?]]=1,'Cover Sheet'!$R$34,1),1)</f>
        <v>1</v>
      </c>
      <c r="AS79" s="78">
        <f>PRODUCT(Level1[[#This Row],[Household_Diary_Adjustment]:[Retail_Inedible_Adjustment]])</f>
        <v>1</v>
      </c>
      <c r="AT79" s="124">
        <f>Level1[[#This Row],[Preferred_estimate_kg/capita]]*Level1[[#This Row],[Total_Adjustment]]</f>
        <v>141.61107749999999</v>
      </c>
    </row>
    <row r="80" spans="1:46">
      <c r="A80" s="112">
        <v>42</v>
      </c>
      <c r="B80" s="126" t="s">
        <v>401</v>
      </c>
      <c r="C80" s="9">
        <v>2010</v>
      </c>
      <c r="D80" s="113" t="s">
        <v>402</v>
      </c>
      <c r="E80" s="114" t="s">
        <v>388</v>
      </c>
      <c r="F80" s="9">
        <v>368</v>
      </c>
      <c r="G80" s="9" t="s">
        <v>173</v>
      </c>
      <c r="H80" s="9" t="s">
        <v>174</v>
      </c>
      <c r="I80" s="9" t="s">
        <v>210</v>
      </c>
      <c r="J80" s="9" t="s">
        <v>182</v>
      </c>
      <c r="K80" s="9" t="s">
        <v>403</v>
      </c>
      <c r="L80" s="115">
        <v>39.309800000000003</v>
      </c>
      <c r="M80" s="114">
        <v>1</v>
      </c>
      <c r="N80" s="9"/>
      <c r="O80" s="115"/>
      <c r="P80" s="114" t="s">
        <v>131</v>
      </c>
      <c r="Q80" s="9">
        <v>2</v>
      </c>
      <c r="R80" s="9" t="s">
        <v>404</v>
      </c>
      <c r="S80" s="10"/>
      <c r="T80" s="10"/>
      <c r="U80" s="138">
        <v>2009</v>
      </c>
      <c r="V80" s="117">
        <v>0.70379999999999998</v>
      </c>
      <c r="W80" s="9" t="s">
        <v>254</v>
      </c>
      <c r="X80" s="139"/>
      <c r="Y80" s="140"/>
      <c r="Z80" s="118"/>
      <c r="AA80" s="9"/>
      <c r="AB80" s="119" t="s">
        <v>134</v>
      </c>
      <c r="AC80" s="119" t="s">
        <v>134</v>
      </c>
      <c r="AD80" s="120" t="s">
        <v>134</v>
      </c>
      <c r="AE80" s="121">
        <v>0</v>
      </c>
      <c r="AF80" s="120">
        <v>0</v>
      </c>
      <c r="AG80" s="120">
        <v>0</v>
      </c>
      <c r="AH80" s="122">
        <v>0</v>
      </c>
      <c r="AI80" s="123">
        <f>0.535*Level1[[#This Row],[FW_Share_estimate]]</f>
        <v>0.37653300000000001</v>
      </c>
      <c r="AJ80" s="9" t="s">
        <v>185</v>
      </c>
      <c r="AK80" s="78">
        <v>0.37653300000000001</v>
      </c>
      <c r="AL80" s="78">
        <v>137.52867825000001</v>
      </c>
      <c r="AM80" s="122">
        <v>137.52867825000001</v>
      </c>
      <c r="AN80" s="121">
        <f>IF(Level1[[#This Row],[Standardised_Normalised_Mass_kg/capita/year]]&lt;&gt;"",Level1[[#This Row],[Standardised_Normalised_Mass_kg/capita/year]],Level1[[#This Row],[Derived_Normalised_kg/capita/year]])</f>
        <v>137.52867825000001</v>
      </c>
      <c r="AO80" s="78">
        <f>IF(Level1[[#This Row],[Household]]=1,IF(Level1[[#This Row],[Household_Diary?]]=1,'Cover Sheet'!$R$31,1),1)</f>
        <v>1</v>
      </c>
      <c r="AP80" s="78">
        <f>IF(Level1[[#This Row],[Household]]=1,IF(Level1[[#This Row],[Edible_Waste_Only?]]=1,'Cover Sheet'!$R$32,1),1)</f>
        <v>1</v>
      </c>
      <c r="AQ80" s="78">
        <f>IF(Level1[[#This Row],[Food_Service]]=1,IF(Level1[[#This Row],[Edible_Waste_Only?]]=1,'Cover Sheet'!$R$33,1),1)</f>
        <v>1</v>
      </c>
      <c r="AR80" s="78">
        <f>IF(Level1[[#This Row],[Retail]]=1,IF(Level1[[#This Row],[Edible_Waste_Only?]]=1,'Cover Sheet'!$R$34,1),1)</f>
        <v>1</v>
      </c>
      <c r="AS80" s="78">
        <f>PRODUCT(Level1[[#This Row],[Household_Diary_Adjustment]:[Retail_Inedible_Adjustment]])</f>
        <v>1</v>
      </c>
      <c r="AT80" s="124">
        <f>Level1[[#This Row],[Preferred_estimate_kg/capita]]*Level1[[#This Row],[Total_Adjustment]]</f>
        <v>137.52867825000001</v>
      </c>
    </row>
    <row r="81" spans="1:46">
      <c r="A81" s="125">
        <v>43</v>
      </c>
      <c r="B81" s="126" t="s">
        <v>405</v>
      </c>
      <c r="C81" s="126">
        <v>2009</v>
      </c>
      <c r="D81" s="127" t="s">
        <v>406</v>
      </c>
      <c r="E81" s="128" t="s">
        <v>388</v>
      </c>
      <c r="F81" s="126">
        <v>368</v>
      </c>
      <c r="G81" s="126" t="s">
        <v>173</v>
      </c>
      <c r="H81" s="126" t="s">
        <v>174</v>
      </c>
      <c r="I81" s="9" t="s">
        <v>210</v>
      </c>
      <c r="J81" s="9" t="s">
        <v>182</v>
      </c>
      <c r="K81" s="126" t="s">
        <v>407</v>
      </c>
      <c r="L81" s="115">
        <v>39.309800000000003</v>
      </c>
      <c r="M81" s="128">
        <v>1</v>
      </c>
      <c r="N81" s="126"/>
      <c r="O81" s="129"/>
      <c r="P81" s="128" t="s">
        <v>131</v>
      </c>
      <c r="Q81" s="126">
        <v>2</v>
      </c>
      <c r="R81" s="126" t="s">
        <v>408</v>
      </c>
      <c r="S81" s="130"/>
      <c r="T81" s="130"/>
      <c r="U81" s="135">
        <v>2008</v>
      </c>
      <c r="V81" s="132">
        <f>(AVERAGE(69.952%,61.882%)*(15/65))+(AVERAGE(65.627%,62.247%)*(25/65))+(AVERAGE(68.96%,66.027%)*(25/65))</f>
        <v>0.65761807692307694</v>
      </c>
      <c r="W81" s="126" t="s">
        <v>176</v>
      </c>
      <c r="X81" s="141"/>
      <c r="Y81" s="137"/>
      <c r="Z81" s="133"/>
      <c r="AA81" s="9"/>
      <c r="AB81" s="119" t="s">
        <v>134</v>
      </c>
      <c r="AC81" s="119" t="s">
        <v>134</v>
      </c>
      <c r="AD81" s="134" t="s">
        <v>134</v>
      </c>
      <c r="AE81" s="121">
        <v>0</v>
      </c>
      <c r="AF81" s="120">
        <v>0</v>
      </c>
      <c r="AG81" s="120">
        <v>0</v>
      </c>
      <c r="AH81" s="122">
        <v>0</v>
      </c>
      <c r="AI81" s="123">
        <f>0.68*Level1[[#This Row],[FW_Share_estimate]]</f>
        <v>0.44718029230769235</v>
      </c>
      <c r="AJ81" s="126" t="s">
        <v>185</v>
      </c>
      <c r="AK81" s="78">
        <v>0.44718029230769235</v>
      </c>
      <c r="AL81" s="78">
        <v>163.33260176538462</v>
      </c>
      <c r="AM81" s="122">
        <v>163.33260176538462</v>
      </c>
      <c r="AN81" s="121">
        <f>IF(Level1[[#This Row],[Standardised_Normalised_Mass_kg/capita/year]]&lt;&gt;"",Level1[[#This Row],[Standardised_Normalised_Mass_kg/capita/year]],Level1[[#This Row],[Derived_Normalised_kg/capita/year]])</f>
        <v>163.33260176538462</v>
      </c>
      <c r="AO81" s="78">
        <f>IF(Level1[[#This Row],[Household]]=1,IF(Level1[[#This Row],[Household_Diary?]]=1,'Cover Sheet'!$R$31,1),1)</f>
        <v>1</v>
      </c>
      <c r="AP81" s="78">
        <f>IF(Level1[[#This Row],[Household]]=1,IF(Level1[[#This Row],[Edible_Waste_Only?]]=1,'Cover Sheet'!$R$32,1),1)</f>
        <v>1</v>
      </c>
      <c r="AQ81" s="78">
        <f>IF(Level1[[#This Row],[Food_Service]]=1,IF(Level1[[#This Row],[Edible_Waste_Only?]]=1,'Cover Sheet'!$R$33,1),1)</f>
        <v>1</v>
      </c>
      <c r="AR81" s="78">
        <f>IF(Level1[[#This Row],[Retail]]=1,IF(Level1[[#This Row],[Edible_Waste_Only?]]=1,'Cover Sheet'!$R$34,1),1)</f>
        <v>1</v>
      </c>
      <c r="AS81" s="78">
        <f>PRODUCT(Level1[[#This Row],[Household_Diary_Adjustment]:[Retail_Inedible_Adjustment]])</f>
        <v>1</v>
      </c>
      <c r="AT81" s="124">
        <f>Level1[[#This Row],[Preferred_estimate_kg/capita]]*Level1[[#This Row],[Total_Adjustment]]</f>
        <v>163.33260176538462</v>
      </c>
    </row>
    <row r="82" spans="1:46">
      <c r="A82" s="112">
        <v>44</v>
      </c>
      <c r="B82" s="126" t="s">
        <v>409</v>
      </c>
      <c r="C82" s="9">
        <v>2018</v>
      </c>
      <c r="D82" s="113" t="s">
        <v>410</v>
      </c>
      <c r="E82" s="114" t="s">
        <v>411</v>
      </c>
      <c r="F82" s="9">
        <v>376</v>
      </c>
      <c r="G82" s="9" t="s">
        <v>173</v>
      </c>
      <c r="H82" s="9" t="s">
        <v>128</v>
      </c>
      <c r="I82" s="9" t="s">
        <v>129</v>
      </c>
      <c r="J82" s="9" t="s">
        <v>182</v>
      </c>
      <c r="K82" s="9" t="s">
        <v>412</v>
      </c>
      <c r="L82" s="115">
        <v>8.5193999999999992</v>
      </c>
      <c r="M82" s="114">
        <v>1</v>
      </c>
      <c r="N82" s="9"/>
      <c r="O82" s="115"/>
      <c r="P82" s="114" t="s">
        <v>131</v>
      </c>
      <c r="Q82" s="9">
        <v>2</v>
      </c>
      <c r="R82" s="9" t="s">
        <v>413</v>
      </c>
      <c r="S82" s="10"/>
      <c r="T82" s="10"/>
      <c r="U82" s="138">
        <v>2016</v>
      </c>
      <c r="V82" s="117">
        <v>0.45</v>
      </c>
      <c r="W82" s="9" t="s">
        <v>176</v>
      </c>
      <c r="X82" s="139">
        <v>0.54</v>
      </c>
      <c r="Y82" s="140" t="s">
        <v>414</v>
      </c>
      <c r="Z82" s="118"/>
      <c r="AA82" s="9"/>
      <c r="AB82" s="119" t="s">
        <v>134</v>
      </c>
      <c r="AC82" s="119" t="s">
        <v>134</v>
      </c>
      <c r="AD82" s="120" t="s">
        <v>134</v>
      </c>
      <c r="AE82" s="121">
        <v>0</v>
      </c>
      <c r="AF82" s="120">
        <v>0</v>
      </c>
      <c r="AG82" s="120">
        <v>0</v>
      </c>
      <c r="AH82" s="122">
        <v>0</v>
      </c>
      <c r="AI82" s="123">
        <f>0.573*Level1[[#This Row],[FW_Share_estimate]]</f>
        <v>0.25784999999999997</v>
      </c>
      <c r="AJ82" s="9" t="s">
        <v>185</v>
      </c>
      <c r="AK82" s="78">
        <v>0.25784999999999997</v>
      </c>
      <c r="AL82" s="78">
        <v>94.179712499999994</v>
      </c>
      <c r="AM82" s="122">
        <v>94.179712499999994</v>
      </c>
      <c r="AN82" s="121">
        <f>IF(Level1[[#This Row],[Standardised_Normalised_Mass_kg/capita/year]]&lt;&gt;"",Level1[[#This Row],[Standardised_Normalised_Mass_kg/capita/year]],Level1[[#This Row],[Derived_Normalised_kg/capita/year]])</f>
        <v>94.179712499999994</v>
      </c>
      <c r="AO82" s="78">
        <f>IF(Level1[[#This Row],[Household]]=1,IF(Level1[[#This Row],[Household_Diary?]]=1,'Cover Sheet'!$R$31,1),1)</f>
        <v>1</v>
      </c>
      <c r="AP82" s="78">
        <f>IF(Level1[[#This Row],[Household]]=1,IF(Level1[[#This Row],[Edible_Waste_Only?]]=1,'Cover Sheet'!$R$32,1),1)</f>
        <v>1</v>
      </c>
      <c r="AQ82" s="78">
        <f>IF(Level1[[#This Row],[Food_Service]]=1,IF(Level1[[#This Row],[Edible_Waste_Only?]]=1,'Cover Sheet'!$R$33,1),1)</f>
        <v>1</v>
      </c>
      <c r="AR82" s="78">
        <f>IF(Level1[[#This Row],[Retail]]=1,IF(Level1[[#This Row],[Edible_Waste_Only?]]=1,'Cover Sheet'!$R$34,1),1)</f>
        <v>1</v>
      </c>
      <c r="AS82" s="78">
        <f>PRODUCT(Level1[[#This Row],[Household_Diary_Adjustment]:[Retail_Inedible_Adjustment]])</f>
        <v>1</v>
      </c>
      <c r="AT82" s="124">
        <f>Level1[[#This Row],[Preferred_estimate_kg/capita]]*Level1[[#This Row],[Total_Adjustment]]</f>
        <v>94.179712499999994</v>
      </c>
    </row>
    <row r="83" spans="1:46">
      <c r="A83" s="125">
        <v>45</v>
      </c>
      <c r="B83" s="126" t="s">
        <v>415</v>
      </c>
      <c r="C83" s="126">
        <v>2019</v>
      </c>
      <c r="D83" s="127" t="s">
        <v>416</v>
      </c>
      <c r="E83" s="128" t="s">
        <v>411</v>
      </c>
      <c r="F83" s="126">
        <v>376</v>
      </c>
      <c r="G83" s="126" t="s">
        <v>173</v>
      </c>
      <c r="H83" s="126" t="s">
        <v>128</v>
      </c>
      <c r="I83" s="9" t="s">
        <v>129</v>
      </c>
      <c r="J83" s="9" t="s">
        <v>130</v>
      </c>
      <c r="K83" s="126"/>
      <c r="L83" s="115">
        <v>8.5193999999999992</v>
      </c>
      <c r="M83" s="128">
        <v>1</v>
      </c>
      <c r="N83" s="126"/>
      <c r="O83" s="129"/>
      <c r="P83" s="128" t="s">
        <v>203</v>
      </c>
      <c r="Q83" s="126">
        <v>2</v>
      </c>
      <c r="R83" s="126" t="s">
        <v>417</v>
      </c>
      <c r="S83" s="130"/>
      <c r="T83" s="130"/>
      <c r="U83" s="135">
        <v>2018</v>
      </c>
      <c r="V83" s="132"/>
      <c r="W83" s="126"/>
      <c r="X83" s="132"/>
      <c r="Y83" s="129"/>
      <c r="Z83" s="133">
        <v>1940</v>
      </c>
      <c r="AA83" s="9" t="s">
        <v>418</v>
      </c>
      <c r="AB83" s="119">
        <v>1940</v>
      </c>
      <c r="AC83" s="119">
        <v>879968.48</v>
      </c>
      <c r="AD83" s="134">
        <v>879968.48</v>
      </c>
      <c r="AE83" s="121">
        <v>1</v>
      </c>
      <c r="AF83" s="120">
        <v>8381599.9999999991</v>
      </c>
      <c r="AG83" s="120">
        <v>0</v>
      </c>
      <c r="AH83" s="122">
        <v>104.98812637205307</v>
      </c>
      <c r="AI83" s="123"/>
      <c r="AJ83" s="126"/>
      <c r="AK83" s="78" t="s">
        <v>134</v>
      </c>
      <c r="AL83" s="78" t="s">
        <v>134</v>
      </c>
      <c r="AM83" s="122" t="s">
        <v>134</v>
      </c>
      <c r="AN83" s="121">
        <f>IF(Level1[[#This Row],[Standardised_Normalised_Mass_kg/capita/year]]&lt;&gt;"",Level1[[#This Row],[Standardised_Normalised_Mass_kg/capita/year]],Level1[[#This Row],[Derived_Normalised_kg/capita/year]])</f>
        <v>104.98812637205307</v>
      </c>
      <c r="AO83" s="78">
        <f>IF(Level1[[#This Row],[Household]]=1,IF(Level1[[#This Row],[Household_Diary?]]=1,'Cover Sheet'!$R$31,1),1)</f>
        <v>1</v>
      </c>
      <c r="AP83" s="78">
        <f>IF(Level1[[#This Row],[Household]]=1,IF(Level1[[#This Row],[Edible_Waste_Only?]]=1,'Cover Sheet'!$R$32,1),1)</f>
        <v>1</v>
      </c>
      <c r="AQ83" s="78">
        <f>IF(Level1[[#This Row],[Food_Service]]=1,IF(Level1[[#This Row],[Edible_Waste_Only?]]=1,'Cover Sheet'!$R$33,1),1)</f>
        <v>1</v>
      </c>
      <c r="AR83" s="78">
        <f>IF(Level1[[#This Row],[Retail]]=1,IF(Level1[[#This Row],[Edible_Waste_Only?]]=1,'Cover Sheet'!$R$34,1),1)</f>
        <v>1</v>
      </c>
      <c r="AS83" s="78">
        <f>PRODUCT(Level1[[#This Row],[Household_Diary_Adjustment]:[Retail_Inedible_Adjustment]])</f>
        <v>1</v>
      </c>
      <c r="AT83" s="124">
        <f>Level1[[#This Row],[Preferred_estimate_kg/capita]]*Level1[[#This Row],[Total_Adjustment]]</f>
        <v>104.98812637205307</v>
      </c>
    </row>
    <row r="84" spans="1:46">
      <c r="A84" s="112">
        <v>45</v>
      </c>
      <c r="B84" s="126" t="s">
        <v>415</v>
      </c>
      <c r="C84" s="9">
        <v>2019</v>
      </c>
      <c r="D84" s="113" t="s">
        <v>416</v>
      </c>
      <c r="E84" s="114" t="s">
        <v>411</v>
      </c>
      <c r="F84" s="9">
        <v>376</v>
      </c>
      <c r="G84" s="9" t="s">
        <v>173</v>
      </c>
      <c r="H84" s="9" t="s">
        <v>128</v>
      </c>
      <c r="I84" s="9" t="s">
        <v>129</v>
      </c>
      <c r="J84" s="9" t="s">
        <v>130</v>
      </c>
      <c r="K84" s="9"/>
      <c r="L84" s="115">
        <v>8.5193999999999992</v>
      </c>
      <c r="M84" s="114"/>
      <c r="N84" s="9"/>
      <c r="O84" s="115">
        <v>1</v>
      </c>
      <c r="P84" s="114" t="s">
        <v>203</v>
      </c>
      <c r="Q84" s="9">
        <v>2</v>
      </c>
      <c r="R84" s="9" t="s">
        <v>417</v>
      </c>
      <c r="S84" s="10"/>
      <c r="T84" s="10"/>
      <c r="U84" s="138">
        <v>2018</v>
      </c>
      <c r="V84" s="117"/>
      <c r="W84" s="9"/>
      <c r="X84" s="117"/>
      <c r="Y84" s="115"/>
      <c r="Z84" s="118">
        <v>950</v>
      </c>
      <c r="AA84" s="9" t="s">
        <v>418</v>
      </c>
      <c r="AB84" s="119">
        <v>950</v>
      </c>
      <c r="AC84" s="119">
        <v>430912.39999999997</v>
      </c>
      <c r="AD84" s="120">
        <v>430912.39999999997</v>
      </c>
      <c r="AE84" s="121">
        <v>1</v>
      </c>
      <c r="AF84" s="120">
        <v>8381599.9999999991</v>
      </c>
      <c r="AG84" s="120">
        <v>0</v>
      </c>
      <c r="AH84" s="122">
        <v>51.411711367757945</v>
      </c>
      <c r="AI84" s="123"/>
      <c r="AJ84" s="9"/>
      <c r="AK84" s="78" t="s">
        <v>134</v>
      </c>
      <c r="AL84" s="78" t="s">
        <v>134</v>
      </c>
      <c r="AM84" s="122" t="s">
        <v>134</v>
      </c>
      <c r="AN84" s="121">
        <f>IF(Level1[[#This Row],[Standardised_Normalised_Mass_kg/capita/year]]&lt;&gt;"",Level1[[#This Row],[Standardised_Normalised_Mass_kg/capita/year]],Level1[[#This Row],[Derived_Normalised_kg/capita/year]])</f>
        <v>51.411711367757945</v>
      </c>
      <c r="AO84" s="78">
        <f>IF(Level1[[#This Row],[Household]]=1,IF(Level1[[#This Row],[Household_Diary?]]=1,'Cover Sheet'!$R$31,1),1)</f>
        <v>1</v>
      </c>
      <c r="AP84" s="78">
        <f>IF(Level1[[#This Row],[Household]]=1,IF(Level1[[#This Row],[Edible_Waste_Only?]]=1,'Cover Sheet'!$R$32,1),1)</f>
        <v>1</v>
      </c>
      <c r="AQ84" s="78">
        <f>IF(Level1[[#This Row],[Food_Service]]=1,IF(Level1[[#This Row],[Edible_Waste_Only?]]=1,'Cover Sheet'!$R$33,1),1)</f>
        <v>1</v>
      </c>
      <c r="AR84" s="78">
        <f>IF(Level1[[#This Row],[Retail]]=1,IF(Level1[[#This Row],[Edible_Waste_Only?]]=1,'Cover Sheet'!$R$34,1),1)</f>
        <v>1</v>
      </c>
      <c r="AS84" s="78">
        <f>PRODUCT(Level1[[#This Row],[Household_Diary_Adjustment]:[Retail_Inedible_Adjustment]])</f>
        <v>1</v>
      </c>
      <c r="AT84" s="124">
        <f>Level1[[#This Row],[Preferred_estimate_kg/capita]]*Level1[[#This Row],[Total_Adjustment]]</f>
        <v>51.411711367757945</v>
      </c>
    </row>
    <row r="85" spans="1:46">
      <c r="A85" s="125">
        <v>45</v>
      </c>
      <c r="B85" s="126" t="s">
        <v>415</v>
      </c>
      <c r="C85" s="126">
        <v>2019</v>
      </c>
      <c r="D85" s="127" t="s">
        <v>416</v>
      </c>
      <c r="E85" s="128" t="s">
        <v>411</v>
      </c>
      <c r="F85" s="126">
        <v>376</v>
      </c>
      <c r="G85" s="126" t="s">
        <v>173</v>
      </c>
      <c r="H85" s="126" t="s">
        <v>128</v>
      </c>
      <c r="I85" s="9" t="s">
        <v>129</v>
      </c>
      <c r="J85" s="9" t="s">
        <v>130</v>
      </c>
      <c r="K85" s="126"/>
      <c r="L85" s="115">
        <v>8.5193999999999992</v>
      </c>
      <c r="M85" s="128"/>
      <c r="N85" s="126">
        <v>1</v>
      </c>
      <c r="O85" s="129"/>
      <c r="P85" s="128" t="s">
        <v>203</v>
      </c>
      <c r="Q85" s="126">
        <v>2</v>
      </c>
      <c r="R85" s="126" t="s">
        <v>417</v>
      </c>
      <c r="S85" s="130"/>
      <c r="T85" s="130"/>
      <c r="U85" s="135">
        <v>2018</v>
      </c>
      <c r="V85" s="132"/>
      <c r="W85" s="126"/>
      <c r="X85" s="132"/>
      <c r="Y85" s="129"/>
      <c r="Z85" s="133">
        <v>507</v>
      </c>
      <c r="AA85" s="9" t="s">
        <v>418</v>
      </c>
      <c r="AB85" s="119">
        <v>507</v>
      </c>
      <c r="AC85" s="119">
        <v>229971.144</v>
      </c>
      <c r="AD85" s="134">
        <v>229971.144</v>
      </c>
      <c r="AE85" s="121">
        <v>1</v>
      </c>
      <c r="AF85" s="120">
        <v>8381599.9999999991</v>
      </c>
      <c r="AG85" s="120">
        <v>0</v>
      </c>
      <c r="AH85" s="122">
        <v>27.437618593108716</v>
      </c>
      <c r="AI85" s="123"/>
      <c r="AJ85" s="126"/>
      <c r="AK85" s="78" t="s">
        <v>134</v>
      </c>
      <c r="AL85" s="78" t="s">
        <v>134</v>
      </c>
      <c r="AM85" s="122" t="s">
        <v>134</v>
      </c>
      <c r="AN85" s="121">
        <f>IF(Level1[[#This Row],[Standardised_Normalised_Mass_kg/capita/year]]&lt;&gt;"",Level1[[#This Row],[Standardised_Normalised_Mass_kg/capita/year]],Level1[[#This Row],[Derived_Normalised_kg/capita/year]])</f>
        <v>27.437618593108716</v>
      </c>
      <c r="AO85" s="78">
        <f>IF(Level1[[#This Row],[Household]]=1,IF(Level1[[#This Row],[Household_Diary?]]=1,'Cover Sheet'!$R$31,1),1)</f>
        <v>1</v>
      </c>
      <c r="AP85" s="78">
        <f>IF(Level1[[#This Row],[Household]]=1,IF(Level1[[#This Row],[Edible_Waste_Only?]]=1,'Cover Sheet'!$R$32,1),1)</f>
        <v>1</v>
      </c>
      <c r="AQ85" s="78">
        <f>IF(Level1[[#This Row],[Food_Service]]=1,IF(Level1[[#This Row],[Edible_Waste_Only?]]=1,'Cover Sheet'!$R$33,1),1)</f>
        <v>1</v>
      </c>
      <c r="AR85" s="78">
        <f>IF(Level1[[#This Row],[Retail]]=1,IF(Level1[[#This Row],[Edible_Waste_Only?]]=1,'Cover Sheet'!$R$34,1),1)</f>
        <v>1</v>
      </c>
      <c r="AS85" s="78">
        <f>PRODUCT(Level1[[#This Row],[Household_Diary_Adjustment]:[Retail_Inedible_Adjustment]])</f>
        <v>1</v>
      </c>
      <c r="AT85" s="124">
        <f>Level1[[#This Row],[Preferred_estimate_kg/capita]]*Level1[[#This Row],[Total_Adjustment]]</f>
        <v>27.437618593108716</v>
      </c>
    </row>
    <row r="86" spans="1:46">
      <c r="A86" s="125">
        <v>46</v>
      </c>
      <c r="B86" s="126" t="s">
        <v>419</v>
      </c>
      <c r="C86" s="126">
        <v>2019</v>
      </c>
      <c r="D86" s="127" t="s">
        <v>420</v>
      </c>
      <c r="E86" s="128" t="s">
        <v>421</v>
      </c>
      <c r="F86" s="126">
        <v>380</v>
      </c>
      <c r="G86" s="126" t="s">
        <v>161</v>
      </c>
      <c r="H86" s="126" t="s">
        <v>128</v>
      </c>
      <c r="I86" s="9" t="s">
        <v>129</v>
      </c>
      <c r="J86" s="9" t="s">
        <v>130</v>
      </c>
      <c r="K86" s="126"/>
      <c r="L86" s="115">
        <v>60.5501</v>
      </c>
      <c r="M86" s="128"/>
      <c r="N86" s="126"/>
      <c r="O86" s="129">
        <v>1</v>
      </c>
      <c r="P86" s="128" t="s">
        <v>131</v>
      </c>
      <c r="Q86" s="126">
        <v>1</v>
      </c>
      <c r="R86" s="126" t="s">
        <v>422</v>
      </c>
      <c r="S86" s="130"/>
      <c r="T86" s="130"/>
      <c r="U86" s="135">
        <v>2017</v>
      </c>
      <c r="V86" s="132"/>
      <c r="W86" s="126"/>
      <c r="X86" s="141"/>
      <c r="Y86" s="154"/>
      <c r="Z86" s="133">
        <v>220000</v>
      </c>
      <c r="AA86" s="9" t="s">
        <v>133</v>
      </c>
      <c r="AB86" s="119">
        <v>220000</v>
      </c>
      <c r="AC86" s="119">
        <v>220000</v>
      </c>
      <c r="AD86" s="134">
        <v>220000</v>
      </c>
      <c r="AE86" s="121">
        <v>1</v>
      </c>
      <c r="AF86" s="120">
        <v>60673700</v>
      </c>
      <c r="AG86" s="120">
        <v>0</v>
      </c>
      <c r="AH86" s="122">
        <v>3.6259532548699025</v>
      </c>
      <c r="AI86" s="123"/>
      <c r="AJ86" s="126"/>
      <c r="AK86" s="78" t="s">
        <v>134</v>
      </c>
      <c r="AL86" s="78" t="s">
        <v>134</v>
      </c>
      <c r="AM86" s="122" t="s">
        <v>134</v>
      </c>
      <c r="AN86" s="121">
        <f>IF(Level1[[#This Row],[Standardised_Normalised_Mass_kg/capita/year]]&lt;&gt;"",Level1[[#This Row],[Standardised_Normalised_Mass_kg/capita/year]],Level1[[#This Row],[Derived_Normalised_kg/capita/year]])</f>
        <v>3.6259532548699025</v>
      </c>
      <c r="AO86" s="78">
        <f>IF(Level1[[#This Row],[Household]]=1,IF(Level1[[#This Row],[Household_Diary?]]=1,'Cover Sheet'!$R$31,1),1)</f>
        <v>1</v>
      </c>
      <c r="AP86" s="78">
        <f>IF(Level1[[#This Row],[Household]]=1,IF(Level1[[#This Row],[Edible_Waste_Only?]]=1,'Cover Sheet'!$R$32,1),1)</f>
        <v>1</v>
      </c>
      <c r="AQ86" s="78">
        <f>IF(Level1[[#This Row],[Food_Service]]=1,IF(Level1[[#This Row],[Edible_Waste_Only?]]=1,'Cover Sheet'!$R$33,1),1)</f>
        <v>1</v>
      </c>
      <c r="AR86" s="78">
        <f>IF(Level1[[#This Row],[Retail]]=1,IF(Level1[[#This Row],[Edible_Waste_Only?]]=1,'Cover Sheet'!$R$34,1),1)</f>
        <v>1</v>
      </c>
      <c r="AS86" s="78">
        <f>PRODUCT(Level1[[#This Row],[Household_Diary_Adjustment]:[Retail_Inedible_Adjustment]])</f>
        <v>1</v>
      </c>
      <c r="AT86" s="124">
        <f>Level1[[#This Row],[Preferred_estimate_kg/capita]]*Level1[[#This Row],[Total_Adjustment]]</f>
        <v>3.6259532548699025</v>
      </c>
    </row>
    <row r="87" spans="1:46">
      <c r="A87" s="112">
        <v>47</v>
      </c>
      <c r="B87" s="126" t="s">
        <v>423</v>
      </c>
      <c r="C87" s="9">
        <v>2019</v>
      </c>
      <c r="D87" s="113" t="s">
        <v>424</v>
      </c>
      <c r="E87" s="114" t="s">
        <v>421</v>
      </c>
      <c r="F87" s="9">
        <v>380</v>
      </c>
      <c r="G87" s="9" t="s">
        <v>161</v>
      </c>
      <c r="H87" s="9" t="s">
        <v>128</v>
      </c>
      <c r="I87" s="9" t="s">
        <v>129</v>
      </c>
      <c r="J87" s="9" t="s">
        <v>130</v>
      </c>
      <c r="K87" s="9"/>
      <c r="L87" s="115">
        <v>60.5501</v>
      </c>
      <c r="M87" s="114">
        <v>1</v>
      </c>
      <c r="N87" s="9"/>
      <c r="O87" s="115"/>
      <c r="P87" s="114" t="s">
        <v>222</v>
      </c>
      <c r="Q87" s="9">
        <v>2</v>
      </c>
      <c r="R87" s="9" t="s">
        <v>425</v>
      </c>
      <c r="S87" s="10">
        <v>1</v>
      </c>
      <c r="T87" s="10"/>
      <c r="U87" s="138">
        <v>2017</v>
      </c>
      <c r="V87" s="117"/>
      <c r="W87" s="9"/>
      <c r="X87" s="139">
        <f>0.53/Level1[[#This Row],[Normalised_Mass_Estimate]]</f>
        <v>0.58888888888888891</v>
      </c>
      <c r="Y87" s="155" t="s">
        <v>426</v>
      </c>
      <c r="Z87" s="118">
        <v>2.86</v>
      </c>
      <c r="AA87" s="9" t="s">
        <v>229</v>
      </c>
      <c r="AB87" s="119">
        <v>2.86</v>
      </c>
      <c r="AC87" s="119">
        <v>2860000</v>
      </c>
      <c r="AD87" s="120">
        <v>2860000</v>
      </c>
      <c r="AE87" s="121">
        <v>0</v>
      </c>
      <c r="AF87" s="120">
        <v>60673700</v>
      </c>
      <c r="AG87" s="120">
        <v>0</v>
      </c>
      <c r="AH87" s="122">
        <v>0</v>
      </c>
      <c r="AI87" s="123">
        <v>0.9</v>
      </c>
      <c r="AJ87" s="156" t="s">
        <v>289</v>
      </c>
      <c r="AK87" s="78">
        <v>0.9</v>
      </c>
      <c r="AL87" s="78">
        <v>46.800000000000004</v>
      </c>
      <c r="AM87" s="122">
        <v>46.800000000000004</v>
      </c>
      <c r="AN87" s="121">
        <f>IF(Level1[[#This Row],[Standardised_Normalised_Mass_kg/capita/year]]&lt;&gt;"",Level1[[#This Row],[Standardised_Normalised_Mass_kg/capita/year]],Level1[[#This Row],[Derived_Normalised_kg/capita/year]])</f>
        <v>46.800000000000004</v>
      </c>
      <c r="AO87" s="78">
        <f>IF(Level1[[#This Row],[Household]]=1,IF(Level1[[#This Row],[Household_Diary?]]=1,'Cover Sheet'!$R$31,1),1)</f>
        <v>1.4326647564469914</v>
      </c>
      <c r="AP87" s="78">
        <f>IF(Level1[[#This Row],[Household]]=1,IF(Level1[[#This Row],[Edible_Waste_Only?]]=1,'Cover Sheet'!$R$32,1),1)</f>
        <v>1</v>
      </c>
      <c r="AQ87" s="78">
        <f>IF(Level1[[#This Row],[Food_Service]]=1,IF(Level1[[#This Row],[Edible_Waste_Only?]]=1,'Cover Sheet'!$R$33,1),1)</f>
        <v>1</v>
      </c>
      <c r="AR87" s="78">
        <f>IF(Level1[[#This Row],[Retail]]=1,IF(Level1[[#This Row],[Edible_Waste_Only?]]=1,'Cover Sheet'!$R$34,1),1)</f>
        <v>1</v>
      </c>
      <c r="AS87" s="78">
        <f>PRODUCT(Level1[[#This Row],[Household_Diary_Adjustment]:[Retail_Inedible_Adjustment]])</f>
        <v>1.4326647564469914</v>
      </c>
      <c r="AT87" s="124">
        <f>Level1[[#This Row],[Preferred_estimate_kg/capita]]*Level1[[#This Row],[Total_Adjustment]]</f>
        <v>67.048710601719208</v>
      </c>
    </row>
    <row r="88" spans="1:46">
      <c r="A88" s="112">
        <v>48</v>
      </c>
      <c r="B88" s="126" t="s">
        <v>427</v>
      </c>
      <c r="C88" s="9">
        <v>2017</v>
      </c>
      <c r="D88" s="113" t="s">
        <v>428</v>
      </c>
      <c r="E88" s="114" t="s">
        <v>429</v>
      </c>
      <c r="F88" s="9">
        <v>392</v>
      </c>
      <c r="G88" s="9" t="s">
        <v>233</v>
      </c>
      <c r="H88" s="9" t="s">
        <v>128</v>
      </c>
      <c r="I88" s="9" t="s">
        <v>129</v>
      </c>
      <c r="J88" s="9" t="s">
        <v>130</v>
      </c>
      <c r="K88" s="9"/>
      <c r="L88" s="115">
        <v>126.8603</v>
      </c>
      <c r="M88" s="114"/>
      <c r="N88" s="9">
        <v>1</v>
      </c>
      <c r="O88" s="115"/>
      <c r="P88" s="114" t="s">
        <v>430</v>
      </c>
      <c r="Q88" s="9">
        <v>2</v>
      </c>
      <c r="R88" s="9" t="s">
        <v>431</v>
      </c>
      <c r="S88" s="10"/>
      <c r="T88" s="10"/>
      <c r="U88" s="138">
        <v>2014</v>
      </c>
      <c r="V88" s="117"/>
      <c r="W88" s="9"/>
      <c r="X88" s="139">
        <f>1.2/1.94</f>
        <v>0.61855670103092786</v>
      </c>
      <c r="Y88" s="140" t="s">
        <v>432</v>
      </c>
      <c r="Z88" s="118">
        <f>1.94*(1-(13%*22%))</f>
        <v>1.8845160000000001</v>
      </c>
      <c r="AA88" s="9" t="s">
        <v>229</v>
      </c>
      <c r="AB88" s="119">
        <v>1.8845160000000001</v>
      </c>
      <c r="AC88" s="119">
        <v>1884516</v>
      </c>
      <c r="AD88" s="120">
        <v>1884516</v>
      </c>
      <c r="AE88" s="121">
        <v>1</v>
      </c>
      <c r="AF88" s="120">
        <v>127794800</v>
      </c>
      <c r="AG88" s="120">
        <v>0</v>
      </c>
      <c r="AH88" s="122">
        <v>14.746421607138945</v>
      </c>
      <c r="AI88" s="123"/>
      <c r="AJ88" s="9"/>
      <c r="AK88" s="78" t="s">
        <v>134</v>
      </c>
      <c r="AL88" s="78" t="s">
        <v>134</v>
      </c>
      <c r="AM88" s="122" t="s">
        <v>134</v>
      </c>
      <c r="AN88" s="121">
        <f>IF(Level1[[#This Row],[Standardised_Normalised_Mass_kg/capita/year]]&lt;&gt;"",Level1[[#This Row],[Standardised_Normalised_Mass_kg/capita/year]],Level1[[#This Row],[Derived_Normalised_kg/capita/year]])</f>
        <v>14.746421607138945</v>
      </c>
      <c r="AO88" s="78">
        <f>IF(Level1[[#This Row],[Household]]=1,IF(Level1[[#This Row],[Household_Diary?]]=1,'Cover Sheet'!$R$31,1),1)</f>
        <v>1</v>
      </c>
      <c r="AP88" s="78">
        <f>IF(Level1[[#This Row],[Household]]=1,IF(Level1[[#This Row],[Edible_Waste_Only?]]=1,'Cover Sheet'!$R$32,1),1)</f>
        <v>1</v>
      </c>
      <c r="AQ88" s="78">
        <f>IF(Level1[[#This Row],[Food_Service]]=1,IF(Level1[[#This Row],[Edible_Waste_Only?]]=1,'Cover Sheet'!$R$33,1),1)</f>
        <v>1</v>
      </c>
      <c r="AR88" s="78">
        <f>IF(Level1[[#This Row],[Retail]]=1,IF(Level1[[#This Row],[Edible_Waste_Only?]]=1,'Cover Sheet'!$R$34,1),1)</f>
        <v>1</v>
      </c>
      <c r="AS88" s="78">
        <f>PRODUCT(Level1[[#This Row],[Household_Diary_Adjustment]:[Retail_Inedible_Adjustment]])</f>
        <v>1</v>
      </c>
      <c r="AT88" s="124">
        <f>Level1[[#This Row],[Preferred_estimate_kg/capita]]*Level1[[#This Row],[Total_Adjustment]]</f>
        <v>14.746421607138945</v>
      </c>
    </row>
    <row r="89" spans="1:46">
      <c r="A89" s="125">
        <v>48</v>
      </c>
      <c r="B89" s="126" t="s">
        <v>427</v>
      </c>
      <c r="C89" s="126">
        <v>2017</v>
      </c>
      <c r="D89" s="127" t="s">
        <v>428</v>
      </c>
      <c r="E89" s="128" t="s">
        <v>429</v>
      </c>
      <c r="F89" s="126">
        <v>392</v>
      </c>
      <c r="G89" s="126" t="s">
        <v>233</v>
      </c>
      <c r="H89" s="126" t="s">
        <v>128</v>
      </c>
      <c r="I89" s="9" t="s">
        <v>129</v>
      </c>
      <c r="J89" s="9" t="s">
        <v>130</v>
      </c>
      <c r="K89" s="126"/>
      <c r="L89" s="115">
        <v>126.8603</v>
      </c>
      <c r="M89" s="128"/>
      <c r="N89" s="126"/>
      <c r="O89" s="129">
        <v>1</v>
      </c>
      <c r="P89" s="128" t="s">
        <v>430</v>
      </c>
      <c r="Q89" s="126">
        <v>2</v>
      </c>
      <c r="R89" s="126" t="s">
        <v>431</v>
      </c>
      <c r="S89" s="130"/>
      <c r="T89" s="130"/>
      <c r="U89" s="135">
        <v>2014</v>
      </c>
      <c r="V89" s="132"/>
      <c r="W89" s="126"/>
      <c r="X89" s="141">
        <f>0.6/1.27</f>
        <v>0.47244094488188976</v>
      </c>
      <c r="Y89" s="137" t="s">
        <v>433</v>
      </c>
      <c r="Z89" s="133">
        <f>1.27*(1-(32%*41%))</f>
        <v>1.1033760000000001</v>
      </c>
      <c r="AA89" s="9" t="s">
        <v>229</v>
      </c>
      <c r="AB89" s="119">
        <v>1.1033760000000001</v>
      </c>
      <c r="AC89" s="119">
        <v>1103376.0000000002</v>
      </c>
      <c r="AD89" s="134">
        <v>1103376.0000000002</v>
      </c>
      <c r="AE89" s="121">
        <v>1</v>
      </c>
      <c r="AF89" s="120">
        <v>127794800</v>
      </c>
      <c r="AG89" s="120">
        <v>0</v>
      </c>
      <c r="AH89" s="122">
        <v>8.6339663272684035</v>
      </c>
      <c r="AI89" s="123"/>
      <c r="AJ89" s="126"/>
      <c r="AK89" s="78" t="s">
        <v>134</v>
      </c>
      <c r="AL89" s="78" t="s">
        <v>134</v>
      </c>
      <c r="AM89" s="122" t="s">
        <v>134</v>
      </c>
      <c r="AN89" s="121">
        <f>IF(Level1[[#This Row],[Standardised_Normalised_Mass_kg/capita/year]]&lt;&gt;"",Level1[[#This Row],[Standardised_Normalised_Mass_kg/capita/year]],Level1[[#This Row],[Derived_Normalised_kg/capita/year]])</f>
        <v>8.6339663272684035</v>
      </c>
      <c r="AO89" s="78">
        <f>IF(Level1[[#This Row],[Household]]=1,IF(Level1[[#This Row],[Household_Diary?]]=1,'Cover Sheet'!$R$31,1),1)</f>
        <v>1</v>
      </c>
      <c r="AP89" s="78">
        <f>IF(Level1[[#This Row],[Household]]=1,IF(Level1[[#This Row],[Edible_Waste_Only?]]=1,'Cover Sheet'!$R$32,1),1)</f>
        <v>1</v>
      </c>
      <c r="AQ89" s="78">
        <f>IF(Level1[[#This Row],[Food_Service]]=1,IF(Level1[[#This Row],[Edible_Waste_Only?]]=1,'Cover Sheet'!$R$33,1),1)</f>
        <v>1</v>
      </c>
      <c r="AR89" s="78">
        <f>IF(Level1[[#This Row],[Retail]]=1,IF(Level1[[#This Row],[Edible_Waste_Only?]]=1,'Cover Sheet'!$R$34,1),1)</f>
        <v>1</v>
      </c>
      <c r="AS89" s="78">
        <f>PRODUCT(Level1[[#This Row],[Household_Diary_Adjustment]:[Retail_Inedible_Adjustment]])</f>
        <v>1</v>
      </c>
      <c r="AT89" s="157">
        <f>Level1[[#This Row],[Preferred_estimate_kg/capita]]*Level1[[#This Row],[Total_Adjustment]]</f>
        <v>8.6339663272684035</v>
      </c>
    </row>
    <row r="90" spans="1:46">
      <c r="A90" s="112">
        <v>48</v>
      </c>
      <c r="B90" s="126" t="s">
        <v>427</v>
      </c>
      <c r="C90" s="9">
        <v>2017</v>
      </c>
      <c r="D90" s="113" t="s">
        <v>428</v>
      </c>
      <c r="E90" s="114" t="s">
        <v>429</v>
      </c>
      <c r="F90" s="9">
        <v>392</v>
      </c>
      <c r="G90" s="9" t="s">
        <v>233</v>
      </c>
      <c r="H90" s="9" t="s">
        <v>128</v>
      </c>
      <c r="I90" s="9" t="s">
        <v>129</v>
      </c>
      <c r="J90" s="9" t="s">
        <v>130</v>
      </c>
      <c r="K90" s="9"/>
      <c r="L90" s="115">
        <v>126.8603</v>
      </c>
      <c r="M90" s="114">
        <v>1</v>
      </c>
      <c r="N90" s="9"/>
      <c r="O90" s="115"/>
      <c r="P90" s="114" t="s">
        <v>430</v>
      </c>
      <c r="Q90" s="9">
        <v>2</v>
      </c>
      <c r="R90" s="9" t="s">
        <v>434</v>
      </c>
      <c r="S90" s="10"/>
      <c r="T90" s="10"/>
      <c r="U90" s="138">
        <v>2014</v>
      </c>
      <c r="V90" s="117"/>
      <c r="W90" s="9"/>
      <c r="X90" s="139">
        <f>2.82/8.22</f>
        <v>0.3430656934306569</v>
      </c>
      <c r="Y90" s="140" t="s">
        <v>435</v>
      </c>
      <c r="Z90" s="118">
        <v>8.2200000000000006</v>
      </c>
      <c r="AA90" s="9" t="s">
        <v>229</v>
      </c>
      <c r="AB90" s="119">
        <v>8.2200000000000006</v>
      </c>
      <c r="AC90" s="119">
        <v>8220000.0000000009</v>
      </c>
      <c r="AD90" s="120">
        <v>8220000.0000000009</v>
      </c>
      <c r="AE90" s="121">
        <v>1</v>
      </c>
      <c r="AF90" s="120">
        <v>127794800</v>
      </c>
      <c r="AG90" s="120">
        <v>0</v>
      </c>
      <c r="AH90" s="122">
        <v>64.321865991417496</v>
      </c>
      <c r="AI90" s="123"/>
      <c r="AJ90" s="9"/>
      <c r="AK90" s="78" t="s">
        <v>134</v>
      </c>
      <c r="AL90" s="78" t="s">
        <v>134</v>
      </c>
      <c r="AM90" s="122" t="s">
        <v>134</v>
      </c>
      <c r="AN90" s="121">
        <f>IF(Level1[[#This Row],[Standardised_Normalised_Mass_kg/capita/year]]&lt;&gt;"",Level1[[#This Row],[Standardised_Normalised_Mass_kg/capita/year]],Level1[[#This Row],[Derived_Normalised_kg/capita/year]])</f>
        <v>64.321865991417496</v>
      </c>
      <c r="AO90" s="78">
        <f>IF(Level1[[#This Row],[Household]]=1,IF(Level1[[#This Row],[Household_Diary?]]=1,'Cover Sheet'!$R$31,1),1)</f>
        <v>1</v>
      </c>
      <c r="AP90" s="78">
        <f>IF(Level1[[#This Row],[Household]]=1,IF(Level1[[#This Row],[Edible_Waste_Only?]]=1,'Cover Sheet'!$R$32,1),1)</f>
        <v>1</v>
      </c>
      <c r="AQ90" s="78">
        <f>IF(Level1[[#This Row],[Food_Service]]=1,IF(Level1[[#This Row],[Edible_Waste_Only?]]=1,'Cover Sheet'!$R$33,1),1)</f>
        <v>1</v>
      </c>
      <c r="AR90" s="78">
        <f>IF(Level1[[#This Row],[Retail]]=1,IF(Level1[[#This Row],[Edible_Waste_Only?]]=1,'Cover Sheet'!$R$34,1),1)</f>
        <v>1</v>
      </c>
      <c r="AS90" s="78">
        <f>PRODUCT(Level1[[#This Row],[Household_Diary_Adjustment]:[Retail_Inedible_Adjustment]])</f>
        <v>1</v>
      </c>
      <c r="AT90" s="124">
        <f>Level1[[#This Row],[Preferred_estimate_kg/capita]]*Level1[[#This Row],[Total_Adjustment]]</f>
        <v>64.321865991417496</v>
      </c>
    </row>
    <row r="91" spans="1:46">
      <c r="A91" s="112">
        <v>49</v>
      </c>
      <c r="B91" s="126" t="s">
        <v>436</v>
      </c>
      <c r="C91" s="9">
        <v>2010</v>
      </c>
      <c r="D91" s="113" t="s">
        <v>437</v>
      </c>
      <c r="E91" s="114" t="s">
        <v>438</v>
      </c>
      <c r="F91" s="9">
        <v>404</v>
      </c>
      <c r="G91" s="9" t="s">
        <v>306</v>
      </c>
      <c r="H91" s="9" t="s">
        <v>174</v>
      </c>
      <c r="I91" s="9" t="s">
        <v>181</v>
      </c>
      <c r="J91" s="9" t="s">
        <v>182</v>
      </c>
      <c r="K91" s="9" t="s">
        <v>439</v>
      </c>
      <c r="L91" s="115">
        <v>52.573999999999998</v>
      </c>
      <c r="M91" s="114"/>
      <c r="N91" s="9">
        <v>1</v>
      </c>
      <c r="O91" s="115"/>
      <c r="P91" s="114" t="s">
        <v>131</v>
      </c>
      <c r="Q91" s="9">
        <v>2</v>
      </c>
      <c r="R91" s="9" t="s">
        <v>440</v>
      </c>
      <c r="S91" s="10"/>
      <c r="T91" s="10"/>
      <c r="U91" s="138">
        <v>2009</v>
      </c>
      <c r="V91" s="158">
        <f>AVERAGE(88.88%,85.17%,71.48%)</f>
        <v>0.81843333333333323</v>
      </c>
      <c r="W91" s="9" t="s">
        <v>176</v>
      </c>
      <c r="X91" s="117"/>
      <c r="Y91" s="115"/>
      <c r="Z91" s="118">
        <f>SUM(60116*88.88%,SUM(49000,58600)*85.17%,SUM(68500,91104)*71.48%)</f>
        <v>259158.96</v>
      </c>
      <c r="AA91" s="9" t="s">
        <v>310</v>
      </c>
      <c r="AB91" s="119">
        <v>94657810.140000001</v>
      </c>
      <c r="AC91" s="119">
        <v>94657.810140000001</v>
      </c>
      <c r="AD91" s="120">
        <v>94657.810140000001</v>
      </c>
      <c r="AE91" s="121">
        <v>1</v>
      </c>
      <c r="AF91" s="120">
        <v>0</v>
      </c>
      <c r="AG91" s="120">
        <v>3040000</v>
      </c>
      <c r="AH91" s="122">
        <v>31.137437546052631</v>
      </c>
      <c r="AI91" s="123"/>
      <c r="AJ91" s="9"/>
      <c r="AK91" s="78" t="s">
        <v>134</v>
      </c>
      <c r="AL91" s="78" t="s">
        <v>134</v>
      </c>
      <c r="AM91" s="122" t="s">
        <v>134</v>
      </c>
      <c r="AN91" s="121">
        <f>IF(Level1[[#This Row],[Standardised_Normalised_Mass_kg/capita/year]]&lt;&gt;"",Level1[[#This Row],[Standardised_Normalised_Mass_kg/capita/year]],Level1[[#This Row],[Derived_Normalised_kg/capita/year]])</f>
        <v>31.137437546052631</v>
      </c>
      <c r="AO91" s="78">
        <f>IF(Level1[[#This Row],[Household]]=1,IF(Level1[[#This Row],[Household_Diary?]]=1,'Cover Sheet'!$R$31,1),1)</f>
        <v>1</v>
      </c>
      <c r="AP91" s="78">
        <f>IF(Level1[[#This Row],[Household]]=1,IF(Level1[[#This Row],[Edible_Waste_Only?]]=1,'Cover Sheet'!$R$32,1),1)</f>
        <v>1</v>
      </c>
      <c r="AQ91" s="78">
        <f>IF(Level1[[#This Row],[Food_Service]]=1,IF(Level1[[#This Row],[Edible_Waste_Only?]]=1,'Cover Sheet'!$R$33,1),1)</f>
        <v>1</v>
      </c>
      <c r="AR91" s="78">
        <f>IF(Level1[[#This Row],[Retail]]=1,IF(Level1[[#This Row],[Edible_Waste_Only?]]=1,'Cover Sheet'!$R$34,1),1)</f>
        <v>1</v>
      </c>
      <c r="AS91" s="78">
        <f>PRODUCT(Level1[[#This Row],[Household_Diary_Adjustment]:[Retail_Inedible_Adjustment]])</f>
        <v>1</v>
      </c>
      <c r="AT91" s="124">
        <f>Level1[[#This Row],[Preferred_estimate_kg/capita]]*Level1[[#This Row],[Total_Adjustment]]</f>
        <v>31.137437546052631</v>
      </c>
    </row>
    <row r="92" spans="1:46">
      <c r="A92" s="125">
        <v>49</v>
      </c>
      <c r="B92" s="126" t="s">
        <v>436</v>
      </c>
      <c r="C92" s="126">
        <v>2010</v>
      </c>
      <c r="D92" s="127" t="s">
        <v>437</v>
      </c>
      <c r="E92" s="128" t="s">
        <v>438</v>
      </c>
      <c r="F92" s="126">
        <v>404</v>
      </c>
      <c r="G92" s="126" t="s">
        <v>306</v>
      </c>
      <c r="H92" s="126" t="s">
        <v>174</v>
      </c>
      <c r="I92" s="9" t="s">
        <v>181</v>
      </c>
      <c r="J92" s="9" t="s">
        <v>182</v>
      </c>
      <c r="K92" s="126" t="s">
        <v>439</v>
      </c>
      <c r="L92" s="115">
        <v>52.573999999999998</v>
      </c>
      <c r="M92" s="128">
        <v>1</v>
      </c>
      <c r="N92" s="126"/>
      <c r="O92" s="129"/>
      <c r="P92" s="128" t="s">
        <v>131</v>
      </c>
      <c r="Q92" s="126">
        <v>2</v>
      </c>
      <c r="R92" s="126" t="s">
        <v>441</v>
      </c>
      <c r="S92" s="130"/>
      <c r="T92" s="130"/>
      <c r="U92" s="135">
        <v>2009</v>
      </c>
      <c r="V92" s="132">
        <f>AVERAGE(66.38,65.95,58.94)%</f>
        <v>0.63756666666666661</v>
      </c>
      <c r="W92" s="126" t="s">
        <v>176</v>
      </c>
      <c r="X92" s="141"/>
      <c r="Y92" s="137"/>
      <c r="Z92" s="133">
        <f>SUM(246635*66.38%,505076*65.95%,566670*58.94%)</f>
        <v>830809.23299999989</v>
      </c>
      <c r="AA92" s="9" t="s">
        <v>442</v>
      </c>
      <c r="AB92" s="119">
        <v>303453072.35324997</v>
      </c>
      <c r="AC92" s="119">
        <v>303453.07235325</v>
      </c>
      <c r="AD92" s="134">
        <v>303453.07235325</v>
      </c>
      <c r="AE92" s="121">
        <v>0</v>
      </c>
      <c r="AF92" s="120">
        <v>0</v>
      </c>
      <c r="AG92" s="120">
        <v>3040000</v>
      </c>
      <c r="AH92" s="122">
        <v>0</v>
      </c>
      <c r="AI92" s="123">
        <f>SUM((0.621*66.38%)*(397362/SUM(397362,1066393,1576245)),(0.474*65.95%)*(1066393/SUM(397362,1066393,1576245)),(0.36*58.94%)*(1576245/SUM(397362,1066393,1576245)))</f>
        <v>0.27355661323243419</v>
      </c>
      <c r="AJ92" s="126" t="s">
        <v>185</v>
      </c>
      <c r="AK92" s="78">
        <v>0.27355661323243419</v>
      </c>
      <c r="AL92" s="78">
        <v>99.916552983146588</v>
      </c>
      <c r="AM92" s="122">
        <v>99.916552983146588</v>
      </c>
      <c r="AN92" s="121">
        <f>IF(Level1[[#This Row],[Standardised_Normalised_Mass_kg/capita/year]]&lt;&gt;"",Level1[[#This Row],[Standardised_Normalised_Mass_kg/capita/year]],Level1[[#This Row],[Derived_Normalised_kg/capita/year]])</f>
        <v>99.916552983146588</v>
      </c>
      <c r="AO92" s="78">
        <f>IF(Level1[[#This Row],[Household]]=1,IF(Level1[[#This Row],[Household_Diary?]]=1,'Cover Sheet'!$R$31,1),1)</f>
        <v>1</v>
      </c>
      <c r="AP92" s="78">
        <f>IF(Level1[[#This Row],[Household]]=1,IF(Level1[[#This Row],[Edible_Waste_Only?]]=1,'Cover Sheet'!$R$32,1),1)</f>
        <v>1</v>
      </c>
      <c r="AQ92" s="78">
        <f>IF(Level1[[#This Row],[Food_Service]]=1,IF(Level1[[#This Row],[Edible_Waste_Only?]]=1,'Cover Sheet'!$R$33,1),1)</f>
        <v>1</v>
      </c>
      <c r="AR92" s="78">
        <f>IF(Level1[[#This Row],[Retail]]=1,IF(Level1[[#This Row],[Edible_Waste_Only?]]=1,'Cover Sheet'!$R$34,1),1)</f>
        <v>1</v>
      </c>
      <c r="AS92" s="78">
        <f>PRODUCT(Level1[[#This Row],[Household_Diary_Adjustment]:[Retail_Inedible_Adjustment]])</f>
        <v>1</v>
      </c>
      <c r="AT92" s="157">
        <f>Level1[[#This Row],[Preferred_estimate_kg/capita]]*Level1[[#This Row],[Total_Adjustment]]</f>
        <v>99.916552983146588</v>
      </c>
    </row>
    <row r="93" spans="1:46">
      <c r="A93" s="125">
        <v>49</v>
      </c>
      <c r="B93" s="126" t="s">
        <v>436</v>
      </c>
      <c r="C93" s="126">
        <v>2010</v>
      </c>
      <c r="D93" s="127" t="s">
        <v>437</v>
      </c>
      <c r="E93" s="128" t="s">
        <v>438</v>
      </c>
      <c r="F93" s="126">
        <v>404</v>
      </c>
      <c r="G93" s="126" t="s">
        <v>306</v>
      </c>
      <c r="H93" s="126" t="s">
        <v>174</v>
      </c>
      <c r="I93" s="9" t="s">
        <v>181</v>
      </c>
      <c r="J93" s="9" t="s">
        <v>182</v>
      </c>
      <c r="K93" s="126" t="s">
        <v>439</v>
      </c>
      <c r="L93" s="115">
        <v>52.573999999999998</v>
      </c>
      <c r="M93" s="128"/>
      <c r="N93" s="126"/>
      <c r="O93" s="129">
        <v>1</v>
      </c>
      <c r="P93" s="128" t="s">
        <v>131</v>
      </c>
      <c r="Q93" s="126">
        <v>2</v>
      </c>
      <c r="R93" s="126" t="s">
        <v>443</v>
      </c>
      <c r="S93" s="130"/>
      <c r="T93" s="130"/>
      <c r="U93" s="135">
        <v>2009</v>
      </c>
      <c r="V93" s="132">
        <f>AVERAGE(46.15%,89.1%)</f>
        <v>0.67624999999999991</v>
      </c>
      <c r="W93" s="126" t="s">
        <v>176</v>
      </c>
      <c r="X93" s="141"/>
      <c r="Y93" s="137"/>
      <c r="Z93" s="133">
        <f>SUM(23970.5*46.15%,90000*89.1%)</f>
        <v>91252.385749999987</v>
      </c>
      <c r="AA93" s="9" t="s">
        <v>310</v>
      </c>
      <c r="AB93" s="119">
        <v>33329933.895187493</v>
      </c>
      <c r="AC93" s="119">
        <v>33329.933895187496</v>
      </c>
      <c r="AD93" s="134">
        <v>33329.933895187496</v>
      </c>
      <c r="AE93" s="121">
        <v>1</v>
      </c>
      <c r="AF93" s="120">
        <v>0</v>
      </c>
      <c r="AG93" s="120">
        <v>3040000</v>
      </c>
      <c r="AH93" s="122">
        <v>10.963794044469571</v>
      </c>
      <c r="AI93" s="123"/>
      <c r="AJ93" s="126"/>
      <c r="AK93" s="78" t="s">
        <v>134</v>
      </c>
      <c r="AL93" s="78" t="s">
        <v>134</v>
      </c>
      <c r="AM93" s="122" t="s">
        <v>134</v>
      </c>
      <c r="AN93" s="121">
        <f>IF(Level1[[#This Row],[Standardised_Normalised_Mass_kg/capita/year]]&lt;&gt;"",Level1[[#This Row],[Standardised_Normalised_Mass_kg/capita/year]],Level1[[#This Row],[Derived_Normalised_kg/capita/year]])</f>
        <v>10.963794044469571</v>
      </c>
      <c r="AO93" s="78">
        <f>IF(Level1[[#This Row],[Household]]=1,IF(Level1[[#This Row],[Household_Diary?]]=1,'Cover Sheet'!$R$31,1),1)</f>
        <v>1</v>
      </c>
      <c r="AP93" s="78">
        <f>IF(Level1[[#This Row],[Household]]=1,IF(Level1[[#This Row],[Edible_Waste_Only?]]=1,'Cover Sheet'!$R$32,1),1)</f>
        <v>1</v>
      </c>
      <c r="AQ93" s="78">
        <f>IF(Level1[[#This Row],[Food_Service]]=1,IF(Level1[[#This Row],[Edible_Waste_Only?]]=1,'Cover Sheet'!$R$33,1),1)</f>
        <v>1</v>
      </c>
      <c r="AR93" s="78">
        <f>IF(Level1[[#This Row],[Retail]]=1,IF(Level1[[#This Row],[Edible_Waste_Only?]]=1,'Cover Sheet'!$R$34,1),1)</f>
        <v>1</v>
      </c>
      <c r="AS93" s="78">
        <f>PRODUCT(Level1[[#This Row],[Household_Diary_Adjustment]:[Retail_Inedible_Adjustment]])</f>
        <v>1</v>
      </c>
      <c r="AT93" s="124">
        <f>Level1[[#This Row],[Preferred_estimate_kg/capita]]*Level1[[#This Row],[Total_Adjustment]]</f>
        <v>10.963794044469571</v>
      </c>
    </row>
    <row r="94" spans="1:46">
      <c r="A94" s="112">
        <v>50</v>
      </c>
      <c r="B94" s="126" t="s">
        <v>444</v>
      </c>
      <c r="C94" s="9">
        <v>2019</v>
      </c>
      <c r="D94" s="115" t="s">
        <v>445</v>
      </c>
      <c r="E94" s="114" t="s">
        <v>438</v>
      </c>
      <c r="F94" s="9">
        <v>404</v>
      </c>
      <c r="G94" s="9" t="s">
        <v>306</v>
      </c>
      <c r="H94" s="9" t="s">
        <v>174</v>
      </c>
      <c r="I94" s="9" t="s">
        <v>181</v>
      </c>
      <c r="J94" s="9" t="s">
        <v>182</v>
      </c>
      <c r="K94" s="9" t="s">
        <v>439</v>
      </c>
      <c r="L94" s="115">
        <v>52.573999999999998</v>
      </c>
      <c r="M94" s="114">
        <v>1</v>
      </c>
      <c r="N94" s="9"/>
      <c r="O94" s="115"/>
      <c r="P94" s="114" t="s">
        <v>131</v>
      </c>
      <c r="Q94" s="9">
        <v>2</v>
      </c>
      <c r="R94" s="9" t="s">
        <v>446</v>
      </c>
      <c r="S94" s="10"/>
      <c r="T94" s="10"/>
      <c r="U94" s="138"/>
      <c r="V94" s="117">
        <f>(55%*13%)+(54%*35%)+(58%*52%)</f>
        <v>0.56210000000000004</v>
      </c>
      <c r="W94" s="9" t="s">
        <v>176</v>
      </c>
      <c r="X94" s="139"/>
      <c r="Y94" s="140"/>
      <c r="Z94" s="118">
        <v>1259</v>
      </c>
      <c r="AA94" s="9" t="s">
        <v>193</v>
      </c>
      <c r="AB94" s="119">
        <v>459849.75</v>
      </c>
      <c r="AC94" s="119">
        <v>459849.75</v>
      </c>
      <c r="AD94" s="120">
        <v>459849.75</v>
      </c>
      <c r="AE94" s="121">
        <v>0</v>
      </c>
      <c r="AF94" s="120">
        <v>0</v>
      </c>
      <c r="AG94" s="120">
        <v>0</v>
      </c>
      <c r="AH94" s="122">
        <v>0</v>
      </c>
      <c r="AI94" s="123">
        <f>SUM((0.62*55%*13%),(0.89*54%*35%),(0.19*58%*52%))</f>
        <v>0.26984400000000003</v>
      </c>
      <c r="AJ94" s="9" t="s">
        <v>185</v>
      </c>
      <c r="AK94" s="78">
        <v>0.26984400000000003</v>
      </c>
      <c r="AL94" s="78">
        <v>98.560521000000008</v>
      </c>
      <c r="AM94" s="122">
        <v>98.560521000000008</v>
      </c>
      <c r="AN94" s="121">
        <f>IF(Level1[[#This Row],[Standardised_Normalised_Mass_kg/capita/year]]&lt;&gt;"",Level1[[#This Row],[Standardised_Normalised_Mass_kg/capita/year]],Level1[[#This Row],[Derived_Normalised_kg/capita/year]])</f>
        <v>98.560521000000008</v>
      </c>
      <c r="AO94" s="78">
        <f>IF(Level1[[#This Row],[Household]]=1,IF(Level1[[#This Row],[Household_Diary?]]=1,'Cover Sheet'!$R$31,1),1)</f>
        <v>1</v>
      </c>
      <c r="AP94" s="78">
        <f>IF(Level1[[#This Row],[Household]]=1,IF(Level1[[#This Row],[Edible_Waste_Only?]]=1,'Cover Sheet'!$R$32,1),1)</f>
        <v>1</v>
      </c>
      <c r="AQ94" s="78">
        <f>IF(Level1[[#This Row],[Food_Service]]=1,IF(Level1[[#This Row],[Edible_Waste_Only?]]=1,'Cover Sheet'!$R$33,1),1)</f>
        <v>1</v>
      </c>
      <c r="AR94" s="78">
        <f>IF(Level1[[#This Row],[Retail]]=1,IF(Level1[[#This Row],[Edible_Waste_Only?]]=1,'Cover Sheet'!$R$34,1),1)</f>
        <v>1</v>
      </c>
      <c r="AS94" s="78">
        <f>PRODUCT(Level1[[#This Row],[Household_Diary_Adjustment]:[Retail_Inedible_Adjustment]])</f>
        <v>1</v>
      </c>
      <c r="AT94" s="124">
        <f>Level1[[#This Row],[Preferred_estimate_kg/capita]]*Level1[[#This Row],[Total_Adjustment]]</f>
        <v>98.560521000000008</v>
      </c>
    </row>
    <row r="95" spans="1:46">
      <c r="A95" s="125">
        <v>51</v>
      </c>
      <c r="B95" s="126" t="s">
        <v>447</v>
      </c>
      <c r="C95" s="126">
        <v>2019</v>
      </c>
      <c r="D95" s="129" t="s">
        <v>448</v>
      </c>
      <c r="E95" s="128" t="s">
        <v>449</v>
      </c>
      <c r="F95" s="126">
        <v>422</v>
      </c>
      <c r="G95" s="126" t="s">
        <v>173</v>
      </c>
      <c r="H95" s="126" t="s">
        <v>174</v>
      </c>
      <c r="I95" s="9" t="s">
        <v>210</v>
      </c>
      <c r="J95" s="9" t="s">
        <v>182</v>
      </c>
      <c r="K95" s="126" t="s">
        <v>450</v>
      </c>
      <c r="L95" s="115">
        <v>6.8556999999999997</v>
      </c>
      <c r="M95" s="128">
        <v>1</v>
      </c>
      <c r="N95" s="126"/>
      <c r="O95" s="129"/>
      <c r="P95" s="128" t="s">
        <v>222</v>
      </c>
      <c r="Q95" s="126">
        <v>2</v>
      </c>
      <c r="R95" s="126" t="s">
        <v>451</v>
      </c>
      <c r="S95" s="130">
        <v>1</v>
      </c>
      <c r="T95" s="130"/>
      <c r="U95" s="135">
        <v>2016</v>
      </c>
      <c r="V95" s="132"/>
      <c r="W95" s="126"/>
      <c r="X95" s="132"/>
      <c r="Y95" s="129"/>
      <c r="Z95" s="133"/>
      <c r="AA95" s="9"/>
      <c r="AB95" s="119" t="s">
        <v>134</v>
      </c>
      <c r="AC95" s="119" t="s">
        <v>134</v>
      </c>
      <c r="AD95" s="134" t="s">
        <v>134</v>
      </c>
      <c r="AE95" s="121">
        <v>0</v>
      </c>
      <c r="AF95" s="120">
        <v>0</v>
      </c>
      <c r="AG95" s="120">
        <v>0</v>
      </c>
      <c r="AH95" s="122">
        <v>0</v>
      </c>
      <c r="AI95" s="123">
        <v>0.2</v>
      </c>
      <c r="AJ95" s="126" t="s">
        <v>185</v>
      </c>
      <c r="AK95" s="78">
        <v>0.2</v>
      </c>
      <c r="AL95" s="78">
        <v>73.05</v>
      </c>
      <c r="AM95" s="122">
        <v>73.05</v>
      </c>
      <c r="AN95" s="121">
        <f>IF(Level1[[#This Row],[Standardised_Normalised_Mass_kg/capita/year]]&lt;&gt;"",Level1[[#This Row],[Standardised_Normalised_Mass_kg/capita/year]],Level1[[#This Row],[Derived_Normalised_kg/capita/year]])</f>
        <v>73.05</v>
      </c>
      <c r="AO95" s="78">
        <f>IF(Level1[[#This Row],[Household]]=1,IF(Level1[[#This Row],[Household_Diary?]]=1,'Cover Sheet'!$R$31,1),1)</f>
        <v>1.4326647564469914</v>
      </c>
      <c r="AP95" s="78">
        <f>IF(Level1[[#This Row],[Household]]=1,IF(Level1[[#This Row],[Edible_Waste_Only?]]=1,'Cover Sheet'!$R$32,1),1)</f>
        <v>1</v>
      </c>
      <c r="AQ95" s="78">
        <f>IF(Level1[[#This Row],[Food_Service]]=1,IF(Level1[[#This Row],[Edible_Waste_Only?]]=1,'Cover Sheet'!$R$33,1),1)</f>
        <v>1</v>
      </c>
      <c r="AR95" s="78">
        <f>IF(Level1[[#This Row],[Retail]]=1,IF(Level1[[#This Row],[Edible_Waste_Only?]]=1,'Cover Sheet'!$R$34,1),1)</f>
        <v>1</v>
      </c>
      <c r="AS95" s="78">
        <f>PRODUCT(Level1[[#This Row],[Household_Diary_Adjustment]:[Retail_Inedible_Adjustment]])</f>
        <v>1.4326647564469914</v>
      </c>
      <c r="AT95" s="124">
        <f>Level1[[#This Row],[Preferred_estimate_kg/capita]]*Level1[[#This Row],[Total_Adjustment]]</f>
        <v>104.65616045845272</v>
      </c>
    </row>
    <row r="96" spans="1:46">
      <c r="A96" s="112">
        <v>52</v>
      </c>
      <c r="B96" s="126" t="s">
        <v>452</v>
      </c>
      <c r="C96" s="9">
        <v>2020</v>
      </c>
      <c r="D96" s="113" t="s">
        <v>453</v>
      </c>
      <c r="E96" s="114" t="s">
        <v>157</v>
      </c>
      <c r="F96" s="9">
        <v>442</v>
      </c>
      <c r="G96" s="9" t="s">
        <v>141</v>
      </c>
      <c r="H96" s="9" t="s">
        <v>128</v>
      </c>
      <c r="I96" s="9" t="s">
        <v>129</v>
      </c>
      <c r="J96" s="9" t="s">
        <v>130</v>
      </c>
      <c r="K96" s="9"/>
      <c r="L96" s="115">
        <v>0.61570000000000003</v>
      </c>
      <c r="M96" s="114"/>
      <c r="N96" s="9"/>
      <c r="O96" s="115">
        <v>1</v>
      </c>
      <c r="P96" s="114" t="s">
        <v>203</v>
      </c>
      <c r="Q96" s="9">
        <v>2</v>
      </c>
      <c r="R96" s="9" t="s">
        <v>454</v>
      </c>
      <c r="S96" s="10"/>
      <c r="T96" s="10"/>
      <c r="U96" s="138">
        <v>2019</v>
      </c>
      <c r="V96" s="117"/>
      <c r="W96" s="9"/>
      <c r="X96" s="139">
        <f>7.85/Level1[[#This Row],[Normalised_Mass_Estimate]]</f>
        <v>0.90229885057471271</v>
      </c>
      <c r="Y96" s="140" t="s">
        <v>455</v>
      </c>
      <c r="Z96" s="118">
        <v>5150</v>
      </c>
      <c r="AA96" s="9" t="s">
        <v>133</v>
      </c>
      <c r="AB96" s="119">
        <v>5150</v>
      </c>
      <c r="AC96" s="119">
        <v>5150</v>
      </c>
      <c r="AD96" s="120">
        <v>5150</v>
      </c>
      <c r="AE96" s="121">
        <v>0</v>
      </c>
      <c r="AF96" s="120">
        <v>0</v>
      </c>
      <c r="AG96" s="120">
        <v>0</v>
      </c>
      <c r="AH96" s="122">
        <v>0</v>
      </c>
      <c r="AI96" s="123">
        <v>8.6999999999999993</v>
      </c>
      <c r="AJ96" s="9" t="s">
        <v>147</v>
      </c>
      <c r="AK96" s="78">
        <v>8.6999999999999993</v>
      </c>
      <c r="AL96" s="78">
        <v>8.6999999999999993</v>
      </c>
      <c r="AM96" s="122">
        <v>8.6999999999999993</v>
      </c>
      <c r="AN96" s="121">
        <f>IF(Level1[[#This Row],[Standardised_Normalised_Mass_kg/capita/year]]&lt;&gt;"",Level1[[#This Row],[Standardised_Normalised_Mass_kg/capita/year]],Level1[[#This Row],[Derived_Normalised_kg/capita/year]])</f>
        <v>8.6999999999999993</v>
      </c>
      <c r="AO96" s="78">
        <f>IF(Level1[[#This Row],[Household]]=1,IF(Level1[[#This Row],[Household_Diary?]]=1,'Cover Sheet'!$R$31,1),1)</f>
        <v>1</v>
      </c>
      <c r="AP96" s="78">
        <f>IF(Level1[[#This Row],[Household]]=1,IF(Level1[[#This Row],[Edible_Waste_Only?]]=1,'Cover Sheet'!$R$32,1),1)</f>
        <v>1</v>
      </c>
      <c r="AQ96" s="78">
        <f>IF(Level1[[#This Row],[Food_Service]]=1,IF(Level1[[#This Row],[Edible_Waste_Only?]]=1,'Cover Sheet'!$R$33,1),1)</f>
        <v>1</v>
      </c>
      <c r="AR96" s="78">
        <f>IF(Level1[[#This Row],[Retail]]=1,IF(Level1[[#This Row],[Edible_Waste_Only?]]=1,'Cover Sheet'!$R$34,1),1)</f>
        <v>1</v>
      </c>
      <c r="AS96" s="78">
        <f>PRODUCT(Level1[[#This Row],[Household_Diary_Adjustment]:[Retail_Inedible_Adjustment]])</f>
        <v>1</v>
      </c>
      <c r="AT96" s="124">
        <f>Level1[[#This Row],[Preferred_estimate_kg/capita]]*Level1[[#This Row],[Total_Adjustment]]</f>
        <v>8.6999999999999993</v>
      </c>
    </row>
    <row r="97" spans="1:46">
      <c r="A97" s="125">
        <v>52</v>
      </c>
      <c r="B97" s="126" t="s">
        <v>452</v>
      </c>
      <c r="C97" s="126">
        <v>2020</v>
      </c>
      <c r="D97" s="127" t="s">
        <v>453</v>
      </c>
      <c r="E97" s="128" t="s">
        <v>157</v>
      </c>
      <c r="F97" s="126">
        <v>442</v>
      </c>
      <c r="G97" s="126" t="s">
        <v>141</v>
      </c>
      <c r="H97" s="126" t="s">
        <v>128</v>
      </c>
      <c r="I97" s="9" t="s">
        <v>129</v>
      </c>
      <c r="J97" s="9" t="s">
        <v>130</v>
      </c>
      <c r="K97" s="126"/>
      <c r="L97" s="115">
        <v>0.61570000000000003</v>
      </c>
      <c r="M97" s="128"/>
      <c r="N97" s="126">
        <v>1</v>
      </c>
      <c r="O97" s="129"/>
      <c r="P97" s="128" t="s">
        <v>203</v>
      </c>
      <c r="Q97" s="126">
        <v>2</v>
      </c>
      <c r="R97" s="126" t="s">
        <v>454</v>
      </c>
      <c r="S97" s="130"/>
      <c r="T97" s="130"/>
      <c r="U97" s="135">
        <v>2019</v>
      </c>
      <c r="V97" s="132"/>
      <c r="W97" s="126"/>
      <c r="X97" s="141">
        <f>SUM(7.1,9.6)/Level1[[#This Row],[Normalised_Mass_Estimate]]</f>
        <v>0.799043062200957</v>
      </c>
      <c r="Y97" s="137" t="s">
        <v>456</v>
      </c>
      <c r="Z97" s="133">
        <f>SUM(5250,7100)</f>
        <v>12350</v>
      </c>
      <c r="AA97" s="9" t="s">
        <v>133</v>
      </c>
      <c r="AB97" s="119">
        <v>12350</v>
      </c>
      <c r="AC97" s="119">
        <v>12350</v>
      </c>
      <c r="AD97" s="134">
        <v>12350</v>
      </c>
      <c r="AE97" s="121">
        <v>0</v>
      </c>
      <c r="AF97" s="120">
        <v>0</v>
      </c>
      <c r="AG97" s="120">
        <v>0</v>
      </c>
      <c r="AH97" s="122">
        <v>0</v>
      </c>
      <c r="AI97" s="123">
        <f>SUM(8.9,12)</f>
        <v>20.9</v>
      </c>
      <c r="AJ97" s="126" t="s">
        <v>147</v>
      </c>
      <c r="AK97" s="78">
        <v>20.9</v>
      </c>
      <c r="AL97" s="78">
        <v>20.9</v>
      </c>
      <c r="AM97" s="122">
        <v>20.9</v>
      </c>
      <c r="AN97" s="121">
        <f>IF(Level1[[#This Row],[Standardised_Normalised_Mass_kg/capita/year]]&lt;&gt;"",Level1[[#This Row],[Standardised_Normalised_Mass_kg/capita/year]],Level1[[#This Row],[Derived_Normalised_kg/capita/year]])</f>
        <v>20.9</v>
      </c>
      <c r="AO97" s="78">
        <f>IF(Level1[[#This Row],[Household]]=1,IF(Level1[[#This Row],[Household_Diary?]]=1,'Cover Sheet'!$R$31,1),1)</f>
        <v>1</v>
      </c>
      <c r="AP97" s="78">
        <f>IF(Level1[[#This Row],[Household]]=1,IF(Level1[[#This Row],[Edible_Waste_Only?]]=1,'Cover Sheet'!$R$32,1),1)</f>
        <v>1</v>
      </c>
      <c r="AQ97" s="78">
        <f>IF(Level1[[#This Row],[Food_Service]]=1,IF(Level1[[#This Row],[Edible_Waste_Only?]]=1,'Cover Sheet'!$R$33,1),1)</f>
        <v>1</v>
      </c>
      <c r="AR97" s="78">
        <f>IF(Level1[[#This Row],[Retail]]=1,IF(Level1[[#This Row],[Edible_Waste_Only?]]=1,'Cover Sheet'!$R$34,1),1)</f>
        <v>1</v>
      </c>
      <c r="AS97" s="78">
        <f>PRODUCT(Level1[[#This Row],[Household_Diary_Adjustment]:[Retail_Inedible_Adjustment]])</f>
        <v>1</v>
      </c>
      <c r="AT97" s="124">
        <f>Level1[[#This Row],[Preferred_estimate_kg/capita]]*Level1[[#This Row],[Total_Adjustment]]</f>
        <v>20.9</v>
      </c>
    </row>
    <row r="98" spans="1:46">
      <c r="A98" s="125">
        <v>52</v>
      </c>
      <c r="B98" s="126" t="s">
        <v>452</v>
      </c>
      <c r="C98" s="126">
        <v>2020</v>
      </c>
      <c r="D98" s="127" t="s">
        <v>453</v>
      </c>
      <c r="E98" s="128" t="s">
        <v>157</v>
      </c>
      <c r="F98" s="126">
        <v>442</v>
      </c>
      <c r="G98" s="126" t="s">
        <v>141</v>
      </c>
      <c r="H98" s="126" t="s">
        <v>128</v>
      </c>
      <c r="I98" s="9" t="s">
        <v>129</v>
      </c>
      <c r="J98" s="9" t="s">
        <v>130</v>
      </c>
      <c r="K98" s="126"/>
      <c r="L98" s="115">
        <v>0.61570000000000003</v>
      </c>
      <c r="M98" s="128">
        <v>1</v>
      </c>
      <c r="N98" s="126"/>
      <c r="O98" s="129"/>
      <c r="P98" s="128" t="s">
        <v>203</v>
      </c>
      <c r="Q98" s="126">
        <v>2</v>
      </c>
      <c r="R98" s="126" t="s">
        <v>457</v>
      </c>
      <c r="S98" s="130"/>
      <c r="T98" s="130"/>
      <c r="U98" s="135">
        <v>2019</v>
      </c>
      <c r="V98" s="132"/>
      <c r="W98" s="126"/>
      <c r="X98" s="141">
        <f>31%</f>
        <v>0.31</v>
      </c>
      <c r="Y98" s="137" t="s">
        <v>458</v>
      </c>
      <c r="Z98" s="133">
        <v>53270</v>
      </c>
      <c r="AA98" s="9" t="s">
        <v>133</v>
      </c>
      <c r="AB98" s="119">
        <v>53270</v>
      </c>
      <c r="AC98" s="119">
        <v>53270</v>
      </c>
      <c r="AD98" s="134">
        <v>53270</v>
      </c>
      <c r="AE98" s="121">
        <v>0</v>
      </c>
      <c r="AF98" s="120">
        <v>0</v>
      </c>
      <c r="AG98" s="120">
        <v>0</v>
      </c>
      <c r="AH98" s="122">
        <v>0</v>
      </c>
      <c r="AI98" s="123">
        <v>88.5</v>
      </c>
      <c r="AJ98" s="126" t="s">
        <v>147</v>
      </c>
      <c r="AK98" s="78">
        <v>88.5</v>
      </c>
      <c r="AL98" s="78">
        <v>88.5</v>
      </c>
      <c r="AM98" s="122">
        <v>88.5</v>
      </c>
      <c r="AN98" s="121">
        <f>IF(Level1[[#This Row],[Standardised_Normalised_Mass_kg/capita/year]]&lt;&gt;"",Level1[[#This Row],[Standardised_Normalised_Mass_kg/capita/year]],Level1[[#This Row],[Derived_Normalised_kg/capita/year]])</f>
        <v>88.5</v>
      </c>
      <c r="AO98" s="78">
        <f>IF(Level1[[#This Row],[Household]]=1,IF(Level1[[#This Row],[Household_Diary?]]=1,'Cover Sheet'!$R$31,1),1)</f>
        <v>1</v>
      </c>
      <c r="AP98" s="78">
        <f>IF(Level1[[#This Row],[Household]]=1,IF(Level1[[#This Row],[Edible_Waste_Only?]]=1,'Cover Sheet'!$R$32,1),1)</f>
        <v>1</v>
      </c>
      <c r="AQ98" s="78">
        <f>IF(Level1[[#This Row],[Food_Service]]=1,IF(Level1[[#This Row],[Edible_Waste_Only?]]=1,'Cover Sheet'!$R$33,1),1)</f>
        <v>1</v>
      </c>
      <c r="AR98" s="78">
        <f>IF(Level1[[#This Row],[Retail]]=1,IF(Level1[[#This Row],[Edible_Waste_Only?]]=1,'Cover Sheet'!$R$34,1),1)</f>
        <v>1</v>
      </c>
      <c r="AS98" s="78">
        <f>PRODUCT(Level1[[#This Row],[Household_Diary_Adjustment]:[Retail_Inedible_Adjustment]])</f>
        <v>1</v>
      </c>
      <c r="AT98" s="124">
        <f>Level1[[#This Row],[Preferred_estimate_kg/capita]]*Level1[[#This Row],[Total_Adjustment]]</f>
        <v>88.5</v>
      </c>
    </row>
    <row r="99" spans="1:46">
      <c r="A99" s="112">
        <v>53</v>
      </c>
      <c r="B99" s="126" t="s">
        <v>459</v>
      </c>
      <c r="C99" s="9">
        <v>2013</v>
      </c>
      <c r="D99" s="113" t="s">
        <v>460</v>
      </c>
      <c r="E99" s="114" t="s">
        <v>461</v>
      </c>
      <c r="F99" s="9">
        <v>458</v>
      </c>
      <c r="G99" s="9" t="s">
        <v>383</v>
      </c>
      <c r="H99" s="9" t="s">
        <v>174</v>
      </c>
      <c r="I99" s="9" t="s">
        <v>210</v>
      </c>
      <c r="J99" s="9" t="s">
        <v>130</v>
      </c>
      <c r="K99" s="9"/>
      <c r="L99" s="115">
        <v>31.9498</v>
      </c>
      <c r="M99" s="114">
        <v>1</v>
      </c>
      <c r="N99" s="9"/>
      <c r="O99" s="115"/>
      <c r="P99" s="114" t="s">
        <v>151</v>
      </c>
      <c r="Q99" s="9">
        <v>2</v>
      </c>
      <c r="R99" s="9" t="s">
        <v>462</v>
      </c>
      <c r="S99" s="10"/>
      <c r="T99" s="10"/>
      <c r="U99" s="138">
        <v>2011</v>
      </c>
      <c r="V99" s="117"/>
      <c r="W99" s="9"/>
      <c r="X99" s="139"/>
      <c r="Y99" s="140"/>
      <c r="Z99" s="118">
        <v>3192404</v>
      </c>
      <c r="AA99" s="9" t="s">
        <v>133</v>
      </c>
      <c r="AB99" s="119">
        <v>3192404</v>
      </c>
      <c r="AC99" s="119">
        <v>3192404</v>
      </c>
      <c r="AD99" s="120">
        <v>3192404</v>
      </c>
      <c r="AE99" s="121">
        <v>1</v>
      </c>
      <c r="AF99" s="120">
        <v>28621800</v>
      </c>
      <c r="AG99" s="120">
        <v>0</v>
      </c>
      <c r="AH99" s="122">
        <v>111.53749938857794</v>
      </c>
      <c r="AI99" s="123"/>
      <c r="AJ99" s="9"/>
      <c r="AK99" s="78" t="s">
        <v>134</v>
      </c>
      <c r="AL99" s="78" t="s">
        <v>134</v>
      </c>
      <c r="AM99" s="122" t="s">
        <v>134</v>
      </c>
      <c r="AN99" s="121">
        <f>IF(Level1[[#This Row],[Standardised_Normalised_Mass_kg/capita/year]]&lt;&gt;"",Level1[[#This Row],[Standardised_Normalised_Mass_kg/capita/year]],Level1[[#This Row],[Derived_Normalised_kg/capita/year]])</f>
        <v>111.53749938857794</v>
      </c>
      <c r="AO99" s="78">
        <f>IF(Level1[[#This Row],[Household]]=1,IF(Level1[[#This Row],[Household_Diary?]]=1,'Cover Sheet'!$R$31,1),1)</f>
        <v>1</v>
      </c>
      <c r="AP99" s="78">
        <f>IF(Level1[[#This Row],[Household]]=1,IF(Level1[[#This Row],[Edible_Waste_Only?]]=1,'Cover Sheet'!$R$32,1),1)</f>
        <v>1</v>
      </c>
      <c r="AQ99" s="78">
        <f>IF(Level1[[#This Row],[Food_Service]]=1,IF(Level1[[#This Row],[Edible_Waste_Only?]]=1,'Cover Sheet'!$R$33,1),1)</f>
        <v>1</v>
      </c>
      <c r="AR99" s="78">
        <f>IF(Level1[[#This Row],[Retail]]=1,IF(Level1[[#This Row],[Edible_Waste_Only?]]=1,'Cover Sheet'!$R$34,1),1)</f>
        <v>1</v>
      </c>
      <c r="AS99" s="78">
        <f>PRODUCT(Level1[[#This Row],[Household_Diary_Adjustment]:[Retail_Inedible_Adjustment]])</f>
        <v>1</v>
      </c>
      <c r="AT99" s="124">
        <f>Level1[[#This Row],[Preferred_estimate_kg/capita]]*Level1[[#This Row],[Total_Adjustment]]</f>
        <v>111.53749938857794</v>
      </c>
    </row>
    <row r="100" spans="1:46">
      <c r="A100" s="112">
        <v>53</v>
      </c>
      <c r="B100" s="126" t="s">
        <v>459</v>
      </c>
      <c r="C100" s="9">
        <v>2013</v>
      </c>
      <c r="D100" s="113" t="s">
        <v>460</v>
      </c>
      <c r="E100" s="114" t="s">
        <v>461</v>
      </c>
      <c r="F100" s="9">
        <v>458</v>
      </c>
      <c r="G100" s="9" t="s">
        <v>383</v>
      </c>
      <c r="H100" s="9" t="s">
        <v>174</v>
      </c>
      <c r="I100" s="9" t="s">
        <v>210</v>
      </c>
      <c r="J100" s="9" t="s">
        <v>130</v>
      </c>
      <c r="K100" s="9"/>
      <c r="L100" s="115">
        <v>31.9498</v>
      </c>
      <c r="M100" s="114"/>
      <c r="N100" s="9"/>
      <c r="O100" s="115">
        <v>1</v>
      </c>
      <c r="P100" s="114" t="s">
        <v>151</v>
      </c>
      <c r="Q100" s="9">
        <v>2</v>
      </c>
      <c r="R100" s="9" t="s">
        <v>462</v>
      </c>
      <c r="S100" s="10"/>
      <c r="T100" s="10"/>
      <c r="U100" s="138">
        <v>2011</v>
      </c>
      <c r="V100" s="117"/>
      <c r="W100" s="9"/>
      <c r="X100" s="139"/>
      <c r="Y100" s="140"/>
      <c r="Z100" s="118">
        <f>SUM(2040929,108678,106288)</f>
        <v>2255895</v>
      </c>
      <c r="AA100" s="9" t="s">
        <v>133</v>
      </c>
      <c r="AB100" s="119">
        <v>2255895</v>
      </c>
      <c r="AC100" s="119">
        <v>2255895</v>
      </c>
      <c r="AD100" s="120">
        <v>2255895</v>
      </c>
      <c r="AE100" s="121">
        <v>1</v>
      </c>
      <c r="AF100" s="120">
        <v>28621800</v>
      </c>
      <c r="AG100" s="120">
        <v>0</v>
      </c>
      <c r="AH100" s="122">
        <v>78.81736997673103</v>
      </c>
      <c r="AI100" s="123"/>
      <c r="AJ100" s="9"/>
      <c r="AK100" s="78" t="s">
        <v>134</v>
      </c>
      <c r="AL100" s="78" t="s">
        <v>134</v>
      </c>
      <c r="AM100" s="122" t="s">
        <v>134</v>
      </c>
      <c r="AN100" s="121">
        <f>IF(Level1[[#This Row],[Standardised_Normalised_Mass_kg/capita/year]]&lt;&gt;"",Level1[[#This Row],[Standardised_Normalised_Mass_kg/capita/year]],Level1[[#This Row],[Derived_Normalised_kg/capita/year]])</f>
        <v>78.81736997673103</v>
      </c>
      <c r="AO100" s="78">
        <f>IF(Level1[[#This Row],[Household]]=1,IF(Level1[[#This Row],[Household_Diary?]]=1,'Cover Sheet'!$R$31,1),1)</f>
        <v>1</v>
      </c>
      <c r="AP100" s="78">
        <f>IF(Level1[[#This Row],[Household]]=1,IF(Level1[[#This Row],[Edible_Waste_Only?]]=1,'Cover Sheet'!$R$32,1),1)</f>
        <v>1</v>
      </c>
      <c r="AQ100" s="78">
        <f>IF(Level1[[#This Row],[Food_Service]]=1,IF(Level1[[#This Row],[Edible_Waste_Only?]]=1,'Cover Sheet'!$R$33,1),1)</f>
        <v>1</v>
      </c>
      <c r="AR100" s="78">
        <f>IF(Level1[[#This Row],[Retail]]=1,IF(Level1[[#This Row],[Edible_Waste_Only?]]=1,'Cover Sheet'!$R$34,1),1)</f>
        <v>1</v>
      </c>
      <c r="AS100" s="78">
        <f>PRODUCT(Level1[[#This Row],[Household_Diary_Adjustment]:[Retail_Inedible_Adjustment]])</f>
        <v>1</v>
      </c>
      <c r="AT100" s="124">
        <f>Level1[[#This Row],[Preferred_estimate_kg/capita]]*Level1[[#This Row],[Total_Adjustment]]</f>
        <v>78.81736997673103</v>
      </c>
    </row>
    <row r="101" spans="1:46">
      <c r="A101" s="125">
        <v>53</v>
      </c>
      <c r="B101" s="126" t="s">
        <v>459</v>
      </c>
      <c r="C101" s="126">
        <v>2013</v>
      </c>
      <c r="D101" s="127" t="s">
        <v>460</v>
      </c>
      <c r="E101" s="128" t="s">
        <v>461</v>
      </c>
      <c r="F101" s="126">
        <v>458</v>
      </c>
      <c r="G101" s="126" t="s">
        <v>383</v>
      </c>
      <c r="H101" s="126" t="s">
        <v>174</v>
      </c>
      <c r="I101" s="9" t="s">
        <v>210</v>
      </c>
      <c r="J101" s="9" t="s">
        <v>130</v>
      </c>
      <c r="K101" s="126"/>
      <c r="L101" s="115">
        <v>31.9498</v>
      </c>
      <c r="M101" s="128"/>
      <c r="N101" s="126">
        <v>1</v>
      </c>
      <c r="O101" s="129"/>
      <c r="P101" s="128" t="s">
        <v>151</v>
      </c>
      <c r="Q101" s="126">
        <v>2</v>
      </c>
      <c r="R101" s="126" t="s">
        <v>462</v>
      </c>
      <c r="S101" s="130"/>
      <c r="T101" s="130"/>
      <c r="U101" s="135">
        <v>2011</v>
      </c>
      <c r="V101" s="132"/>
      <c r="W101" s="126"/>
      <c r="X101" s="141"/>
      <c r="Y101" s="137"/>
      <c r="Z101" s="133">
        <f>SUM(1941608,572284,26962,21808,808)</f>
        <v>2563470</v>
      </c>
      <c r="AA101" s="9" t="s">
        <v>133</v>
      </c>
      <c r="AB101" s="119">
        <v>2563470</v>
      </c>
      <c r="AC101" s="119">
        <v>2563470</v>
      </c>
      <c r="AD101" s="134">
        <v>2563470</v>
      </c>
      <c r="AE101" s="121">
        <v>1</v>
      </c>
      <c r="AF101" s="120">
        <v>28621800</v>
      </c>
      <c r="AG101" s="120">
        <v>0</v>
      </c>
      <c r="AH101" s="122">
        <v>89.563549462297971</v>
      </c>
      <c r="AI101" s="123"/>
      <c r="AJ101" s="126"/>
      <c r="AK101" s="78" t="s">
        <v>134</v>
      </c>
      <c r="AL101" s="78" t="s">
        <v>134</v>
      </c>
      <c r="AM101" s="122" t="s">
        <v>134</v>
      </c>
      <c r="AN101" s="121">
        <f>IF(Level1[[#This Row],[Standardised_Normalised_Mass_kg/capita/year]]&lt;&gt;"",Level1[[#This Row],[Standardised_Normalised_Mass_kg/capita/year]],Level1[[#This Row],[Derived_Normalised_kg/capita/year]])</f>
        <v>89.563549462297971</v>
      </c>
      <c r="AO101" s="78">
        <f>IF(Level1[[#This Row],[Household]]=1,IF(Level1[[#This Row],[Household_Diary?]]=1,'Cover Sheet'!$R$31,1),1)</f>
        <v>1</v>
      </c>
      <c r="AP101" s="78">
        <f>IF(Level1[[#This Row],[Household]]=1,IF(Level1[[#This Row],[Edible_Waste_Only?]]=1,'Cover Sheet'!$R$32,1),1)</f>
        <v>1</v>
      </c>
      <c r="AQ101" s="78">
        <f>IF(Level1[[#This Row],[Food_Service]]=1,IF(Level1[[#This Row],[Edible_Waste_Only?]]=1,'Cover Sheet'!$R$33,1),1)</f>
        <v>1</v>
      </c>
      <c r="AR101" s="78">
        <f>IF(Level1[[#This Row],[Retail]]=1,IF(Level1[[#This Row],[Edible_Waste_Only?]]=1,'Cover Sheet'!$R$34,1),1)</f>
        <v>1</v>
      </c>
      <c r="AS101" s="78">
        <f>PRODUCT(Level1[[#This Row],[Household_Diary_Adjustment]:[Retail_Inedible_Adjustment]])</f>
        <v>1</v>
      </c>
      <c r="AT101" s="124">
        <f>Level1[[#This Row],[Preferred_estimate_kg/capita]]*Level1[[#This Row],[Total_Adjustment]]</f>
        <v>89.563549462297971</v>
      </c>
    </row>
    <row r="102" spans="1:46">
      <c r="A102" s="125">
        <v>54</v>
      </c>
      <c r="B102" s="126" t="s">
        <v>463</v>
      </c>
      <c r="C102" s="126">
        <v>2012</v>
      </c>
      <c r="D102" s="127" t="s">
        <v>464</v>
      </c>
      <c r="E102" s="128" t="s">
        <v>461</v>
      </c>
      <c r="F102" s="126">
        <v>458</v>
      </c>
      <c r="G102" s="126" t="s">
        <v>383</v>
      </c>
      <c r="H102" s="126" t="s">
        <v>174</v>
      </c>
      <c r="I102" s="9" t="s">
        <v>210</v>
      </c>
      <c r="J102" s="9" t="s">
        <v>182</v>
      </c>
      <c r="K102" s="126" t="s">
        <v>465</v>
      </c>
      <c r="L102" s="115">
        <v>31.9498</v>
      </c>
      <c r="M102" s="128">
        <v>1</v>
      </c>
      <c r="N102" s="126"/>
      <c r="O102" s="129"/>
      <c r="P102" s="128" t="s">
        <v>131</v>
      </c>
      <c r="Q102" s="126">
        <v>2</v>
      </c>
      <c r="R102" s="126" t="s">
        <v>466</v>
      </c>
      <c r="S102" s="130"/>
      <c r="T102" s="130"/>
      <c r="U102" s="135">
        <v>2010</v>
      </c>
      <c r="V102" s="132">
        <v>0.42859999999999998</v>
      </c>
      <c r="W102" s="126" t="s">
        <v>176</v>
      </c>
      <c r="X102" s="141" t="s">
        <v>467</v>
      </c>
      <c r="Y102" s="137" t="s">
        <v>468</v>
      </c>
      <c r="Z102" s="133"/>
      <c r="AA102" s="9"/>
      <c r="AB102" s="119" t="s">
        <v>134</v>
      </c>
      <c r="AC102" s="119" t="s">
        <v>134</v>
      </c>
      <c r="AD102" s="134" t="s">
        <v>134</v>
      </c>
      <c r="AE102" s="121">
        <v>0</v>
      </c>
      <c r="AF102" s="120">
        <v>0</v>
      </c>
      <c r="AG102" s="120">
        <v>0</v>
      </c>
      <c r="AH102" s="122">
        <v>0</v>
      </c>
      <c r="AI102" s="123">
        <v>195.34</v>
      </c>
      <c r="AJ102" s="126" t="s">
        <v>241</v>
      </c>
      <c r="AK102" s="78">
        <v>0.19534000000000001</v>
      </c>
      <c r="AL102" s="78">
        <v>71.347935000000007</v>
      </c>
      <c r="AM102" s="122">
        <v>71.347935000000007</v>
      </c>
      <c r="AN102" s="121">
        <f>IF(Level1[[#This Row],[Standardised_Normalised_Mass_kg/capita/year]]&lt;&gt;"",Level1[[#This Row],[Standardised_Normalised_Mass_kg/capita/year]],Level1[[#This Row],[Derived_Normalised_kg/capita/year]])</f>
        <v>71.347935000000007</v>
      </c>
      <c r="AO102" s="78">
        <f>IF(Level1[[#This Row],[Household]]=1,IF(Level1[[#This Row],[Household_Diary?]]=1,'Cover Sheet'!$R$31,1),1)</f>
        <v>1</v>
      </c>
      <c r="AP102" s="78">
        <f>IF(Level1[[#This Row],[Household]]=1,IF(Level1[[#This Row],[Edible_Waste_Only?]]=1,'Cover Sheet'!$R$32,1),1)</f>
        <v>1</v>
      </c>
      <c r="AQ102" s="78">
        <f>IF(Level1[[#This Row],[Food_Service]]=1,IF(Level1[[#This Row],[Edible_Waste_Only?]]=1,'Cover Sheet'!$R$33,1),1)</f>
        <v>1</v>
      </c>
      <c r="AR102" s="78">
        <f>IF(Level1[[#This Row],[Retail]]=1,IF(Level1[[#This Row],[Edible_Waste_Only?]]=1,'Cover Sheet'!$R$34,1),1)</f>
        <v>1</v>
      </c>
      <c r="AS102" s="78">
        <f>PRODUCT(Level1[[#This Row],[Household_Diary_Adjustment]:[Retail_Inedible_Adjustment]])</f>
        <v>1</v>
      </c>
      <c r="AT102" s="124">
        <f>Level1[[#This Row],[Preferred_estimate_kg/capita]]*Level1[[#This Row],[Total_Adjustment]]</f>
        <v>71.347935000000007</v>
      </c>
    </row>
    <row r="103" spans="1:46">
      <c r="A103" s="125">
        <v>55</v>
      </c>
      <c r="B103" s="126" t="s">
        <v>469</v>
      </c>
      <c r="C103" s="126">
        <v>2019</v>
      </c>
      <c r="D103" s="127" t="s">
        <v>470</v>
      </c>
      <c r="E103" s="128" t="s">
        <v>471</v>
      </c>
      <c r="F103" s="126">
        <v>484</v>
      </c>
      <c r="G103" s="126" t="s">
        <v>209</v>
      </c>
      <c r="H103" s="126" t="s">
        <v>174</v>
      </c>
      <c r="I103" s="9" t="s">
        <v>210</v>
      </c>
      <c r="J103" s="9" t="s">
        <v>130</v>
      </c>
      <c r="K103" s="126"/>
      <c r="L103" s="115">
        <v>127.57550000000001</v>
      </c>
      <c r="M103" s="128">
        <v>1</v>
      </c>
      <c r="N103" s="126"/>
      <c r="O103" s="129"/>
      <c r="P103" s="128" t="s">
        <v>151</v>
      </c>
      <c r="Q103" s="126">
        <v>2</v>
      </c>
      <c r="R103" s="126" t="s">
        <v>472</v>
      </c>
      <c r="S103" s="130"/>
      <c r="T103" s="130"/>
      <c r="U103" s="131">
        <v>2012</v>
      </c>
      <c r="V103" s="132"/>
      <c r="W103" s="126"/>
      <c r="X103" s="132"/>
      <c r="Y103" s="129"/>
      <c r="Z103" s="133">
        <v>11</v>
      </c>
      <c r="AA103" s="9" t="s">
        <v>229</v>
      </c>
      <c r="AB103" s="119">
        <v>11</v>
      </c>
      <c r="AC103" s="119">
        <v>11000000</v>
      </c>
      <c r="AD103" s="134">
        <v>11000000</v>
      </c>
      <c r="AE103" s="121">
        <v>1</v>
      </c>
      <c r="AF103" s="120">
        <v>117145657.14285715</v>
      </c>
      <c r="AG103" s="120">
        <v>0</v>
      </c>
      <c r="AH103" s="122">
        <v>93.900194580714896</v>
      </c>
      <c r="AI103" s="123"/>
      <c r="AJ103" s="126"/>
      <c r="AK103" s="78" t="s">
        <v>134</v>
      </c>
      <c r="AL103" s="78" t="s">
        <v>134</v>
      </c>
      <c r="AM103" s="122" t="s">
        <v>134</v>
      </c>
      <c r="AN103" s="121">
        <f>IF(Level1[[#This Row],[Standardised_Normalised_Mass_kg/capita/year]]&lt;&gt;"",Level1[[#This Row],[Standardised_Normalised_Mass_kg/capita/year]],Level1[[#This Row],[Derived_Normalised_kg/capita/year]])</f>
        <v>93.900194580714896</v>
      </c>
      <c r="AO103" s="78">
        <f>IF(Level1[[#This Row],[Household]]=1,IF(Level1[[#This Row],[Household_Diary?]]=1,'Cover Sheet'!$R$31,1),1)</f>
        <v>1</v>
      </c>
      <c r="AP103" s="78">
        <f>IF(Level1[[#This Row],[Household]]=1,IF(Level1[[#This Row],[Edible_Waste_Only?]]=1,'Cover Sheet'!$R$32,1),1)</f>
        <v>1</v>
      </c>
      <c r="AQ103" s="78">
        <f>IF(Level1[[#This Row],[Food_Service]]=1,IF(Level1[[#This Row],[Edible_Waste_Only?]]=1,'Cover Sheet'!$R$33,1),1)</f>
        <v>1</v>
      </c>
      <c r="AR103" s="78">
        <f>IF(Level1[[#This Row],[Retail]]=1,IF(Level1[[#This Row],[Edible_Waste_Only?]]=1,'Cover Sheet'!$R$34,1),1)</f>
        <v>1</v>
      </c>
      <c r="AS103" s="78">
        <f>PRODUCT(Level1[[#This Row],[Household_Diary_Adjustment]:[Retail_Inedible_Adjustment]])</f>
        <v>1</v>
      </c>
      <c r="AT103" s="124">
        <f>Level1[[#This Row],[Preferred_estimate_kg/capita]]*Level1[[#This Row],[Total_Adjustment]]</f>
        <v>93.900194580714896</v>
      </c>
    </row>
    <row r="104" spans="1:46">
      <c r="A104" s="125">
        <v>56</v>
      </c>
      <c r="B104" s="126" t="s">
        <v>473</v>
      </c>
      <c r="C104" s="126">
        <v>2019</v>
      </c>
      <c r="D104" s="127" t="s">
        <v>474</v>
      </c>
      <c r="E104" s="128" t="s">
        <v>321</v>
      </c>
      <c r="F104" s="126">
        <v>528</v>
      </c>
      <c r="G104" s="126" t="s">
        <v>141</v>
      </c>
      <c r="H104" s="126" t="s">
        <v>128</v>
      </c>
      <c r="I104" s="9" t="s">
        <v>129</v>
      </c>
      <c r="J104" s="9" t="s">
        <v>130</v>
      </c>
      <c r="K104" s="126"/>
      <c r="L104" s="115">
        <v>17.097100000000001</v>
      </c>
      <c r="M104" s="128">
        <v>1</v>
      </c>
      <c r="N104" s="126"/>
      <c r="O104" s="129"/>
      <c r="P104" s="128" t="s">
        <v>203</v>
      </c>
      <c r="Q104" s="126">
        <v>1</v>
      </c>
      <c r="R104" s="126" t="s">
        <v>475</v>
      </c>
      <c r="S104" s="130"/>
      <c r="T104" s="130"/>
      <c r="U104" s="135">
        <v>2019</v>
      </c>
      <c r="V104" s="132"/>
      <c r="W104" s="126"/>
      <c r="X104" s="141">
        <f>34.3/Level1[[#This Row],[Normalised_Mass_Estimate]]</f>
        <v>0.68599999999999994</v>
      </c>
      <c r="Y104" s="137" t="s">
        <v>476</v>
      </c>
      <c r="Z104" s="133"/>
      <c r="AA104" s="9"/>
      <c r="AB104" s="119" t="s">
        <v>134</v>
      </c>
      <c r="AC104" s="119" t="s">
        <v>134</v>
      </c>
      <c r="AD104" s="134" t="s">
        <v>134</v>
      </c>
      <c r="AE104" s="121">
        <v>0</v>
      </c>
      <c r="AF104" s="120">
        <v>0</v>
      </c>
      <c r="AG104" s="120">
        <v>0</v>
      </c>
      <c r="AH104" s="122">
        <v>0</v>
      </c>
      <c r="AI104" s="123">
        <f>SUM(34.3,15.7)</f>
        <v>50</v>
      </c>
      <c r="AJ104" s="126" t="s">
        <v>147</v>
      </c>
      <c r="AK104" s="78">
        <v>50</v>
      </c>
      <c r="AL104" s="78">
        <v>50</v>
      </c>
      <c r="AM104" s="122">
        <v>50</v>
      </c>
      <c r="AN104" s="121">
        <f>IF(Level1[[#This Row],[Standardised_Normalised_Mass_kg/capita/year]]&lt;&gt;"",Level1[[#This Row],[Standardised_Normalised_Mass_kg/capita/year]],Level1[[#This Row],[Derived_Normalised_kg/capita/year]])</f>
        <v>50</v>
      </c>
      <c r="AO104" s="78">
        <f>IF(Level1[[#This Row],[Household]]=1,IF(Level1[[#This Row],[Household_Diary?]]=1,'Cover Sheet'!$R$31,1),1)</f>
        <v>1</v>
      </c>
      <c r="AP104" s="78">
        <f>IF(Level1[[#This Row],[Household]]=1,IF(Level1[[#This Row],[Edible_Waste_Only?]]=1,'Cover Sheet'!$R$32,1),1)</f>
        <v>1</v>
      </c>
      <c r="AQ104" s="78">
        <f>IF(Level1[[#This Row],[Food_Service]]=1,IF(Level1[[#This Row],[Edible_Waste_Only?]]=1,'Cover Sheet'!$R$33,1),1)</f>
        <v>1</v>
      </c>
      <c r="AR104" s="78">
        <f>IF(Level1[[#This Row],[Retail]]=1,IF(Level1[[#This Row],[Edible_Waste_Only?]]=1,'Cover Sheet'!$R$34,1),1)</f>
        <v>1</v>
      </c>
      <c r="AS104" s="78">
        <f>PRODUCT(Level1[[#This Row],[Household_Diary_Adjustment]:[Retail_Inedible_Adjustment]])</f>
        <v>1</v>
      </c>
      <c r="AT104" s="124">
        <f>Level1[[#This Row],[Preferred_estimate_kg/capita]]*Level1[[#This Row],[Total_Adjustment]]</f>
        <v>50</v>
      </c>
    </row>
    <row r="105" spans="1:46">
      <c r="A105" s="112">
        <v>57</v>
      </c>
      <c r="B105" s="126" t="s">
        <v>477</v>
      </c>
      <c r="C105" s="9">
        <v>2018</v>
      </c>
      <c r="D105" s="113" t="s">
        <v>478</v>
      </c>
      <c r="E105" s="114" t="s">
        <v>479</v>
      </c>
      <c r="F105" s="9">
        <v>554</v>
      </c>
      <c r="G105" s="9" t="s">
        <v>127</v>
      </c>
      <c r="H105" s="9" t="s">
        <v>128</v>
      </c>
      <c r="I105" s="9" t="s">
        <v>129</v>
      </c>
      <c r="J105" s="9" t="s">
        <v>130</v>
      </c>
      <c r="K105" s="9"/>
      <c r="L105" s="115">
        <v>4.7831000000000001</v>
      </c>
      <c r="M105" s="114">
        <v>1</v>
      </c>
      <c r="N105" s="9"/>
      <c r="O105" s="115"/>
      <c r="P105" s="114" t="s">
        <v>131</v>
      </c>
      <c r="Q105" s="9">
        <v>1</v>
      </c>
      <c r="R105" s="9" t="s">
        <v>480</v>
      </c>
      <c r="S105" s="10"/>
      <c r="T105" s="10"/>
      <c r="U105" s="138">
        <v>2018</v>
      </c>
      <c r="V105" s="117">
        <v>0.34100000000000003</v>
      </c>
      <c r="W105" s="9" t="s">
        <v>254</v>
      </c>
      <c r="X105" s="117">
        <f>48.8%</f>
        <v>0.48799999999999999</v>
      </c>
      <c r="Y105" s="115" t="s">
        <v>481</v>
      </c>
      <c r="Z105" s="118">
        <v>157398</v>
      </c>
      <c r="AA105" s="9" t="s">
        <v>133</v>
      </c>
      <c r="AB105" s="119">
        <v>157398</v>
      </c>
      <c r="AC105" s="119">
        <v>157398</v>
      </c>
      <c r="AD105" s="120">
        <v>157398</v>
      </c>
      <c r="AE105" s="121">
        <v>0</v>
      </c>
      <c r="AF105" s="120">
        <v>0</v>
      </c>
      <c r="AG105" s="120">
        <v>0</v>
      </c>
      <c r="AH105" s="122">
        <v>0</v>
      </c>
      <c r="AI105" s="123">
        <v>61</v>
      </c>
      <c r="AJ105" s="9" t="s">
        <v>147</v>
      </c>
      <c r="AK105" s="78">
        <v>61</v>
      </c>
      <c r="AL105" s="78">
        <v>61</v>
      </c>
      <c r="AM105" s="122">
        <v>61</v>
      </c>
      <c r="AN105" s="121">
        <f>IF(Level1[[#This Row],[Standardised_Normalised_Mass_kg/capita/year]]&lt;&gt;"",Level1[[#This Row],[Standardised_Normalised_Mass_kg/capita/year]],Level1[[#This Row],[Derived_Normalised_kg/capita/year]])</f>
        <v>61</v>
      </c>
      <c r="AO105" s="78">
        <f>IF(Level1[[#This Row],[Household]]=1,IF(Level1[[#This Row],[Household_Diary?]]=1,'Cover Sheet'!$R$31,1),1)</f>
        <v>1</v>
      </c>
      <c r="AP105" s="78">
        <f>IF(Level1[[#This Row],[Household]]=1,IF(Level1[[#This Row],[Edible_Waste_Only?]]=1,'Cover Sheet'!$R$32,1),1)</f>
        <v>1</v>
      </c>
      <c r="AQ105" s="78">
        <f>IF(Level1[[#This Row],[Food_Service]]=1,IF(Level1[[#This Row],[Edible_Waste_Only?]]=1,'Cover Sheet'!$R$33,1),1)</f>
        <v>1</v>
      </c>
      <c r="AR105" s="78">
        <f>IF(Level1[[#This Row],[Retail]]=1,IF(Level1[[#This Row],[Edible_Waste_Only?]]=1,'Cover Sheet'!$R$34,1),1)</f>
        <v>1</v>
      </c>
      <c r="AS105" s="78">
        <f>PRODUCT(Level1[[#This Row],[Household_Diary_Adjustment]:[Retail_Inedible_Adjustment]])</f>
        <v>1</v>
      </c>
      <c r="AT105" s="124">
        <f>Level1[[#This Row],[Preferred_estimate_kg/capita]]*Level1[[#This Row],[Total_Adjustment]]</f>
        <v>61</v>
      </c>
    </row>
    <row r="106" spans="1:46">
      <c r="A106" s="125">
        <v>58</v>
      </c>
      <c r="B106" s="126" t="s">
        <v>482</v>
      </c>
      <c r="C106" s="126">
        <v>2020</v>
      </c>
      <c r="D106" s="127" t="s">
        <v>483</v>
      </c>
      <c r="E106" s="128" t="s">
        <v>479</v>
      </c>
      <c r="F106" s="126">
        <v>554</v>
      </c>
      <c r="G106" s="126" t="s">
        <v>127</v>
      </c>
      <c r="H106" s="126" t="s">
        <v>128</v>
      </c>
      <c r="I106" s="9" t="s">
        <v>129</v>
      </c>
      <c r="J106" s="9" t="s">
        <v>130</v>
      </c>
      <c r="K106" s="126"/>
      <c r="L106" s="115">
        <v>4.7831000000000001</v>
      </c>
      <c r="M106" s="128"/>
      <c r="N106" s="126"/>
      <c r="O106" s="129">
        <v>1</v>
      </c>
      <c r="P106" s="128" t="s">
        <v>131</v>
      </c>
      <c r="Q106" s="126">
        <v>1</v>
      </c>
      <c r="R106" s="126" t="s">
        <v>484</v>
      </c>
      <c r="S106" s="130"/>
      <c r="T106" s="130"/>
      <c r="U106" s="135">
        <v>2017</v>
      </c>
      <c r="V106" s="132"/>
      <c r="W106" s="126"/>
      <c r="X106" s="141"/>
      <c r="Y106" s="137"/>
      <c r="Z106" s="133">
        <f>60500*(1-SUM(15%,46%,15%))</f>
        <v>14520</v>
      </c>
      <c r="AA106" s="9" t="s">
        <v>133</v>
      </c>
      <c r="AB106" s="119">
        <v>14520</v>
      </c>
      <c r="AC106" s="119">
        <v>14520</v>
      </c>
      <c r="AD106" s="134">
        <v>14520</v>
      </c>
      <c r="AE106" s="121">
        <v>0</v>
      </c>
      <c r="AF106" s="120">
        <v>0</v>
      </c>
      <c r="AG106" s="120">
        <v>0</v>
      </c>
      <c r="AH106" s="122">
        <v>0</v>
      </c>
      <c r="AI106" s="123">
        <f>13*(1-SUM(46%,15%,15%))</f>
        <v>3.12</v>
      </c>
      <c r="AJ106" s="126" t="s">
        <v>147</v>
      </c>
      <c r="AK106" s="78">
        <v>3.12</v>
      </c>
      <c r="AL106" s="78">
        <v>3.12</v>
      </c>
      <c r="AM106" s="122">
        <v>3.12</v>
      </c>
      <c r="AN106" s="121">
        <f>IF(Level1[[#This Row],[Standardised_Normalised_Mass_kg/capita/year]]&lt;&gt;"",Level1[[#This Row],[Standardised_Normalised_Mass_kg/capita/year]],Level1[[#This Row],[Derived_Normalised_kg/capita/year]])</f>
        <v>3.12</v>
      </c>
      <c r="AO106" s="78">
        <f>IF(Level1[[#This Row],[Household]]=1,IF(Level1[[#This Row],[Household_Diary?]]=1,'Cover Sheet'!$R$31,1),1)</f>
        <v>1</v>
      </c>
      <c r="AP106" s="78">
        <f>IF(Level1[[#This Row],[Household]]=1,IF(Level1[[#This Row],[Edible_Waste_Only?]]=1,'Cover Sheet'!$R$32,1),1)</f>
        <v>1</v>
      </c>
      <c r="AQ106" s="78">
        <f>IF(Level1[[#This Row],[Food_Service]]=1,IF(Level1[[#This Row],[Edible_Waste_Only?]]=1,'Cover Sheet'!$R$33,1),1)</f>
        <v>1</v>
      </c>
      <c r="AR106" s="78">
        <f>IF(Level1[[#This Row],[Retail]]=1,IF(Level1[[#This Row],[Edible_Waste_Only?]]=1,'Cover Sheet'!$R$34,1),1)</f>
        <v>1</v>
      </c>
      <c r="AS106" s="78">
        <f>PRODUCT(Level1[[#This Row],[Household_Diary_Adjustment]:[Retail_Inedible_Adjustment]])</f>
        <v>1</v>
      </c>
      <c r="AT106" s="124">
        <f>Level1[[#This Row],[Preferred_estimate_kg/capita]]*Level1[[#This Row],[Total_Adjustment]]</f>
        <v>3.12</v>
      </c>
    </row>
    <row r="107" spans="1:46">
      <c r="A107" s="112">
        <v>59</v>
      </c>
      <c r="B107" s="126" t="s">
        <v>485</v>
      </c>
      <c r="C107" s="9">
        <v>2017</v>
      </c>
      <c r="D107" s="113" t="s">
        <v>486</v>
      </c>
      <c r="E107" s="114" t="s">
        <v>487</v>
      </c>
      <c r="F107" s="9">
        <v>566</v>
      </c>
      <c r="G107" s="9" t="s">
        <v>306</v>
      </c>
      <c r="H107" s="9" t="s">
        <v>174</v>
      </c>
      <c r="I107" s="9" t="s">
        <v>181</v>
      </c>
      <c r="J107" s="9" t="s">
        <v>182</v>
      </c>
      <c r="K107" s="9" t="s">
        <v>488</v>
      </c>
      <c r="L107" s="115">
        <v>200.96360000000001</v>
      </c>
      <c r="M107" s="114">
        <v>1</v>
      </c>
      <c r="N107" s="9"/>
      <c r="O107" s="115"/>
      <c r="P107" s="114" t="s">
        <v>131</v>
      </c>
      <c r="Q107" s="9">
        <v>2</v>
      </c>
      <c r="R107" s="9" t="s">
        <v>489</v>
      </c>
      <c r="S107" s="10"/>
      <c r="T107" s="10"/>
      <c r="U107" s="116">
        <v>2015</v>
      </c>
      <c r="V107" s="117">
        <v>0.75219000000000003</v>
      </c>
      <c r="W107" s="9" t="s">
        <v>254</v>
      </c>
      <c r="X107" s="139"/>
      <c r="Y107" s="140"/>
      <c r="Z107" s="118"/>
      <c r="AA107" s="9"/>
      <c r="AB107" s="119" t="s">
        <v>134</v>
      </c>
      <c r="AC107" s="119" t="s">
        <v>134</v>
      </c>
      <c r="AD107" s="120" t="s">
        <v>134</v>
      </c>
      <c r="AE107" s="121">
        <v>0</v>
      </c>
      <c r="AF107" s="120">
        <v>0</v>
      </c>
      <c r="AG107" s="120">
        <v>0</v>
      </c>
      <c r="AH107" s="122">
        <v>0</v>
      </c>
      <c r="AI107" s="123">
        <v>0.51690000000000003</v>
      </c>
      <c r="AJ107" s="9" t="s">
        <v>185</v>
      </c>
      <c r="AK107" s="78">
        <v>0.51690000000000003</v>
      </c>
      <c r="AL107" s="78">
        <v>188.79772500000001</v>
      </c>
      <c r="AM107" s="122">
        <v>188.79772500000001</v>
      </c>
      <c r="AN107" s="121">
        <f>IF(Level1[[#This Row],[Standardised_Normalised_Mass_kg/capita/year]]&lt;&gt;"",Level1[[#This Row],[Standardised_Normalised_Mass_kg/capita/year]],Level1[[#This Row],[Derived_Normalised_kg/capita/year]])</f>
        <v>188.79772500000001</v>
      </c>
      <c r="AO107" s="78">
        <f>IF(Level1[[#This Row],[Household]]=1,IF(Level1[[#This Row],[Household_Diary?]]=1,'Cover Sheet'!$R$31,1),1)</f>
        <v>1</v>
      </c>
      <c r="AP107" s="78">
        <f>IF(Level1[[#This Row],[Household]]=1,IF(Level1[[#This Row],[Edible_Waste_Only?]]=1,'Cover Sheet'!$R$32,1),1)</f>
        <v>1</v>
      </c>
      <c r="AQ107" s="78">
        <f>IF(Level1[[#This Row],[Food_Service]]=1,IF(Level1[[#This Row],[Edible_Waste_Only?]]=1,'Cover Sheet'!$R$33,1),1)</f>
        <v>1</v>
      </c>
      <c r="AR107" s="78">
        <f>IF(Level1[[#This Row],[Retail]]=1,IF(Level1[[#This Row],[Edible_Waste_Only?]]=1,'Cover Sheet'!$R$34,1),1)</f>
        <v>1</v>
      </c>
      <c r="AS107" s="78">
        <f>PRODUCT(Level1[[#This Row],[Household_Diary_Adjustment]:[Retail_Inedible_Adjustment]])</f>
        <v>1</v>
      </c>
      <c r="AT107" s="124">
        <f>Level1[[#This Row],[Preferred_estimate_kg/capita]]*Level1[[#This Row],[Total_Adjustment]]</f>
        <v>188.79772500000001</v>
      </c>
    </row>
    <row r="108" spans="1:46">
      <c r="A108" s="112">
        <v>60</v>
      </c>
      <c r="B108" s="126" t="s">
        <v>490</v>
      </c>
      <c r="C108" s="9">
        <v>2016</v>
      </c>
      <c r="D108" s="113" t="s">
        <v>491</v>
      </c>
      <c r="E108" s="114" t="s">
        <v>164</v>
      </c>
      <c r="F108" s="9">
        <v>578</v>
      </c>
      <c r="G108" s="9" t="s">
        <v>155</v>
      </c>
      <c r="H108" s="9" t="s">
        <v>128</v>
      </c>
      <c r="I108" s="9" t="s">
        <v>129</v>
      </c>
      <c r="J108" s="9" t="s">
        <v>130</v>
      </c>
      <c r="K108" s="9"/>
      <c r="L108" s="115">
        <v>5.3788999999999998</v>
      </c>
      <c r="M108" s="114"/>
      <c r="N108" s="9"/>
      <c r="O108" s="115">
        <v>1</v>
      </c>
      <c r="P108" s="114" t="s">
        <v>135</v>
      </c>
      <c r="Q108" s="9">
        <v>2</v>
      </c>
      <c r="R108" s="9" t="s">
        <v>165</v>
      </c>
      <c r="S108" s="10"/>
      <c r="T108" s="10">
        <v>1</v>
      </c>
      <c r="U108" s="138">
        <v>2015</v>
      </c>
      <c r="V108" s="117"/>
      <c r="W108" s="9"/>
      <c r="X108" s="139"/>
      <c r="Y108" s="140" t="s">
        <v>166</v>
      </c>
      <c r="Z108" s="118">
        <f>60177+3067</f>
        <v>63244</v>
      </c>
      <c r="AA108" s="9" t="s">
        <v>133</v>
      </c>
      <c r="AB108" s="119">
        <v>63244</v>
      </c>
      <c r="AC108" s="119">
        <v>63244</v>
      </c>
      <c r="AD108" s="120">
        <v>63244</v>
      </c>
      <c r="AE108" s="121">
        <v>0</v>
      </c>
      <c r="AF108" s="120">
        <v>5179042.8571428573</v>
      </c>
      <c r="AG108" s="120">
        <v>0</v>
      </c>
      <c r="AH108" s="122">
        <v>0</v>
      </c>
      <c r="AI108" s="123">
        <f>11.65+0.59</f>
        <v>12.24</v>
      </c>
      <c r="AJ108" s="9" t="s">
        <v>147</v>
      </c>
      <c r="AK108" s="78">
        <v>12.24</v>
      </c>
      <c r="AL108" s="78">
        <v>12.24</v>
      </c>
      <c r="AM108" s="122">
        <v>12.24</v>
      </c>
      <c r="AN108" s="121">
        <f>IF(Level1[[#This Row],[Standardised_Normalised_Mass_kg/capita/year]]&lt;&gt;"",Level1[[#This Row],[Standardised_Normalised_Mass_kg/capita/year]],Level1[[#This Row],[Derived_Normalised_kg/capita/year]])</f>
        <v>12.24</v>
      </c>
      <c r="AO108" s="78">
        <f>IF(Level1[[#This Row],[Household]]=1,IF(Level1[[#This Row],[Household_Diary?]]=1,'Cover Sheet'!$R$31,1),1)</f>
        <v>1</v>
      </c>
      <c r="AP108" s="78">
        <f>IF(Level1[[#This Row],[Household]]=1,IF(Level1[[#This Row],[Edible_Waste_Only?]]=1,'Cover Sheet'!$R$32,1),1)</f>
        <v>1</v>
      </c>
      <c r="AQ108" s="78">
        <f>IF(Level1[[#This Row],[Food_Service]]=1,IF(Level1[[#This Row],[Edible_Waste_Only?]]=1,'Cover Sheet'!$R$33,1),1)</f>
        <v>1</v>
      </c>
      <c r="AR108" s="78">
        <f>IF(Level1[[#This Row],[Retail]]=1,IF(Level1[[#This Row],[Edible_Waste_Only?]]=1,'Cover Sheet'!$R$34,1),1)</f>
        <v>1.1756101852337386</v>
      </c>
      <c r="AS108" s="78">
        <f>PRODUCT(Level1[[#This Row],[Household_Diary_Adjustment]:[Retail_Inedible_Adjustment]])</f>
        <v>1.1756101852337386</v>
      </c>
      <c r="AT108" s="124">
        <f>Level1[[#This Row],[Preferred_estimate_kg/capita]]*Level1[[#This Row],[Total_Adjustment]]</f>
        <v>14.38946866726096</v>
      </c>
    </row>
    <row r="109" spans="1:46">
      <c r="A109" s="125">
        <v>61</v>
      </c>
      <c r="B109" s="126" t="s">
        <v>492</v>
      </c>
      <c r="C109" s="126">
        <v>2019</v>
      </c>
      <c r="D109" s="127" t="s">
        <v>493</v>
      </c>
      <c r="E109" s="128" t="s">
        <v>164</v>
      </c>
      <c r="F109" s="126">
        <v>578</v>
      </c>
      <c r="G109" s="126" t="s">
        <v>155</v>
      </c>
      <c r="H109" s="126" t="s">
        <v>128</v>
      </c>
      <c r="I109" s="9" t="s">
        <v>129</v>
      </c>
      <c r="J109" s="9" t="s">
        <v>130</v>
      </c>
      <c r="K109" s="126"/>
      <c r="L109" s="115">
        <v>5.3788999999999998</v>
      </c>
      <c r="M109" s="128"/>
      <c r="N109" s="126">
        <v>1</v>
      </c>
      <c r="O109" s="129"/>
      <c r="P109" s="128" t="s">
        <v>151</v>
      </c>
      <c r="Q109" s="126">
        <v>2</v>
      </c>
      <c r="R109" s="126" t="s">
        <v>494</v>
      </c>
      <c r="S109" s="130"/>
      <c r="T109" s="130">
        <v>1</v>
      </c>
      <c r="U109" s="135">
        <v>2018</v>
      </c>
      <c r="V109" s="132">
        <v>0.05</v>
      </c>
      <c r="W109" s="126" t="s">
        <v>250</v>
      </c>
      <c r="X109" s="141"/>
      <c r="Y109" s="137"/>
      <c r="Z109" s="133">
        <v>17600</v>
      </c>
      <c r="AA109" s="9" t="s">
        <v>133</v>
      </c>
      <c r="AB109" s="119">
        <v>17600</v>
      </c>
      <c r="AC109" s="119">
        <v>17600</v>
      </c>
      <c r="AD109" s="134">
        <v>17600</v>
      </c>
      <c r="AE109" s="121">
        <v>1</v>
      </c>
      <c r="AF109" s="120">
        <v>5337600</v>
      </c>
      <c r="AG109" s="120">
        <v>0</v>
      </c>
      <c r="AH109" s="122">
        <v>3.2973621103117505</v>
      </c>
      <c r="AI109" s="123"/>
      <c r="AJ109" s="126"/>
      <c r="AK109" s="78" t="s">
        <v>134</v>
      </c>
      <c r="AL109" s="78" t="s">
        <v>134</v>
      </c>
      <c r="AM109" s="122" t="s">
        <v>134</v>
      </c>
      <c r="AN109" s="121">
        <f>IF(Level1[[#This Row],[Standardised_Normalised_Mass_kg/capita/year]]&lt;&gt;"",Level1[[#This Row],[Standardised_Normalised_Mass_kg/capita/year]],Level1[[#This Row],[Derived_Normalised_kg/capita/year]])</f>
        <v>3.2973621103117505</v>
      </c>
      <c r="AO109" s="78">
        <f>IF(Level1[[#This Row],[Household]]=1,IF(Level1[[#This Row],[Household_Diary?]]=1,'Cover Sheet'!$R$31,1),1)</f>
        <v>1</v>
      </c>
      <c r="AP109" s="78">
        <f>IF(Level1[[#This Row],[Household]]=1,IF(Level1[[#This Row],[Edible_Waste_Only?]]=1,'Cover Sheet'!$R$32,1),1)</f>
        <v>1</v>
      </c>
      <c r="AQ109" s="78">
        <f>IF(Level1[[#This Row],[Food_Service]]=1,IF(Level1[[#This Row],[Edible_Waste_Only?]]=1,'Cover Sheet'!$R$33,1),1)</f>
        <v>1.5045789123242672</v>
      </c>
      <c r="AR109" s="78">
        <f>IF(Level1[[#This Row],[Retail]]=1,IF(Level1[[#This Row],[Edible_Waste_Only?]]=1,'Cover Sheet'!$R$34,1),1)</f>
        <v>1</v>
      </c>
      <c r="AS109" s="78">
        <f>PRODUCT(Level1[[#This Row],[Household_Diary_Adjustment]:[Retail_Inedible_Adjustment]])</f>
        <v>1.5045789123242672</v>
      </c>
      <c r="AT109" s="124">
        <f>Level1[[#This Row],[Preferred_estimate_kg/capita]]*Level1[[#This Row],[Total_Adjustment]]</f>
        <v>4.961141497472104</v>
      </c>
    </row>
    <row r="110" spans="1:46">
      <c r="A110" s="112">
        <v>61</v>
      </c>
      <c r="B110" s="126" t="s">
        <v>492</v>
      </c>
      <c r="C110" s="9">
        <v>2019</v>
      </c>
      <c r="D110" s="113" t="s">
        <v>493</v>
      </c>
      <c r="E110" s="114" t="s">
        <v>164</v>
      </c>
      <c r="F110" s="9">
        <v>578</v>
      </c>
      <c r="G110" s="9" t="s">
        <v>155</v>
      </c>
      <c r="H110" s="9" t="s">
        <v>128</v>
      </c>
      <c r="I110" s="9" t="s">
        <v>129</v>
      </c>
      <c r="J110" s="9" t="s">
        <v>130</v>
      </c>
      <c r="K110" s="9"/>
      <c r="L110" s="115">
        <v>5.3788999999999998</v>
      </c>
      <c r="M110" s="114"/>
      <c r="N110" s="9"/>
      <c r="O110" s="115">
        <v>1</v>
      </c>
      <c r="P110" s="114" t="s">
        <v>151</v>
      </c>
      <c r="Q110" s="9">
        <v>2</v>
      </c>
      <c r="R110" s="9" t="s">
        <v>495</v>
      </c>
      <c r="S110" s="10"/>
      <c r="T110" s="10">
        <v>1</v>
      </c>
      <c r="U110" s="138">
        <v>2018</v>
      </c>
      <c r="V110" s="117">
        <v>0.16</v>
      </c>
      <c r="W110" s="9" t="s">
        <v>250</v>
      </c>
      <c r="X110" s="139"/>
      <c r="Y110" s="140"/>
      <c r="Z110" s="118">
        <v>62050</v>
      </c>
      <c r="AA110" s="9" t="s">
        <v>133</v>
      </c>
      <c r="AB110" s="119">
        <v>62050</v>
      </c>
      <c r="AC110" s="119">
        <v>62050</v>
      </c>
      <c r="AD110" s="120">
        <v>62050</v>
      </c>
      <c r="AE110" s="121">
        <v>1</v>
      </c>
      <c r="AF110" s="120">
        <v>5337600</v>
      </c>
      <c r="AG110" s="120">
        <v>0</v>
      </c>
      <c r="AH110" s="122">
        <v>11.625074940047961</v>
      </c>
      <c r="AI110" s="123"/>
      <c r="AJ110" s="9"/>
      <c r="AK110" s="78" t="s">
        <v>134</v>
      </c>
      <c r="AL110" s="78" t="s">
        <v>134</v>
      </c>
      <c r="AM110" s="122" t="s">
        <v>134</v>
      </c>
      <c r="AN110" s="121">
        <f>IF(Level1[[#This Row],[Standardised_Normalised_Mass_kg/capita/year]]&lt;&gt;"",Level1[[#This Row],[Standardised_Normalised_Mass_kg/capita/year]],Level1[[#This Row],[Derived_Normalised_kg/capita/year]])</f>
        <v>11.625074940047961</v>
      </c>
      <c r="AO110" s="78">
        <f>IF(Level1[[#This Row],[Household]]=1,IF(Level1[[#This Row],[Household_Diary?]]=1,'Cover Sheet'!$R$31,1),1)</f>
        <v>1</v>
      </c>
      <c r="AP110" s="78">
        <f>IF(Level1[[#This Row],[Household]]=1,IF(Level1[[#This Row],[Edible_Waste_Only?]]=1,'Cover Sheet'!$R$32,1),1)</f>
        <v>1</v>
      </c>
      <c r="AQ110" s="78">
        <f>IF(Level1[[#This Row],[Food_Service]]=1,IF(Level1[[#This Row],[Edible_Waste_Only?]]=1,'Cover Sheet'!$R$33,1),1)</f>
        <v>1</v>
      </c>
      <c r="AR110" s="78">
        <f>IF(Level1[[#This Row],[Retail]]=1,IF(Level1[[#This Row],[Edible_Waste_Only?]]=1,'Cover Sheet'!$R$34,1),1)</f>
        <v>1.1756101852337386</v>
      </c>
      <c r="AS110" s="78">
        <f>PRODUCT(Level1[[#This Row],[Household_Diary_Adjustment]:[Retail_Inedible_Adjustment]])</f>
        <v>1.1756101852337386</v>
      </c>
      <c r="AT110" s="124">
        <f>Level1[[#This Row],[Preferred_estimate_kg/capita]]*Level1[[#This Row],[Total_Adjustment]]</f>
        <v>13.666556503625877</v>
      </c>
    </row>
    <row r="111" spans="1:46">
      <c r="A111" s="125">
        <v>62</v>
      </c>
      <c r="B111" s="126" t="s">
        <v>496</v>
      </c>
      <c r="C111" s="126">
        <v>2016</v>
      </c>
      <c r="D111" s="127" t="s">
        <v>497</v>
      </c>
      <c r="E111" s="128" t="s">
        <v>164</v>
      </c>
      <c r="F111" s="126">
        <v>578</v>
      </c>
      <c r="G111" s="126" t="s">
        <v>155</v>
      </c>
      <c r="H111" s="126" t="s">
        <v>128</v>
      </c>
      <c r="I111" s="9" t="s">
        <v>129</v>
      </c>
      <c r="J111" s="9" t="s">
        <v>130</v>
      </c>
      <c r="K111" s="126"/>
      <c r="L111" s="115">
        <v>5.3788999999999998</v>
      </c>
      <c r="M111" s="128">
        <v>1</v>
      </c>
      <c r="N111" s="126"/>
      <c r="O111" s="129"/>
      <c r="P111" s="128" t="s">
        <v>131</v>
      </c>
      <c r="Q111" s="126">
        <v>1</v>
      </c>
      <c r="R111" s="126" t="s">
        <v>498</v>
      </c>
      <c r="S111" s="130"/>
      <c r="T111" s="130"/>
      <c r="U111" s="135">
        <v>2011</v>
      </c>
      <c r="V111" s="132"/>
      <c r="W111" s="126"/>
      <c r="X111" s="141">
        <v>0.58799999999999997</v>
      </c>
      <c r="Y111" s="137" t="s">
        <v>499</v>
      </c>
      <c r="Z111" s="133"/>
      <c r="AA111" s="9"/>
      <c r="AB111" s="119" t="s">
        <v>134</v>
      </c>
      <c r="AC111" s="119" t="s">
        <v>134</v>
      </c>
      <c r="AD111" s="134" t="s">
        <v>134</v>
      </c>
      <c r="AE111" s="121">
        <v>0</v>
      </c>
      <c r="AF111" s="120">
        <v>4944528.5714285718</v>
      </c>
      <c r="AG111" s="120">
        <v>0</v>
      </c>
      <c r="AH111" s="122">
        <v>0</v>
      </c>
      <c r="AI111" s="123">
        <v>78.8</v>
      </c>
      <c r="AJ111" s="126" t="s">
        <v>147</v>
      </c>
      <c r="AK111" s="78">
        <v>78.8</v>
      </c>
      <c r="AL111" s="78">
        <v>78.8</v>
      </c>
      <c r="AM111" s="122">
        <v>78.8</v>
      </c>
      <c r="AN111" s="121">
        <f>IF(Level1[[#This Row],[Standardised_Normalised_Mass_kg/capita/year]]&lt;&gt;"",Level1[[#This Row],[Standardised_Normalised_Mass_kg/capita/year]],Level1[[#This Row],[Derived_Normalised_kg/capita/year]])</f>
        <v>78.8</v>
      </c>
      <c r="AO111" s="78">
        <f>IF(Level1[[#This Row],[Household]]=1,IF(Level1[[#This Row],[Household_Diary?]]=1,'Cover Sheet'!$R$31,1),1)</f>
        <v>1</v>
      </c>
      <c r="AP111" s="78">
        <f>IF(Level1[[#This Row],[Household]]=1,IF(Level1[[#This Row],[Edible_Waste_Only?]]=1,'Cover Sheet'!$R$32,1),1)</f>
        <v>1</v>
      </c>
      <c r="AQ111" s="78">
        <f>IF(Level1[[#This Row],[Food_Service]]=1,IF(Level1[[#This Row],[Edible_Waste_Only?]]=1,'Cover Sheet'!$R$33,1),1)</f>
        <v>1</v>
      </c>
      <c r="AR111" s="78">
        <f>IF(Level1[[#This Row],[Retail]]=1,IF(Level1[[#This Row],[Edible_Waste_Only?]]=1,'Cover Sheet'!$R$34,1),1)</f>
        <v>1</v>
      </c>
      <c r="AS111" s="78">
        <f>PRODUCT(Level1[[#This Row],[Household_Diary_Adjustment]:[Retail_Inedible_Adjustment]])</f>
        <v>1</v>
      </c>
      <c r="AT111" s="124">
        <f>Level1[[#This Row],[Preferred_estimate_kg/capita]]*Level1[[#This Row],[Total_Adjustment]]</f>
        <v>78.8</v>
      </c>
    </row>
    <row r="112" spans="1:46">
      <c r="A112" s="125">
        <v>63</v>
      </c>
      <c r="B112" s="126" t="s">
        <v>500</v>
      </c>
      <c r="C112" s="126">
        <v>2015</v>
      </c>
      <c r="D112" s="127" t="s">
        <v>501</v>
      </c>
      <c r="E112" s="128" t="s">
        <v>502</v>
      </c>
      <c r="F112" s="126">
        <v>586</v>
      </c>
      <c r="G112" s="126" t="s">
        <v>180</v>
      </c>
      <c r="H112" s="126" t="s">
        <v>174</v>
      </c>
      <c r="I112" s="9" t="s">
        <v>181</v>
      </c>
      <c r="J112" s="9" t="s">
        <v>182</v>
      </c>
      <c r="K112" s="126" t="s">
        <v>503</v>
      </c>
      <c r="L112" s="115">
        <v>216.56530000000001</v>
      </c>
      <c r="M112" s="128">
        <v>1</v>
      </c>
      <c r="N112" s="126"/>
      <c r="O112" s="129"/>
      <c r="P112" s="128" t="s">
        <v>131</v>
      </c>
      <c r="Q112" s="126">
        <v>2</v>
      </c>
      <c r="R112" s="126" t="s">
        <v>504</v>
      </c>
      <c r="S112" s="130"/>
      <c r="T112" s="130"/>
      <c r="U112" s="135">
        <v>2015</v>
      </c>
      <c r="V112" s="132">
        <f>SUM(68.7%*10/60,57.8%*30/60,66.9%*20/60)</f>
        <v>0.62649999999999995</v>
      </c>
      <c r="W112" s="126" t="s">
        <v>176</v>
      </c>
      <c r="X112" s="141"/>
      <c r="Y112" s="137"/>
      <c r="Z112" s="133"/>
      <c r="AA112" s="9"/>
      <c r="AB112" s="119" t="s">
        <v>134</v>
      </c>
      <c r="AC112" s="119" t="s">
        <v>134</v>
      </c>
      <c r="AD112" s="134" t="s">
        <v>134</v>
      </c>
      <c r="AE112" s="121">
        <v>0</v>
      </c>
      <c r="AF112" s="120">
        <v>0</v>
      </c>
      <c r="AG112" s="120">
        <v>0</v>
      </c>
      <c r="AH112" s="122">
        <v>0</v>
      </c>
      <c r="AI112" s="123">
        <f>SUM(0.47*68.7%*10/60,0.35*57.8%*30/60,0.38*66.9%*20/60)</f>
        <v>0.239705</v>
      </c>
      <c r="AJ112" s="126" t="s">
        <v>185</v>
      </c>
      <c r="AK112" s="78">
        <v>0.239705</v>
      </c>
      <c r="AL112" s="78">
        <v>87.552251249999998</v>
      </c>
      <c r="AM112" s="122">
        <v>87.552251249999998</v>
      </c>
      <c r="AN112" s="121">
        <f>IF(Level1[[#This Row],[Standardised_Normalised_Mass_kg/capita/year]]&lt;&gt;"",Level1[[#This Row],[Standardised_Normalised_Mass_kg/capita/year]],Level1[[#This Row],[Derived_Normalised_kg/capita/year]])</f>
        <v>87.552251249999998</v>
      </c>
      <c r="AO112" s="78">
        <f>IF(Level1[[#This Row],[Household]]=1,IF(Level1[[#This Row],[Household_Diary?]]=1,'Cover Sheet'!$R$31,1),1)</f>
        <v>1</v>
      </c>
      <c r="AP112" s="78">
        <f>IF(Level1[[#This Row],[Household]]=1,IF(Level1[[#This Row],[Edible_Waste_Only?]]=1,'Cover Sheet'!$R$32,1),1)</f>
        <v>1</v>
      </c>
      <c r="AQ112" s="78">
        <f>IF(Level1[[#This Row],[Food_Service]]=1,IF(Level1[[#This Row],[Edible_Waste_Only?]]=1,'Cover Sheet'!$R$33,1),1)</f>
        <v>1</v>
      </c>
      <c r="AR112" s="78">
        <f>IF(Level1[[#This Row],[Retail]]=1,IF(Level1[[#This Row],[Edible_Waste_Only?]]=1,'Cover Sheet'!$R$34,1),1)</f>
        <v>1</v>
      </c>
      <c r="AS112" s="78">
        <f>PRODUCT(Level1[[#This Row],[Household_Diary_Adjustment]:[Retail_Inedible_Adjustment]])</f>
        <v>1</v>
      </c>
      <c r="AT112" s="124">
        <f>Level1[[#This Row],[Preferred_estimate_kg/capita]]*Level1[[#This Row],[Total_Adjustment]]</f>
        <v>87.552251249999998</v>
      </c>
    </row>
    <row r="113" spans="1:46">
      <c r="A113" s="112">
        <v>63</v>
      </c>
      <c r="B113" s="126" t="s">
        <v>500</v>
      </c>
      <c r="C113" s="9">
        <v>2015</v>
      </c>
      <c r="D113" s="113" t="s">
        <v>501</v>
      </c>
      <c r="E113" s="114" t="s">
        <v>502</v>
      </c>
      <c r="F113" s="9">
        <v>586</v>
      </c>
      <c r="G113" s="9" t="s">
        <v>180</v>
      </c>
      <c r="H113" s="9" t="s">
        <v>174</v>
      </c>
      <c r="I113" s="9" t="s">
        <v>181</v>
      </c>
      <c r="J113" s="9" t="s">
        <v>182</v>
      </c>
      <c r="K113" s="9" t="s">
        <v>503</v>
      </c>
      <c r="L113" s="115">
        <v>216.56530000000001</v>
      </c>
      <c r="M113" s="114">
        <v>1</v>
      </c>
      <c r="N113" s="9"/>
      <c r="O113" s="115"/>
      <c r="P113" s="114" t="s">
        <v>131</v>
      </c>
      <c r="Q113" s="9">
        <v>2</v>
      </c>
      <c r="R113" s="9" t="s">
        <v>505</v>
      </c>
      <c r="S113" s="10"/>
      <c r="T113" s="10"/>
      <c r="U113" s="138">
        <v>2015</v>
      </c>
      <c r="V113" s="117">
        <v>0.51100000000000001</v>
      </c>
      <c r="W113" s="9" t="s">
        <v>176</v>
      </c>
      <c r="X113" s="139"/>
      <c r="Y113" s="140"/>
      <c r="Z113" s="118"/>
      <c r="AA113" s="9"/>
      <c r="AB113" s="119" t="s">
        <v>134</v>
      </c>
      <c r="AC113" s="119" t="s">
        <v>134</v>
      </c>
      <c r="AD113" s="120" t="s">
        <v>134</v>
      </c>
      <c r="AE113" s="121">
        <v>0</v>
      </c>
      <c r="AF113" s="120">
        <v>0</v>
      </c>
      <c r="AG113" s="120">
        <v>0</v>
      </c>
      <c r="AH113" s="122">
        <v>0</v>
      </c>
      <c r="AI113" s="123">
        <f>0.32*Level1[[#This Row],[FW_Share_estimate]]</f>
        <v>0.16352</v>
      </c>
      <c r="AJ113" s="9" t="s">
        <v>185</v>
      </c>
      <c r="AK113" s="78">
        <v>0.16352</v>
      </c>
      <c r="AL113" s="78">
        <v>59.725679999999997</v>
      </c>
      <c r="AM113" s="122">
        <v>59.725679999999997</v>
      </c>
      <c r="AN113" s="121">
        <f>IF(Level1[[#This Row],[Standardised_Normalised_Mass_kg/capita/year]]&lt;&gt;"",Level1[[#This Row],[Standardised_Normalised_Mass_kg/capita/year]],Level1[[#This Row],[Derived_Normalised_kg/capita/year]])</f>
        <v>59.725679999999997</v>
      </c>
      <c r="AO113" s="78">
        <f>IF(Level1[[#This Row],[Household]]=1,IF(Level1[[#This Row],[Household_Diary?]]=1,'Cover Sheet'!$R$31,1),1)</f>
        <v>1</v>
      </c>
      <c r="AP113" s="78">
        <f>IF(Level1[[#This Row],[Household]]=1,IF(Level1[[#This Row],[Edible_Waste_Only?]]=1,'Cover Sheet'!$R$32,1),1)</f>
        <v>1</v>
      </c>
      <c r="AQ113" s="78">
        <f>IF(Level1[[#This Row],[Food_Service]]=1,IF(Level1[[#This Row],[Edible_Waste_Only?]]=1,'Cover Sheet'!$R$33,1),1)</f>
        <v>1</v>
      </c>
      <c r="AR113" s="78">
        <f>IF(Level1[[#This Row],[Retail]]=1,IF(Level1[[#This Row],[Edible_Waste_Only?]]=1,'Cover Sheet'!$R$34,1),1)</f>
        <v>1</v>
      </c>
      <c r="AS113" s="78">
        <f>PRODUCT(Level1[[#This Row],[Household_Diary_Adjustment]:[Retail_Inedible_Adjustment]])</f>
        <v>1</v>
      </c>
      <c r="AT113" s="124">
        <f>Level1[[#This Row],[Preferred_estimate_kg/capita]]*Level1[[#This Row],[Total_Adjustment]]</f>
        <v>59.725679999999997</v>
      </c>
    </row>
    <row r="114" spans="1:46">
      <c r="A114" s="125">
        <v>64</v>
      </c>
      <c r="B114" s="126" t="s">
        <v>506</v>
      </c>
      <c r="C114" s="126">
        <v>2015</v>
      </c>
      <c r="D114" s="127" t="s">
        <v>507</v>
      </c>
      <c r="E114" s="128" t="s">
        <v>508</v>
      </c>
      <c r="F114" s="126">
        <v>616</v>
      </c>
      <c r="G114" s="126" t="s">
        <v>365</v>
      </c>
      <c r="H114" s="126" t="s">
        <v>128</v>
      </c>
      <c r="I114" s="9" t="s">
        <v>129</v>
      </c>
      <c r="J114" s="9" t="s">
        <v>182</v>
      </c>
      <c r="K114" s="126" t="s">
        <v>509</v>
      </c>
      <c r="L114" s="115">
        <v>37.887799999999999</v>
      </c>
      <c r="M114" s="128">
        <v>1</v>
      </c>
      <c r="N114" s="126"/>
      <c r="O114" s="129"/>
      <c r="P114" s="128" t="s">
        <v>131</v>
      </c>
      <c r="Q114" s="126">
        <v>2</v>
      </c>
      <c r="R114" s="126" t="s">
        <v>510</v>
      </c>
      <c r="S114" s="130"/>
      <c r="T114" s="130"/>
      <c r="U114" s="135"/>
      <c r="V114" s="132">
        <f>SUM(27.7%*44.2/170.3,30.9%*41.6/170.3,34.1%*45.5/170.3,39.3%*39/170.3)</f>
        <v>0.32848091603053431</v>
      </c>
      <c r="W114" s="126" t="s">
        <v>176</v>
      </c>
      <c r="X114" s="132"/>
      <c r="Y114" s="137"/>
      <c r="Z114" s="133"/>
      <c r="AA114" s="9"/>
      <c r="AB114" s="119" t="s">
        <v>134</v>
      </c>
      <c r="AC114" s="119" t="s">
        <v>134</v>
      </c>
      <c r="AD114" s="134" t="s">
        <v>134</v>
      </c>
      <c r="AE114" s="121">
        <v>0</v>
      </c>
      <c r="AF114" s="120">
        <v>0</v>
      </c>
      <c r="AG114" s="120">
        <v>0</v>
      </c>
      <c r="AH114" s="122">
        <v>0</v>
      </c>
      <c r="AI114" s="123">
        <f>SUM(44.2*27.7%,41.6*30.9%,45.5*34.1%,39*39.3%)</f>
        <v>55.940300000000001</v>
      </c>
      <c r="AJ114" s="126" t="s">
        <v>147</v>
      </c>
      <c r="AK114" s="78">
        <v>55.940300000000001</v>
      </c>
      <c r="AL114" s="78">
        <v>55.940300000000001</v>
      </c>
      <c r="AM114" s="122">
        <v>55.940300000000001</v>
      </c>
      <c r="AN114" s="121">
        <f>IF(Level1[[#This Row],[Standardised_Normalised_Mass_kg/capita/year]]&lt;&gt;"",Level1[[#This Row],[Standardised_Normalised_Mass_kg/capita/year]],Level1[[#This Row],[Derived_Normalised_kg/capita/year]])</f>
        <v>55.940300000000001</v>
      </c>
      <c r="AO114" s="78">
        <f>IF(Level1[[#This Row],[Household]]=1,IF(Level1[[#This Row],[Household_Diary?]]=1,'Cover Sheet'!$R$31,1),1)</f>
        <v>1</v>
      </c>
      <c r="AP114" s="78">
        <f>IF(Level1[[#This Row],[Household]]=1,IF(Level1[[#This Row],[Edible_Waste_Only?]]=1,'Cover Sheet'!$R$32,1),1)</f>
        <v>1</v>
      </c>
      <c r="AQ114" s="78">
        <f>IF(Level1[[#This Row],[Food_Service]]=1,IF(Level1[[#This Row],[Edible_Waste_Only?]]=1,'Cover Sheet'!$R$33,1),1)</f>
        <v>1</v>
      </c>
      <c r="AR114" s="78">
        <f>IF(Level1[[#This Row],[Retail]]=1,IF(Level1[[#This Row],[Edible_Waste_Only?]]=1,'Cover Sheet'!$R$34,1),1)</f>
        <v>1</v>
      </c>
      <c r="AS114" s="78">
        <f>PRODUCT(Level1[[#This Row],[Household_Diary_Adjustment]:[Retail_Inedible_Adjustment]])</f>
        <v>1</v>
      </c>
      <c r="AT114" s="124">
        <f>Level1[[#This Row],[Preferred_estimate_kg/capita]]*Level1[[#This Row],[Total_Adjustment]]</f>
        <v>55.940300000000001</v>
      </c>
    </row>
    <row r="115" spans="1:46">
      <c r="A115" s="112">
        <v>65</v>
      </c>
      <c r="B115" s="126" t="s">
        <v>511</v>
      </c>
      <c r="C115" s="9">
        <v>2019</v>
      </c>
      <c r="D115" s="113" t="s">
        <v>512</v>
      </c>
      <c r="E115" s="114" t="s">
        <v>513</v>
      </c>
      <c r="F115" s="9">
        <v>643</v>
      </c>
      <c r="G115" s="9" t="s">
        <v>365</v>
      </c>
      <c r="H115" s="9" t="s">
        <v>128</v>
      </c>
      <c r="I115" s="9" t="s">
        <v>210</v>
      </c>
      <c r="J115" s="9" t="s">
        <v>130</v>
      </c>
      <c r="K115" s="9"/>
      <c r="L115" s="115">
        <v>145.8723</v>
      </c>
      <c r="M115" s="114">
        <v>1</v>
      </c>
      <c r="N115" s="9"/>
      <c r="O115" s="115"/>
      <c r="P115" s="114" t="s">
        <v>151</v>
      </c>
      <c r="Q115" s="9">
        <v>2</v>
      </c>
      <c r="R115" s="9" t="s">
        <v>514</v>
      </c>
      <c r="S115" s="10"/>
      <c r="T115" s="10"/>
      <c r="U115" s="116">
        <v>2017</v>
      </c>
      <c r="V115" s="117">
        <f>11.8/41.3</f>
        <v>0.28571428571428575</v>
      </c>
      <c r="W115" s="9" t="s">
        <v>250</v>
      </c>
      <c r="X115" s="139"/>
      <c r="Y115" s="140"/>
      <c r="Z115" s="118">
        <f>17*Level1[[#This Row],[FW_Share_estimate]]</f>
        <v>4.8571428571428577</v>
      </c>
      <c r="AA115" s="9" t="s">
        <v>229</v>
      </c>
      <c r="AB115" s="119">
        <v>4.8571428571428577</v>
      </c>
      <c r="AC115" s="119">
        <v>4857142.8571428573</v>
      </c>
      <c r="AD115" s="120">
        <v>4857142.8571428573</v>
      </c>
      <c r="AE115" s="121">
        <v>1</v>
      </c>
      <c r="AF115" s="120">
        <v>145530100</v>
      </c>
      <c r="AG115" s="120">
        <v>0</v>
      </c>
      <c r="AH115" s="122">
        <v>33.375520645851665</v>
      </c>
      <c r="AI115" s="123"/>
      <c r="AJ115" s="9"/>
      <c r="AK115" s="78" t="s">
        <v>134</v>
      </c>
      <c r="AL115" s="78" t="s">
        <v>134</v>
      </c>
      <c r="AM115" s="122" t="s">
        <v>134</v>
      </c>
      <c r="AN115" s="121">
        <f>IF(Level1[[#This Row],[Standardised_Normalised_Mass_kg/capita/year]]&lt;&gt;"",Level1[[#This Row],[Standardised_Normalised_Mass_kg/capita/year]],Level1[[#This Row],[Derived_Normalised_kg/capita/year]])</f>
        <v>33.375520645851665</v>
      </c>
      <c r="AO115" s="78">
        <f>IF(Level1[[#This Row],[Household]]=1,IF(Level1[[#This Row],[Household_Diary?]]=1,'Cover Sheet'!$R$31,1),1)</f>
        <v>1</v>
      </c>
      <c r="AP115" s="78">
        <f>IF(Level1[[#This Row],[Household]]=1,IF(Level1[[#This Row],[Edible_Waste_Only?]]=1,'Cover Sheet'!$R$32,1),1)</f>
        <v>1</v>
      </c>
      <c r="AQ115" s="78">
        <f>IF(Level1[[#This Row],[Food_Service]]=1,IF(Level1[[#This Row],[Edible_Waste_Only?]]=1,'Cover Sheet'!$R$33,1),1)</f>
        <v>1</v>
      </c>
      <c r="AR115" s="78">
        <f>IF(Level1[[#This Row],[Retail]]=1,IF(Level1[[#This Row],[Edible_Waste_Only?]]=1,'Cover Sheet'!$R$34,1),1)</f>
        <v>1</v>
      </c>
      <c r="AS115" s="78">
        <f>PRODUCT(Level1[[#This Row],[Household_Diary_Adjustment]:[Retail_Inedible_Adjustment]])</f>
        <v>1</v>
      </c>
      <c r="AT115" s="124">
        <f>Level1[[#This Row],[Preferred_estimate_kg/capita]]*Level1[[#This Row],[Total_Adjustment]]</f>
        <v>33.375520645851665</v>
      </c>
    </row>
    <row r="116" spans="1:46">
      <c r="A116" s="125">
        <v>65</v>
      </c>
      <c r="B116" s="126" t="s">
        <v>511</v>
      </c>
      <c r="C116" s="126">
        <v>2019</v>
      </c>
      <c r="D116" s="127" t="s">
        <v>512</v>
      </c>
      <c r="E116" s="128" t="s">
        <v>513</v>
      </c>
      <c r="F116" s="126">
        <v>643</v>
      </c>
      <c r="G116" s="126" t="s">
        <v>365</v>
      </c>
      <c r="H116" s="126" t="s">
        <v>128</v>
      </c>
      <c r="I116" s="9" t="s">
        <v>210</v>
      </c>
      <c r="J116" s="9" t="s">
        <v>130</v>
      </c>
      <c r="K116" s="126"/>
      <c r="L116" s="115">
        <v>145.8723</v>
      </c>
      <c r="M116" s="128"/>
      <c r="N116" s="126"/>
      <c r="O116" s="129">
        <v>1</v>
      </c>
      <c r="P116" s="128" t="s">
        <v>151</v>
      </c>
      <c r="Q116" s="126">
        <v>2</v>
      </c>
      <c r="R116" s="126" t="s">
        <v>514</v>
      </c>
      <c r="S116" s="130"/>
      <c r="T116" s="130"/>
      <c r="U116" s="131">
        <v>2017</v>
      </c>
      <c r="V116" s="132">
        <f>4.85/41.3</f>
        <v>0.11743341404358354</v>
      </c>
      <c r="W116" s="126" t="s">
        <v>250</v>
      </c>
      <c r="X116" s="141"/>
      <c r="Y116" s="137"/>
      <c r="Z116" s="133">
        <f>17*Level1[[#This Row],[FW_Share_estimate]]</f>
        <v>1.9963680387409202</v>
      </c>
      <c r="AA116" s="9" t="s">
        <v>229</v>
      </c>
      <c r="AB116" s="119">
        <v>1.9963680387409202</v>
      </c>
      <c r="AC116" s="119">
        <v>1996368.0387409201</v>
      </c>
      <c r="AD116" s="134">
        <v>1996368.0387409201</v>
      </c>
      <c r="AE116" s="121">
        <v>1</v>
      </c>
      <c r="AF116" s="120">
        <v>145530100</v>
      </c>
      <c r="AG116" s="120">
        <v>0</v>
      </c>
      <c r="AH116" s="122">
        <v>13.71790467223564</v>
      </c>
      <c r="AI116" s="123"/>
      <c r="AJ116" s="126"/>
      <c r="AK116" s="78" t="s">
        <v>134</v>
      </c>
      <c r="AL116" s="78" t="s">
        <v>134</v>
      </c>
      <c r="AM116" s="122" t="s">
        <v>134</v>
      </c>
      <c r="AN116" s="121">
        <f>IF(Level1[[#This Row],[Standardised_Normalised_Mass_kg/capita/year]]&lt;&gt;"",Level1[[#This Row],[Standardised_Normalised_Mass_kg/capita/year]],Level1[[#This Row],[Derived_Normalised_kg/capita/year]])</f>
        <v>13.71790467223564</v>
      </c>
      <c r="AO116" s="78">
        <f>IF(Level1[[#This Row],[Household]]=1,IF(Level1[[#This Row],[Household_Diary?]]=1,'Cover Sheet'!$R$31,1),1)</f>
        <v>1</v>
      </c>
      <c r="AP116" s="78">
        <f>IF(Level1[[#This Row],[Household]]=1,IF(Level1[[#This Row],[Edible_Waste_Only?]]=1,'Cover Sheet'!$R$32,1),1)</f>
        <v>1</v>
      </c>
      <c r="AQ116" s="78">
        <f>IF(Level1[[#This Row],[Food_Service]]=1,IF(Level1[[#This Row],[Edible_Waste_Only?]]=1,'Cover Sheet'!$R$33,1),1)</f>
        <v>1</v>
      </c>
      <c r="AR116" s="78">
        <f>IF(Level1[[#This Row],[Retail]]=1,IF(Level1[[#This Row],[Edible_Waste_Only?]]=1,'Cover Sheet'!$R$34,1),1)</f>
        <v>1</v>
      </c>
      <c r="AS116" s="78">
        <f>PRODUCT(Level1[[#This Row],[Household_Diary_Adjustment]:[Retail_Inedible_Adjustment]])</f>
        <v>1</v>
      </c>
      <c r="AT116" s="124">
        <f>Level1[[#This Row],[Preferred_estimate_kg/capita]]*Level1[[#This Row],[Total_Adjustment]]</f>
        <v>13.71790467223564</v>
      </c>
    </row>
    <row r="117" spans="1:46">
      <c r="A117" s="112">
        <v>66</v>
      </c>
      <c r="B117" s="126" t="s">
        <v>515</v>
      </c>
      <c r="C117" s="9">
        <v>2013</v>
      </c>
      <c r="D117" s="113" t="s">
        <v>516</v>
      </c>
      <c r="E117" s="114" t="s">
        <v>517</v>
      </c>
      <c r="F117" s="9">
        <v>646</v>
      </c>
      <c r="G117" s="9" t="s">
        <v>306</v>
      </c>
      <c r="H117" s="9" t="s">
        <v>174</v>
      </c>
      <c r="I117" s="9" t="s">
        <v>307</v>
      </c>
      <c r="J117" s="9" t="s">
        <v>182</v>
      </c>
      <c r="K117" s="9" t="s">
        <v>518</v>
      </c>
      <c r="L117" s="115">
        <v>12.627000000000001</v>
      </c>
      <c r="M117" s="114">
        <v>1</v>
      </c>
      <c r="N117" s="9"/>
      <c r="O117" s="115"/>
      <c r="P117" s="114" t="s">
        <v>131</v>
      </c>
      <c r="Q117" s="9">
        <v>2</v>
      </c>
      <c r="R117" s="9" t="s">
        <v>519</v>
      </c>
      <c r="S117" s="10"/>
      <c r="T117" s="10"/>
      <c r="U117" s="138">
        <v>2011</v>
      </c>
      <c r="V117" s="117">
        <v>0.74</v>
      </c>
      <c r="W117" s="9" t="s">
        <v>254</v>
      </c>
      <c r="X117" s="139"/>
      <c r="Y117" s="140"/>
      <c r="Z117" s="118"/>
      <c r="AA117" s="9"/>
      <c r="AB117" s="119" t="s">
        <v>134</v>
      </c>
      <c r="AC117" s="119" t="s">
        <v>134</v>
      </c>
      <c r="AD117" s="120" t="s">
        <v>134</v>
      </c>
      <c r="AE117" s="121">
        <v>0</v>
      </c>
      <c r="AF117" s="120">
        <v>0</v>
      </c>
      <c r="AG117" s="120">
        <v>0</v>
      </c>
      <c r="AH117" s="122">
        <v>0</v>
      </c>
      <c r="AI117" s="123">
        <v>0.45</v>
      </c>
      <c r="AJ117" s="9" t="s">
        <v>185</v>
      </c>
      <c r="AK117" s="78">
        <v>0.45</v>
      </c>
      <c r="AL117" s="78">
        <v>164.36250000000001</v>
      </c>
      <c r="AM117" s="122">
        <v>164.36250000000001</v>
      </c>
      <c r="AN117" s="121">
        <f>IF(Level1[[#This Row],[Standardised_Normalised_Mass_kg/capita/year]]&lt;&gt;"",Level1[[#This Row],[Standardised_Normalised_Mass_kg/capita/year]],Level1[[#This Row],[Derived_Normalised_kg/capita/year]])</f>
        <v>164.36250000000001</v>
      </c>
      <c r="AO117" s="78">
        <f>IF(Level1[[#This Row],[Household]]=1,IF(Level1[[#This Row],[Household_Diary?]]=1,'Cover Sheet'!$R$31,1),1)</f>
        <v>1</v>
      </c>
      <c r="AP117" s="78">
        <f>IF(Level1[[#This Row],[Household]]=1,IF(Level1[[#This Row],[Edible_Waste_Only?]]=1,'Cover Sheet'!$R$32,1),1)</f>
        <v>1</v>
      </c>
      <c r="AQ117" s="78">
        <f>IF(Level1[[#This Row],[Food_Service]]=1,IF(Level1[[#This Row],[Edible_Waste_Only?]]=1,'Cover Sheet'!$R$33,1),1)</f>
        <v>1</v>
      </c>
      <c r="AR117" s="78">
        <f>IF(Level1[[#This Row],[Retail]]=1,IF(Level1[[#This Row],[Edible_Waste_Only?]]=1,'Cover Sheet'!$R$34,1),1)</f>
        <v>1</v>
      </c>
      <c r="AS117" s="78">
        <f>PRODUCT(Level1[[#This Row],[Household_Diary_Adjustment]:[Retail_Inedible_Adjustment]])</f>
        <v>1</v>
      </c>
      <c r="AT117" s="124">
        <f>Level1[[#This Row],[Preferred_estimate_kg/capita]]*Level1[[#This Row],[Total_Adjustment]]</f>
        <v>164.36250000000001</v>
      </c>
    </row>
    <row r="118" spans="1:46">
      <c r="A118" s="125">
        <v>67</v>
      </c>
      <c r="B118" s="126" t="s">
        <v>520</v>
      </c>
      <c r="C118" s="126">
        <v>2019</v>
      </c>
      <c r="D118" s="127" t="s">
        <v>521</v>
      </c>
      <c r="E118" s="128" t="s">
        <v>522</v>
      </c>
      <c r="F118" s="126">
        <v>682</v>
      </c>
      <c r="G118" s="126" t="s">
        <v>173</v>
      </c>
      <c r="H118" s="126" t="s">
        <v>174</v>
      </c>
      <c r="I118" s="9" t="s">
        <v>129</v>
      </c>
      <c r="J118" s="9" t="s">
        <v>130</v>
      </c>
      <c r="K118" s="126"/>
      <c r="L118" s="115">
        <v>34.268500000000003</v>
      </c>
      <c r="M118" s="128">
        <v>1</v>
      </c>
      <c r="N118" s="126"/>
      <c r="O118" s="129"/>
      <c r="P118" s="128" t="s">
        <v>131</v>
      </c>
      <c r="Q118" s="126">
        <v>1</v>
      </c>
      <c r="R118" s="126" t="s">
        <v>523</v>
      </c>
      <c r="S118" s="130"/>
      <c r="T118" s="130"/>
      <c r="U118" s="131">
        <v>2017</v>
      </c>
      <c r="V118" s="132"/>
      <c r="W118" s="126"/>
      <c r="X118" s="132"/>
      <c r="Y118" s="129"/>
      <c r="Z118" s="133">
        <f>57%*4.066</f>
        <v>2.3176199999999998</v>
      </c>
      <c r="AA118" s="9" t="s">
        <v>229</v>
      </c>
      <c r="AB118" s="119">
        <v>2.3176199999999998</v>
      </c>
      <c r="AC118" s="119">
        <v>2317620</v>
      </c>
      <c r="AD118" s="134">
        <v>2317620</v>
      </c>
      <c r="AE118" s="121">
        <v>0</v>
      </c>
      <c r="AF118" s="120">
        <v>33101200</v>
      </c>
      <c r="AG118" s="120">
        <v>0</v>
      </c>
      <c r="AH118" s="122">
        <v>0</v>
      </c>
      <c r="AI118" s="123">
        <f>184*57%</f>
        <v>104.88</v>
      </c>
      <c r="AJ118" s="126" t="s">
        <v>147</v>
      </c>
      <c r="AK118" s="78">
        <v>104.88</v>
      </c>
      <c r="AL118" s="78">
        <v>104.88</v>
      </c>
      <c r="AM118" s="122">
        <v>104.88</v>
      </c>
      <c r="AN118" s="121">
        <f>IF(Level1[[#This Row],[Standardised_Normalised_Mass_kg/capita/year]]&lt;&gt;"",Level1[[#This Row],[Standardised_Normalised_Mass_kg/capita/year]],Level1[[#This Row],[Derived_Normalised_kg/capita/year]])</f>
        <v>104.88</v>
      </c>
      <c r="AO118" s="78">
        <f>IF(Level1[[#This Row],[Household]]=1,IF(Level1[[#This Row],[Household_Diary?]]=1,'Cover Sheet'!$R$31,1),1)</f>
        <v>1</v>
      </c>
      <c r="AP118" s="78">
        <f>IF(Level1[[#This Row],[Household]]=1,IF(Level1[[#This Row],[Edible_Waste_Only?]]=1,'Cover Sheet'!$R$32,1),1)</f>
        <v>1</v>
      </c>
      <c r="AQ118" s="78">
        <f>IF(Level1[[#This Row],[Food_Service]]=1,IF(Level1[[#This Row],[Edible_Waste_Only?]]=1,'Cover Sheet'!$R$33,1),1)</f>
        <v>1</v>
      </c>
      <c r="AR118" s="78">
        <f>IF(Level1[[#This Row],[Retail]]=1,IF(Level1[[#This Row],[Edible_Waste_Only?]]=1,'Cover Sheet'!$R$34,1),1)</f>
        <v>1</v>
      </c>
      <c r="AS118" s="78">
        <f>PRODUCT(Level1[[#This Row],[Household_Diary_Adjustment]:[Retail_Inedible_Adjustment]])</f>
        <v>1</v>
      </c>
      <c r="AT118" s="124">
        <f>Level1[[#This Row],[Preferred_estimate_kg/capita]]*Level1[[#This Row],[Total_Adjustment]]</f>
        <v>104.88</v>
      </c>
    </row>
    <row r="119" spans="1:46">
      <c r="A119" s="112">
        <v>67</v>
      </c>
      <c r="B119" s="126" t="s">
        <v>520</v>
      </c>
      <c r="C119" s="9">
        <v>2019</v>
      </c>
      <c r="D119" s="113" t="s">
        <v>521</v>
      </c>
      <c r="E119" s="114" t="s">
        <v>522</v>
      </c>
      <c r="F119" s="9">
        <v>682</v>
      </c>
      <c r="G119" s="9" t="s">
        <v>173</v>
      </c>
      <c r="H119" s="9" t="s">
        <v>174</v>
      </c>
      <c r="I119" s="9" t="s">
        <v>129</v>
      </c>
      <c r="J119" s="9" t="s">
        <v>130</v>
      </c>
      <c r="K119" s="9"/>
      <c r="L119" s="115">
        <v>34.268500000000003</v>
      </c>
      <c r="M119" s="114"/>
      <c r="N119" s="9"/>
      <c r="O119" s="115">
        <v>1</v>
      </c>
      <c r="P119" s="114" t="s">
        <v>131</v>
      </c>
      <c r="Q119" s="9">
        <v>1</v>
      </c>
      <c r="R119" s="9" t="s">
        <v>524</v>
      </c>
      <c r="S119" s="10"/>
      <c r="T119" s="10"/>
      <c r="U119" s="116">
        <v>2017</v>
      </c>
      <c r="V119" s="117"/>
      <c r="W119" s="9"/>
      <c r="X119" s="117"/>
      <c r="Y119" s="115"/>
      <c r="Z119" s="118">
        <f>16%*4.066</f>
        <v>0.65056000000000003</v>
      </c>
      <c r="AA119" s="9" t="s">
        <v>229</v>
      </c>
      <c r="AB119" s="119">
        <v>0.65056000000000003</v>
      </c>
      <c r="AC119" s="119">
        <v>650560</v>
      </c>
      <c r="AD119" s="120">
        <v>650560</v>
      </c>
      <c r="AE119" s="121">
        <v>1</v>
      </c>
      <c r="AF119" s="120">
        <v>33101200</v>
      </c>
      <c r="AG119" s="120">
        <v>0</v>
      </c>
      <c r="AH119" s="122">
        <v>19.653668144961511</v>
      </c>
      <c r="AI119" s="123"/>
      <c r="AJ119" s="9"/>
      <c r="AK119" s="78" t="s">
        <v>134</v>
      </c>
      <c r="AL119" s="78" t="s">
        <v>134</v>
      </c>
      <c r="AM119" s="122" t="s">
        <v>134</v>
      </c>
      <c r="AN119" s="121">
        <f>IF(Level1[[#This Row],[Standardised_Normalised_Mass_kg/capita/year]]&lt;&gt;"",Level1[[#This Row],[Standardised_Normalised_Mass_kg/capita/year]],Level1[[#This Row],[Derived_Normalised_kg/capita/year]])</f>
        <v>19.653668144961511</v>
      </c>
      <c r="AO119" s="78">
        <f>IF(Level1[[#This Row],[Household]]=1,IF(Level1[[#This Row],[Household_Diary?]]=1,'Cover Sheet'!$R$31,1),1)</f>
        <v>1</v>
      </c>
      <c r="AP119" s="78">
        <f>IF(Level1[[#This Row],[Household]]=1,IF(Level1[[#This Row],[Edible_Waste_Only?]]=1,'Cover Sheet'!$R$32,1),1)</f>
        <v>1</v>
      </c>
      <c r="AQ119" s="78">
        <f>IF(Level1[[#This Row],[Food_Service]]=1,IF(Level1[[#This Row],[Edible_Waste_Only?]]=1,'Cover Sheet'!$R$33,1),1)</f>
        <v>1</v>
      </c>
      <c r="AR119" s="78">
        <f>IF(Level1[[#This Row],[Retail]]=1,IF(Level1[[#This Row],[Edible_Waste_Only?]]=1,'Cover Sheet'!$R$34,1),1)</f>
        <v>1</v>
      </c>
      <c r="AS119" s="78">
        <f>PRODUCT(Level1[[#This Row],[Household_Diary_Adjustment]:[Retail_Inedible_Adjustment]])</f>
        <v>1</v>
      </c>
      <c r="AT119" s="124">
        <f>Level1[[#This Row],[Preferred_estimate_kg/capita]]*Level1[[#This Row],[Total_Adjustment]]</f>
        <v>19.653668144961511</v>
      </c>
    </row>
    <row r="120" spans="1:46">
      <c r="A120" s="125">
        <v>68</v>
      </c>
      <c r="B120" s="126" t="s">
        <v>525</v>
      </c>
      <c r="C120" s="126">
        <v>2019</v>
      </c>
      <c r="D120" s="127" t="s">
        <v>526</v>
      </c>
      <c r="E120" s="128" t="s">
        <v>527</v>
      </c>
      <c r="F120" s="126">
        <v>688</v>
      </c>
      <c r="G120" s="126" t="s">
        <v>161</v>
      </c>
      <c r="H120" s="126" t="s">
        <v>128</v>
      </c>
      <c r="I120" s="9" t="s">
        <v>210</v>
      </c>
      <c r="J120" s="9" t="s">
        <v>130</v>
      </c>
      <c r="K120" s="126"/>
      <c r="L120" s="115">
        <v>8.7721999999999998</v>
      </c>
      <c r="M120" s="128"/>
      <c r="N120" s="126">
        <v>1</v>
      </c>
      <c r="O120" s="129"/>
      <c r="P120" s="128" t="s">
        <v>281</v>
      </c>
      <c r="Q120" s="126">
        <v>2</v>
      </c>
      <c r="R120" s="126" t="s">
        <v>528</v>
      </c>
      <c r="S120" s="130"/>
      <c r="T120" s="130"/>
      <c r="U120" s="135">
        <v>2018</v>
      </c>
      <c r="V120" s="132"/>
      <c r="W120" s="126"/>
      <c r="X120" s="141"/>
      <c r="Y120" s="137"/>
      <c r="Z120" s="133">
        <f>39+0.2+0.2</f>
        <v>39.400000000000006</v>
      </c>
      <c r="AA120" s="9" t="s">
        <v>240</v>
      </c>
      <c r="AB120" s="119">
        <v>39.400000000000006</v>
      </c>
      <c r="AC120" s="119">
        <v>39400.000000000007</v>
      </c>
      <c r="AD120" s="134">
        <v>39400.000000000007</v>
      </c>
      <c r="AE120" s="121">
        <v>0</v>
      </c>
      <c r="AF120" s="120">
        <v>0</v>
      </c>
      <c r="AG120" s="120">
        <v>0</v>
      </c>
      <c r="AH120" s="122">
        <v>0</v>
      </c>
      <c r="AI120" s="123">
        <v>6</v>
      </c>
      <c r="AJ120" s="126" t="s">
        <v>147</v>
      </c>
      <c r="AK120" s="78">
        <v>6</v>
      </c>
      <c r="AL120" s="78">
        <v>6</v>
      </c>
      <c r="AM120" s="122">
        <v>6</v>
      </c>
      <c r="AN120" s="121">
        <f>IF(Level1[[#This Row],[Standardised_Normalised_Mass_kg/capita/year]]&lt;&gt;"",Level1[[#This Row],[Standardised_Normalised_Mass_kg/capita/year]],Level1[[#This Row],[Derived_Normalised_kg/capita/year]])</f>
        <v>6</v>
      </c>
      <c r="AO120" s="78">
        <f>IF(Level1[[#This Row],[Household]]=1,IF(Level1[[#This Row],[Household_Diary?]]=1,'Cover Sheet'!$R$31,1),1)</f>
        <v>1</v>
      </c>
      <c r="AP120" s="78">
        <f>IF(Level1[[#This Row],[Household]]=1,IF(Level1[[#This Row],[Edible_Waste_Only?]]=1,'Cover Sheet'!$R$32,1),1)</f>
        <v>1</v>
      </c>
      <c r="AQ120" s="78">
        <f>IF(Level1[[#This Row],[Food_Service]]=1,IF(Level1[[#This Row],[Edible_Waste_Only?]]=1,'Cover Sheet'!$R$33,1),1)</f>
        <v>1</v>
      </c>
      <c r="AR120" s="78">
        <f>IF(Level1[[#This Row],[Retail]]=1,IF(Level1[[#This Row],[Edible_Waste_Only?]]=1,'Cover Sheet'!$R$34,1),1)</f>
        <v>1</v>
      </c>
      <c r="AS120" s="78">
        <f>PRODUCT(Level1[[#This Row],[Household_Diary_Adjustment]:[Retail_Inedible_Adjustment]])</f>
        <v>1</v>
      </c>
      <c r="AT120" s="124">
        <f>Level1[[#This Row],[Preferred_estimate_kg/capita]]*Level1[[#This Row],[Total_Adjustment]]</f>
        <v>6</v>
      </c>
    </row>
    <row r="121" spans="1:46">
      <c r="A121" s="112">
        <v>69</v>
      </c>
      <c r="B121" s="126" t="s">
        <v>529</v>
      </c>
      <c r="C121" s="9">
        <v>2018</v>
      </c>
      <c r="D121" s="113" t="s">
        <v>530</v>
      </c>
      <c r="E121" s="114" t="s">
        <v>531</v>
      </c>
      <c r="F121" s="9">
        <v>705</v>
      </c>
      <c r="G121" s="9" t="s">
        <v>161</v>
      </c>
      <c r="H121" s="9" t="s">
        <v>128</v>
      </c>
      <c r="I121" s="9" t="s">
        <v>129</v>
      </c>
      <c r="J121" s="9" t="s">
        <v>130</v>
      </c>
      <c r="K121" s="9"/>
      <c r="L121" s="115">
        <v>2.0787</v>
      </c>
      <c r="M121" s="114">
        <v>1</v>
      </c>
      <c r="N121" s="9"/>
      <c r="O121" s="115"/>
      <c r="P121" s="114" t="s">
        <v>430</v>
      </c>
      <c r="Q121" s="9">
        <v>2</v>
      </c>
      <c r="R121" s="9" t="s">
        <v>532</v>
      </c>
      <c r="S121" s="10"/>
      <c r="T121" s="10"/>
      <c r="U121" s="138">
        <v>2017</v>
      </c>
      <c r="V121" s="117"/>
      <c r="W121" s="9"/>
      <c r="X121" s="139"/>
      <c r="Y121" s="140"/>
      <c r="Z121" s="118">
        <v>67594</v>
      </c>
      <c r="AA121" s="9" t="s">
        <v>133</v>
      </c>
      <c r="AB121" s="119">
        <v>67594</v>
      </c>
      <c r="AC121" s="119">
        <v>67594</v>
      </c>
      <c r="AD121" s="120">
        <v>67594</v>
      </c>
      <c r="AE121" s="121">
        <v>0</v>
      </c>
      <c r="AF121" s="120">
        <v>2076400</v>
      </c>
      <c r="AG121" s="120">
        <v>0</v>
      </c>
      <c r="AH121" s="122">
        <v>0</v>
      </c>
      <c r="AI121" s="123">
        <f>(64/131761)*Z121</f>
        <v>32.832294836863717</v>
      </c>
      <c r="AJ121" s="9" t="s">
        <v>147</v>
      </c>
      <c r="AK121" s="78">
        <v>32.832294836863717</v>
      </c>
      <c r="AL121" s="78">
        <v>32.832294836863717</v>
      </c>
      <c r="AM121" s="122">
        <v>32.832294836863717</v>
      </c>
      <c r="AN121" s="121">
        <f>IF(Level1[[#This Row],[Standardised_Normalised_Mass_kg/capita/year]]&lt;&gt;"",Level1[[#This Row],[Standardised_Normalised_Mass_kg/capita/year]],Level1[[#This Row],[Derived_Normalised_kg/capita/year]])</f>
        <v>32.832294836863717</v>
      </c>
      <c r="AO121" s="78">
        <f>IF(Level1[[#This Row],[Household]]=1,IF(Level1[[#This Row],[Household_Diary?]]=1,'Cover Sheet'!$R$31,1),1)</f>
        <v>1</v>
      </c>
      <c r="AP121" s="78">
        <f>IF(Level1[[#This Row],[Household]]=1,IF(Level1[[#This Row],[Edible_Waste_Only?]]=1,'Cover Sheet'!$R$32,1),1)</f>
        <v>1</v>
      </c>
      <c r="AQ121" s="78">
        <f>IF(Level1[[#This Row],[Food_Service]]=1,IF(Level1[[#This Row],[Edible_Waste_Only?]]=1,'Cover Sheet'!$R$33,1),1)</f>
        <v>1</v>
      </c>
      <c r="AR121" s="78">
        <f>IF(Level1[[#This Row],[Retail]]=1,IF(Level1[[#This Row],[Edible_Waste_Only?]]=1,'Cover Sheet'!$R$34,1),1)</f>
        <v>1</v>
      </c>
      <c r="AS121" s="78">
        <f>PRODUCT(Level1[[#This Row],[Household_Diary_Adjustment]:[Retail_Inedible_Adjustment]])</f>
        <v>1</v>
      </c>
      <c r="AT121" s="124">
        <f>Level1[[#This Row],[Preferred_estimate_kg/capita]]*Level1[[#This Row],[Total_Adjustment]]</f>
        <v>32.832294836863717</v>
      </c>
    </row>
    <row r="122" spans="1:46">
      <c r="A122" s="112">
        <v>69</v>
      </c>
      <c r="B122" s="126" t="s">
        <v>529</v>
      </c>
      <c r="C122" s="9">
        <v>2018</v>
      </c>
      <c r="D122" s="113" t="s">
        <v>530</v>
      </c>
      <c r="E122" s="114" t="s">
        <v>531</v>
      </c>
      <c r="F122" s="9">
        <v>705</v>
      </c>
      <c r="G122" s="9" t="s">
        <v>161</v>
      </c>
      <c r="H122" s="9" t="s">
        <v>128</v>
      </c>
      <c r="I122" s="9" t="s">
        <v>129</v>
      </c>
      <c r="J122" s="9" t="s">
        <v>130</v>
      </c>
      <c r="K122" s="9"/>
      <c r="L122" s="115">
        <v>2.0787</v>
      </c>
      <c r="M122" s="114"/>
      <c r="N122" s="9">
        <v>1</v>
      </c>
      <c r="O122" s="115"/>
      <c r="P122" s="114" t="s">
        <v>430</v>
      </c>
      <c r="Q122" s="9">
        <v>2</v>
      </c>
      <c r="R122" s="9" t="s">
        <v>532</v>
      </c>
      <c r="S122" s="10"/>
      <c r="T122" s="10"/>
      <c r="U122" s="138">
        <v>2017</v>
      </c>
      <c r="V122" s="117"/>
      <c r="W122" s="9"/>
      <c r="X122" s="139"/>
      <c r="Y122" s="140"/>
      <c r="Z122" s="118">
        <v>40568</v>
      </c>
      <c r="AA122" s="9" t="s">
        <v>133</v>
      </c>
      <c r="AB122" s="119">
        <v>40568</v>
      </c>
      <c r="AC122" s="119">
        <v>40568</v>
      </c>
      <c r="AD122" s="120">
        <v>40568</v>
      </c>
      <c r="AE122" s="121"/>
      <c r="AF122" s="120">
        <v>2076400</v>
      </c>
      <c r="AG122" s="120">
        <v>0</v>
      </c>
      <c r="AH122" s="122"/>
      <c r="AI122" s="123">
        <f>(64/131761)*Z122</f>
        <v>19.705011346301259</v>
      </c>
      <c r="AJ122" s="9" t="s">
        <v>147</v>
      </c>
      <c r="AK122" s="78">
        <v>19.705011346301259</v>
      </c>
      <c r="AL122" s="78">
        <v>19.705011346301259</v>
      </c>
      <c r="AM122" s="122">
        <v>19.705011346301259</v>
      </c>
      <c r="AN122" s="121">
        <f>IF(Level1[[#This Row],[Standardised_Normalised_Mass_kg/capita/year]]&lt;&gt;"",Level1[[#This Row],[Standardised_Normalised_Mass_kg/capita/year]],Level1[[#This Row],[Derived_Normalised_kg/capita/year]])</f>
        <v>19.705011346301259</v>
      </c>
      <c r="AO122" s="78">
        <f>IF(Level1[[#This Row],[Household]]=1,IF(Level1[[#This Row],[Household_Diary?]]=1,'Cover Sheet'!$R$31,1),1)</f>
        <v>1</v>
      </c>
      <c r="AP122" s="78">
        <f>IF(Level1[[#This Row],[Household]]=1,IF(Level1[[#This Row],[Edible_Waste_Only?]]=1,'Cover Sheet'!$R$32,1),1)</f>
        <v>1</v>
      </c>
      <c r="AQ122" s="78">
        <f>IF(Level1[[#This Row],[Food_Service]]=1,IF(Level1[[#This Row],[Edible_Waste_Only?]]=1,'Cover Sheet'!$R$33,1),1)</f>
        <v>1</v>
      </c>
      <c r="AR122" s="78">
        <f>IF(Level1[[#This Row],[Retail]]=1,IF(Level1[[#This Row],[Edible_Waste_Only?]]=1,'Cover Sheet'!$R$34,1),1)</f>
        <v>1</v>
      </c>
      <c r="AS122" s="78">
        <f>PRODUCT(Level1[[#This Row],[Household_Diary_Adjustment]:[Retail_Inedible_Adjustment]])</f>
        <v>1</v>
      </c>
      <c r="AT122" s="124">
        <f>Level1[[#This Row],[Preferred_estimate_kg/capita]]*Level1[[#This Row],[Total_Adjustment]]</f>
        <v>19.705011346301259</v>
      </c>
    </row>
    <row r="123" spans="1:46">
      <c r="A123" s="125">
        <v>70</v>
      </c>
      <c r="B123" s="126" t="s">
        <v>533</v>
      </c>
      <c r="C123" s="126">
        <v>2019</v>
      </c>
      <c r="D123" s="127" t="s">
        <v>534</v>
      </c>
      <c r="E123" s="128" t="s">
        <v>531</v>
      </c>
      <c r="F123" s="126">
        <v>705</v>
      </c>
      <c r="G123" s="126" t="s">
        <v>161</v>
      </c>
      <c r="H123" s="126" t="s">
        <v>128</v>
      </c>
      <c r="I123" s="9" t="s">
        <v>129</v>
      </c>
      <c r="J123" s="9" t="s">
        <v>130</v>
      </c>
      <c r="K123" s="126"/>
      <c r="L123" s="115">
        <v>2.0787</v>
      </c>
      <c r="M123" s="128">
        <v>1</v>
      </c>
      <c r="N123" s="126"/>
      <c r="O123" s="129"/>
      <c r="P123" s="128" t="s">
        <v>430</v>
      </c>
      <c r="Q123" s="126">
        <v>2</v>
      </c>
      <c r="R123" s="126" t="s">
        <v>532</v>
      </c>
      <c r="S123" s="130"/>
      <c r="T123" s="130"/>
      <c r="U123" s="135">
        <v>2018</v>
      </c>
      <c r="V123" s="132">
        <v>0.11</v>
      </c>
      <c r="W123" s="126" t="s">
        <v>254</v>
      </c>
      <c r="X123" s="141"/>
      <c r="Y123" s="137" t="s">
        <v>535</v>
      </c>
      <c r="Z123" s="133">
        <f>73182</f>
        <v>73182</v>
      </c>
      <c r="AA123" s="9" t="s">
        <v>133</v>
      </c>
      <c r="AB123" s="119">
        <v>73182</v>
      </c>
      <c r="AC123" s="119">
        <v>73182</v>
      </c>
      <c r="AD123" s="134">
        <v>73182</v>
      </c>
      <c r="AE123" s="121">
        <v>0</v>
      </c>
      <c r="AF123" s="120">
        <v>2077550</v>
      </c>
      <c r="AG123" s="120">
        <v>0</v>
      </c>
      <c r="AH123" s="122">
        <v>0</v>
      </c>
      <c r="AI123" s="123">
        <f>(68/139856)*Z123</f>
        <v>35.58214163139229</v>
      </c>
      <c r="AJ123" s="126" t="s">
        <v>147</v>
      </c>
      <c r="AK123" s="78">
        <v>35.58214163139229</v>
      </c>
      <c r="AL123" s="78">
        <v>35.58214163139229</v>
      </c>
      <c r="AM123" s="122">
        <v>35.58214163139229</v>
      </c>
      <c r="AN123" s="121">
        <f>IF(Level1[[#This Row],[Standardised_Normalised_Mass_kg/capita/year]]&lt;&gt;"",Level1[[#This Row],[Standardised_Normalised_Mass_kg/capita/year]],Level1[[#This Row],[Derived_Normalised_kg/capita/year]])</f>
        <v>35.58214163139229</v>
      </c>
      <c r="AO123" s="78">
        <f>IF(Level1[[#This Row],[Household]]=1,IF(Level1[[#This Row],[Household_Diary?]]=1,'Cover Sheet'!$R$31,1),1)</f>
        <v>1</v>
      </c>
      <c r="AP123" s="78">
        <f>IF(Level1[[#This Row],[Household]]=1,IF(Level1[[#This Row],[Edible_Waste_Only?]]=1,'Cover Sheet'!$R$32,1),1)</f>
        <v>1</v>
      </c>
      <c r="AQ123" s="78">
        <f>IF(Level1[[#This Row],[Food_Service]]=1,IF(Level1[[#This Row],[Edible_Waste_Only?]]=1,'Cover Sheet'!$R$33,1),1)</f>
        <v>1</v>
      </c>
      <c r="AR123" s="78">
        <f>IF(Level1[[#This Row],[Retail]]=1,IF(Level1[[#This Row],[Edible_Waste_Only?]]=1,'Cover Sheet'!$R$34,1),1)</f>
        <v>1</v>
      </c>
      <c r="AS123" s="78">
        <f>PRODUCT(Level1[[#This Row],[Household_Diary_Adjustment]:[Retail_Inedible_Adjustment]])</f>
        <v>1</v>
      </c>
      <c r="AT123" s="124">
        <f>Level1[[#This Row],[Preferred_estimate_kg/capita]]*Level1[[#This Row],[Total_Adjustment]]</f>
        <v>35.58214163139229</v>
      </c>
    </row>
    <row r="124" spans="1:46">
      <c r="A124" s="125">
        <v>70</v>
      </c>
      <c r="B124" s="126" t="s">
        <v>533</v>
      </c>
      <c r="C124" s="126">
        <v>2019</v>
      </c>
      <c r="D124" s="127" t="s">
        <v>534</v>
      </c>
      <c r="E124" s="128" t="s">
        <v>531</v>
      </c>
      <c r="F124" s="126">
        <v>705</v>
      </c>
      <c r="G124" s="126" t="s">
        <v>161</v>
      </c>
      <c r="H124" s="126" t="s">
        <v>128</v>
      </c>
      <c r="I124" s="9" t="s">
        <v>129</v>
      </c>
      <c r="J124" s="9" t="s">
        <v>130</v>
      </c>
      <c r="K124" s="126"/>
      <c r="L124" s="115">
        <v>2.0787</v>
      </c>
      <c r="M124" s="128"/>
      <c r="N124" s="126">
        <v>1</v>
      </c>
      <c r="O124" s="129"/>
      <c r="P124" s="128" t="s">
        <v>430</v>
      </c>
      <c r="Q124" s="126">
        <v>2</v>
      </c>
      <c r="R124" s="126" t="s">
        <v>532</v>
      </c>
      <c r="S124" s="130"/>
      <c r="T124" s="130"/>
      <c r="U124" s="135">
        <v>2018</v>
      </c>
      <c r="V124" s="132"/>
      <c r="W124" s="126"/>
      <c r="X124" s="141"/>
      <c r="Y124" s="137" t="s">
        <v>535</v>
      </c>
      <c r="Z124" s="133">
        <v>42071</v>
      </c>
      <c r="AA124" s="9" t="s">
        <v>133</v>
      </c>
      <c r="AB124" s="119">
        <v>42071</v>
      </c>
      <c r="AC124" s="119">
        <v>42071</v>
      </c>
      <c r="AD124" s="134">
        <v>42071</v>
      </c>
      <c r="AE124" s="121"/>
      <c r="AF124" s="120">
        <v>2077550</v>
      </c>
      <c r="AG124" s="120">
        <v>0</v>
      </c>
      <c r="AH124" s="122"/>
      <c r="AI124" s="123">
        <f>(68/139856)*Z124</f>
        <v>20.455525683560232</v>
      </c>
      <c r="AJ124" s="126" t="s">
        <v>147</v>
      </c>
      <c r="AK124" s="78">
        <v>20.455525683560232</v>
      </c>
      <c r="AL124" s="78">
        <v>20.455525683560232</v>
      </c>
      <c r="AM124" s="122">
        <v>20.455525683560232</v>
      </c>
      <c r="AN124" s="121">
        <f>IF(Level1[[#This Row],[Standardised_Normalised_Mass_kg/capita/year]]&lt;&gt;"",Level1[[#This Row],[Standardised_Normalised_Mass_kg/capita/year]],Level1[[#This Row],[Derived_Normalised_kg/capita/year]])</f>
        <v>20.455525683560232</v>
      </c>
      <c r="AO124" s="78">
        <f>IF(Level1[[#This Row],[Household]]=1,IF(Level1[[#This Row],[Household_Diary?]]=1,'Cover Sheet'!$R$31,1),1)</f>
        <v>1</v>
      </c>
      <c r="AP124" s="78">
        <f>IF(Level1[[#This Row],[Household]]=1,IF(Level1[[#This Row],[Edible_Waste_Only?]]=1,'Cover Sheet'!$R$32,1),1)</f>
        <v>1</v>
      </c>
      <c r="AQ124" s="78">
        <f>IF(Level1[[#This Row],[Food_Service]]=1,IF(Level1[[#This Row],[Edible_Waste_Only?]]=1,'Cover Sheet'!$R$33,1),1)</f>
        <v>1</v>
      </c>
      <c r="AR124" s="78">
        <f>IF(Level1[[#This Row],[Retail]]=1,IF(Level1[[#This Row],[Edible_Waste_Only?]]=1,'Cover Sheet'!$R$34,1),1)</f>
        <v>1</v>
      </c>
      <c r="AS124" s="78">
        <f>PRODUCT(Level1[[#This Row],[Household_Diary_Adjustment]:[Retail_Inedible_Adjustment]])</f>
        <v>1</v>
      </c>
      <c r="AT124" s="124">
        <f>Level1[[#This Row],[Preferred_estimate_kg/capita]]*Level1[[#This Row],[Total_Adjustment]]</f>
        <v>20.455525683560232</v>
      </c>
    </row>
    <row r="125" spans="1:46">
      <c r="A125" s="112">
        <v>70</v>
      </c>
      <c r="B125" s="126" t="s">
        <v>533</v>
      </c>
      <c r="C125" s="9">
        <v>2019</v>
      </c>
      <c r="D125" s="113" t="s">
        <v>534</v>
      </c>
      <c r="E125" s="114" t="s">
        <v>531</v>
      </c>
      <c r="F125" s="9">
        <v>705</v>
      </c>
      <c r="G125" s="9" t="s">
        <v>161</v>
      </c>
      <c r="H125" s="9" t="s">
        <v>128</v>
      </c>
      <c r="I125" s="9" t="s">
        <v>129</v>
      </c>
      <c r="J125" s="9" t="s">
        <v>130</v>
      </c>
      <c r="K125" s="9"/>
      <c r="L125" s="115">
        <v>2.0787</v>
      </c>
      <c r="M125" s="114"/>
      <c r="N125" s="9"/>
      <c r="O125" s="115">
        <v>1</v>
      </c>
      <c r="P125" s="114" t="s">
        <v>430</v>
      </c>
      <c r="Q125" s="9">
        <v>2</v>
      </c>
      <c r="R125" s="9" t="s">
        <v>532</v>
      </c>
      <c r="S125" s="10"/>
      <c r="T125" s="10"/>
      <c r="U125" s="138">
        <v>2018</v>
      </c>
      <c r="V125" s="117"/>
      <c r="W125" s="9"/>
      <c r="X125" s="139"/>
      <c r="Y125" s="140" t="s">
        <v>535</v>
      </c>
      <c r="Z125" s="118">
        <v>13763</v>
      </c>
      <c r="AA125" s="9" t="s">
        <v>133</v>
      </c>
      <c r="AB125" s="119">
        <v>13763</v>
      </c>
      <c r="AC125" s="119">
        <v>13763</v>
      </c>
      <c r="AD125" s="120">
        <v>13763</v>
      </c>
      <c r="AE125" s="121"/>
      <c r="AF125" s="120">
        <v>2077550</v>
      </c>
      <c r="AG125" s="120">
        <v>0</v>
      </c>
      <c r="AH125" s="122"/>
      <c r="AI125" s="123">
        <f>(68/139856)*Z125</f>
        <v>6.6917686763528197</v>
      </c>
      <c r="AJ125" s="9" t="s">
        <v>147</v>
      </c>
      <c r="AK125" s="78">
        <v>6.6917686763528197</v>
      </c>
      <c r="AL125" s="78">
        <v>6.6917686763528197</v>
      </c>
      <c r="AM125" s="122">
        <v>6.6917686763528197</v>
      </c>
      <c r="AN125" s="121">
        <f>IF(Level1[[#This Row],[Standardised_Normalised_Mass_kg/capita/year]]&lt;&gt;"",Level1[[#This Row],[Standardised_Normalised_Mass_kg/capita/year]],Level1[[#This Row],[Derived_Normalised_kg/capita/year]])</f>
        <v>6.6917686763528197</v>
      </c>
      <c r="AO125" s="78">
        <f>IF(Level1[[#This Row],[Household]]=1,IF(Level1[[#This Row],[Household_Diary?]]=1,'Cover Sheet'!$R$31,1),1)</f>
        <v>1</v>
      </c>
      <c r="AP125" s="78">
        <f>IF(Level1[[#This Row],[Household]]=1,IF(Level1[[#This Row],[Edible_Waste_Only?]]=1,'Cover Sheet'!$R$32,1),1)</f>
        <v>1</v>
      </c>
      <c r="AQ125" s="78">
        <f>IF(Level1[[#This Row],[Food_Service]]=1,IF(Level1[[#This Row],[Edible_Waste_Only?]]=1,'Cover Sheet'!$R$33,1),1)</f>
        <v>1</v>
      </c>
      <c r="AR125" s="78">
        <f>IF(Level1[[#This Row],[Retail]]=1,IF(Level1[[#This Row],[Edible_Waste_Only?]]=1,'Cover Sheet'!$R$34,1),1)</f>
        <v>1</v>
      </c>
      <c r="AS125" s="78">
        <f>PRODUCT(Level1[[#This Row],[Household_Diary_Adjustment]:[Retail_Inedible_Adjustment]])</f>
        <v>1</v>
      </c>
      <c r="AT125" s="124">
        <f>Level1[[#This Row],[Preferred_estimate_kg/capita]]*Level1[[#This Row],[Total_Adjustment]]</f>
        <v>6.6917686763528197</v>
      </c>
    </row>
    <row r="126" spans="1:46">
      <c r="A126" s="125">
        <v>71</v>
      </c>
      <c r="B126" s="126" t="s">
        <v>536</v>
      </c>
      <c r="C126" s="126">
        <v>2017</v>
      </c>
      <c r="D126" s="149" t="s">
        <v>537</v>
      </c>
      <c r="E126" s="128" t="s">
        <v>538</v>
      </c>
      <c r="F126" s="126">
        <v>710</v>
      </c>
      <c r="G126" s="126" t="s">
        <v>306</v>
      </c>
      <c r="H126" s="126" t="s">
        <v>174</v>
      </c>
      <c r="I126" s="9" t="s">
        <v>210</v>
      </c>
      <c r="J126" s="9" t="s">
        <v>182</v>
      </c>
      <c r="K126" s="126" t="s">
        <v>539</v>
      </c>
      <c r="L126" s="115">
        <v>58.558300000000003</v>
      </c>
      <c r="M126" s="128">
        <v>1</v>
      </c>
      <c r="N126" s="126"/>
      <c r="O126" s="129"/>
      <c r="P126" s="128" t="s">
        <v>222</v>
      </c>
      <c r="Q126" s="126">
        <v>2</v>
      </c>
      <c r="R126" s="126" t="s">
        <v>540</v>
      </c>
      <c r="S126" s="130">
        <v>1</v>
      </c>
      <c r="T126" s="130"/>
      <c r="U126" s="135">
        <v>2014</v>
      </c>
      <c r="V126" s="132"/>
      <c r="W126" s="126"/>
      <c r="X126" s="132"/>
      <c r="Y126" s="129"/>
      <c r="Z126" s="133"/>
      <c r="AA126" s="9"/>
      <c r="AB126" s="119" t="s">
        <v>134</v>
      </c>
      <c r="AC126" s="119" t="s">
        <v>134</v>
      </c>
      <c r="AD126" s="134" t="s">
        <v>134</v>
      </c>
      <c r="AE126" s="121">
        <v>0</v>
      </c>
      <c r="AF126" s="120">
        <v>0</v>
      </c>
      <c r="AG126" s="120">
        <v>0</v>
      </c>
      <c r="AH126" s="122">
        <v>0</v>
      </c>
      <c r="AI126" s="123">
        <f>AVERAGE(8.6,16.1)</f>
        <v>12.350000000000001</v>
      </c>
      <c r="AJ126" s="126" t="s">
        <v>147</v>
      </c>
      <c r="AK126" s="78">
        <v>12.350000000000001</v>
      </c>
      <c r="AL126" s="78">
        <v>12.350000000000001</v>
      </c>
      <c r="AM126" s="122">
        <v>12.350000000000001</v>
      </c>
      <c r="AN126" s="121">
        <f>IF(Level1[[#This Row],[Standardised_Normalised_Mass_kg/capita/year]]&lt;&gt;"",Level1[[#This Row],[Standardised_Normalised_Mass_kg/capita/year]],Level1[[#This Row],[Derived_Normalised_kg/capita/year]])</f>
        <v>12.350000000000001</v>
      </c>
      <c r="AO126" s="78">
        <f>IF(Level1[[#This Row],[Household]]=1,IF(Level1[[#This Row],[Household_Diary?]]=1,'Cover Sheet'!$R$31,1),1)</f>
        <v>1.4326647564469914</v>
      </c>
      <c r="AP126" s="78">
        <f>IF(Level1[[#This Row],[Household]]=1,IF(Level1[[#This Row],[Edible_Waste_Only?]]=1,'Cover Sheet'!$R$32,1),1)</f>
        <v>1</v>
      </c>
      <c r="AQ126" s="78">
        <f>IF(Level1[[#This Row],[Food_Service]]=1,IF(Level1[[#This Row],[Edible_Waste_Only?]]=1,'Cover Sheet'!$R$33,1),1)</f>
        <v>1</v>
      </c>
      <c r="AR126" s="78">
        <f>IF(Level1[[#This Row],[Retail]]=1,IF(Level1[[#This Row],[Edible_Waste_Only?]]=1,'Cover Sheet'!$R$34,1),1)</f>
        <v>1</v>
      </c>
      <c r="AS126" s="78">
        <f>PRODUCT(Level1[[#This Row],[Household_Diary_Adjustment]:[Retail_Inedible_Adjustment]])</f>
        <v>1.4326647564469914</v>
      </c>
      <c r="AT126" s="124">
        <f>Level1[[#This Row],[Preferred_estimate_kg/capita]]*Level1[[#This Row],[Total_Adjustment]]</f>
        <v>17.693409742120345</v>
      </c>
    </row>
    <row r="127" spans="1:46">
      <c r="A127" s="112">
        <v>72</v>
      </c>
      <c r="B127" s="126" t="s">
        <v>541</v>
      </c>
      <c r="C127" s="9">
        <v>2012</v>
      </c>
      <c r="D127" s="113" t="s">
        <v>542</v>
      </c>
      <c r="E127" s="114" t="s">
        <v>538</v>
      </c>
      <c r="F127" s="9">
        <v>710</v>
      </c>
      <c r="G127" s="9" t="s">
        <v>306</v>
      </c>
      <c r="H127" s="9" t="s">
        <v>174</v>
      </c>
      <c r="I127" s="9" t="s">
        <v>210</v>
      </c>
      <c r="J127" s="9" t="s">
        <v>130</v>
      </c>
      <c r="K127" s="9"/>
      <c r="L127" s="115">
        <v>58.558300000000003</v>
      </c>
      <c r="M127" s="114">
        <v>1</v>
      </c>
      <c r="N127" s="9"/>
      <c r="O127" s="115"/>
      <c r="P127" s="114" t="s">
        <v>151</v>
      </c>
      <c r="Q127" s="9">
        <v>2</v>
      </c>
      <c r="R127" s="9" t="s">
        <v>543</v>
      </c>
      <c r="S127" s="10"/>
      <c r="T127" s="10"/>
      <c r="U127" s="138">
        <v>2010</v>
      </c>
      <c r="V127" s="117">
        <v>0.14949999999999999</v>
      </c>
      <c r="W127" s="9" t="s">
        <v>254</v>
      </c>
      <c r="X127" s="117"/>
      <c r="Y127" s="115"/>
      <c r="Z127" s="118">
        <v>1.4</v>
      </c>
      <c r="AA127" s="9" t="s">
        <v>229</v>
      </c>
      <c r="AB127" s="119">
        <v>1.4</v>
      </c>
      <c r="AC127" s="119">
        <v>1400000</v>
      </c>
      <c r="AD127" s="120">
        <v>1400000</v>
      </c>
      <c r="AE127" s="121">
        <v>1</v>
      </c>
      <c r="AF127" s="120">
        <v>51217000</v>
      </c>
      <c r="AG127" s="120">
        <v>0</v>
      </c>
      <c r="AH127" s="122">
        <v>27.334674034012146</v>
      </c>
      <c r="AI127" s="123"/>
      <c r="AJ127" s="148"/>
      <c r="AK127" s="78" t="s">
        <v>134</v>
      </c>
      <c r="AL127" s="78" t="s">
        <v>134</v>
      </c>
      <c r="AM127" s="122" t="s">
        <v>134</v>
      </c>
      <c r="AN127" s="121">
        <f>IF(Level1[[#This Row],[Standardised_Normalised_Mass_kg/capita/year]]&lt;&gt;"",Level1[[#This Row],[Standardised_Normalised_Mass_kg/capita/year]],Level1[[#This Row],[Derived_Normalised_kg/capita/year]])</f>
        <v>27.334674034012146</v>
      </c>
      <c r="AO127" s="78">
        <f>IF(Level1[[#This Row],[Household]]=1,IF(Level1[[#This Row],[Household_Diary?]]=1,'Cover Sheet'!$R$31,1),1)</f>
        <v>1</v>
      </c>
      <c r="AP127" s="78">
        <f>IF(Level1[[#This Row],[Household]]=1,IF(Level1[[#This Row],[Edible_Waste_Only?]]=1,'Cover Sheet'!$R$32,1),1)</f>
        <v>1</v>
      </c>
      <c r="AQ127" s="78">
        <f>IF(Level1[[#This Row],[Food_Service]]=1,IF(Level1[[#This Row],[Edible_Waste_Only?]]=1,'Cover Sheet'!$R$33,1),1)</f>
        <v>1</v>
      </c>
      <c r="AR127" s="78">
        <f>IF(Level1[[#This Row],[Retail]]=1,IF(Level1[[#This Row],[Edible_Waste_Only?]]=1,'Cover Sheet'!$R$34,1),1)</f>
        <v>1</v>
      </c>
      <c r="AS127" s="78">
        <f>PRODUCT(Level1[[#This Row],[Household_Diary_Adjustment]:[Retail_Inedible_Adjustment]])</f>
        <v>1</v>
      </c>
      <c r="AT127" s="124">
        <f>Level1[[#This Row],[Preferred_estimate_kg/capita]]*Level1[[#This Row],[Total_Adjustment]]</f>
        <v>27.334674034012146</v>
      </c>
    </row>
    <row r="128" spans="1:46">
      <c r="A128" s="125">
        <v>73</v>
      </c>
      <c r="B128" s="126" t="s">
        <v>544</v>
      </c>
      <c r="C128" s="126">
        <v>2018</v>
      </c>
      <c r="D128" s="127" t="s">
        <v>545</v>
      </c>
      <c r="E128" s="128" t="s">
        <v>538</v>
      </c>
      <c r="F128" s="126">
        <v>710</v>
      </c>
      <c r="G128" s="126" t="s">
        <v>306</v>
      </c>
      <c r="H128" s="126" t="s">
        <v>174</v>
      </c>
      <c r="I128" s="9" t="s">
        <v>210</v>
      </c>
      <c r="J128" s="9" t="s">
        <v>182</v>
      </c>
      <c r="K128" s="126" t="s">
        <v>546</v>
      </c>
      <c r="L128" s="115">
        <v>58.558300000000003</v>
      </c>
      <c r="M128" s="128">
        <v>1</v>
      </c>
      <c r="N128" s="126"/>
      <c r="O128" s="129"/>
      <c r="P128" s="128" t="s">
        <v>131</v>
      </c>
      <c r="Q128" s="126">
        <v>2</v>
      </c>
      <c r="R128" s="126" t="s">
        <v>547</v>
      </c>
      <c r="S128" s="130"/>
      <c r="T128" s="130"/>
      <c r="U128" s="135">
        <v>2014</v>
      </c>
      <c r="V128" s="132">
        <v>7.0000000000000007E-2</v>
      </c>
      <c r="W128" s="126" t="s">
        <v>254</v>
      </c>
      <c r="X128" s="132"/>
      <c r="Y128" s="129"/>
      <c r="Z128" s="133"/>
      <c r="AA128" s="9"/>
      <c r="AB128" s="119" t="s">
        <v>134</v>
      </c>
      <c r="AC128" s="119" t="s">
        <v>134</v>
      </c>
      <c r="AD128" s="134" t="s">
        <v>134</v>
      </c>
      <c r="AE128" s="121">
        <v>0</v>
      </c>
      <c r="AF128" s="120">
        <v>0</v>
      </c>
      <c r="AG128" s="120">
        <v>0</v>
      </c>
      <c r="AH128" s="122">
        <v>0</v>
      </c>
      <c r="AI128" s="123">
        <v>12</v>
      </c>
      <c r="AJ128" s="126" t="s">
        <v>548</v>
      </c>
      <c r="AK128" s="78">
        <v>12</v>
      </c>
      <c r="AL128" s="78">
        <v>12</v>
      </c>
      <c r="AM128" s="122">
        <v>12</v>
      </c>
      <c r="AN128" s="121">
        <f>IF(Level1[[#This Row],[Standardised_Normalised_Mass_kg/capita/year]]&lt;&gt;"",Level1[[#This Row],[Standardised_Normalised_Mass_kg/capita/year]],Level1[[#This Row],[Derived_Normalised_kg/capita/year]])</f>
        <v>12</v>
      </c>
      <c r="AO128" s="78">
        <f>IF(Level1[[#This Row],[Household]]=1,IF(Level1[[#This Row],[Household_Diary?]]=1,'Cover Sheet'!$R$31,1),1)</f>
        <v>1</v>
      </c>
      <c r="AP128" s="78">
        <f>IF(Level1[[#This Row],[Household]]=1,IF(Level1[[#This Row],[Edible_Waste_Only?]]=1,'Cover Sheet'!$R$32,1),1)</f>
        <v>1</v>
      </c>
      <c r="AQ128" s="78">
        <f>IF(Level1[[#This Row],[Food_Service]]=1,IF(Level1[[#This Row],[Edible_Waste_Only?]]=1,'Cover Sheet'!$R$33,1),1)</f>
        <v>1</v>
      </c>
      <c r="AR128" s="78">
        <f>IF(Level1[[#This Row],[Retail]]=1,IF(Level1[[#This Row],[Edible_Waste_Only?]]=1,'Cover Sheet'!$R$34,1),1)</f>
        <v>1</v>
      </c>
      <c r="AS128" s="78">
        <f>PRODUCT(Level1[[#This Row],[Household_Diary_Adjustment]:[Retail_Inedible_Adjustment]])</f>
        <v>1</v>
      </c>
      <c r="AT128" s="124">
        <f>Level1[[#This Row],[Preferred_estimate_kg/capita]]*Level1[[#This Row],[Total_Adjustment]]</f>
        <v>12</v>
      </c>
    </row>
    <row r="129" spans="1:46">
      <c r="A129" s="112">
        <v>73</v>
      </c>
      <c r="B129" s="126" t="s">
        <v>544</v>
      </c>
      <c r="C129" s="9">
        <v>2018</v>
      </c>
      <c r="D129" s="113" t="s">
        <v>545</v>
      </c>
      <c r="E129" s="114" t="s">
        <v>538</v>
      </c>
      <c r="F129" s="9">
        <v>710</v>
      </c>
      <c r="G129" s="9" t="s">
        <v>306</v>
      </c>
      <c r="H129" s="9" t="s">
        <v>174</v>
      </c>
      <c r="I129" s="9" t="s">
        <v>210</v>
      </c>
      <c r="J129" s="9" t="s">
        <v>182</v>
      </c>
      <c r="K129" s="9" t="s">
        <v>549</v>
      </c>
      <c r="L129" s="115">
        <v>58.558300000000003</v>
      </c>
      <c r="M129" s="114">
        <v>1</v>
      </c>
      <c r="N129" s="9"/>
      <c r="O129" s="115"/>
      <c r="P129" s="114" t="s">
        <v>131</v>
      </c>
      <c r="Q129" s="9">
        <v>2</v>
      </c>
      <c r="R129" s="9" t="s">
        <v>550</v>
      </c>
      <c r="S129" s="10"/>
      <c r="T129" s="10"/>
      <c r="U129" s="138">
        <v>2016</v>
      </c>
      <c r="V129" s="117">
        <v>0.03</v>
      </c>
      <c r="W129" s="9" t="s">
        <v>254</v>
      </c>
      <c r="X129" s="117"/>
      <c r="Y129" s="115"/>
      <c r="Z129" s="118"/>
      <c r="AA129" s="9"/>
      <c r="AB129" s="119" t="s">
        <v>134</v>
      </c>
      <c r="AC129" s="119" t="s">
        <v>134</v>
      </c>
      <c r="AD129" s="120" t="s">
        <v>134</v>
      </c>
      <c r="AE129" s="121">
        <v>0</v>
      </c>
      <c r="AF129" s="120">
        <v>0</v>
      </c>
      <c r="AG129" s="120">
        <v>0</v>
      </c>
      <c r="AH129" s="122">
        <v>0</v>
      </c>
      <c r="AI129" s="123">
        <v>8</v>
      </c>
      <c r="AJ129" s="9" t="s">
        <v>147</v>
      </c>
      <c r="AK129" s="78">
        <v>8</v>
      </c>
      <c r="AL129" s="78">
        <v>8</v>
      </c>
      <c r="AM129" s="122">
        <v>8</v>
      </c>
      <c r="AN129" s="121">
        <f>IF(Level1[[#This Row],[Standardised_Normalised_Mass_kg/capita/year]]&lt;&gt;"",Level1[[#This Row],[Standardised_Normalised_Mass_kg/capita/year]],Level1[[#This Row],[Derived_Normalised_kg/capita/year]])</f>
        <v>8</v>
      </c>
      <c r="AO129" s="78">
        <f>IF(Level1[[#This Row],[Household]]=1,IF(Level1[[#This Row],[Household_Diary?]]=1,'Cover Sheet'!$R$31,1),1)</f>
        <v>1</v>
      </c>
      <c r="AP129" s="78">
        <f>IF(Level1[[#This Row],[Household]]=1,IF(Level1[[#This Row],[Edible_Waste_Only?]]=1,'Cover Sheet'!$R$32,1),1)</f>
        <v>1</v>
      </c>
      <c r="AQ129" s="78">
        <f>IF(Level1[[#This Row],[Food_Service]]=1,IF(Level1[[#This Row],[Edible_Waste_Only?]]=1,'Cover Sheet'!$R$33,1),1)</f>
        <v>1</v>
      </c>
      <c r="AR129" s="78">
        <f>IF(Level1[[#This Row],[Retail]]=1,IF(Level1[[#This Row],[Edible_Waste_Only?]]=1,'Cover Sheet'!$R$34,1),1)</f>
        <v>1</v>
      </c>
      <c r="AS129" s="78">
        <f>PRODUCT(Level1[[#This Row],[Household_Diary_Adjustment]:[Retail_Inedible_Adjustment]])</f>
        <v>1</v>
      </c>
      <c r="AT129" s="124">
        <f>Level1[[#This Row],[Preferred_estimate_kg/capita]]*Level1[[#This Row],[Total_Adjustment]]</f>
        <v>8</v>
      </c>
    </row>
    <row r="130" spans="1:46">
      <c r="A130" s="125">
        <v>74</v>
      </c>
      <c r="B130" s="126" t="s">
        <v>551</v>
      </c>
      <c r="C130" s="126">
        <v>2016</v>
      </c>
      <c r="D130" s="127" t="s">
        <v>552</v>
      </c>
      <c r="E130" s="128" t="s">
        <v>538</v>
      </c>
      <c r="F130" s="126">
        <v>710</v>
      </c>
      <c r="G130" s="126" t="s">
        <v>306</v>
      </c>
      <c r="H130" s="126" t="s">
        <v>174</v>
      </c>
      <c r="I130" s="9" t="s">
        <v>210</v>
      </c>
      <c r="J130" s="9" t="s">
        <v>182</v>
      </c>
      <c r="K130" s="126" t="s">
        <v>553</v>
      </c>
      <c r="L130" s="115">
        <v>58.558300000000003</v>
      </c>
      <c r="M130" s="128">
        <v>1</v>
      </c>
      <c r="N130" s="126"/>
      <c r="O130" s="129"/>
      <c r="P130" s="128" t="s">
        <v>131</v>
      </c>
      <c r="Q130" s="126">
        <v>2</v>
      </c>
      <c r="R130" s="126" t="s">
        <v>554</v>
      </c>
      <c r="S130" s="130"/>
      <c r="T130" s="130"/>
      <c r="U130" s="135"/>
      <c r="V130" s="132"/>
      <c r="W130" s="126"/>
      <c r="X130" s="141"/>
      <c r="Y130" s="137"/>
      <c r="Z130" s="133"/>
      <c r="AA130" s="9"/>
      <c r="AB130" s="119" t="s">
        <v>134</v>
      </c>
      <c r="AC130" s="119" t="s">
        <v>134</v>
      </c>
      <c r="AD130" s="134" t="s">
        <v>134</v>
      </c>
      <c r="AE130" s="121">
        <v>0</v>
      </c>
      <c r="AF130" s="120">
        <v>0</v>
      </c>
      <c r="AG130" s="120">
        <v>0</v>
      </c>
      <c r="AH130" s="122">
        <v>0</v>
      </c>
      <c r="AI130" s="123">
        <f>SUM((6.1/1)*(14/123),(6.1/2)*(37/123),(5.6/3)*(36/123),(5.7/4)*(28/123),(6.9/5)*(6/123),(13.8/7)*(1/123),(8.1/8)*(1/123))</f>
        <v>2.5740969802555167</v>
      </c>
      <c r="AJ130" s="126" t="s">
        <v>289</v>
      </c>
      <c r="AK130" s="78">
        <v>2.5740969802555167</v>
      </c>
      <c r="AL130" s="78">
        <v>133.85304297328688</v>
      </c>
      <c r="AM130" s="122">
        <v>133.85304297328688</v>
      </c>
      <c r="AN130" s="121">
        <f>IF(Level1[[#This Row],[Standardised_Normalised_Mass_kg/capita/year]]&lt;&gt;"",Level1[[#This Row],[Standardised_Normalised_Mass_kg/capita/year]],Level1[[#This Row],[Derived_Normalised_kg/capita/year]])</f>
        <v>133.85304297328688</v>
      </c>
      <c r="AO130" s="78">
        <f>IF(Level1[[#This Row],[Household]]=1,IF(Level1[[#This Row],[Household_Diary?]]=1,'Cover Sheet'!$R$31,1),1)</f>
        <v>1</v>
      </c>
      <c r="AP130" s="78">
        <f>IF(Level1[[#This Row],[Household]]=1,IF(Level1[[#This Row],[Edible_Waste_Only?]]=1,'Cover Sheet'!$R$32,1),1)</f>
        <v>1</v>
      </c>
      <c r="AQ130" s="78">
        <f>IF(Level1[[#This Row],[Food_Service]]=1,IF(Level1[[#This Row],[Edible_Waste_Only?]]=1,'Cover Sheet'!$R$33,1),1)</f>
        <v>1</v>
      </c>
      <c r="AR130" s="78">
        <f>IF(Level1[[#This Row],[Retail]]=1,IF(Level1[[#This Row],[Edible_Waste_Only?]]=1,'Cover Sheet'!$R$34,1),1)</f>
        <v>1</v>
      </c>
      <c r="AS130" s="78">
        <f>PRODUCT(Level1[[#This Row],[Household_Diary_Adjustment]:[Retail_Inedible_Adjustment]])</f>
        <v>1</v>
      </c>
      <c r="AT130" s="124">
        <f>Level1[[#This Row],[Preferred_estimate_kg/capita]]*Level1[[#This Row],[Total_Adjustment]]</f>
        <v>133.85304297328688</v>
      </c>
    </row>
    <row r="131" spans="1:46">
      <c r="A131" s="112">
        <v>75</v>
      </c>
      <c r="B131" s="126" t="s">
        <v>555</v>
      </c>
      <c r="C131" s="9">
        <v>2016</v>
      </c>
      <c r="D131" s="113" t="s">
        <v>556</v>
      </c>
      <c r="E131" s="114" t="s">
        <v>557</v>
      </c>
      <c r="F131" s="9">
        <v>144</v>
      </c>
      <c r="G131" s="9" t="s">
        <v>180</v>
      </c>
      <c r="H131" s="9" t="s">
        <v>174</v>
      </c>
      <c r="I131" s="9" t="s">
        <v>181</v>
      </c>
      <c r="J131" s="9" t="s">
        <v>182</v>
      </c>
      <c r="K131" s="9" t="s">
        <v>558</v>
      </c>
      <c r="L131" s="115">
        <v>21.323699999999999</v>
      </c>
      <c r="M131" s="114">
        <v>1</v>
      </c>
      <c r="N131" s="9"/>
      <c r="O131" s="115"/>
      <c r="P131" s="114" t="s">
        <v>131</v>
      </c>
      <c r="Q131" s="9">
        <v>2</v>
      </c>
      <c r="R131" s="9" t="s">
        <v>559</v>
      </c>
      <c r="S131" s="10"/>
      <c r="T131" s="10"/>
      <c r="U131" s="138"/>
      <c r="V131" s="117">
        <v>0.68899999999999995</v>
      </c>
      <c r="W131" s="9" t="s">
        <v>176</v>
      </c>
      <c r="X131" s="139"/>
      <c r="Y131" s="140"/>
      <c r="Z131" s="118">
        <f>37.99*Level1[[#This Row],[FW_Share_estimate]]</f>
        <v>26.17511</v>
      </c>
      <c r="AA131" s="9" t="s">
        <v>193</v>
      </c>
      <c r="AB131" s="119">
        <v>9560.4589275000017</v>
      </c>
      <c r="AC131" s="119">
        <v>9560.4589275000017</v>
      </c>
      <c r="AD131" s="120">
        <v>9560.4589275000017</v>
      </c>
      <c r="AE131" s="121">
        <v>0</v>
      </c>
      <c r="AF131" s="120">
        <v>0</v>
      </c>
      <c r="AG131" s="120">
        <v>0</v>
      </c>
      <c r="AH131" s="122">
        <v>0</v>
      </c>
      <c r="AI131" s="123">
        <f>0.47*Level1[[#This Row],[FW_Share_estimate]]</f>
        <v>0.32382999999999995</v>
      </c>
      <c r="AJ131" s="9" t="s">
        <v>185</v>
      </c>
      <c r="AK131" s="78">
        <v>0.32383000000000001</v>
      </c>
      <c r="AL131" s="78">
        <v>118.2789075</v>
      </c>
      <c r="AM131" s="122">
        <v>118.2789075</v>
      </c>
      <c r="AN131" s="121">
        <f>IF(Level1[[#This Row],[Standardised_Normalised_Mass_kg/capita/year]]&lt;&gt;"",Level1[[#This Row],[Standardised_Normalised_Mass_kg/capita/year]],Level1[[#This Row],[Derived_Normalised_kg/capita/year]])</f>
        <v>118.2789075</v>
      </c>
      <c r="AO131" s="78">
        <f>IF(Level1[[#This Row],[Household]]=1,IF(Level1[[#This Row],[Household_Diary?]]=1,'Cover Sheet'!$R$31,1),1)</f>
        <v>1</v>
      </c>
      <c r="AP131" s="78">
        <f>IF(Level1[[#This Row],[Household]]=1,IF(Level1[[#This Row],[Edible_Waste_Only?]]=1,'Cover Sheet'!$R$32,1),1)</f>
        <v>1</v>
      </c>
      <c r="AQ131" s="78">
        <f>IF(Level1[[#This Row],[Food_Service]]=1,IF(Level1[[#This Row],[Edible_Waste_Only?]]=1,'Cover Sheet'!$R$33,1),1)</f>
        <v>1</v>
      </c>
      <c r="AR131" s="78">
        <f>IF(Level1[[#This Row],[Retail]]=1,IF(Level1[[#This Row],[Edible_Waste_Only?]]=1,'Cover Sheet'!$R$34,1),1)</f>
        <v>1</v>
      </c>
      <c r="AS131" s="78">
        <f>PRODUCT(Level1[[#This Row],[Household_Diary_Adjustment]:[Retail_Inedible_Adjustment]])</f>
        <v>1</v>
      </c>
      <c r="AT131" s="124">
        <f>Level1[[#This Row],[Preferred_estimate_kg/capita]]*Level1[[#This Row],[Total_Adjustment]]</f>
        <v>118.2789075</v>
      </c>
    </row>
    <row r="132" spans="1:46">
      <c r="A132" s="125">
        <v>75</v>
      </c>
      <c r="B132" s="126" t="s">
        <v>555</v>
      </c>
      <c r="C132" s="126">
        <v>2016</v>
      </c>
      <c r="D132" s="127" t="s">
        <v>556</v>
      </c>
      <c r="E132" s="128" t="s">
        <v>557</v>
      </c>
      <c r="F132" s="126">
        <v>144</v>
      </c>
      <c r="G132" s="126" t="s">
        <v>180</v>
      </c>
      <c r="H132" s="126" t="s">
        <v>174</v>
      </c>
      <c r="I132" s="9" t="s">
        <v>181</v>
      </c>
      <c r="J132" s="9" t="s">
        <v>182</v>
      </c>
      <c r="K132" s="126" t="s">
        <v>560</v>
      </c>
      <c r="L132" s="115">
        <v>21.323699999999999</v>
      </c>
      <c r="M132" s="128">
        <v>1</v>
      </c>
      <c r="N132" s="126"/>
      <c r="O132" s="129"/>
      <c r="P132" s="128" t="s">
        <v>131</v>
      </c>
      <c r="Q132" s="126">
        <v>2</v>
      </c>
      <c r="R132" s="126" t="s">
        <v>559</v>
      </c>
      <c r="S132" s="130"/>
      <c r="T132" s="130"/>
      <c r="U132" s="135"/>
      <c r="V132" s="132">
        <v>0.746</v>
      </c>
      <c r="W132" s="126" t="s">
        <v>176</v>
      </c>
      <c r="X132" s="141"/>
      <c r="Y132" s="137"/>
      <c r="Z132" s="133">
        <f>8.65*Level1[[#This Row],[FW_Share_estimate]]</f>
        <v>6.4529000000000005</v>
      </c>
      <c r="AA132" s="9" t="s">
        <v>193</v>
      </c>
      <c r="AB132" s="119">
        <v>2356.9217250000002</v>
      </c>
      <c r="AC132" s="119">
        <v>2356.9217250000002</v>
      </c>
      <c r="AD132" s="134">
        <v>2356.9217250000002</v>
      </c>
      <c r="AE132" s="121">
        <v>0</v>
      </c>
      <c r="AF132" s="120">
        <v>0</v>
      </c>
      <c r="AG132" s="120">
        <v>0</v>
      </c>
      <c r="AH132" s="122">
        <v>0</v>
      </c>
      <c r="AI132" s="123">
        <f>0.35*Level1[[#This Row],[FW_Share_estimate]]</f>
        <v>0.2611</v>
      </c>
      <c r="AJ132" s="126" t="s">
        <v>185</v>
      </c>
      <c r="AK132" s="78">
        <v>0.2611</v>
      </c>
      <c r="AL132" s="78">
        <v>95.366775000000004</v>
      </c>
      <c r="AM132" s="122">
        <v>95.366775000000004</v>
      </c>
      <c r="AN132" s="121">
        <f>IF(Level1[[#This Row],[Standardised_Normalised_Mass_kg/capita/year]]&lt;&gt;"",Level1[[#This Row],[Standardised_Normalised_Mass_kg/capita/year]],Level1[[#This Row],[Derived_Normalised_kg/capita/year]])</f>
        <v>95.366775000000004</v>
      </c>
      <c r="AO132" s="78">
        <f>IF(Level1[[#This Row],[Household]]=1,IF(Level1[[#This Row],[Household_Diary?]]=1,'Cover Sheet'!$R$31,1),1)</f>
        <v>1</v>
      </c>
      <c r="AP132" s="78">
        <f>IF(Level1[[#This Row],[Household]]=1,IF(Level1[[#This Row],[Edible_Waste_Only?]]=1,'Cover Sheet'!$R$32,1),1)</f>
        <v>1</v>
      </c>
      <c r="AQ132" s="78">
        <f>IF(Level1[[#This Row],[Food_Service]]=1,IF(Level1[[#This Row],[Edible_Waste_Only?]]=1,'Cover Sheet'!$R$33,1),1)</f>
        <v>1</v>
      </c>
      <c r="AR132" s="78">
        <f>IF(Level1[[#This Row],[Retail]]=1,IF(Level1[[#This Row],[Edible_Waste_Only?]]=1,'Cover Sheet'!$R$34,1),1)</f>
        <v>1</v>
      </c>
      <c r="AS132" s="78">
        <f>PRODUCT(Level1[[#This Row],[Household_Diary_Adjustment]:[Retail_Inedible_Adjustment]])</f>
        <v>1</v>
      </c>
      <c r="AT132" s="124">
        <f>Level1[[#This Row],[Preferred_estimate_kg/capita]]*Level1[[#This Row],[Total_Adjustment]]</f>
        <v>95.366775000000004</v>
      </c>
    </row>
    <row r="133" spans="1:46">
      <c r="A133" s="112">
        <v>75</v>
      </c>
      <c r="B133" s="126" t="s">
        <v>555</v>
      </c>
      <c r="C133" s="9">
        <v>2016</v>
      </c>
      <c r="D133" s="113" t="s">
        <v>556</v>
      </c>
      <c r="E133" s="114" t="s">
        <v>557</v>
      </c>
      <c r="F133" s="9">
        <v>144</v>
      </c>
      <c r="G133" s="9" t="s">
        <v>180</v>
      </c>
      <c r="H133" s="9" t="s">
        <v>174</v>
      </c>
      <c r="I133" s="9" t="s">
        <v>181</v>
      </c>
      <c r="J133" s="9" t="s">
        <v>182</v>
      </c>
      <c r="K133" s="9" t="s">
        <v>561</v>
      </c>
      <c r="L133" s="115">
        <v>21.323699999999999</v>
      </c>
      <c r="M133" s="114">
        <v>1</v>
      </c>
      <c r="N133" s="9"/>
      <c r="O133" s="115"/>
      <c r="P133" s="114" t="s">
        <v>131</v>
      </c>
      <c r="Q133" s="9">
        <v>2</v>
      </c>
      <c r="R133" s="9" t="s">
        <v>559</v>
      </c>
      <c r="S133" s="10"/>
      <c r="T133" s="10"/>
      <c r="U133" s="138"/>
      <c r="V133" s="117">
        <v>0.63300000000000001</v>
      </c>
      <c r="W133" s="9" t="s">
        <v>176</v>
      </c>
      <c r="X133" s="139"/>
      <c r="Y133" s="140"/>
      <c r="Z133" s="118">
        <f>7.8*Level1[[#This Row],[FW_Share_estimate]]</f>
        <v>4.9374000000000002</v>
      </c>
      <c r="AA133" s="9" t="s">
        <v>193</v>
      </c>
      <c r="AB133" s="119">
        <v>1803.38535</v>
      </c>
      <c r="AC133" s="119">
        <v>1803.38535</v>
      </c>
      <c r="AD133" s="120">
        <v>1803.38535</v>
      </c>
      <c r="AE133" s="121">
        <v>0</v>
      </c>
      <c r="AF133" s="120">
        <v>0</v>
      </c>
      <c r="AG133" s="120">
        <v>0</v>
      </c>
      <c r="AH133" s="122">
        <v>0</v>
      </c>
      <c r="AI133" s="123">
        <f>0.41*Level1[[#This Row],[FW_Share_estimate]]</f>
        <v>0.25952999999999998</v>
      </c>
      <c r="AJ133" s="9" t="s">
        <v>185</v>
      </c>
      <c r="AK133" s="78">
        <v>0.25952999999999998</v>
      </c>
      <c r="AL133" s="78">
        <v>94.793332499999991</v>
      </c>
      <c r="AM133" s="122">
        <v>94.793332499999991</v>
      </c>
      <c r="AN133" s="121">
        <f>IF(Level1[[#This Row],[Standardised_Normalised_Mass_kg/capita/year]]&lt;&gt;"",Level1[[#This Row],[Standardised_Normalised_Mass_kg/capita/year]],Level1[[#This Row],[Derived_Normalised_kg/capita/year]])</f>
        <v>94.793332499999991</v>
      </c>
      <c r="AO133" s="78">
        <f>IF(Level1[[#This Row],[Household]]=1,IF(Level1[[#This Row],[Household_Diary?]]=1,'Cover Sheet'!$R$31,1),1)</f>
        <v>1</v>
      </c>
      <c r="AP133" s="78">
        <f>IF(Level1[[#This Row],[Household]]=1,IF(Level1[[#This Row],[Edible_Waste_Only?]]=1,'Cover Sheet'!$R$32,1),1)</f>
        <v>1</v>
      </c>
      <c r="AQ133" s="78">
        <f>IF(Level1[[#This Row],[Food_Service]]=1,IF(Level1[[#This Row],[Edible_Waste_Only?]]=1,'Cover Sheet'!$R$33,1),1)</f>
        <v>1</v>
      </c>
      <c r="AR133" s="78">
        <f>IF(Level1[[#This Row],[Retail]]=1,IF(Level1[[#This Row],[Edible_Waste_Only?]]=1,'Cover Sheet'!$R$34,1),1)</f>
        <v>1</v>
      </c>
      <c r="AS133" s="78">
        <f>PRODUCT(Level1[[#This Row],[Household_Diary_Adjustment]:[Retail_Inedible_Adjustment]])</f>
        <v>1</v>
      </c>
      <c r="AT133" s="124">
        <f>Level1[[#This Row],[Preferred_estimate_kg/capita]]*Level1[[#This Row],[Total_Adjustment]]</f>
        <v>94.793332499999991</v>
      </c>
    </row>
    <row r="134" spans="1:46">
      <c r="A134" s="125">
        <v>75</v>
      </c>
      <c r="B134" s="126" t="s">
        <v>555</v>
      </c>
      <c r="C134" s="126">
        <v>2016</v>
      </c>
      <c r="D134" s="127" t="s">
        <v>556</v>
      </c>
      <c r="E134" s="128" t="s">
        <v>557</v>
      </c>
      <c r="F134" s="126">
        <v>144</v>
      </c>
      <c r="G134" s="126" t="s">
        <v>180</v>
      </c>
      <c r="H134" s="126" t="s">
        <v>174</v>
      </c>
      <c r="I134" s="9" t="s">
        <v>181</v>
      </c>
      <c r="J134" s="9" t="s">
        <v>182</v>
      </c>
      <c r="K134" s="126" t="s">
        <v>562</v>
      </c>
      <c r="L134" s="115">
        <v>21.323699999999999</v>
      </c>
      <c r="M134" s="128">
        <v>1</v>
      </c>
      <c r="N134" s="126"/>
      <c r="O134" s="129"/>
      <c r="P134" s="128" t="s">
        <v>131</v>
      </c>
      <c r="Q134" s="126">
        <v>2</v>
      </c>
      <c r="R134" s="126" t="s">
        <v>559</v>
      </c>
      <c r="S134" s="130"/>
      <c r="T134" s="130"/>
      <c r="U134" s="135"/>
      <c r="V134" s="132">
        <v>0.51700000000000002</v>
      </c>
      <c r="W134" s="126" t="s">
        <v>176</v>
      </c>
      <c r="X134" s="141"/>
      <c r="Y134" s="137"/>
      <c r="Z134" s="133">
        <f>35.64*Level1[[#This Row],[FW_Share_estimate]]</f>
        <v>18.425879999999999</v>
      </c>
      <c r="AA134" s="9" t="s">
        <v>193</v>
      </c>
      <c r="AB134" s="119">
        <v>6730.05267</v>
      </c>
      <c r="AC134" s="119">
        <v>6730.05267</v>
      </c>
      <c r="AD134" s="134">
        <v>6730.05267</v>
      </c>
      <c r="AE134" s="121">
        <v>0</v>
      </c>
      <c r="AF134" s="120">
        <v>0</v>
      </c>
      <c r="AG134" s="120">
        <v>0</v>
      </c>
      <c r="AH134" s="122">
        <v>0</v>
      </c>
      <c r="AI134" s="123">
        <f>0.42*Level1[[#This Row],[FW_Share_estimate]]</f>
        <v>0.21714</v>
      </c>
      <c r="AJ134" s="126" t="s">
        <v>185</v>
      </c>
      <c r="AK134" s="78">
        <v>0.21714</v>
      </c>
      <c r="AL134" s="78">
        <v>79.310384999999997</v>
      </c>
      <c r="AM134" s="122">
        <v>79.310384999999997</v>
      </c>
      <c r="AN134" s="121">
        <f>IF(Level1[[#This Row],[Standardised_Normalised_Mass_kg/capita/year]]&lt;&gt;"",Level1[[#This Row],[Standardised_Normalised_Mass_kg/capita/year]],Level1[[#This Row],[Derived_Normalised_kg/capita/year]])</f>
        <v>79.310384999999997</v>
      </c>
      <c r="AO134" s="78">
        <f>IF(Level1[[#This Row],[Household]]=1,IF(Level1[[#This Row],[Household_Diary?]]=1,'Cover Sheet'!$R$31,1),1)</f>
        <v>1</v>
      </c>
      <c r="AP134" s="78">
        <f>IF(Level1[[#This Row],[Household]]=1,IF(Level1[[#This Row],[Edible_Waste_Only?]]=1,'Cover Sheet'!$R$32,1),1)</f>
        <v>1</v>
      </c>
      <c r="AQ134" s="78">
        <f>IF(Level1[[#This Row],[Food_Service]]=1,IF(Level1[[#This Row],[Edible_Waste_Only?]]=1,'Cover Sheet'!$R$33,1),1)</f>
        <v>1</v>
      </c>
      <c r="AR134" s="78">
        <f>IF(Level1[[#This Row],[Retail]]=1,IF(Level1[[#This Row],[Edible_Waste_Only?]]=1,'Cover Sheet'!$R$34,1),1)</f>
        <v>1</v>
      </c>
      <c r="AS134" s="78">
        <f>PRODUCT(Level1[[#This Row],[Household_Diary_Adjustment]:[Retail_Inedible_Adjustment]])</f>
        <v>1</v>
      </c>
      <c r="AT134" s="124">
        <f>Level1[[#This Row],[Preferred_estimate_kg/capita]]*Level1[[#This Row],[Total_Adjustment]]</f>
        <v>79.310384999999997</v>
      </c>
    </row>
    <row r="135" spans="1:46">
      <c r="A135" s="112">
        <v>75</v>
      </c>
      <c r="B135" s="126" t="s">
        <v>555</v>
      </c>
      <c r="C135" s="9">
        <v>2016</v>
      </c>
      <c r="D135" s="113" t="s">
        <v>556</v>
      </c>
      <c r="E135" s="114" t="s">
        <v>557</v>
      </c>
      <c r="F135" s="9">
        <v>144</v>
      </c>
      <c r="G135" s="9" t="s">
        <v>180</v>
      </c>
      <c r="H135" s="9" t="s">
        <v>174</v>
      </c>
      <c r="I135" s="9" t="s">
        <v>181</v>
      </c>
      <c r="J135" s="9" t="s">
        <v>182</v>
      </c>
      <c r="K135" s="9" t="s">
        <v>563</v>
      </c>
      <c r="L135" s="115">
        <v>21.323699999999999</v>
      </c>
      <c r="M135" s="114">
        <v>1</v>
      </c>
      <c r="N135" s="9"/>
      <c r="O135" s="115"/>
      <c r="P135" s="114" t="s">
        <v>131</v>
      </c>
      <c r="Q135" s="9">
        <v>2</v>
      </c>
      <c r="R135" s="9" t="s">
        <v>559</v>
      </c>
      <c r="S135" s="10"/>
      <c r="T135" s="10"/>
      <c r="U135" s="138"/>
      <c r="V135" s="117">
        <v>0.52400000000000002</v>
      </c>
      <c r="W135" s="9" t="s">
        <v>254</v>
      </c>
      <c r="X135" s="139"/>
      <c r="Y135" s="140"/>
      <c r="Z135" s="118">
        <f>24.2*Level1[[#This Row],[FW_Share_estimate]]</f>
        <v>12.6808</v>
      </c>
      <c r="AA135" s="9" t="s">
        <v>193</v>
      </c>
      <c r="AB135" s="119">
        <v>4631.6621999999998</v>
      </c>
      <c r="AC135" s="119">
        <v>4631.6621999999998</v>
      </c>
      <c r="AD135" s="120">
        <v>4631.6621999999998</v>
      </c>
      <c r="AE135" s="121">
        <v>0</v>
      </c>
      <c r="AF135" s="120">
        <v>0</v>
      </c>
      <c r="AG135" s="120">
        <v>0</v>
      </c>
      <c r="AH135" s="122">
        <v>0</v>
      </c>
      <c r="AI135" s="123">
        <f>0.41*Level1[[#This Row],[FW_Share_estimate]]</f>
        <v>0.21484</v>
      </c>
      <c r="AJ135" s="9" t="s">
        <v>185</v>
      </c>
      <c r="AK135" s="78">
        <v>0.21484</v>
      </c>
      <c r="AL135" s="78">
        <v>78.470309999999998</v>
      </c>
      <c r="AM135" s="122">
        <v>78.470309999999998</v>
      </c>
      <c r="AN135" s="121">
        <f>IF(Level1[[#This Row],[Standardised_Normalised_Mass_kg/capita/year]]&lt;&gt;"",Level1[[#This Row],[Standardised_Normalised_Mass_kg/capita/year]],Level1[[#This Row],[Derived_Normalised_kg/capita/year]])</f>
        <v>78.470309999999998</v>
      </c>
      <c r="AO135" s="78">
        <f>IF(Level1[[#This Row],[Household]]=1,IF(Level1[[#This Row],[Household_Diary?]]=1,'Cover Sheet'!$R$31,1),1)</f>
        <v>1</v>
      </c>
      <c r="AP135" s="78">
        <f>IF(Level1[[#This Row],[Household]]=1,IF(Level1[[#This Row],[Edible_Waste_Only?]]=1,'Cover Sheet'!$R$32,1),1)</f>
        <v>1</v>
      </c>
      <c r="AQ135" s="78">
        <f>IF(Level1[[#This Row],[Food_Service]]=1,IF(Level1[[#This Row],[Edible_Waste_Only?]]=1,'Cover Sheet'!$R$33,1),1)</f>
        <v>1</v>
      </c>
      <c r="AR135" s="78">
        <f>IF(Level1[[#This Row],[Retail]]=1,IF(Level1[[#This Row],[Edible_Waste_Only?]]=1,'Cover Sheet'!$R$34,1),1)</f>
        <v>1</v>
      </c>
      <c r="AS135" s="78">
        <f>PRODUCT(Level1[[#This Row],[Household_Diary_Adjustment]:[Retail_Inedible_Adjustment]])</f>
        <v>1</v>
      </c>
      <c r="AT135" s="124">
        <f>Level1[[#This Row],[Preferred_estimate_kg/capita]]*Level1[[#This Row],[Total_Adjustment]]</f>
        <v>78.470309999999998</v>
      </c>
    </row>
    <row r="136" spans="1:46">
      <c r="A136" s="125">
        <v>75</v>
      </c>
      <c r="B136" s="126" t="s">
        <v>555</v>
      </c>
      <c r="C136" s="126">
        <v>2016</v>
      </c>
      <c r="D136" s="127" t="s">
        <v>556</v>
      </c>
      <c r="E136" s="128" t="s">
        <v>557</v>
      </c>
      <c r="F136" s="126">
        <v>144</v>
      </c>
      <c r="G136" s="126" t="s">
        <v>180</v>
      </c>
      <c r="H136" s="126" t="s">
        <v>174</v>
      </c>
      <c r="I136" s="9" t="s">
        <v>181</v>
      </c>
      <c r="J136" s="9" t="s">
        <v>182</v>
      </c>
      <c r="K136" s="126" t="s">
        <v>564</v>
      </c>
      <c r="L136" s="115">
        <v>21.323699999999999</v>
      </c>
      <c r="M136" s="128">
        <v>1</v>
      </c>
      <c r="N136" s="126"/>
      <c r="O136" s="129"/>
      <c r="P136" s="128" t="s">
        <v>131</v>
      </c>
      <c r="Q136" s="126">
        <v>2</v>
      </c>
      <c r="R136" s="126" t="s">
        <v>559</v>
      </c>
      <c r="S136" s="130"/>
      <c r="T136" s="130"/>
      <c r="U136" s="135"/>
      <c r="V136" s="132">
        <v>0.52500000000000002</v>
      </c>
      <c r="W136" s="126" t="s">
        <v>176</v>
      </c>
      <c r="X136" s="141"/>
      <c r="Y136" s="137"/>
      <c r="Z136" s="133">
        <f>66.8*Level1[[#This Row],[FW_Share_estimate]]</f>
        <v>35.07</v>
      </c>
      <c r="AA136" s="9" t="s">
        <v>193</v>
      </c>
      <c r="AB136" s="119">
        <v>12809.317499999999</v>
      </c>
      <c r="AC136" s="119">
        <v>12809.317499999999</v>
      </c>
      <c r="AD136" s="134">
        <v>12809.317499999999</v>
      </c>
      <c r="AE136" s="121">
        <v>0</v>
      </c>
      <c r="AF136" s="120">
        <v>0</v>
      </c>
      <c r="AG136" s="120">
        <v>0</v>
      </c>
      <c r="AH136" s="122">
        <v>0</v>
      </c>
      <c r="AI136" s="123">
        <f>0.39*Level1[[#This Row],[FW_Share_estimate]]</f>
        <v>0.20475000000000002</v>
      </c>
      <c r="AJ136" s="126" t="s">
        <v>185</v>
      </c>
      <c r="AK136" s="78">
        <v>0.20475000000000002</v>
      </c>
      <c r="AL136" s="78">
        <v>74.784937500000012</v>
      </c>
      <c r="AM136" s="122">
        <v>74.784937500000012</v>
      </c>
      <c r="AN136" s="121">
        <f>IF(Level1[[#This Row],[Standardised_Normalised_Mass_kg/capita/year]]&lt;&gt;"",Level1[[#This Row],[Standardised_Normalised_Mass_kg/capita/year]],Level1[[#This Row],[Derived_Normalised_kg/capita/year]])</f>
        <v>74.784937500000012</v>
      </c>
      <c r="AO136" s="78">
        <f>IF(Level1[[#This Row],[Household]]=1,IF(Level1[[#This Row],[Household_Diary?]]=1,'Cover Sheet'!$R$31,1),1)</f>
        <v>1</v>
      </c>
      <c r="AP136" s="78">
        <f>IF(Level1[[#This Row],[Household]]=1,IF(Level1[[#This Row],[Edible_Waste_Only?]]=1,'Cover Sheet'!$R$32,1),1)</f>
        <v>1</v>
      </c>
      <c r="AQ136" s="78">
        <f>IF(Level1[[#This Row],[Food_Service]]=1,IF(Level1[[#This Row],[Edible_Waste_Only?]]=1,'Cover Sheet'!$R$33,1),1)</f>
        <v>1</v>
      </c>
      <c r="AR136" s="78">
        <f>IF(Level1[[#This Row],[Retail]]=1,IF(Level1[[#This Row],[Edible_Waste_Only?]]=1,'Cover Sheet'!$R$34,1),1)</f>
        <v>1</v>
      </c>
      <c r="AS136" s="78">
        <f>PRODUCT(Level1[[#This Row],[Household_Diary_Adjustment]:[Retail_Inedible_Adjustment]])</f>
        <v>1</v>
      </c>
      <c r="AT136" s="124">
        <f>Level1[[#This Row],[Preferred_estimate_kg/capita]]*Level1[[#This Row],[Total_Adjustment]]</f>
        <v>74.784937500000012</v>
      </c>
    </row>
    <row r="137" spans="1:46">
      <c r="A137" s="112">
        <v>75</v>
      </c>
      <c r="B137" s="126" t="s">
        <v>555</v>
      </c>
      <c r="C137" s="9">
        <v>2016</v>
      </c>
      <c r="D137" s="113" t="s">
        <v>556</v>
      </c>
      <c r="E137" s="114" t="s">
        <v>557</v>
      </c>
      <c r="F137" s="9">
        <v>144</v>
      </c>
      <c r="G137" s="9" t="s">
        <v>180</v>
      </c>
      <c r="H137" s="9" t="s">
        <v>174</v>
      </c>
      <c r="I137" s="9" t="s">
        <v>181</v>
      </c>
      <c r="J137" s="9" t="s">
        <v>182</v>
      </c>
      <c r="K137" s="9" t="s">
        <v>565</v>
      </c>
      <c r="L137" s="115">
        <v>21.323699999999999</v>
      </c>
      <c r="M137" s="114">
        <v>1</v>
      </c>
      <c r="N137" s="9"/>
      <c r="O137" s="115"/>
      <c r="P137" s="114" t="s">
        <v>131</v>
      </c>
      <c r="Q137" s="9">
        <v>2</v>
      </c>
      <c r="R137" s="9" t="s">
        <v>559</v>
      </c>
      <c r="S137" s="10"/>
      <c r="T137" s="10"/>
      <c r="U137" s="138"/>
      <c r="V137" s="117">
        <v>0.52500000000000002</v>
      </c>
      <c r="W137" s="9" t="s">
        <v>176</v>
      </c>
      <c r="X137" s="139"/>
      <c r="Y137" s="140"/>
      <c r="Z137" s="118">
        <f>73.5*Level1[[#This Row],[FW_Share_estimate]]</f>
        <v>38.587499999999999</v>
      </c>
      <c r="AA137" s="9" t="s">
        <v>193</v>
      </c>
      <c r="AB137" s="119">
        <v>14094.084375</v>
      </c>
      <c r="AC137" s="119">
        <v>14094.084375</v>
      </c>
      <c r="AD137" s="120">
        <v>14094.084375</v>
      </c>
      <c r="AE137" s="121">
        <v>0</v>
      </c>
      <c r="AF137" s="120">
        <v>0</v>
      </c>
      <c r="AG137" s="120">
        <v>0</v>
      </c>
      <c r="AH137" s="122">
        <v>0</v>
      </c>
      <c r="AI137" s="123">
        <f>0.39*Level1[[#This Row],[FW_Share_estimate]]</f>
        <v>0.20475000000000002</v>
      </c>
      <c r="AJ137" s="9" t="s">
        <v>185</v>
      </c>
      <c r="AK137" s="78">
        <v>0.20475000000000002</v>
      </c>
      <c r="AL137" s="78">
        <v>74.784937500000012</v>
      </c>
      <c r="AM137" s="122">
        <v>74.784937500000012</v>
      </c>
      <c r="AN137" s="121">
        <f>IF(Level1[[#This Row],[Standardised_Normalised_Mass_kg/capita/year]]&lt;&gt;"",Level1[[#This Row],[Standardised_Normalised_Mass_kg/capita/year]],Level1[[#This Row],[Derived_Normalised_kg/capita/year]])</f>
        <v>74.784937500000012</v>
      </c>
      <c r="AO137" s="78">
        <f>IF(Level1[[#This Row],[Household]]=1,IF(Level1[[#This Row],[Household_Diary?]]=1,'Cover Sheet'!$R$31,1),1)</f>
        <v>1</v>
      </c>
      <c r="AP137" s="78">
        <f>IF(Level1[[#This Row],[Household]]=1,IF(Level1[[#This Row],[Edible_Waste_Only?]]=1,'Cover Sheet'!$R$32,1),1)</f>
        <v>1</v>
      </c>
      <c r="AQ137" s="78">
        <f>IF(Level1[[#This Row],[Food_Service]]=1,IF(Level1[[#This Row],[Edible_Waste_Only?]]=1,'Cover Sheet'!$R$33,1),1)</f>
        <v>1</v>
      </c>
      <c r="AR137" s="78">
        <f>IF(Level1[[#This Row],[Retail]]=1,IF(Level1[[#This Row],[Edible_Waste_Only?]]=1,'Cover Sheet'!$R$34,1),1)</f>
        <v>1</v>
      </c>
      <c r="AS137" s="78">
        <f>PRODUCT(Level1[[#This Row],[Household_Diary_Adjustment]:[Retail_Inedible_Adjustment]])</f>
        <v>1</v>
      </c>
      <c r="AT137" s="124">
        <f>Level1[[#This Row],[Preferred_estimate_kg/capita]]*Level1[[#This Row],[Total_Adjustment]]</f>
        <v>74.784937500000012</v>
      </c>
    </row>
    <row r="138" spans="1:46">
      <c r="A138" s="125">
        <v>75</v>
      </c>
      <c r="B138" s="126" t="s">
        <v>555</v>
      </c>
      <c r="C138" s="126">
        <v>2016</v>
      </c>
      <c r="D138" s="127" t="s">
        <v>556</v>
      </c>
      <c r="E138" s="128" t="s">
        <v>557</v>
      </c>
      <c r="F138" s="126">
        <v>144</v>
      </c>
      <c r="G138" s="126" t="s">
        <v>180</v>
      </c>
      <c r="H138" s="126" t="s">
        <v>174</v>
      </c>
      <c r="I138" s="9" t="s">
        <v>181</v>
      </c>
      <c r="J138" s="9" t="s">
        <v>182</v>
      </c>
      <c r="K138" s="126" t="s">
        <v>566</v>
      </c>
      <c r="L138" s="115">
        <v>21.323699999999999</v>
      </c>
      <c r="M138" s="128">
        <v>1</v>
      </c>
      <c r="N138" s="126"/>
      <c r="O138" s="129"/>
      <c r="P138" s="128" t="s">
        <v>131</v>
      </c>
      <c r="Q138" s="126">
        <v>2</v>
      </c>
      <c r="R138" s="126" t="s">
        <v>559</v>
      </c>
      <c r="S138" s="130"/>
      <c r="T138" s="130"/>
      <c r="U138" s="135"/>
      <c r="V138" s="132">
        <v>0.52500000000000002</v>
      </c>
      <c r="W138" s="126" t="s">
        <v>176</v>
      </c>
      <c r="X138" s="141"/>
      <c r="Y138" s="137"/>
      <c r="Z138" s="133">
        <f>73.2*Level1[[#This Row],[FW_Share_estimate]]</f>
        <v>38.43</v>
      </c>
      <c r="AA138" s="9" t="s">
        <v>193</v>
      </c>
      <c r="AB138" s="119">
        <v>14036.557500000001</v>
      </c>
      <c r="AC138" s="119">
        <v>14036.557500000001</v>
      </c>
      <c r="AD138" s="134">
        <v>14036.557500000001</v>
      </c>
      <c r="AE138" s="121">
        <v>0</v>
      </c>
      <c r="AF138" s="120">
        <v>0</v>
      </c>
      <c r="AG138" s="120">
        <v>0</v>
      </c>
      <c r="AH138" s="122">
        <v>0</v>
      </c>
      <c r="AI138" s="123">
        <f>0.39*Level1[[#This Row],[FW_Share_estimate]]</f>
        <v>0.20475000000000002</v>
      </c>
      <c r="AJ138" s="126" t="s">
        <v>185</v>
      </c>
      <c r="AK138" s="78">
        <v>0.20475000000000002</v>
      </c>
      <c r="AL138" s="78">
        <v>74.784937500000012</v>
      </c>
      <c r="AM138" s="122">
        <v>74.784937500000012</v>
      </c>
      <c r="AN138" s="121">
        <f>IF(Level1[[#This Row],[Standardised_Normalised_Mass_kg/capita/year]]&lt;&gt;"",Level1[[#This Row],[Standardised_Normalised_Mass_kg/capita/year]],Level1[[#This Row],[Derived_Normalised_kg/capita/year]])</f>
        <v>74.784937500000012</v>
      </c>
      <c r="AO138" s="78">
        <f>IF(Level1[[#This Row],[Household]]=1,IF(Level1[[#This Row],[Household_Diary?]]=1,'Cover Sheet'!$R$31,1),1)</f>
        <v>1</v>
      </c>
      <c r="AP138" s="78">
        <f>IF(Level1[[#This Row],[Household]]=1,IF(Level1[[#This Row],[Edible_Waste_Only?]]=1,'Cover Sheet'!$R$32,1),1)</f>
        <v>1</v>
      </c>
      <c r="AQ138" s="78">
        <f>IF(Level1[[#This Row],[Food_Service]]=1,IF(Level1[[#This Row],[Edible_Waste_Only?]]=1,'Cover Sheet'!$R$33,1),1)</f>
        <v>1</v>
      </c>
      <c r="AR138" s="78">
        <f>IF(Level1[[#This Row],[Retail]]=1,IF(Level1[[#This Row],[Edible_Waste_Only?]]=1,'Cover Sheet'!$R$34,1),1)</f>
        <v>1</v>
      </c>
      <c r="AS138" s="78">
        <f>PRODUCT(Level1[[#This Row],[Household_Diary_Adjustment]:[Retail_Inedible_Adjustment]])</f>
        <v>1</v>
      </c>
      <c r="AT138" s="124">
        <f>Level1[[#This Row],[Preferred_estimate_kg/capita]]*Level1[[#This Row],[Total_Adjustment]]</f>
        <v>74.784937500000012</v>
      </c>
    </row>
    <row r="139" spans="1:46">
      <c r="A139" s="112">
        <v>75</v>
      </c>
      <c r="B139" s="126" t="s">
        <v>555</v>
      </c>
      <c r="C139" s="9">
        <v>2016</v>
      </c>
      <c r="D139" s="113" t="s">
        <v>556</v>
      </c>
      <c r="E139" s="114" t="s">
        <v>557</v>
      </c>
      <c r="F139" s="9">
        <v>144</v>
      </c>
      <c r="G139" s="9" t="s">
        <v>180</v>
      </c>
      <c r="H139" s="9" t="s">
        <v>174</v>
      </c>
      <c r="I139" s="9" t="s">
        <v>181</v>
      </c>
      <c r="J139" s="9" t="s">
        <v>182</v>
      </c>
      <c r="K139" s="9" t="s">
        <v>567</v>
      </c>
      <c r="L139" s="115">
        <v>21.323699999999999</v>
      </c>
      <c r="M139" s="114">
        <v>1</v>
      </c>
      <c r="N139" s="9"/>
      <c r="O139" s="115"/>
      <c r="P139" s="114" t="s">
        <v>131</v>
      </c>
      <c r="Q139" s="9">
        <v>2</v>
      </c>
      <c r="R139" s="9" t="s">
        <v>559</v>
      </c>
      <c r="S139" s="10"/>
      <c r="T139" s="10"/>
      <c r="U139" s="138">
        <v>2008</v>
      </c>
      <c r="V139" s="117">
        <v>0.52</v>
      </c>
      <c r="W139" s="9" t="s">
        <v>176</v>
      </c>
      <c r="X139" s="139"/>
      <c r="Y139" s="140"/>
      <c r="Z139" s="118">
        <f>6.49*Level1[[#This Row],[FW_Share_estimate]]</f>
        <v>3.3748</v>
      </c>
      <c r="AA139" s="9" t="s">
        <v>193</v>
      </c>
      <c r="AB139" s="119">
        <v>1232.6457</v>
      </c>
      <c r="AC139" s="119">
        <v>1232.6457</v>
      </c>
      <c r="AD139" s="120">
        <v>1232.6457</v>
      </c>
      <c r="AE139" s="121">
        <v>0</v>
      </c>
      <c r="AF139" s="120">
        <v>0</v>
      </c>
      <c r="AG139" s="120">
        <v>0</v>
      </c>
      <c r="AH139" s="122">
        <v>0</v>
      </c>
      <c r="AI139" s="123">
        <f>0.25*Level1[[#This Row],[FW_Share_estimate]]</f>
        <v>0.13</v>
      </c>
      <c r="AJ139" s="9" t="s">
        <v>185</v>
      </c>
      <c r="AK139" s="78">
        <v>0.13</v>
      </c>
      <c r="AL139" s="78">
        <v>47.482500000000002</v>
      </c>
      <c r="AM139" s="122">
        <v>47.482500000000002</v>
      </c>
      <c r="AN139" s="121">
        <f>IF(Level1[[#This Row],[Standardised_Normalised_Mass_kg/capita/year]]&lt;&gt;"",Level1[[#This Row],[Standardised_Normalised_Mass_kg/capita/year]],Level1[[#This Row],[Derived_Normalised_kg/capita/year]])</f>
        <v>47.482500000000002</v>
      </c>
      <c r="AO139" s="78">
        <f>IF(Level1[[#This Row],[Household]]=1,IF(Level1[[#This Row],[Household_Diary?]]=1,'Cover Sheet'!$R$31,1),1)</f>
        <v>1</v>
      </c>
      <c r="AP139" s="78">
        <f>IF(Level1[[#This Row],[Household]]=1,IF(Level1[[#This Row],[Edible_Waste_Only?]]=1,'Cover Sheet'!$R$32,1),1)</f>
        <v>1</v>
      </c>
      <c r="AQ139" s="78">
        <f>IF(Level1[[#This Row],[Food_Service]]=1,IF(Level1[[#This Row],[Edible_Waste_Only?]]=1,'Cover Sheet'!$R$33,1),1)</f>
        <v>1</v>
      </c>
      <c r="AR139" s="78">
        <f>IF(Level1[[#This Row],[Retail]]=1,IF(Level1[[#This Row],[Edible_Waste_Only?]]=1,'Cover Sheet'!$R$34,1),1)</f>
        <v>1</v>
      </c>
      <c r="AS139" s="78">
        <f>PRODUCT(Level1[[#This Row],[Household_Diary_Adjustment]:[Retail_Inedible_Adjustment]])</f>
        <v>1</v>
      </c>
      <c r="AT139" s="124">
        <f>Level1[[#This Row],[Preferred_estimate_kg/capita]]*Level1[[#This Row],[Total_Adjustment]]</f>
        <v>47.482500000000002</v>
      </c>
    </row>
    <row r="140" spans="1:46">
      <c r="A140" s="125">
        <v>75</v>
      </c>
      <c r="B140" s="126" t="s">
        <v>555</v>
      </c>
      <c r="C140" s="126">
        <v>2016</v>
      </c>
      <c r="D140" s="127" t="s">
        <v>556</v>
      </c>
      <c r="E140" s="128" t="s">
        <v>557</v>
      </c>
      <c r="F140" s="126">
        <v>144</v>
      </c>
      <c r="G140" s="126" t="s">
        <v>180</v>
      </c>
      <c r="H140" s="126" t="s">
        <v>174</v>
      </c>
      <c r="I140" s="9" t="s">
        <v>181</v>
      </c>
      <c r="J140" s="9" t="s">
        <v>182</v>
      </c>
      <c r="K140" s="126" t="s">
        <v>568</v>
      </c>
      <c r="L140" s="115">
        <v>21.323699999999999</v>
      </c>
      <c r="M140" s="128">
        <v>1</v>
      </c>
      <c r="N140" s="126"/>
      <c r="O140" s="129"/>
      <c r="P140" s="128" t="s">
        <v>131</v>
      </c>
      <c r="Q140" s="126">
        <v>2</v>
      </c>
      <c r="R140" s="126" t="s">
        <v>559</v>
      </c>
      <c r="S140" s="130"/>
      <c r="T140" s="130"/>
      <c r="U140" s="135">
        <v>2010</v>
      </c>
      <c r="V140" s="132">
        <v>0.12</v>
      </c>
      <c r="W140" s="126" t="s">
        <v>176</v>
      </c>
      <c r="X140" s="141"/>
      <c r="Y140" s="137"/>
      <c r="Z140" s="133">
        <f>23.63*Level1[[#This Row],[FW_Share_estimate]]</f>
        <v>2.8355999999999999</v>
      </c>
      <c r="AA140" s="9" t="s">
        <v>193</v>
      </c>
      <c r="AB140" s="119">
        <v>1035.7029</v>
      </c>
      <c r="AC140" s="119">
        <v>1035.7029</v>
      </c>
      <c r="AD140" s="134">
        <v>1035.7029</v>
      </c>
      <c r="AE140" s="121">
        <v>0</v>
      </c>
      <c r="AF140" s="120">
        <v>0</v>
      </c>
      <c r="AG140" s="120">
        <v>0</v>
      </c>
      <c r="AH140" s="122">
        <v>0</v>
      </c>
      <c r="AI140" s="123">
        <f>0.47*Level1[[#This Row],[FW_Share_estimate]]</f>
        <v>5.6399999999999992E-2</v>
      </c>
      <c r="AJ140" s="126" t="s">
        <v>185</v>
      </c>
      <c r="AK140" s="78">
        <v>5.6399999999999992E-2</v>
      </c>
      <c r="AL140" s="78">
        <v>20.600099999999998</v>
      </c>
      <c r="AM140" s="122">
        <v>20.600099999999998</v>
      </c>
      <c r="AN140" s="121">
        <f>IF(Level1[[#This Row],[Standardised_Normalised_Mass_kg/capita/year]]&lt;&gt;"",Level1[[#This Row],[Standardised_Normalised_Mass_kg/capita/year]],Level1[[#This Row],[Derived_Normalised_kg/capita/year]])</f>
        <v>20.600099999999998</v>
      </c>
      <c r="AO140" s="78">
        <f>IF(Level1[[#This Row],[Household]]=1,IF(Level1[[#This Row],[Household_Diary?]]=1,'Cover Sheet'!$R$31,1),1)</f>
        <v>1</v>
      </c>
      <c r="AP140" s="78">
        <f>IF(Level1[[#This Row],[Household]]=1,IF(Level1[[#This Row],[Edible_Waste_Only?]]=1,'Cover Sheet'!$R$32,1),1)</f>
        <v>1</v>
      </c>
      <c r="AQ140" s="78">
        <f>IF(Level1[[#This Row],[Food_Service]]=1,IF(Level1[[#This Row],[Edible_Waste_Only?]]=1,'Cover Sheet'!$R$33,1),1)</f>
        <v>1</v>
      </c>
      <c r="AR140" s="78">
        <f>IF(Level1[[#This Row],[Retail]]=1,IF(Level1[[#This Row],[Edible_Waste_Only?]]=1,'Cover Sheet'!$R$34,1),1)</f>
        <v>1</v>
      </c>
      <c r="AS140" s="78">
        <f>PRODUCT(Level1[[#This Row],[Household_Diary_Adjustment]:[Retail_Inedible_Adjustment]])</f>
        <v>1</v>
      </c>
      <c r="AT140" s="124">
        <f>Level1[[#This Row],[Preferred_estimate_kg/capita]]*Level1[[#This Row],[Total_Adjustment]]</f>
        <v>20.600099999999998</v>
      </c>
    </row>
    <row r="141" spans="1:46">
      <c r="A141" s="125">
        <v>76</v>
      </c>
      <c r="B141" s="126" t="s">
        <v>569</v>
      </c>
      <c r="C141" s="126">
        <v>2014</v>
      </c>
      <c r="D141" s="127" t="s">
        <v>570</v>
      </c>
      <c r="E141" s="128" t="s">
        <v>571</v>
      </c>
      <c r="F141" s="126">
        <v>752</v>
      </c>
      <c r="G141" s="126" t="s">
        <v>155</v>
      </c>
      <c r="H141" s="126" t="s">
        <v>128</v>
      </c>
      <c r="I141" s="9" t="s">
        <v>129</v>
      </c>
      <c r="J141" s="9" t="s">
        <v>130</v>
      </c>
      <c r="K141" s="126"/>
      <c r="L141" s="115">
        <v>10.0364</v>
      </c>
      <c r="M141" s="128"/>
      <c r="N141" s="126">
        <v>1</v>
      </c>
      <c r="O141" s="129"/>
      <c r="P141" s="128" t="s">
        <v>151</v>
      </c>
      <c r="Q141" s="126">
        <v>1</v>
      </c>
      <c r="R141" s="159" t="s">
        <v>572</v>
      </c>
      <c r="S141" s="130"/>
      <c r="T141" s="130"/>
      <c r="U141" s="135">
        <v>2012</v>
      </c>
      <c r="V141" s="132"/>
      <c r="W141" s="126"/>
      <c r="X141" s="141">
        <f>SUM(62%*142000,52%*58000)/Level1[[#This Row],[Mass_estimate]]</f>
        <v>0.59099999999999997</v>
      </c>
      <c r="Y141" s="137" t="s">
        <v>573</v>
      </c>
      <c r="Z141" s="133">
        <f>SUM(142000,58000)</f>
        <v>200000</v>
      </c>
      <c r="AA141" s="9" t="s">
        <v>133</v>
      </c>
      <c r="AB141" s="119">
        <v>200000</v>
      </c>
      <c r="AC141" s="119">
        <v>200000</v>
      </c>
      <c r="AD141" s="134">
        <v>200000</v>
      </c>
      <c r="AE141" s="121">
        <v>0</v>
      </c>
      <c r="AF141" s="120">
        <v>0</v>
      </c>
      <c r="AG141" s="120">
        <v>0</v>
      </c>
      <c r="AH141" s="122">
        <v>0</v>
      </c>
      <c r="AI141" s="123">
        <f>SUM(15,6)</f>
        <v>21</v>
      </c>
      <c r="AJ141" s="126" t="s">
        <v>147</v>
      </c>
      <c r="AK141" s="78">
        <v>21</v>
      </c>
      <c r="AL141" s="78">
        <v>21</v>
      </c>
      <c r="AM141" s="122">
        <v>21</v>
      </c>
      <c r="AN141" s="121">
        <f>IF(Level1[[#This Row],[Standardised_Normalised_Mass_kg/capita/year]]&lt;&gt;"",Level1[[#This Row],[Standardised_Normalised_Mass_kg/capita/year]],Level1[[#This Row],[Derived_Normalised_kg/capita/year]])</f>
        <v>21</v>
      </c>
      <c r="AO141" s="78">
        <f>IF(Level1[[#This Row],[Household]]=1,IF(Level1[[#This Row],[Household_Diary?]]=1,'Cover Sheet'!$R$31,1),1)</f>
        <v>1</v>
      </c>
      <c r="AP141" s="78">
        <f>IF(Level1[[#This Row],[Household]]=1,IF(Level1[[#This Row],[Edible_Waste_Only?]]=1,'Cover Sheet'!$R$32,1),1)</f>
        <v>1</v>
      </c>
      <c r="AQ141" s="78">
        <f>IF(Level1[[#This Row],[Food_Service]]=1,IF(Level1[[#This Row],[Edible_Waste_Only?]]=1,'Cover Sheet'!$R$33,1),1)</f>
        <v>1</v>
      </c>
      <c r="AR141" s="78">
        <f>IF(Level1[[#This Row],[Retail]]=1,IF(Level1[[#This Row],[Edible_Waste_Only?]]=1,'Cover Sheet'!$R$34,1),1)</f>
        <v>1</v>
      </c>
      <c r="AS141" s="78">
        <f>PRODUCT(Level1[[#This Row],[Household_Diary_Adjustment]:[Retail_Inedible_Adjustment]])</f>
        <v>1</v>
      </c>
      <c r="AT141" s="124">
        <f>Level1[[#This Row],[Preferred_estimate_kg/capita]]*Level1[[#This Row],[Total_Adjustment]]</f>
        <v>21</v>
      </c>
    </row>
    <row r="142" spans="1:46">
      <c r="A142" s="112">
        <v>76</v>
      </c>
      <c r="B142" s="126" t="s">
        <v>569</v>
      </c>
      <c r="C142" s="9">
        <v>2014</v>
      </c>
      <c r="D142" s="113" t="s">
        <v>570</v>
      </c>
      <c r="E142" s="114" t="s">
        <v>571</v>
      </c>
      <c r="F142" s="9">
        <v>752</v>
      </c>
      <c r="G142" s="9" t="s">
        <v>155</v>
      </c>
      <c r="H142" s="9" t="s">
        <v>128</v>
      </c>
      <c r="I142" s="9" t="s">
        <v>129</v>
      </c>
      <c r="J142" s="9" t="s">
        <v>130</v>
      </c>
      <c r="K142" s="9"/>
      <c r="L142" s="115">
        <v>10.0364</v>
      </c>
      <c r="M142" s="114">
        <v>1</v>
      </c>
      <c r="N142" s="9"/>
      <c r="O142" s="115"/>
      <c r="P142" s="114" t="s">
        <v>131</v>
      </c>
      <c r="Q142" s="9">
        <v>1</v>
      </c>
      <c r="R142" s="9" t="s">
        <v>574</v>
      </c>
      <c r="S142" s="10"/>
      <c r="T142" s="10"/>
      <c r="U142" s="138">
        <v>2012</v>
      </c>
      <c r="V142" s="117"/>
      <c r="W142" s="9"/>
      <c r="X142" s="139">
        <f>35%</f>
        <v>0.35</v>
      </c>
      <c r="Y142" s="140" t="s">
        <v>575</v>
      </c>
      <c r="Z142" s="118">
        <v>771000</v>
      </c>
      <c r="AA142" s="9" t="s">
        <v>133</v>
      </c>
      <c r="AB142" s="119">
        <v>771000</v>
      </c>
      <c r="AC142" s="119">
        <v>771000</v>
      </c>
      <c r="AD142" s="120">
        <v>771000</v>
      </c>
      <c r="AE142" s="121">
        <v>0</v>
      </c>
      <c r="AF142" s="120">
        <v>0</v>
      </c>
      <c r="AG142" s="120">
        <v>0</v>
      </c>
      <c r="AH142" s="122">
        <v>0</v>
      </c>
      <c r="AI142" s="123">
        <v>81</v>
      </c>
      <c r="AJ142" s="9" t="s">
        <v>147</v>
      </c>
      <c r="AK142" s="78">
        <v>81</v>
      </c>
      <c r="AL142" s="78">
        <v>81</v>
      </c>
      <c r="AM142" s="122">
        <v>81</v>
      </c>
      <c r="AN142" s="121">
        <f>IF(Level1[[#This Row],[Standardised_Normalised_Mass_kg/capita/year]]&lt;&gt;"",Level1[[#This Row],[Standardised_Normalised_Mass_kg/capita/year]],Level1[[#This Row],[Derived_Normalised_kg/capita/year]])</f>
        <v>81</v>
      </c>
      <c r="AO142" s="78">
        <f>IF(Level1[[#This Row],[Household]]=1,IF(Level1[[#This Row],[Household_Diary?]]=1,'Cover Sheet'!$R$31,1),1)</f>
        <v>1</v>
      </c>
      <c r="AP142" s="78">
        <f>IF(Level1[[#This Row],[Household]]=1,IF(Level1[[#This Row],[Edible_Waste_Only?]]=1,'Cover Sheet'!$R$32,1),1)</f>
        <v>1</v>
      </c>
      <c r="AQ142" s="78">
        <f>IF(Level1[[#This Row],[Food_Service]]=1,IF(Level1[[#This Row],[Edible_Waste_Only?]]=1,'Cover Sheet'!$R$33,1),1)</f>
        <v>1</v>
      </c>
      <c r="AR142" s="78">
        <f>IF(Level1[[#This Row],[Retail]]=1,IF(Level1[[#This Row],[Edible_Waste_Only?]]=1,'Cover Sheet'!$R$34,1),1)</f>
        <v>1</v>
      </c>
      <c r="AS142" s="78">
        <f>PRODUCT(Level1[[#This Row],[Household_Diary_Adjustment]:[Retail_Inedible_Adjustment]])</f>
        <v>1</v>
      </c>
      <c r="AT142" s="124">
        <f>Level1[[#This Row],[Preferred_estimate_kg/capita]]*Level1[[#This Row],[Total_Adjustment]]</f>
        <v>81</v>
      </c>
    </row>
    <row r="143" spans="1:46">
      <c r="A143" s="112">
        <v>76</v>
      </c>
      <c r="B143" s="126" t="s">
        <v>569</v>
      </c>
      <c r="C143" s="9">
        <v>2014</v>
      </c>
      <c r="D143" s="113" t="s">
        <v>570</v>
      </c>
      <c r="E143" s="114" t="s">
        <v>571</v>
      </c>
      <c r="F143" s="9">
        <v>752</v>
      </c>
      <c r="G143" s="9" t="s">
        <v>155</v>
      </c>
      <c r="H143" s="9" t="s">
        <v>128</v>
      </c>
      <c r="I143" s="9" t="s">
        <v>129</v>
      </c>
      <c r="J143" s="9" t="s">
        <v>130</v>
      </c>
      <c r="K143" s="9"/>
      <c r="L143" s="115">
        <v>10.0364</v>
      </c>
      <c r="M143" s="114"/>
      <c r="N143" s="9">
        <v>1</v>
      </c>
      <c r="O143" s="115"/>
      <c r="P143" s="114" t="s">
        <v>151</v>
      </c>
      <c r="Q143" s="9">
        <v>1</v>
      </c>
      <c r="R143" s="160" t="s">
        <v>576</v>
      </c>
      <c r="S143" s="10"/>
      <c r="T143" s="10"/>
      <c r="U143" s="138">
        <v>2010</v>
      </c>
      <c r="V143" s="117"/>
      <c r="W143" s="9"/>
      <c r="X143" s="139"/>
      <c r="Y143" s="140"/>
      <c r="Z143" s="118">
        <f>SUM(127000,58000)</f>
        <v>185000</v>
      </c>
      <c r="AA143" s="9" t="s">
        <v>133</v>
      </c>
      <c r="AB143" s="119">
        <v>185000</v>
      </c>
      <c r="AC143" s="119">
        <v>185000</v>
      </c>
      <c r="AD143" s="120">
        <v>185000</v>
      </c>
      <c r="AE143" s="121">
        <v>0</v>
      </c>
      <c r="AF143" s="120">
        <v>0</v>
      </c>
      <c r="AG143" s="120">
        <v>0</v>
      </c>
      <c r="AH143" s="122">
        <v>0</v>
      </c>
      <c r="AI143" s="123">
        <f>SUM(14,6)</f>
        <v>20</v>
      </c>
      <c r="AJ143" s="9" t="s">
        <v>147</v>
      </c>
      <c r="AK143" s="78">
        <v>20</v>
      </c>
      <c r="AL143" s="78">
        <v>20</v>
      </c>
      <c r="AM143" s="122">
        <v>20</v>
      </c>
      <c r="AN143" s="121">
        <f>IF(Level1[[#This Row],[Standardised_Normalised_Mass_kg/capita/year]]&lt;&gt;"",Level1[[#This Row],[Standardised_Normalised_Mass_kg/capita/year]],Level1[[#This Row],[Derived_Normalised_kg/capita/year]])</f>
        <v>20</v>
      </c>
      <c r="AO143" s="78">
        <f>IF(Level1[[#This Row],[Household]]=1,IF(Level1[[#This Row],[Household_Diary?]]=1,'Cover Sheet'!$R$31,1),1)</f>
        <v>1</v>
      </c>
      <c r="AP143" s="78">
        <f>IF(Level1[[#This Row],[Household]]=1,IF(Level1[[#This Row],[Edible_Waste_Only?]]=1,'Cover Sheet'!$R$32,1),1)</f>
        <v>1</v>
      </c>
      <c r="AQ143" s="78">
        <f>IF(Level1[[#This Row],[Food_Service]]=1,IF(Level1[[#This Row],[Edible_Waste_Only?]]=1,'Cover Sheet'!$R$33,1),1)</f>
        <v>1</v>
      </c>
      <c r="AR143" s="78">
        <f>IF(Level1[[#This Row],[Retail]]=1,IF(Level1[[#This Row],[Edible_Waste_Only?]]=1,'Cover Sheet'!$R$34,1),1)</f>
        <v>1</v>
      </c>
      <c r="AS143" s="78">
        <f>PRODUCT(Level1[[#This Row],[Household_Diary_Adjustment]:[Retail_Inedible_Adjustment]])</f>
        <v>1</v>
      </c>
      <c r="AT143" s="124">
        <f>Level1[[#This Row],[Preferred_estimate_kg/capita]]*Level1[[#This Row],[Total_Adjustment]]</f>
        <v>20</v>
      </c>
    </row>
    <row r="144" spans="1:46">
      <c r="A144" s="125">
        <v>77</v>
      </c>
      <c r="B144" s="126" t="s">
        <v>577</v>
      </c>
      <c r="C144" s="126">
        <v>2020</v>
      </c>
      <c r="D144" s="149" t="s">
        <v>578</v>
      </c>
      <c r="E144" s="128" t="s">
        <v>571</v>
      </c>
      <c r="F144" s="126">
        <v>752</v>
      </c>
      <c r="G144" s="126" t="s">
        <v>155</v>
      </c>
      <c r="H144" s="126" t="s">
        <v>128</v>
      </c>
      <c r="I144" s="9" t="s">
        <v>129</v>
      </c>
      <c r="J144" s="9" t="s">
        <v>130</v>
      </c>
      <c r="K144" s="126"/>
      <c r="L144" s="115">
        <v>10.0364</v>
      </c>
      <c r="M144" s="128"/>
      <c r="N144" s="126"/>
      <c r="O144" s="129">
        <v>1</v>
      </c>
      <c r="P144" s="128" t="s">
        <v>135</v>
      </c>
      <c r="Q144" s="126">
        <v>1</v>
      </c>
      <c r="R144" s="126" t="s">
        <v>579</v>
      </c>
      <c r="S144" s="130"/>
      <c r="T144" s="130"/>
      <c r="U144" s="135">
        <v>2018</v>
      </c>
      <c r="V144" s="132"/>
      <c r="W144" s="126"/>
      <c r="X144" s="132"/>
      <c r="Y144" s="129"/>
      <c r="Z144" s="133">
        <v>100000</v>
      </c>
      <c r="AA144" s="9" t="s">
        <v>133</v>
      </c>
      <c r="AB144" s="119">
        <v>100000</v>
      </c>
      <c r="AC144" s="119">
        <v>100000</v>
      </c>
      <c r="AD144" s="134">
        <v>100000</v>
      </c>
      <c r="AE144" s="121">
        <v>0</v>
      </c>
      <c r="AF144" s="120">
        <v>0</v>
      </c>
      <c r="AG144" s="120">
        <v>0</v>
      </c>
      <c r="AH144" s="122">
        <v>0</v>
      </c>
      <c r="AI144" s="123">
        <v>10</v>
      </c>
      <c r="AJ144" s="126" t="s">
        <v>147</v>
      </c>
      <c r="AK144" s="78">
        <v>10</v>
      </c>
      <c r="AL144" s="78">
        <v>10</v>
      </c>
      <c r="AM144" s="122">
        <v>10</v>
      </c>
      <c r="AN144" s="121">
        <f>IF(Level1[[#This Row],[Standardised_Normalised_Mass_kg/capita/year]]&lt;&gt;"",Level1[[#This Row],[Standardised_Normalised_Mass_kg/capita/year]],Level1[[#This Row],[Derived_Normalised_kg/capita/year]])</f>
        <v>10</v>
      </c>
      <c r="AO144" s="78">
        <f>IF(Level1[[#This Row],[Household]]=1,IF(Level1[[#This Row],[Household_Diary?]]=1,'Cover Sheet'!$R$31,1),1)</f>
        <v>1</v>
      </c>
      <c r="AP144" s="78">
        <f>IF(Level1[[#This Row],[Household]]=1,IF(Level1[[#This Row],[Edible_Waste_Only?]]=1,'Cover Sheet'!$R$32,1),1)</f>
        <v>1</v>
      </c>
      <c r="AQ144" s="78">
        <f>IF(Level1[[#This Row],[Food_Service]]=1,IF(Level1[[#This Row],[Edible_Waste_Only?]]=1,'Cover Sheet'!$R$33,1),1)</f>
        <v>1</v>
      </c>
      <c r="AR144" s="78">
        <f>IF(Level1[[#This Row],[Retail]]=1,IF(Level1[[#This Row],[Edible_Waste_Only?]]=1,'Cover Sheet'!$R$34,1),1)</f>
        <v>1</v>
      </c>
      <c r="AS144" s="78">
        <f>PRODUCT(Level1[[#This Row],[Household_Diary_Adjustment]:[Retail_Inedible_Adjustment]])</f>
        <v>1</v>
      </c>
      <c r="AT144" s="124">
        <f>Level1[[#This Row],[Preferred_estimate_kg/capita]]*Level1[[#This Row],[Total_Adjustment]]</f>
        <v>10</v>
      </c>
    </row>
    <row r="145" spans="1:46">
      <c r="A145" s="112">
        <v>78</v>
      </c>
      <c r="B145" s="126" t="s">
        <v>580</v>
      </c>
      <c r="C145" s="9">
        <v>2013</v>
      </c>
      <c r="D145" s="113" t="s">
        <v>581</v>
      </c>
      <c r="E145" s="114" t="s">
        <v>582</v>
      </c>
      <c r="F145" s="9">
        <v>756</v>
      </c>
      <c r="G145" s="9" t="s">
        <v>141</v>
      </c>
      <c r="H145" s="9" t="s">
        <v>128</v>
      </c>
      <c r="I145" s="9" t="s">
        <v>129</v>
      </c>
      <c r="J145" s="9" t="s">
        <v>130</v>
      </c>
      <c r="K145" s="9"/>
      <c r="L145" s="115">
        <v>8.5914000000000001</v>
      </c>
      <c r="M145" s="114"/>
      <c r="N145" s="9">
        <v>1</v>
      </c>
      <c r="O145" s="115"/>
      <c r="P145" s="114" t="s">
        <v>151</v>
      </c>
      <c r="Q145" s="9">
        <v>2</v>
      </c>
      <c r="R145" s="9" t="s">
        <v>583</v>
      </c>
      <c r="S145" s="10"/>
      <c r="T145" s="10"/>
      <c r="U145" s="116">
        <v>2007</v>
      </c>
      <c r="V145" s="117"/>
      <c r="W145" s="9"/>
      <c r="X145" s="117"/>
      <c r="Y145" s="115"/>
      <c r="Z145" s="118"/>
      <c r="AA145" s="9"/>
      <c r="AB145" s="119" t="s">
        <v>134</v>
      </c>
      <c r="AC145" s="119" t="s">
        <v>134</v>
      </c>
      <c r="AD145" s="120" t="s">
        <v>134</v>
      </c>
      <c r="AE145" s="121">
        <v>0</v>
      </c>
      <c r="AF145" s="120">
        <v>0</v>
      </c>
      <c r="AG145" s="120">
        <v>0</v>
      </c>
      <c r="AH145" s="122">
        <v>0</v>
      </c>
      <c r="AI145" s="123">
        <f>20.6+19.4</f>
        <v>40</v>
      </c>
      <c r="AJ145" s="9" t="s">
        <v>147</v>
      </c>
      <c r="AK145" s="78">
        <v>40</v>
      </c>
      <c r="AL145" s="78">
        <v>40</v>
      </c>
      <c r="AM145" s="122">
        <v>40</v>
      </c>
      <c r="AN145" s="121">
        <f>IF(Level1[[#This Row],[Standardised_Normalised_Mass_kg/capita/year]]&lt;&gt;"",Level1[[#This Row],[Standardised_Normalised_Mass_kg/capita/year]],Level1[[#This Row],[Derived_Normalised_kg/capita/year]])</f>
        <v>40</v>
      </c>
      <c r="AO145" s="78">
        <f>IF(Level1[[#This Row],[Household]]=1,IF(Level1[[#This Row],[Household_Diary?]]=1,'Cover Sheet'!$R$31,1),1)</f>
        <v>1</v>
      </c>
      <c r="AP145" s="78">
        <f>IF(Level1[[#This Row],[Household]]=1,IF(Level1[[#This Row],[Edible_Waste_Only?]]=1,'Cover Sheet'!$R$32,1),1)</f>
        <v>1</v>
      </c>
      <c r="AQ145" s="78">
        <f>IF(Level1[[#This Row],[Food_Service]]=1,IF(Level1[[#This Row],[Edible_Waste_Only?]]=1,'Cover Sheet'!$R$33,1),1)</f>
        <v>1</v>
      </c>
      <c r="AR145" s="78">
        <f>IF(Level1[[#This Row],[Retail]]=1,IF(Level1[[#This Row],[Edible_Waste_Only?]]=1,'Cover Sheet'!$R$34,1),1)</f>
        <v>1</v>
      </c>
      <c r="AS145" s="78">
        <f>PRODUCT(Level1[[#This Row],[Household_Diary_Adjustment]:[Retail_Inedible_Adjustment]])</f>
        <v>1</v>
      </c>
      <c r="AT145" s="124">
        <f>Level1[[#This Row],[Preferred_estimate_kg/capita]]*Level1[[#This Row],[Total_Adjustment]]</f>
        <v>40</v>
      </c>
    </row>
    <row r="146" spans="1:46">
      <c r="A146" s="125">
        <v>79</v>
      </c>
      <c r="B146" s="126" t="s">
        <v>584</v>
      </c>
      <c r="C146" s="126">
        <v>2020</v>
      </c>
      <c r="D146" s="127" t="s">
        <v>585</v>
      </c>
      <c r="E146" s="128" t="s">
        <v>586</v>
      </c>
      <c r="F146" s="126">
        <v>826</v>
      </c>
      <c r="G146" s="126" t="s">
        <v>155</v>
      </c>
      <c r="H146" s="126" t="s">
        <v>128</v>
      </c>
      <c r="I146" s="9" t="s">
        <v>129</v>
      </c>
      <c r="J146" s="9" t="s">
        <v>130</v>
      </c>
      <c r="K146" s="126"/>
      <c r="L146" s="115">
        <v>67.530199999999994</v>
      </c>
      <c r="M146" s="128">
        <v>1</v>
      </c>
      <c r="N146" s="126"/>
      <c r="O146" s="129"/>
      <c r="P146" s="128" t="s">
        <v>131</v>
      </c>
      <c r="Q146" s="126">
        <v>1</v>
      </c>
      <c r="R146" s="126" t="s">
        <v>587</v>
      </c>
      <c r="S146" s="130"/>
      <c r="T146" s="130"/>
      <c r="U146" s="135">
        <v>2018</v>
      </c>
      <c r="V146" s="132"/>
      <c r="W146" s="126"/>
      <c r="X146" s="132">
        <f>4.5/6.6</f>
        <v>0.68181818181818188</v>
      </c>
      <c r="Y146" s="129" t="s">
        <v>588</v>
      </c>
      <c r="Z146" s="133">
        <f>6646*(1-23%)</f>
        <v>5117.42</v>
      </c>
      <c r="AA146" s="9" t="s">
        <v>240</v>
      </c>
      <c r="AB146" s="119">
        <v>5117.42</v>
      </c>
      <c r="AC146" s="119">
        <v>5117420</v>
      </c>
      <c r="AD146" s="134">
        <v>5117420</v>
      </c>
      <c r="AE146" s="121">
        <v>0</v>
      </c>
      <c r="AF146" s="120">
        <v>0</v>
      </c>
      <c r="AG146" s="120">
        <v>0</v>
      </c>
      <c r="AH146" s="122">
        <v>0</v>
      </c>
      <c r="AI146" s="123">
        <f>100*(1-23%)</f>
        <v>77</v>
      </c>
      <c r="AJ146" s="126" t="s">
        <v>147</v>
      </c>
      <c r="AK146" s="78">
        <v>77</v>
      </c>
      <c r="AL146" s="78">
        <v>77</v>
      </c>
      <c r="AM146" s="122">
        <v>77</v>
      </c>
      <c r="AN146" s="121">
        <f>IF(Level1[[#This Row],[Standardised_Normalised_Mass_kg/capita/year]]&lt;&gt;"",Level1[[#This Row],[Standardised_Normalised_Mass_kg/capita/year]],Level1[[#This Row],[Derived_Normalised_kg/capita/year]])</f>
        <v>77</v>
      </c>
      <c r="AO146" s="78">
        <f>IF(Level1[[#This Row],[Household]]=1,IF(Level1[[#This Row],[Household_Diary?]]=1,'Cover Sheet'!$R$31,1),1)</f>
        <v>1</v>
      </c>
      <c r="AP146" s="78">
        <f>IF(Level1[[#This Row],[Household]]=1,IF(Level1[[#This Row],[Edible_Waste_Only?]]=1,'Cover Sheet'!$R$32,1),1)</f>
        <v>1</v>
      </c>
      <c r="AQ146" s="78">
        <f>IF(Level1[[#This Row],[Food_Service]]=1,IF(Level1[[#This Row],[Edible_Waste_Only?]]=1,'Cover Sheet'!$R$33,1),1)</f>
        <v>1</v>
      </c>
      <c r="AR146" s="78">
        <f>IF(Level1[[#This Row],[Retail]]=1,IF(Level1[[#This Row],[Edible_Waste_Only?]]=1,'Cover Sheet'!$R$34,1),1)</f>
        <v>1</v>
      </c>
      <c r="AS146" s="78">
        <f>PRODUCT(Level1[[#This Row],[Household_Diary_Adjustment]:[Retail_Inedible_Adjustment]])</f>
        <v>1</v>
      </c>
      <c r="AT146" s="124">
        <f>Level1[[#This Row],[Preferred_estimate_kg/capita]]*Level1[[#This Row],[Total_Adjustment]]</f>
        <v>77</v>
      </c>
    </row>
    <row r="147" spans="1:46">
      <c r="A147" s="112">
        <v>79</v>
      </c>
      <c r="B147" s="126" t="s">
        <v>584</v>
      </c>
      <c r="C147" s="9">
        <v>2020</v>
      </c>
      <c r="D147" s="113" t="s">
        <v>585</v>
      </c>
      <c r="E147" s="114" t="s">
        <v>586</v>
      </c>
      <c r="F147" s="9">
        <v>826</v>
      </c>
      <c r="G147" s="9" t="s">
        <v>155</v>
      </c>
      <c r="H147" s="9" t="s">
        <v>128</v>
      </c>
      <c r="I147" s="9" t="s">
        <v>129</v>
      </c>
      <c r="J147" s="9" t="s">
        <v>130</v>
      </c>
      <c r="K147" s="9"/>
      <c r="L147" s="115">
        <v>67.530199999999994</v>
      </c>
      <c r="M147" s="114"/>
      <c r="N147" s="9">
        <v>1</v>
      </c>
      <c r="O147" s="115"/>
      <c r="P147" s="114" t="s">
        <v>131</v>
      </c>
      <c r="Q147" s="9">
        <v>1</v>
      </c>
      <c r="R147" s="9" t="s">
        <v>589</v>
      </c>
      <c r="S147" s="10"/>
      <c r="T147" s="10"/>
      <c r="U147" s="138">
        <v>2018</v>
      </c>
      <c r="V147" s="117"/>
      <c r="W147" s="9"/>
      <c r="X147" s="117"/>
      <c r="Y147" s="115"/>
      <c r="Z147" s="118">
        <v>1098</v>
      </c>
      <c r="AA147" s="9" t="s">
        <v>240</v>
      </c>
      <c r="AB147" s="119">
        <v>1098</v>
      </c>
      <c r="AC147" s="119">
        <v>1098000</v>
      </c>
      <c r="AD147" s="120">
        <v>1098000</v>
      </c>
      <c r="AE147" s="121">
        <v>0</v>
      </c>
      <c r="AF147" s="120">
        <v>0</v>
      </c>
      <c r="AG147" s="120">
        <v>0</v>
      </c>
      <c r="AH147" s="122">
        <v>0</v>
      </c>
      <c r="AI147" s="123">
        <v>16.5</v>
      </c>
      <c r="AJ147" s="9" t="s">
        <v>147</v>
      </c>
      <c r="AK147" s="78">
        <v>16.5</v>
      </c>
      <c r="AL147" s="78">
        <v>16.5</v>
      </c>
      <c r="AM147" s="122">
        <v>16.5</v>
      </c>
      <c r="AN147" s="121">
        <f>IF(Level1[[#This Row],[Standardised_Normalised_Mass_kg/capita/year]]&lt;&gt;"",Level1[[#This Row],[Standardised_Normalised_Mass_kg/capita/year]],Level1[[#This Row],[Derived_Normalised_kg/capita/year]])</f>
        <v>16.5</v>
      </c>
      <c r="AO147" s="78">
        <f>IF(Level1[[#This Row],[Household]]=1,IF(Level1[[#This Row],[Household_Diary?]]=1,'Cover Sheet'!$R$31,1),1)</f>
        <v>1</v>
      </c>
      <c r="AP147" s="78">
        <f>IF(Level1[[#This Row],[Household]]=1,IF(Level1[[#This Row],[Edible_Waste_Only?]]=1,'Cover Sheet'!$R$32,1),1)</f>
        <v>1</v>
      </c>
      <c r="AQ147" s="78">
        <f>IF(Level1[[#This Row],[Food_Service]]=1,IF(Level1[[#This Row],[Edible_Waste_Only?]]=1,'Cover Sheet'!$R$33,1),1)</f>
        <v>1</v>
      </c>
      <c r="AR147" s="78">
        <f>IF(Level1[[#This Row],[Retail]]=1,IF(Level1[[#This Row],[Edible_Waste_Only?]]=1,'Cover Sheet'!$R$34,1),1)</f>
        <v>1</v>
      </c>
      <c r="AS147" s="78">
        <f>PRODUCT(Level1[[#This Row],[Household_Diary_Adjustment]:[Retail_Inedible_Adjustment]])</f>
        <v>1</v>
      </c>
      <c r="AT147" s="124">
        <f>Level1[[#This Row],[Preferred_estimate_kg/capita]]*Level1[[#This Row],[Total_Adjustment]]</f>
        <v>16.5</v>
      </c>
    </row>
    <row r="148" spans="1:46">
      <c r="A148" s="125">
        <v>79</v>
      </c>
      <c r="B148" s="126" t="s">
        <v>584</v>
      </c>
      <c r="C148" s="126">
        <v>2020</v>
      </c>
      <c r="D148" s="127" t="s">
        <v>585</v>
      </c>
      <c r="E148" s="114" t="s">
        <v>586</v>
      </c>
      <c r="F148" s="126">
        <v>826</v>
      </c>
      <c r="G148" s="126" t="s">
        <v>155</v>
      </c>
      <c r="H148" s="126" t="s">
        <v>128</v>
      </c>
      <c r="I148" s="9" t="s">
        <v>129</v>
      </c>
      <c r="J148" s="9" t="s">
        <v>130</v>
      </c>
      <c r="K148" s="126"/>
      <c r="L148" s="115">
        <v>67.530199999999994</v>
      </c>
      <c r="M148" s="128"/>
      <c r="N148" s="126"/>
      <c r="O148" s="129">
        <v>1</v>
      </c>
      <c r="P148" s="128" t="s">
        <v>135</v>
      </c>
      <c r="Q148" s="126">
        <v>1</v>
      </c>
      <c r="R148" s="126" t="s">
        <v>590</v>
      </c>
      <c r="S148" s="130"/>
      <c r="T148" s="130"/>
      <c r="U148" s="135">
        <v>2018</v>
      </c>
      <c r="V148" s="132"/>
      <c r="W148" s="126"/>
      <c r="X148" s="132"/>
      <c r="Y148" s="129"/>
      <c r="Z148" s="133">
        <v>277</v>
      </c>
      <c r="AA148" s="9" t="s">
        <v>240</v>
      </c>
      <c r="AB148" s="119">
        <v>277</v>
      </c>
      <c r="AC148" s="119">
        <v>277000</v>
      </c>
      <c r="AD148" s="134">
        <v>277000</v>
      </c>
      <c r="AE148" s="121">
        <v>0</v>
      </c>
      <c r="AF148" s="120">
        <v>0</v>
      </c>
      <c r="AG148" s="120">
        <v>0</v>
      </c>
      <c r="AH148" s="122">
        <v>0</v>
      </c>
      <c r="AI148" s="123">
        <v>4.2</v>
      </c>
      <c r="AJ148" s="126" t="s">
        <v>147</v>
      </c>
      <c r="AK148" s="78">
        <v>4.2</v>
      </c>
      <c r="AL148" s="78">
        <v>4.2</v>
      </c>
      <c r="AM148" s="122">
        <v>4.2</v>
      </c>
      <c r="AN148" s="121">
        <f>IF(Level1[[#This Row],[Standardised_Normalised_Mass_kg/capita/year]]&lt;&gt;"",Level1[[#This Row],[Standardised_Normalised_Mass_kg/capita/year]],Level1[[#This Row],[Derived_Normalised_kg/capita/year]])</f>
        <v>4.2</v>
      </c>
      <c r="AO148" s="78">
        <f>IF(Level1[[#This Row],[Household]]=1,IF(Level1[[#This Row],[Household_Diary?]]=1,'Cover Sheet'!$R$31,1),1)</f>
        <v>1</v>
      </c>
      <c r="AP148" s="78">
        <f>IF(Level1[[#This Row],[Household]]=1,IF(Level1[[#This Row],[Edible_Waste_Only?]]=1,'Cover Sheet'!$R$32,1),1)</f>
        <v>1</v>
      </c>
      <c r="AQ148" s="78">
        <f>IF(Level1[[#This Row],[Food_Service]]=1,IF(Level1[[#This Row],[Edible_Waste_Only?]]=1,'Cover Sheet'!$R$33,1),1)</f>
        <v>1</v>
      </c>
      <c r="AR148" s="78">
        <f>IF(Level1[[#This Row],[Retail]]=1,IF(Level1[[#This Row],[Edible_Waste_Only?]]=1,'Cover Sheet'!$R$34,1),1)</f>
        <v>1</v>
      </c>
      <c r="AS148" s="78">
        <f>PRODUCT(Level1[[#This Row],[Household_Diary_Adjustment]:[Retail_Inedible_Adjustment]])</f>
        <v>1</v>
      </c>
      <c r="AT148" s="124">
        <f>Level1[[#This Row],[Preferred_estimate_kg/capita]]*Level1[[#This Row],[Total_Adjustment]]</f>
        <v>4.2</v>
      </c>
    </row>
    <row r="149" spans="1:46">
      <c r="A149" s="112">
        <v>80</v>
      </c>
      <c r="B149" s="126" t="s">
        <v>591</v>
      </c>
      <c r="C149" s="9">
        <v>2013</v>
      </c>
      <c r="D149" s="151" t="s">
        <v>592</v>
      </c>
      <c r="E149" s="114" t="s">
        <v>593</v>
      </c>
      <c r="F149" s="9">
        <v>834</v>
      </c>
      <c r="G149" s="9" t="s">
        <v>306</v>
      </c>
      <c r="H149" s="9" t="s">
        <v>174</v>
      </c>
      <c r="I149" s="9" t="s">
        <v>181</v>
      </c>
      <c r="J149" s="9" t="s">
        <v>182</v>
      </c>
      <c r="K149" s="9" t="s">
        <v>594</v>
      </c>
      <c r="L149" s="115">
        <v>58.005499999999998</v>
      </c>
      <c r="M149" s="114">
        <v>1</v>
      </c>
      <c r="N149" s="9"/>
      <c r="O149" s="115"/>
      <c r="P149" s="114" t="s">
        <v>131</v>
      </c>
      <c r="Q149" s="9">
        <v>2</v>
      </c>
      <c r="R149" s="9" t="s">
        <v>595</v>
      </c>
      <c r="S149" s="10"/>
      <c r="T149" s="10"/>
      <c r="U149" s="138">
        <v>2008</v>
      </c>
      <c r="V149" s="117">
        <v>0.74099999999999999</v>
      </c>
      <c r="W149" s="9" t="s">
        <v>254</v>
      </c>
      <c r="X149" s="117"/>
      <c r="Y149" s="115"/>
      <c r="Z149" s="118"/>
      <c r="AA149" s="9"/>
      <c r="AB149" s="119" t="s">
        <v>134</v>
      </c>
      <c r="AC149" s="119" t="s">
        <v>134</v>
      </c>
      <c r="AD149" s="120" t="s">
        <v>134</v>
      </c>
      <c r="AE149" s="121">
        <v>0</v>
      </c>
      <c r="AF149" s="120">
        <v>0</v>
      </c>
      <c r="AG149" s="120">
        <v>0</v>
      </c>
      <c r="AH149" s="122">
        <v>0</v>
      </c>
      <c r="AI149" s="123">
        <f>0.44*Level1[[#This Row],[FW_Share_estimate]]</f>
        <v>0.32604</v>
      </c>
      <c r="AJ149" s="9" t="s">
        <v>185</v>
      </c>
      <c r="AK149" s="78">
        <v>0.32604</v>
      </c>
      <c r="AL149" s="78">
        <v>119.08611000000001</v>
      </c>
      <c r="AM149" s="122">
        <v>119.08611000000001</v>
      </c>
      <c r="AN149" s="121">
        <f>IF(Level1[[#This Row],[Standardised_Normalised_Mass_kg/capita/year]]&lt;&gt;"",Level1[[#This Row],[Standardised_Normalised_Mass_kg/capita/year]],Level1[[#This Row],[Derived_Normalised_kg/capita/year]])</f>
        <v>119.08611000000001</v>
      </c>
      <c r="AO149" s="78">
        <f>IF(Level1[[#This Row],[Household]]=1,IF(Level1[[#This Row],[Household_Diary?]]=1,'Cover Sheet'!$R$31,1),1)</f>
        <v>1</v>
      </c>
      <c r="AP149" s="78">
        <f>IF(Level1[[#This Row],[Household]]=1,IF(Level1[[#This Row],[Edible_Waste_Only?]]=1,'Cover Sheet'!$R$32,1),1)</f>
        <v>1</v>
      </c>
      <c r="AQ149" s="78">
        <f>IF(Level1[[#This Row],[Food_Service]]=1,IF(Level1[[#This Row],[Edible_Waste_Only?]]=1,'Cover Sheet'!$R$33,1),1)</f>
        <v>1</v>
      </c>
      <c r="AR149" s="78">
        <f>IF(Level1[[#This Row],[Retail]]=1,IF(Level1[[#This Row],[Edible_Waste_Only?]]=1,'Cover Sheet'!$R$34,1),1)</f>
        <v>1</v>
      </c>
      <c r="AS149" s="78">
        <f>PRODUCT(Level1[[#This Row],[Household_Diary_Adjustment]:[Retail_Inedible_Adjustment]])</f>
        <v>1</v>
      </c>
      <c r="AT149" s="124">
        <f>Level1[[#This Row],[Preferred_estimate_kg/capita]]*Level1[[#This Row],[Total_Adjustment]]</f>
        <v>119.08611000000001</v>
      </c>
    </row>
    <row r="150" spans="1:46">
      <c r="A150" s="125">
        <v>81</v>
      </c>
      <c r="B150" s="126" t="s">
        <v>596</v>
      </c>
      <c r="C150" s="126">
        <v>2020</v>
      </c>
      <c r="D150" s="127" t="s">
        <v>597</v>
      </c>
      <c r="E150" s="128" t="s">
        <v>598</v>
      </c>
      <c r="F150" s="126">
        <v>840</v>
      </c>
      <c r="G150" s="126" t="s">
        <v>227</v>
      </c>
      <c r="H150" s="126" t="s">
        <v>128</v>
      </c>
      <c r="I150" s="9" t="s">
        <v>129</v>
      </c>
      <c r="J150" s="9" t="s">
        <v>130</v>
      </c>
      <c r="K150" s="126"/>
      <c r="L150" s="115">
        <v>329.06490000000002</v>
      </c>
      <c r="M150" s="128">
        <v>1</v>
      </c>
      <c r="N150" s="126"/>
      <c r="O150" s="129"/>
      <c r="P150" s="128" t="s">
        <v>131</v>
      </c>
      <c r="Q150" s="126">
        <v>1</v>
      </c>
      <c r="R150" s="126" t="s">
        <v>599</v>
      </c>
      <c r="S150" s="130"/>
      <c r="T150" s="130"/>
      <c r="U150" s="135">
        <v>2018</v>
      </c>
      <c r="V150" s="132"/>
      <c r="W150" s="126"/>
      <c r="X150" s="141"/>
      <c r="Y150" s="137"/>
      <c r="Z150" s="133">
        <f>24954863*(1-15%)</f>
        <v>21211633.550000001</v>
      </c>
      <c r="AA150" s="9" t="s">
        <v>600</v>
      </c>
      <c r="AB150" s="119">
        <v>21211633.550000001</v>
      </c>
      <c r="AC150" s="119">
        <v>19242870.267032027</v>
      </c>
      <c r="AD150" s="134">
        <v>19242870.267032027</v>
      </c>
      <c r="AE150" s="121">
        <v>1</v>
      </c>
      <c r="AF150" s="120">
        <v>327074849.99999994</v>
      </c>
      <c r="AG150" s="120">
        <v>0</v>
      </c>
      <c r="AH150" s="122">
        <v>58.833231191673804</v>
      </c>
      <c r="AI150" s="123"/>
      <c r="AJ150" s="126"/>
      <c r="AK150" s="78" t="s">
        <v>134</v>
      </c>
      <c r="AL150" s="78" t="s">
        <v>134</v>
      </c>
      <c r="AM150" s="122" t="s">
        <v>134</v>
      </c>
      <c r="AN150" s="121">
        <f>IF(Level1[[#This Row],[Standardised_Normalised_Mass_kg/capita/year]]&lt;&gt;"",Level1[[#This Row],[Standardised_Normalised_Mass_kg/capita/year]],Level1[[#This Row],[Derived_Normalised_kg/capita/year]])</f>
        <v>58.833231191673804</v>
      </c>
      <c r="AO150" s="78">
        <f>IF(Level1[[#This Row],[Household]]=1,IF(Level1[[#This Row],[Household_Diary?]]=1,'Cover Sheet'!$R$31,1),1)</f>
        <v>1</v>
      </c>
      <c r="AP150" s="78">
        <f>IF(Level1[[#This Row],[Household]]=1,IF(Level1[[#This Row],[Edible_Waste_Only?]]=1,'Cover Sheet'!$R$32,1),1)</f>
        <v>1</v>
      </c>
      <c r="AQ150" s="78">
        <f>IF(Level1[[#This Row],[Food_Service]]=1,IF(Level1[[#This Row],[Edible_Waste_Only?]]=1,'Cover Sheet'!$R$33,1),1)</f>
        <v>1</v>
      </c>
      <c r="AR150" s="78">
        <f>IF(Level1[[#This Row],[Retail]]=1,IF(Level1[[#This Row],[Edible_Waste_Only?]]=1,'Cover Sheet'!$R$34,1),1)</f>
        <v>1</v>
      </c>
      <c r="AS150" s="78">
        <f>PRODUCT(Level1[[#This Row],[Household_Diary_Adjustment]:[Retail_Inedible_Adjustment]])</f>
        <v>1</v>
      </c>
      <c r="AT150" s="157">
        <f>Level1[[#This Row],[Preferred_estimate_kg/capita]]*Level1[[#This Row],[Total_Adjustment]]</f>
        <v>58.833231191673804</v>
      </c>
    </row>
    <row r="151" spans="1:46">
      <c r="A151" s="112">
        <v>81</v>
      </c>
      <c r="B151" s="126" t="s">
        <v>596</v>
      </c>
      <c r="C151" s="9">
        <v>2020</v>
      </c>
      <c r="D151" s="113" t="s">
        <v>597</v>
      </c>
      <c r="E151" s="114" t="s">
        <v>598</v>
      </c>
      <c r="F151" s="9">
        <v>840</v>
      </c>
      <c r="G151" s="9" t="s">
        <v>227</v>
      </c>
      <c r="H151" s="9" t="s">
        <v>128</v>
      </c>
      <c r="I151" s="9" t="s">
        <v>129</v>
      </c>
      <c r="J151" s="9" t="s">
        <v>130</v>
      </c>
      <c r="K151" s="9"/>
      <c r="L151" s="115">
        <v>329.06490000000002</v>
      </c>
      <c r="M151" s="114"/>
      <c r="N151" s="9">
        <v>1</v>
      </c>
      <c r="O151" s="115"/>
      <c r="P151" s="114" t="s">
        <v>131</v>
      </c>
      <c r="Q151" s="9">
        <v>1</v>
      </c>
      <c r="R151" s="9" t="s">
        <v>601</v>
      </c>
      <c r="S151" s="10"/>
      <c r="T151" s="10"/>
      <c r="U151" s="138">
        <v>2018</v>
      </c>
      <c r="V151" s="117"/>
      <c r="W151" s="9"/>
      <c r="X151" s="139"/>
      <c r="Y151" s="140"/>
      <c r="Z151" s="118">
        <f>(SUM(1219595,17090835,38154)*(1-14%))+SUM(301576,451124,61373,4065145,440679,613106,1224353)</f>
        <v>22937138.240000002</v>
      </c>
      <c r="AA151" s="9" t="s">
        <v>600</v>
      </c>
      <c r="AB151" s="119">
        <v>22937138.240000002</v>
      </c>
      <c r="AC151" s="119">
        <v>20808221.79059846</v>
      </c>
      <c r="AD151" s="120">
        <v>20808221.79059846</v>
      </c>
      <c r="AE151" s="121">
        <v>1</v>
      </c>
      <c r="AF151" s="120">
        <v>327074849.99999994</v>
      </c>
      <c r="AG151" s="120">
        <v>0</v>
      </c>
      <c r="AH151" s="122">
        <v>63.619143418084469</v>
      </c>
      <c r="AI151" s="123"/>
      <c r="AJ151" s="9"/>
      <c r="AK151" s="78" t="s">
        <v>134</v>
      </c>
      <c r="AL151" s="78" t="s">
        <v>134</v>
      </c>
      <c r="AM151" s="122" t="s">
        <v>134</v>
      </c>
      <c r="AN151" s="121">
        <f>IF(Level1[[#This Row],[Standardised_Normalised_Mass_kg/capita/year]]&lt;&gt;"",Level1[[#This Row],[Standardised_Normalised_Mass_kg/capita/year]],Level1[[#This Row],[Derived_Normalised_kg/capita/year]])</f>
        <v>63.619143418084469</v>
      </c>
      <c r="AO151" s="78">
        <f>IF(Level1[[#This Row],[Household]]=1,IF(Level1[[#This Row],[Household_Diary?]]=1,'Cover Sheet'!$R$31,1),1)</f>
        <v>1</v>
      </c>
      <c r="AP151" s="78">
        <f>IF(Level1[[#This Row],[Household]]=1,IF(Level1[[#This Row],[Edible_Waste_Only?]]=1,'Cover Sheet'!$R$32,1),1)</f>
        <v>1</v>
      </c>
      <c r="AQ151" s="78">
        <f>IF(Level1[[#This Row],[Food_Service]]=1,IF(Level1[[#This Row],[Edible_Waste_Only?]]=1,'Cover Sheet'!$R$33,1),1)</f>
        <v>1</v>
      </c>
      <c r="AR151" s="78">
        <f>IF(Level1[[#This Row],[Retail]]=1,IF(Level1[[#This Row],[Edible_Waste_Only?]]=1,'Cover Sheet'!$R$34,1),1)</f>
        <v>1</v>
      </c>
      <c r="AS151" s="78">
        <f>PRODUCT(Level1[[#This Row],[Household_Diary_Adjustment]:[Retail_Inedible_Adjustment]])</f>
        <v>1</v>
      </c>
      <c r="AT151" s="124">
        <f>Level1[[#This Row],[Preferred_estimate_kg/capita]]*Level1[[#This Row],[Total_Adjustment]]</f>
        <v>63.619143418084469</v>
      </c>
    </row>
    <row r="152" spans="1:46">
      <c r="A152" s="125">
        <v>81</v>
      </c>
      <c r="B152" s="126" t="s">
        <v>596</v>
      </c>
      <c r="C152" s="126">
        <v>2020</v>
      </c>
      <c r="D152" s="127" t="s">
        <v>597</v>
      </c>
      <c r="E152" s="128" t="s">
        <v>598</v>
      </c>
      <c r="F152" s="126">
        <v>840</v>
      </c>
      <c r="G152" s="126" t="s">
        <v>227</v>
      </c>
      <c r="H152" s="126" t="s">
        <v>128</v>
      </c>
      <c r="I152" s="9" t="s">
        <v>129</v>
      </c>
      <c r="J152" s="9" t="s">
        <v>130</v>
      </c>
      <c r="K152" s="126"/>
      <c r="L152" s="115">
        <v>329.06490000000002</v>
      </c>
      <c r="M152" s="128"/>
      <c r="N152" s="126"/>
      <c r="O152" s="129">
        <v>1</v>
      </c>
      <c r="P152" s="128" t="s">
        <v>131</v>
      </c>
      <c r="Q152" s="126">
        <v>1</v>
      </c>
      <c r="R152" s="126" t="s">
        <v>602</v>
      </c>
      <c r="S152" s="130"/>
      <c r="T152" s="130"/>
      <c r="U152" s="135">
        <v>2018</v>
      </c>
      <c r="V152" s="132"/>
      <c r="W152" s="126"/>
      <c r="X152" s="141"/>
      <c r="Y152" s="137"/>
      <c r="Z152" s="133">
        <f>(8683093*(1-21%-14%))</f>
        <v>5644010.4500000002</v>
      </c>
      <c r="AA152" s="9" t="s">
        <v>600</v>
      </c>
      <c r="AB152" s="119">
        <v>5644010.4500000002</v>
      </c>
      <c r="AC152" s="119">
        <v>5120160.1526405336</v>
      </c>
      <c r="AD152" s="134">
        <v>5120160.1526405336</v>
      </c>
      <c r="AE152" s="121">
        <v>1</v>
      </c>
      <c r="AF152" s="120">
        <v>327074849.99999994</v>
      </c>
      <c r="AG152" s="120">
        <v>0</v>
      </c>
      <c r="AH152" s="122">
        <v>15.654398840633984</v>
      </c>
      <c r="AI152" s="123"/>
      <c r="AJ152" s="126"/>
      <c r="AK152" s="78" t="s">
        <v>134</v>
      </c>
      <c r="AL152" s="78" t="s">
        <v>134</v>
      </c>
      <c r="AM152" s="122" t="s">
        <v>134</v>
      </c>
      <c r="AN152" s="121">
        <f>IF(Level1[[#This Row],[Standardised_Normalised_Mass_kg/capita/year]]&lt;&gt;"",Level1[[#This Row],[Standardised_Normalised_Mass_kg/capita/year]],Level1[[#This Row],[Derived_Normalised_kg/capita/year]])</f>
        <v>15.654398840633984</v>
      </c>
      <c r="AO152" s="78">
        <f>IF(Level1[[#This Row],[Household]]=1,IF(Level1[[#This Row],[Household_Diary?]]=1,'Cover Sheet'!$R$31,1),1)</f>
        <v>1</v>
      </c>
      <c r="AP152" s="78">
        <f>IF(Level1[[#This Row],[Household]]=1,IF(Level1[[#This Row],[Edible_Waste_Only?]]=1,'Cover Sheet'!$R$32,1),1)</f>
        <v>1</v>
      </c>
      <c r="AQ152" s="78">
        <f>IF(Level1[[#This Row],[Food_Service]]=1,IF(Level1[[#This Row],[Edible_Waste_Only?]]=1,'Cover Sheet'!$R$33,1),1)</f>
        <v>1</v>
      </c>
      <c r="AR152" s="78">
        <f>IF(Level1[[#This Row],[Retail]]=1,IF(Level1[[#This Row],[Edible_Waste_Only?]]=1,'Cover Sheet'!$R$34,1),1)</f>
        <v>1</v>
      </c>
      <c r="AS152" s="78">
        <f>PRODUCT(Level1[[#This Row],[Household_Diary_Adjustment]:[Retail_Inedible_Adjustment]])</f>
        <v>1</v>
      </c>
      <c r="AT152" s="157">
        <f>Level1[[#This Row],[Preferred_estimate_kg/capita]]*Level1[[#This Row],[Total_Adjustment]]</f>
        <v>15.654398840633984</v>
      </c>
    </row>
    <row r="153" spans="1:46">
      <c r="A153" s="112">
        <v>82</v>
      </c>
      <c r="B153" s="126" t="s">
        <v>603</v>
      </c>
      <c r="C153" s="9">
        <v>2010</v>
      </c>
      <c r="D153" s="151" t="s">
        <v>604</v>
      </c>
      <c r="E153" s="114" t="s">
        <v>605</v>
      </c>
      <c r="F153" s="9">
        <v>704</v>
      </c>
      <c r="G153" s="9" t="s">
        <v>383</v>
      </c>
      <c r="H153" s="9" t="s">
        <v>174</v>
      </c>
      <c r="I153" s="9" t="s">
        <v>181</v>
      </c>
      <c r="J153" s="9" t="s">
        <v>182</v>
      </c>
      <c r="K153" s="9" t="s">
        <v>606</v>
      </c>
      <c r="L153" s="115">
        <v>96.462100000000007</v>
      </c>
      <c r="M153" s="114">
        <v>1</v>
      </c>
      <c r="N153" s="9"/>
      <c r="O153" s="115"/>
      <c r="P153" s="114" t="s">
        <v>131</v>
      </c>
      <c r="Q153" s="9">
        <v>2</v>
      </c>
      <c r="R153" s="9" t="s">
        <v>607</v>
      </c>
      <c r="S153" s="10"/>
      <c r="T153" s="10"/>
      <c r="U153" s="138">
        <v>2009</v>
      </c>
      <c r="V153" s="158">
        <f>AVERAGE(84.18,85.1)%</f>
        <v>0.84640000000000004</v>
      </c>
      <c r="W153" s="9" t="s">
        <v>176</v>
      </c>
      <c r="X153" s="117"/>
      <c r="Y153" s="115"/>
      <c r="Z153" s="118"/>
      <c r="AA153" s="9"/>
      <c r="AB153" s="119" t="s">
        <v>134</v>
      </c>
      <c r="AC153" s="119" t="s">
        <v>134</v>
      </c>
      <c r="AD153" s="120" t="s">
        <v>134</v>
      </c>
      <c r="AE153" s="121">
        <v>0</v>
      </c>
      <c r="AF153" s="120">
        <v>0</v>
      </c>
      <c r="AG153" s="120">
        <v>0</v>
      </c>
      <c r="AH153" s="122">
        <v>0</v>
      </c>
      <c r="AI153" s="123">
        <f>AVERAGE(228.18,239.34)</f>
        <v>233.76</v>
      </c>
      <c r="AJ153" s="9" t="s">
        <v>241</v>
      </c>
      <c r="AK153" s="78">
        <v>0.23376</v>
      </c>
      <c r="AL153" s="78">
        <v>85.380839999999992</v>
      </c>
      <c r="AM153" s="122">
        <v>85.380839999999992</v>
      </c>
      <c r="AN153" s="121">
        <f>IF(Level1[[#This Row],[Standardised_Normalised_Mass_kg/capita/year]]&lt;&gt;"",Level1[[#This Row],[Standardised_Normalised_Mass_kg/capita/year]],Level1[[#This Row],[Derived_Normalised_kg/capita/year]])</f>
        <v>85.380839999999992</v>
      </c>
      <c r="AO153" s="78">
        <f>IF(Level1[[#This Row],[Household]]=1,IF(Level1[[#This Row],[Household_Diary?]]=1,'Cover Sheet'!$R$31,1),1)</f>
        <v>1</v>
      </c>
      <c r="AP153" s="78">
        <f>IF(Level1[[#This Row],[Household]]=1,IF(Level1[[#This Row],[Edible_Waste_Only?]]=1,'Cover Sheet'!$R$32,1),1)</f>
        <v>1</v>
      </c>
      <c r="AQ153" s="78">
        <f>IF(Level1[[#This Row],[Food_Service]]=1,IF(Level1[[#This Row],[Edible_Waste_Only?]]=1,'Cover Sheet'!$R$33,1),1)</f>
        <v>1</v>
      </c>
      <c r="AR153" s="78">
        <f>IF(Level1[[#This Row],[Retail]]=1,IF(Level1[[#This Row],[Edible_Waste_Only?]]=1,'Cover Sheet'!$R$34,1),1)</f>
        <v>1</v>
      </c>
      <c r="AS153" s="78">
        <f>PRODUCT(Level1[[#This Row],[Household_Diary_Adjustment]:[Retail_Inedible_Adjustment]])</f>
        <v>1</v>
      </c>
      <c r="AT153" s="124">
        <f>Level1[[#This Row],[Preferred_estimate_kg/capita]]*Level1[[#This Row],[Total_Adjustment]]</f>
        <v>85.380839999999992</v>
      </c>
    </row>
    <row r="154" spans="1:46">
      <c r="A154" s="125">
        <v>83</v>
      </c>
      <c r="B154" s="126" t="s">
        <v>608</v>
      </c>
      <c r="C154" s="126">
        <v>2019</v>
      </c>
      <c r="D154" s="127" t="s">
        <v>609</v>
      </c>
      <c r="E154" s="128" t="s">
        <v>605</v>
      </c>
      <c r="F154" s="126">
        <v>704</v>
      </c>
      <c r="G154" s="126" t="s">
        <v>383</v>
      </c>
      <c r="H154" s="126" t="s">
        <v>174</v>
      </c>
      <c r="I154" s="9" t="s">
        <v>181</v>
      </c>
      <c r="J154" s="9" t="s">
        <v>182</v>
      </c>
      <c r="K154" s="126" t="s">
        <v>610</v>
      </c>
      <c r="L154" s="115">
        <v>96.462100000000007</v>
      </c>
      <c r="M154" s="128">
        <v>1</v>
      </c>
      <c r="N154" s="126"/>
      <c r="O154" s="129"/>
      <c r="P154" s="128" t="s">
        <v>131</v>
      </c>
      <c r="Q154" s="126">
        <v>2</v>
      </c>
      <c r="R154" s="126" t="s">
        <v>611</v>
      </c>
      <c r="S154" s="130"/>
      <c r="T154" s="130"/>
      <c r="U154" s="135">
        <v>2018</v>
      </c>
      <c r="V154" s="132">
        <v>0.61709999999999998</v>
      </c>
      <c r="W154" s="126" t="s">
        <v>176</v>
      </c>
      <c r="X154" s="141"/>
      <c r="Y154" s="137"/>
      <c r="Z154" s="133">
        <v>69088.509999999995</v>
      </c>
      <c r="AA154" s="9" t="s">
        <v>133</v>
      </c>
      <c r="AB154" s="119">
        <v>69088.509999999995</v>
      </c>
      <c r="AC154" s="119">
        <v>69088.509999999995</v>
      </c>
      <c r="AD154" s="134">
        <v>69088.509999999995</v>
      </c>
      <c r="AE154" s="121">
        <v>0</v>
      </c>
      <c r="AF154" s="120">
        <v>0</v>
      </c>
      <c r="AG154" s="120">
        <v>0</v>
      </c>
      <c r="AH154" s="122">
        <v>0</v>
      </c>
      <c r="AI154" s="123">
        <f>297*Level1[[#This Row],[FW_Share_estimate]]</f>
        <v>183.27869999999999</v>
      </c>
      <c r="AJ154" s="126" t="s">
        <v>241</v>
      </c>
      <c r="AK154" s="78">
        <v>0.18327869999999999</v>
      </c>
      <c r="AL154" s="78">
        <v>66.942545174999992</v>
      </c>
      <c r="AM154" s="122">
        <v>66.942545174999992</v>
      </c>
      <c r="AN154" s="121">
        <f>IF(Level1[[#This Row],[Standardised_Normalised_Mass_kg/capita/year]]&lt;&gt;"",Level1[[#This Row],[Standardised_Normalised_Mass_kg/capita/year]],Level1[[#This Row],[Derived_Normalised_kg/capita/year]])</f>
        <v>66.942545174999992</v>
      </c>
      <c r="AO154" s="78">
        <f>IF(Level1[[#This Row],[Household]]=1,IF(Level1[[#This Row],[Household_Diary?]]=1,'Cover Sheet'!$R$31,1),1)</f>
        <v>1</v>
      </c>
      <c r="AP154" s="78">
        <f>IF(Level1[[#This Row],[Household]]=1,IF(Level1[[#This Row],[Edible_Waste_Only?]]=1,'Cover Sheet'!$R$32,1),1)</f>
        <v>1</v>
      </c>
      <c r="AQ154" s="78">
        <f>IF(Level1[[#This Row],[Food_Service]]=1,IF(Level1[[#This Row],[Edible_Waste_Only?]]=1,'Cover Sheet'!$R$33,1),1)</f>
        <v>1</v>
      </c>
      <c r="AR154" s="78">
        <f>IF(Level1[[#This Row],[Retail]]=1,IF(Level1[[#This Row],[Edible_Waste_Only?]]=1,'Cover Sheet'!$R$34,1),1)</f>
        <v>1</v>
      </c>
      <c r="AS154" s="78">
        <f>PRODUCT(Level1[[#This Row],[Household_Diary_Adjustment]:[Retail_Inedible_Adjustment]])</f>
        <v>1</v>
      </c>
      <c r="AT154" s="124">
        <f>Level1[[#This Row],[Preferred_estimate_kg/capita]]*Level1[[#This Row],[Total_Adjustment]]</f>
        <v>66.942545174999992</v>
      </c>
    </row>
    <row r="155" spans="1:46" ht="15" thickBot="1">
      <c r="A155" s="42">
        <v>84</v>
      </c>
      <c r="B155" s="126" t="s">
        <v>612</v>
      </c>
      <c r="C155" s="43">
        <v>2012</v>
      </c>
      <c r="D155" s="44" t="s">
        <v>613</v>
      </c>
      <c r="E155" s="45" t="s">
        <v>614</v>
      </c>
      <c r="F155" s="43">
        <v>894</v>
      </c>
      <c r="G155" s="43" t="s">
        <v>306</v>
      </c>
      <c r="H155" s="43" t="s">
        <v>174</v>
      </c>
      <c r="I155" s="43" t="s">
        <v>181</v>
      </c>
      <c r="J155" s="43" t="s">
        <v>182</v>
      </c>
      <c r="K155" s="43" t="s">
        <v>615</v>
      </c>
      <c r="L155" s="46">
        <v>17.861000000000001</v>
      </c>
      <c r="M155" s="45">
        <v>1</v>
      </c>
      <c r="N155" s="43"/>
      <c r="O155" s="46"/>
      <c r="P155" s="45" t="s">
        <v>131</v>
      </c>
      <c r="Q155" s="43">
        <v>2</v>
      </c>
      <c r="R155" s="43" t="s">
        <v>616</v>
      </c>
      <c r="S155" s="47"/>
      <c r="T155" s="47"/>
      <c r="U155" s="48"/>
      <c r="V155" s="38">
        <f>AVERAGE(50,45,25)%</f>
        <v>0.4</v>
      </c>
      <c r="W155" s="33" t="s">
        <v>176</v>
      </c>
      <c r="X155" s="40"/>
      <c r="Y155" s="41"/>
      <c r="Z155" s="39"/>
      <c r="AA155" s="33"/>
      <c r="AB155" s="119" t="s">
        <v>134</v>
      </c>
      <c r="AC155" s="119" t="s">
        <v>134</v>
      </c>
      <c r="AD155" s="35" t="s">
        <v>134</v>
      </c>
      <c r="AE155" s="34">
        <v>0</v>
      </c>
      <c r="AF155" s="35">
        <v>0</v>
      </c>
      <c r="AG155" s="35">
        <v>0</v>
      </c>
      <c r="AH155" s="36">
        <v>0</v>
      </c>
      <c r="AI155" s="37">
        <f>AVERAGE(0.3,0.23,0.11)</f>
        <v>0.21333333333333335</v>
      </c>
      <c r="AJ155" s="33" t="s">
        <v>185</v>
      </c>
      <c r="AK155" s="78">
        <v>0.21333333333333335</v>
      </c>
      <c r="AL155" s="78">
        <v>77.92</v>
      </c>
      <c r="AM155" s="36">
        <v>77.92</v>
      </c>
      <c r="AN155" s="34">
        <f>IF(Level1[[#This Row],[Standardised_Normalised_Mass_kg/capita/year]]&lt;&gt;"",Level1[[#This Row],[Standardised_Normalised_Mass_kg/capita/year]],Level1[[#This Row],[Derived_Normalised_kg/capita/year]])</f>
        <v>77.92</v>
      </c>
      <c r="AO155" s="78">
        <f>IF(Level1[[#This Row],[Household]]=1,IF(Level1[[#This Row],[Household_Diary?]]=1,'Cover Sheet'!$R$31,1),1)</f>
        <v>1</v>
      </c>
      <c r="AP155" s="78">
        <f>IF(Level1[[#This Row],[Household]]=1,IF(Level1[[#This Row],[Edible_Waste_Only?]]=1,'Cover Sheet'!$R$32,1),1)</f>
        <v>1</v>
      </c>
      <c r="AQ155" s="78">
        <f>IF(Level1[[#This Row],[Food_Service]]=1,IF(Level1[[#This Row],[Edible_Waste_Only?]]=1,'Cover Sheet'!$R$33,1),1)</f>
        <v>1</v>
      </c>
      <c r="AR155" s="78">
        <f>IF(Level1[[#This Row],[Retail]]=1,IF(Level1[[#This Row],[Edible_Waste_Only?]]=1,'Cover Sheet'!$R$34,1),1)</f>
        <v>1</v>
      </c>
      <c r="AS155" s="78">
        <f>PRODUCT(Level1[[#This Row],[Household_Diary_Adjustment]:[Retail_Inedible_Adjustment]])</f>
        <v>1</v>
      </c>
      <c r="AT155" s="49">
        <f>Level1[[#This Row],[Preferred_estimate_kg/capita]]*Level1[[#This Row],[Total_Adjustment]]</f>
        <v>77.92</v>
      </c>
    </row>
  </sheetData>
  <mergeCells count="11">
    <mergeCell ref="A2:D2"/>
    <mergeCell ref="E2:L2"/>
    <mergeCell ref="M2:O2"/>
    <mergeCell ref="P2:U2"/>
    <mergeCell ref="A1:U1"/>
    <mergeCell ref="Z2:AH2"/>
    <mergeCell ref="AI2:AM2"/>
    <mergeCell ref="AO2:AS2"/>
    <mergeCell ref="V2:Y2"/>
    <mergeCell ref="V1:AN1"/>
    <mergeCell ref="AO1:AT1"/>
  </mergeCells>
  <phoneticPr fontId="15" type="noConversion"/>
  <conditionalFormatting sqref="AB4:AB155">
    <cfRule type="containsErrors" dxfId="89" priority="25">
      <formula>ISERROR(AB4)</formula>
    </cfRule>
    <cfRule type="cellIs" dxfId="88" priority="26" operator="equal">
      <formula>$Z4</formula>
    </cfRule>
    <cfRule type="containsErrors" dxfId="87" priority="27">
      <formula>ISERROR(AB4)</formula>
    </cfRule>
  </conditionalFormatting>
  <conditionalFormatting sqref="AC4:AC155">
    <cfRule type="containsErrors" dxfId="86" priority="28">
      <formula>ISERROR(AC4)</formula>
    </cfRule>
    <cfRule type="cellIs" dxfId="85" priority="29" operator="equal">
      <formula>$Z4</formula>
    </cfRule>
    <cfRule type="containsErrors" dxfId="84" priority="30">
      <formula>ISERROR(AC4)</formula>
    </cfRule>
  </conditionalFormatting>
  <conditionalFormatting sqref="AK4:AK155">
    <cfRule type="containsErrors" dxfId="83" priority="22">
      <formula>ISERROR(AK4)</formula>
    </cfRule>
    <cfRule type="cellIs" dxfId="82" priority="23" operator="equal">
      <formula>$AI4</formula>
    </cfRule>
    <cfRule type="containsErrors" dxfId="81" priority="24">
      <formula>ISERROR(AK4)</formula>
    </cfRule>
  </conditionalFormatting>
  <conditionalFormatting sqref="AL4:AL155">
    <cfRule type="containsErrors" dxfId="80" priority="18">
      <formula>ISERROR(AL4)</formula>
    </cfRule>
    <cfRule type="cellIs" dxfId="79" priority="17" operator="equal">
      <formula>$AI4</formula>
    </cfRule>
    <cfRule type="containsErrors" dxfId="78" priority="16">
      <formula>ISERROR(AL4)</formula>
    </cfRule>
  </conditionalFormatting>
  <conditionalFormatting sqref="AN3">
    <cfRule type="containsErrors" dxfId="77" priority="35">
      <formula>ISERROR(AN3)</formula>
    </cfRule>
  </conditionalFormatting>
  <conditionalFormatting sqref="AO3:AO155">
    <cfRule type="containsErrors" dxfId="76" priority="15">
      <formula>ISERROR(AO3)</formula>
    </cfRule>
  </conditionalFormatting>
  <conditionalFormatting sqref="AO4:AO155">
    <cfRule type="containsErrors" dxfId="75" priority="13">
      <formula>ISERROR(AO4)</formula>
    </cfRule>
    <cfRule type="cellIs" dxfId="74" priority="14" operator="equal">
      <formula>1</formula>
    </cfRule>
  </conditionalFormatting>
  <conditionalFormatting sqref="AP3:AP155">
    <cfRule type="containsErrors" dxfId="73" priority="12">
      <formula>ISERROR(AP3)</formula>
    </cfRule>
  </conditionalFormatting>
  <conditionalFormatting sqref="AP4:AP155">
    <cfRule type="containsErrors" dxfId="72" priority="10">
      <formula>ISERROR(AP4)</formula>
    </cfRule>
    <cfRule type="cellIs" dxfId="71" priority="11" operator="equal">
      <formula>1</formula>
    </cfRule>
  </conditionalFormatting>
  <conditionalFormatting sqref="AQ3:AQ155">
    <cfRule type="containsErrors" dxfId="70" priority="9">
      <formula>ISERROR(AQ3)</formula>
    </cfRule>
  </conditionalFormatting>
  <conditionalFormatting sqref="AQ4:AQ155">
    <cfRule type="containsErrors" dxfId="69" priority="7">
      <formula>ISERROR(AQ4)</formula>
    </cfRule>
    <cfRule type="cellIs" dxfId="68" priority="8" operator="equal">
      <formula>1</formula>
    </cfRule>
  </conditionalFormatting>
  <conditionalFormatting sqref="AR3:AR155">
    <cfRule type="containsErrors" dxfId="67" priority="6">
      <formula>ISERROR(AR3)</formula>
    </cfRule>
  </conditionalFormatting>
  <conditionalFormatting sqref="AR4:AR155">
    <cfRule type="containsErrors" dxfId="66" priority="4">
      <formula>ISERROR(AR4)</formula>
    </cfRule>
    <cfRule type="cellIs" dxfId="65" priority="5" operator="equal">
      <formula>1</formula>
    </cfRule>
  </conditionalFormatting>
  <conditionalFormatting sqref="AS3:AS155">
    <cfRule type="containsErrors" dxfId="64" priority="3">
      <formula>ISERROR(AS3)</formula>
    </cfRule>
  </conditionalFormatting>
  <conditionalFormatting sqref="AS4:AS155">
    <cfRule type="cellIs" dxfId="63" priority="2" operator="equal">
      <formula>1</formula>
    </cfRule>
    <cfRule type="containsErrors" dxfId="62" priority="1">
      <formula>ISERROR(AS4)</formula>
    </cfRule>
  </conditionalFormatting>
  <conditionalFormatting sqref="AT3">
    <cfRule type="containsErrors" dxfId="61" priority="51">
      <formula>ISERROR(AT3)</formula>
    </cfRule>
  </conditionalFormatting>
  <hyperlinks>
    <hyperlink ref="D126" r:id="rId1" xr:uid="{E41E5EFC-2BDA-49B4-A7C4-158C34FD978A}"/>
    <hyperlink ref="D6" r:id="rId2" xr:uid="{0145641D-6B8F-4AC0-A454-2D78DBFABAA3}"/>
    <hyperlink ref="D5" r:id="rId3" xr:uid="{23483345-9CAF-4E8E-8C26-3DC426919B2B}"/>
    <hyperlink ref="D4" r:id="rId4" xr:uid="{B544EE39-B8A7-4D53-8315-96C0108398DE}"/>
    <hyperlink ref="D83" r:id="rId5" xr:uid="{C256054D-D49D-49C4-9F96-3D200E93BAAC}"/>
    <hyperlink ref="D85" r:id="rId6" xr:uid="{31D14333-D458-4560-B8D5-2614B39CC78F}"/>
    <hyperlink ref="D84" r:id="rId7" xr:uid="{70C94941-7966-4305-AE31-24C2709CDDAA}"/>
    <hyperlink ref="D50" r:id="rId8" xr:uid="{F9FF5FD7-8922-4AE3-B58E-4AF94B57232D}"/>
    <hyperlink ref="D49" r:id="rId9" xr:uid="{AA1A98D2-6BD2-4E9B-BEE3-F9FA73D07D45}"/>
    <hyperlink ref="D105" r:id="rId10" xr:uid="{E5F121C2-86EE-480C-A84F-81AAF443BE66}"/>
    <hyperlink ref="D48" r:id="rId11" xr:uid="{129D233E-52B5-449E-9038-E73AD55BA533}"/>
    <hyperlink ref="D108" r:id="rId12" xr:uid="{C4F355E6-3C47-4D87-AA36-E65EF4BF10AC}"/>
    <hyperlink ref="D7" r:id="rId13" xr:uid="{FA69B82D-638C-492E-BA1D-B824CCC6E3F6}"/>
    <hyperlink ref="D9" r:id="rId14" xr:uid="{B294F887-9D64-433C-A30B-13181C0356D1}"/>
    <hyperlink ref="D8" r:id="rId15" xr:uid="{7246449F-AF4B-4612-AE5B-149C4BF39747}"/>
    <hyperlink ref="D23" r:id="rId16" xr:uid="{33BA3347-6142-44AE-966A-73FA34E09B7D}"/>
    <hyperlink ref="D24" r:id="rId17" xr:uid="{31BC27D8-5092-44F5-8A5E-8BE027F0B97F}"/>
    <hyperlink ref="D25" r:id="rId18" xr:uid="{E8CE58ED-4608-45B2-A719-B9E9E04212A8}"/>
    <hyperlink ref="D107" r:id="rId19" xr:uid="{751723C9-C9E1-4A47-B028-C82685044A85}"/>
    <hyperlink ref="D88:D89" r:id="rId20" display="https://journals.sagepub.com/doi/abs/10.1177/0734242x15607427 (Xue et al.)" xr:uid="{9D24AD2A-76AB-4F34-9D45-9C21F4D2760E}"/>
    <hyperlink ref="D74" r:id="rId21" xr:uid="{904FA0E2-6D46-4195-AC13-2294C27A6436}"/>
    <hyperlink ref="D54" r:id="rId22" xr:uid="{67C2D962-F7FE-4825-9E5D-8F43F756A76E}"/>
    <hyperlink ref="D56" r:id="rId23" xr:uid="{7DC8D016-841E-4355-852A-FB2D59E3CFF6}"/>
    <hyperlink ref="D55" r:id="rId24" xr:uid="{D0E069F9-D475-4277-826E-4502C5DC2E45}"/>
    <hyperlink ref="D58" r:id="rId25" xr:uid="{2D4EDDB7-5107-4905-B470-A9B0A181730F}"/>
    <hyperlink ref="D59" r:id="rId26" xr:uid="{063FE9DD-3204-4E3E-BC6B-E593739AD2FC}"/>
    <hyperlink ref="D53" r:id="rId27" xr:uid="{5C3A6649-743C-45A6-992A-07FF3124822E}"/>
    <hyperlink ref="D57" r:id="rId28" xr:uid="{FAEC6226-43A2-45E5-96AB-11EDAFDE5863}"/>
    <hyperlink ref="D75" r:id="rId29" xr:uid="{6EB5E532-8D0C-465F-B391-F7F46CD2387E}"/>
    <hyperlink ref="D36" r:id="rId30" xr:uid="{E28B7F15-F273-4EBA-AA6D-B86CEEB09DAB}"/>
    <hyperlink ref="D153" r:id="rId31" xr:uid="{8E359845-F973-4EF5-B0B1-4609F8B932B6}"/>
    <hyperlink ref="D149" r:id="rId32" xr:uid="{5DE7CA99-2FD7-4FCE-8239-2D64FA2871D4}"/>
    <hyperlink ref="D91" r:id="rId33" xr:uid="{1E1BB013-AD23-4875-A1E8-7D82955A5381}"/>
    <hyperlink ref="D145" r:id="rId34" xr:uid="{BC520428-20AC-4DAC-A840-611A39BE75EF}"/>
    <hyperlink ref="D32" r:id="rId35" xr:uid="{FBFA75F7-9FFC-4C87-B9E9-6B89B0BF3CC9}"/>
    <hyperlink ref="D92:D93" r:id="rId36" display="https://ec.europa.eu/environment/eussd/pdf/bio_foodwaste_report.pdf" xr:uid="{9E565C19-50C7-41A6-91E7-473095A390F7}"/>
    <hyperlink ref="D65" r:id="rId37" xr:uid="{C9F2D72E-1120-4E29-8B1E-E1EEC788432B}"/>
    <hyperlink ref="D142:D143" r:id="rId38" display="https://www.wwf.de/fileadmin/user_upload/WWF_BOELL_How_to_feed.pdf" xr:uid="{2B40F603-4AAA-46A5-8B75-4549126DD87D}"/>
    <hyperlink ref="D47" r:id="rId39" tooltip="Persistent link using digital object identifier" xr:uid="{AE99517D-81ED-4F15-84CC-7F2E00FA70BD}"/>
    <hyperlink ref="D71" r:id="rId40" tooltip="Persistent link using digital object identifier" xr:uid="{2B6D43A8-485F-427C-BEDA-C1AA1A6624D6}"/>
    <hyperlink ref="D117" r:id="rId41" xr:uid="{A4FB4FB1-7439-44ED-BA9E-E3C4BCA645D5}"/>
    <hyperlink ref="D70" r:id="rId42" xr:uid="{2853B9FD-F971-4592-9D3D-C02B88A8546B}"/>
    <hyperlink ref="D21" r:id="rId43" tooltip="Persistent link using digital object identifier" xr:uid="{5BEDCCC7-DCD9-4636-BB25-45935EC2846C}"/>
    <hyperlink ref="D46" r:id="rId44" xr:uid="{8B35609B-3E93-4423-AC72-169965F5687B}"/>
    <hyperlink ref="D45" r:id="rId45" xr:uid="{19E3FB2B-3B30-4F3B-8510-CA5D9AC826BE}"/>
    <hyperlink ref="D51" r:id="rId46" xr:uid="{131C1CE6-F013-4F96-982A-28D1F634CA4D}"/>
    <hyperlink ref="D143" r:id="rId47" xr:uid="{BE813367-40EC-4A7B-8BE7-5AC2932524D3}"/>
    <hyperlink ref="D141" r:id="rId48" xr:uid="{E96E88BC-7213-4ECC-BD47-69E3F364BEA9}"/>
    <hyperlink ref="D142" r:id="rId49" xr:uid="{E26F662D-9B10-4538-9044-84BB3BEAAC18}"/>
    <hyperlink ref="D67" r:id="rId50" xr:uid="{248D4FC8-1BD6-485D-B982-AF08C4849B88}"/>
    <hyperlink ref="D68" r:id="rId51" xr:uid="{7E223E63-5197-4B28-86A8-755D341ADC8B}"/>
    <hyperlink ref="D69" r:id="rId52" xr:uid="{24F57075-0F5C-4D97-B682-52C283E898FA}"/>
    <hyperlink ref="D103" r:id="rId53" xr:uid="{0E061B19-F22E-4F98-91AA-04D0C89AE909}"/>
    <hyperlink ref="D127" r:id="rId54" tooltip="Persistent link using digital object identifier" xr:uid="{0815E2BF-7152-458E-BCE9-3EADF0713D58}"/>
    <hyperlink ref="D93" r:id="rId55" xr:uid="{7B9CE3E2-2480-45CC-9E96-F0D616DDEE36}"/>
    <hyperlink ref="D119" r:id="rId56" xr:uid="{873DFC1D-F1DA-4E2F-91AC-12957893C845}"/>
    <hyperlink ref="D80" r:id="rId57" xr:uid="{13839AE1-A347-4C03-8749-322688B5C81E}"/>
    <hyperlink ref="D77" r:id="rId58" xr:uid="{DFC82162-E6D7-4DDE-BF8B-C51CDDAB2BA7}"/>
    <hyperlink ref="D79" r:id="rId59" xr:uid="{BF94973C-C5BF-408E-9080-9FF45831E86C}"/>
    <hyperlink ref="D78" r:id="rId60" xr:uid="{F79F7B5C-516F-4BBB-AB92-BBD0241EB22C}"/>
    <hyperlink ref="D81" r:id="rId61" xr:uid="{F5281725-677B-4250-A46B-331CF8B06EBD}"/>
    <hyperlink ref="D62" r:id="rId62" xr:uid="{45BAA08C-8B05-4E82-8AF8-3556A9C6981A}"/>
    <hyperlink ref="D64" r:id="rId63" xr:uid="{16CC60B9-050A-48BC-85DD-044547D5FBDF}"/>
    <hyperlink ref="D130" r:id="rId64" xr:uid="{670B4514-FBD4-48DA-821E-C77A956C998D}"/>
    <hyperlink ref="D19" r:id="rId65" xr:uid="{B73D00BA-362D-49DB-BE6F-182D0B2862DA}"/>
    <hyperlink ref="D87" r:id="rId66" display="https://doi.org/10.3390/su11123381" xr:uid="{A1023234-B428-4815-B1ED-1FFE4D812C52}"/>
    <hyperlink ref="D44" r:id="rId67" xr:uid="{28876B0C-3967-41CA-995F-18940A015406}"/>
    <hyperlink ref="D112" r:id="rId68" xr:uid="{1AC2921C-15C3-4972-9A5C-21BCE54C56D3}"/>
    <hyperlink ref="D113" r:id="rId69" xr:uid="{11F90E87-25A4-4537-AB19-4105A3A8C428}"/>
    <hyperlink ref="D133" r:id="rId70" xr:uid="{4017DBF0-9B05-484E-80EB-1CEBF29555C5}"/>
    <hyperlink ref="D134" r:id="rId71" xr:uid="{B86AEBAD-9F62-4A93-82C9-BC67AFBB8C66}"/>
    <hyperlink ref="D131" r:id="rId72" xr:uid="{42D0D752-3BB1-49A0-8BC7-ACEEC3B7F74A}"/>
    <hyperlink ref="D140" r:id="rId73" xr:uid="{A0A168AA-9831-46E4-AB75-902F1A98D6AF}"/>
    <hyperlink ref="D139" r:id="rId74" xr:uid="{37E4747B-7724-4671-9FC8-C9A4C0424199}"/>
    <hyperlink ref="D132" r:id="rId75" xr:uid="{90970530-7D62-4765-8CC3-0ACCB938CA51}"/>
    <hyperlink ref="D136" r:id="rId76" xr:uid="{EF076DA9-7BDC-41C0-8C99-6EBF52C92760}"/>
    <hyperlink ref="D137" r:id="rId77" xr:uid="{4260A579-8DE0-45EE-BB04-E7521A456C0D}"/>
    <hyperlink ref="D135" r:id="rId78" xr:uid="{DAB48646-93F8-4185-AE71-C4B92BE1B29C}"/>
    <hyperlink ref="D138" r:id="rId79" xr:uid="{59953457-026D-4F99-BF2B-A574CF2D7E6E}"/>
    <hyperlink ref="D106" r:id="rId80" xr:uid="{B125D722-AA0D-4656-8D6E-6665694A0200}"/>
    <hyperlink ref="D43" r:id="rId81" xr:uid="{3009159F-8989-4711-90FD-BB96E93CC571}"/>
    <hyperlink ref="D39" r:id="rId82" xr:uid="{223D1460-8FB8-4AC8-A5F6-D7B070D1FAD8}"/>
    <hyperlink ref="D40" r:id="rId83" xr:uid="{4296A563-849D-4839-AC60-5BA6E9F6B0F6}"/>
    <hyperlink ref="D41" r:id="rId84" xr:uid="{91DA20BB-B490-4071-A299-B7BA663E5BBB}"/>
    <hyperlink ref="D10" r:id="rId85" xr:uid="{72A35862-810C-4F66-9361-8DEC3D39F33F}"/>
    <hyperlink ref="D11" r:id="rId86" xr:uid="{CF5613DC-8690-4545-BA26-A5606D59A397}"/>
    <hyperlink ref="D17" r:id="rId87" xr:uid="{CD9683D8-F088-45D2-B683-865FB96BB818}"/>
    <hyperlink ref="D18" r:id="rId88" xr:uid="{C28157EE-E8D9-44FB-86BD-752068150509}"/>
    <hyperlink ref="D13" r:id="rId89" xr:uid="{C77E3F30-DDBD-4BB6-9C96-8757AE420B65}"/>
    <hyperlink ref="D12" r:id="rId90" xr:uid="{3577785A-FD96-4CDC-82D5-A63FAFC00403}"/>
    <hyperlink ref="D14" r:id="rId91" xr:uid="{DAF62076-EF75-4990-9ACA-D2C2378AF4FB}"/>
    <hyperlink ref="D15" r:id="rId92" xr:uid="{CA1D4C3F-CAD4-4772-B481-5524B1520AD5}"/>
    <hyperlink ref="D16" r:id="rId93" xr:uid="{6458F6B5-A675-49AA-9E9D-5A02DF5C010C}"/>
    <hyperlink ref="D118" r:id="rId94" xr:uid="{F025954A-B330-4A79-A42B-0D7674F9C1A2}"/>
    <hyperlink ref="D66" r:id="rId95" xr:uid="{BD536DC9-E547-49EE-84C2-4AEBFBBA885A}"/>
    <hyperlink ref="D76" r:id="rId96" xr:uid="{ECC6E8DF-11AB-478F-911D-240B6A900079}"/>
    <hyperlink ref="D154" r:id="rId97" xr:uid="{BB79BF59-D778-453B-B84B-A980255B8D99}"/>
    <hyperlink ref="D111" r:id="rId98" tooltip="Persistent link using digital object identifier" xr:uid="{62F1022A-FF32-4713-BE80-6604A2627570}"/>
    <hyperlink ref="D155" r:id="rId99" xr:uid="{C00C2BA8-69AE-4F1A-94F8-E127EE6F2F06}"/>
    <hyperlink ref="D144" r:id="rId100" xr:uid="{2036DBAB-CE07-421A-B6FE-E411BBF9C07E}"/>
    <hyperlink ref="D31" r:id="rId101" xr:uid="{E9FE7DCA-793D-443D-9A28-3CB9CA52D93B}"/>
    <hyperlink ref="D34" r:id="rId102" tooltip="Persistent link using digital object identifier" xr:uid="{BBC6E2F1-6AA8-4E15-9305-C11C2947A00E}"/>
    <hyperlink ref="D38" r:id="rId103" xr:uid="{C2D7148C-EF59-4779-AABA-B5CC68BF30E7}"/>
    <hyperlink ref="D42" r:id="rId104" xr:uid="{328BE29E-B6F9-49D7-B206-8451AC210729}"/>
    <hyperlink ref="D115" r:id="rId105" xr:uid="{7D2A9323-89FD-4F1D-9EBF-07CF30A4AC85}"/>
    <hyperlink ref="D128" r:id="rId106" xr:uid="{955AF875-5294-4D62-B55B-17A26866A939}"/>
    <hyperlink ref="D129" r:id="rId107" xr:uid="{12024D21-16A1-40C8-BE65-9F5A15DD5C10}"/>
    <hyperlink ref="D35" r:id="rId108" xr:uid="{35688051-084A-4129-9E0E-B91C000C301D}"/>
    <hyperlink ref="D63" r:id="rId109" xr:uid="{700C744C-B6CF-4EBF-86D0-479741E20B1B}"/>
    <hyperlink ref="D82" r:id="rId110" xr:uid="{B5DBE9CD-21A8-41E2-BF0D-AC0883C9FC2D}"/>
    <hyperlink ref="D90" r:id="rId111" xr:uid="{8F2BF335-6841-43FD-8448-83F410C20177}"/>
    <hyperlink ref="D89" r:id="rId112" xr:uid="{463D1F8F-249C-486F-8DA4-FAD08AEF12E3}"/>
    <hyperlink ref="D88" r:id="rId113" xr:uid="{4B3187C8-5345-4347-B19B-72E99DF6B75C}"/>
    <hyperlink ref="D92" r:id="rId114" xr:uid="{7A9120AB-9FFD-4666-8D22-185076CBB65E}"/>
    <hyperlink ref="D146" r:id="rId115" xr:uid="{FD40B058-C097-4617-AFAB-18EE9FD147D8}"/>
    <hyperlink ref="D104" r:id="rId116" xr:uid="{2579BF48-5503-489B-87DD-3FB242F7C742}"/>
    <hyperlink ref="D124" r:id="rId117" xr:uid="{FEC841C4-F4E3-44DE-B6D5-100EF5E6FDDA}"/>
    <hyperlink ref="D125" r:id="rId118" xr:uid="{62D89878-FA80-4B1E-A4D4-B34D4EF5320E}"/>
    <hyperlink ref="D121" r:id="rId119" xr:uid="{8D58FD97-3DC4-49F5-830E-09F837CCA4CC}"/>
    <hyperlink ref="D123" r:id="rId120" xr:uid="{708EC9DB-B2F2-4942-9EDC-3715DC271BBE}"/>
    <hyperlink ref="D122" r:id="rId121" xr:uid="{E0CFA01A-DDE3-489E-AAC4-B1DC5916E375}"/>
  </hyperlinks>
  <pageMargins left="0.7" right="0.7" top="0.75" bottom="0.75" header="0.3" footer="0.3"/>
  <pageSetup paperSize="9" orientation="portrait" verticalDpi="0" r:id="rId122"/>
  <legacyDrawing r:id="rId123"/>
  <tableParts count="1">
    <tablePart r:id="rId12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95B78-553C-451A-874D-114097FC2C77}">
  <sheetPr>
    <tabColor theme="4" tint="0.59999389629810485"/>
  </sheetPr>
  <dimension ref="A1:F86"/>
  <sheetViews>
    <sheetView workbookViewId="0">
      <selection activeCell="C49" sqref="C49"/>
    </sheetView>
  </sheetViews>
  <sheetFormatPr defaultRowHeight="14.45"/>
  <cols>
    <col min="1" max="1" width="8.42578125" customWidth="1"/>
    <col min="2" max="2" width="17.5703125" customWidth="1"/>
    <col min="3" max="3" width="39" customWidth="1"/>
    <col min="4" max="4" width="108.5703125" customWidth="1"/>
    <col min="5" max="5" width="148.28515625" customWidth="1"/>
    <col min="6" max="6" width="16.5703125" customWidth="1"/>
  </cols>
  <sheetData>
    <row r="1" spans="1:6" s="1" customFormat="1" ht="33.6" customHeight="1" thickTop="1">
      <c r="A1" s="166" t="s">
        <v>617</v>
      </c>
      <c r="B1" s="167" t="s">
        <v>29</v>
      </c>
      <c r="C1" s="168" t="s">
        <v>618</v>
      </c>
      <c r="D1" s="168" t="s">
        <v>619</v>
      </c>
      <c r="E1" s="167" t="s">
        <v>27</v>
      </c>
      <c r="F1" s="54" t="s">
        <v>620</v>
      </c>
    </row>
    <row r="2" spans="1:6">
      <c r="A2" s="55">
        <v>1</v>
      </c>
      <c r="B2" s="56" t="s">
        <v>126</v>
      </c>
      <c r="C2" s="57" t="s">
        <v>621</v>
      </c>
      <c r="D2" s="57" t="s">
        <v>124</v>
      </c>
      <c r="E2" s="58" t="s">
        <v>125</v>
      </c>
      <c r="F2" s="59">
        <v>2019</v>
      </c>
    </row>
    <row r="3" spans="1:6">
      <c r="A3" s="60">
        <v>2</v>
      </c>
      <c r="B3" s="61" t="s">
        <v>140</v>
      </c>
      <c r="C3" s="62" t="s">
        <v>622</v>
      </c>
      <c r="D3" s="62" t="s">
        <v>138</v>
      </c>
      <c r="E3" s="63" t="s">
        <v>139</v>
      </c>
      <c r="F3" s="64">
        <v>2017</v>
      </c>
    </row>
    <row r="4" spans="1:6">
      <c r="A4" s="55">
        <v>3</v>
      </c>
      <c r="B4" s="65" t="s">
        <v>623</v>
      </c>
      <c r="C4" s="57" t="s">
        <v>624</v>
      </c>
      <c r="D4" s="57" t="s">
        <v>149</v>
      </c>
      <c r="E4" s="58" t="s">
        <v>150</v>
      </c>
      <c r="F4" s="59">
        <v>2019</v>
      </c>
    </row>
    <row r="5" spans="1:6">
      <c r="A5" s="60">
        <v>4</v>
      </c>
      <c r="B5" s="61" t="s">
        <v>172</v>
      </c>
      <c r="C5" s="62" t="s">
        <v>625</v>
      </c>
      <c r="D5" s="62" t="s">
        <v>170</v>
      </c>
      <c r="E5" s="63" t="s">
        <v>171</v>
      </c>
      <c r="F5" s="64">
        <v>2018</v>
      </c>
    </row>
    <row r="6" spans="1:6">
      <c r="A6" s="55">
        <v>5</v>
      </c>
      <c r="B6" s="56" t="s">
        <v>179</v>
      </c>
      <c r="C6" s="57" t="s">
        <v>626</v>
      </c>
      <c r="D6" s="57" t="s">
        <v>177</v>
      </c>
      <c r="E6" s="58" t="s">
        <v>178</v>
      </c>
      <c r="F6" s="59">
        <v>2012</v>
      </c>
    </row>
    <row r="7" spans="1:6">
      <c r="A7" s="60">
        <v>6</v>
      </c>
      <c r="B7" s="61" t="s">
        <v>179</v>
      </c>
      <c r="C7" s="62" t="s">
        <v>627</v>
      </c>
      <c r="D7" s="62" t="s">
        <v>186</v>
      </c>
      <c r="E7" s="63" t="s">
        <v>187</v>
      </c>
      <c r="F7" s="64">
        <v>2008</v>
      </c>
    </row>
    <row r="8" spans="1:6">
      <c r="A8" s="55">
        <v>7</v>
      </c>
      <c r="B8" s="56" t="s">
        <v>179</v>
      </c>
      <c r="C8" s="57" t="s">
        <v>628</v>
      </c>
      <c r="D8" s="57" t="s">
        <v>189</v>
      </c>
      <c r="E8" s="58" t="s">
        <v>190</v>
      </c>
      <c r="F8" s="59">
        <v>2005</v>
      </c>
    </row>
    <row r="9" spans="1:6">
      <c r="A9" s="60">
        <v>8</v>
      </c>
      <c r="B9" s="61" t="s">
        <v>197</v>
      </c>
      <c r="C9" s="62" t="s">
        <v>629</v>
      </c>
      <c r="D9" s="62" t="s">
        <v>195</v>
      </c>
      <c r="E9" s="63" t="s">
        <v>196</v>
      </c>
      <c r="F9" s="64">
        <v>2017</v>
      </c>
    </row>
    <row r="10" spans="1:6">
      <c r="A10" s="55">
        <v>9</v>
      </c>
      <c r="B10" s="56" t="s">
        <v>208</v>
      </c>
      <c r="C10" s="57" t="s">
        <v>630</v>
      </c>
      <c r="D10" s="57" t="s">
        <v>206</v>
      </c>
      <c r="E10" s="58" t="s">
        <v>207</v>
      </c>
      <c r="F10" s="59">
        <v>2011</v>
      </c>
    </row>
    <row r="11" spans="1:6">
      <c r="A11" s="60">
        <v>10</v>
      </c>
      <c r="B11" s="61" t="s">
        <v>221</v>
      </c>
      <c r="C11" s="62" t="s">
        <v>631</v>
      </c>
      <c r="D11" s="62" t="s">
        <v>219</v>
      </c>
      <c r="E11" s="63" t="s">
        <v>220</v>
      </c>
      <c r="F11" s="64">
        <v>2018</v>
      </c>
    </row>
    <row r="12" spans="1:6">
      <c r="A12" s="55">
        <v>11</v>
      </c>
      <c r="B12" s="56" t="s">
        <v>226</v>
      </c>
      <c r="C12" s="57" t="s">
        <v>632</v>
      </c>
      <c r="D12" s="57" t="s">
        <v>224</v>
      </c>
      <c r="E12" s="58" t="s">
        <v>225</v>
      </c>
      <c r="F12" s="59">
        <v>2019</v>
      </c>
    </row>
    <row r="13" spans="1:6">
      <c r="A13" s="60">
        <v>12</v>
      </c>
      <c r="B13" s="61" t="s">
        <v>232</v>
      </c>
      <c r="C13" s="62" t="s">
        <v>633</v>
      </c>
      <c r="D13" s="62" t="s">
        <v>230</v>
      </c>
      <c r="E13" s="63" t="s">
        <v>231</v>
      </c>
      <c r="F13" s="64">
        <v>2013</v>
      </c>
    </row>
    <row r="14" spans="1:6">
      <c r="A14" s="55">
        <v>13</v>
      </c>
      <c r="B14" s="56" t="s">
        <v>232</v>
      </c>
      <c r="C14" s="57" t="s">
        <v>634</v>
      </c>
      <c r="D14" s="57" t="s">
        <v>236</v>
      </c>
      <c r="E14" s="58" t="s">
        <v>237</v>
      </c>
      <c r="F14" s="59">
        <v>2015</v>
      </c>
    </row>
    <row r="15" spans="1:6">
      <c r="A15" s="60">
        <v>14</v>
      </c>
      <c r="B15" s="61" t="s">
        <v>232</v>
      </c>
      <c r="C15" s="62" t="s">
        <v>635</v>
      </c>
      <c r="D15" s="62" t="s">
        <v>242</v>
      </c>
      <c r="E15" s="63" t="s">
        <v>243</v>
      </c>
      <c r="F15" s="64">
        <v>2021</v>
      </c>
    </row>
    <row r="16" spans="1:6">
      <c r="A16" s="55">
        <v>15</v>
      </c>
      <c r="B16" s="56" t="s">
        <v>232</v>
      </c>
      <c r="C16" s="57" t="s">
        <v>636</v>
      </c>
      <c r="D16" s="57" t="s">
        <v>246</v>
      </c>
      <c r="E16" s="58" t="s">
        <v>247</v>
      </c>
      <c r="F16" s="59">
        <v>2015</v>
      </c>
    </row>
    <row r="17" spans="1:6">
      <c r="A17" s="60">
        <v>16</v>
      </c>
      <c r="B17" s="61" t="s">
        <v>232</v>
      </c>
      <c r="C17" s="62" t="s">
        <v>637</v>
      </c>
      <c r="D17" s="62" t="s">
        <v>251</v>
      </c>
      <c r="E17" s="63" t="s">
        <v>252</v>
      </c>
      <c r="F17" s="64">
        <v>2009</v>
      </c>
    </row>
    <row r="18" spans="1:6">
      <c r="A18" s="55">
        <v>17</v>
      </c>
      <c r="B18" s="56" t="s">
        <v>232</v>
      </c>
      <c r="C18" s="57" t="s">
        <v>638</v>
      </c>
      <c r="D18" s="57" t="s">
        <v>255</v>
      </c>
      <c r="E18" s="58" t="s">
        <v>256</v>
      </c>
      <c r="F18" s="59">
        <v>2015</v>
      </c>
    </row>
    <row r="19" spans="1:6">
      <c r="A19" s="60">
        <v>18</v>
      </c>
      <c r="B19" s="61" t="s">
        <v>232</v>
      </c>
      <c r="C19" s="62" t="s">
        <v>639</v>
      </c>
      <c r="D19" s="62" t="s">
        <v>259</v>
      </c>
      <c r="E19" s="63" t="s">
        <v>260</v>
      </c>
      <c r="F19" s="64">
        <v>2020</v>
      </c>
    </row>
    <row r="20" spans="1:6">
      <c r="A20" s="55">
        <v>19</v>
      </c>
      <c r="B20" s="56" t="s">
        <v>271</v>
      </c>
      <c r="C20" s="57" t="s">
        <v>628</v>
      </c>
      <c r="D20" s="57" t="s">
        <v>269</v>
      </c>
      <c r="E20" s="58" t="s">
        <v>270</v>
      </c>
      <c r="F20" s="59">
        <v>2013</v>
      </c>
    </row>
    <row r="21" spans="1:6">
      <c r="A21" s="60">
        <v>20</v>
      </c>
      <c r="B21" s="61" t="s">
        <v>278</v>
      </c>
      <c r="C21" s="62" t="s">
        <v>640</v>
      </c>
      <c r="D21" s="62" t="s">
        <v>276</v>
      </c>
      <c r="E21" s="63" t="s">
        <v>277</v>
      </c>
      <c r="F21" s="64">
        <v>2016</v>
      </c>
    </row>
    <row r="22" spans="1:6">
      <c r="A22" s="55">
        <v>21</v>
      </c>
      <c r="B22" s="56" t="s">
        <v>278</v>
      </c>
      <c r="C22" s="57" t="s">
        <v>641</v>
      </c>
      <c r="D22" s="57" t="s">
        <v>285</v>
      </c>
      <c r="E22" s="58" t="s">
        <v>286</v>
      </c>
      <c r="F22" s="59">
        <v>2016</v>
      </c>
    </row>
    <row r="23" spans="1:6">
      <c r="A23" s="60">
        <v>22</v>
      </c>
      <c r="B23" s="61" t="s">
        <v>278</v>
      </c>
      <c r="C23" s="62" t="s">
        <v>640</v>
      </c>
      <c r="D23" s="62" t="s">
        <v>290</v>
      </c>
      <c r="E23" s="63" t="s">
        <v>291</v>
      </c>
      <c r="F23" s="64">
        <v>2018</v>
      </c>
    </row>
    <row r="24" spans="1:6">
      <c r="A24" s="55">
        <v>23</v>
      </c>
      <c r="B24" s="56" t="s">
        <v>154</v>
      </c>
      <c r="C24" s="57" t="s">
        <v>642</v>
      </c>
      <c r="D24" s="57" t="s">
        <v>294</v>
      </c>
      <c r="E24" s="58" t="s">
        <v>295</v>
      </c>
      <c r="F24" s="59">
        <v>2015</v>
      </c>
    </row>
    <row r="25" spans="1:6">
      <c r="A25" s="60">
        <v>24</v>
      </c>
      <c r="B25" s="61" t="s">
        <v>154</v>
      </c>
      <c r="C25" s="62" t="s">
        <v>643</v>
      </c>
      <c r="D25" s="62" t="s">
        <v>300</v>
      </c>
      <c r="E25" s="63" t="s">
        <v>301</v>
      </c>
      <c r="F25" s="64">
        <v>2015</v>
      </c>
    </row>
    <row r="26" spans="1:6">
      <c r="A26" s="55">
        <v>25</v>
      </c>
      <c r="B26" s="56" t="s">
        <v>305</v>
      </c>
      <c r="C26" s="57" t="s">
        <v>644</v>
      </c>
      <c r="D26" s="57" t="s">
        <v>303</v>
      </c>
      <c r="E26" s="58" t="s">
        <v>304</v>
      </c>
      <c r="F26" s="59">
        <v>2017</v>
      </c>
    </row>
    <row r="27" spans="1:6">
      <c r="A27" s="60">
        <v>26</v>
      </c>
      <c r="B27" s="66" t="s">
        <v>623</v>
      </c>
      <c r="C27" s="62" t="s">
        <v>645</v>
      </c>
      <c r="D27" s="62" t="s">
        <v>311</v>
      </c>
      <c r="E27" s="63" t="s">
        <v>312</v>
      </c>
      <c r="F27" s="64">
        <v>2016</v>
      </c>
    </row>
    <row r="28" spans="1:6">
      <c r="A28" s="55">
        <v>27</v>
      </c>
      <c r="B28" s="56" t="s">
        <v>313</v>
      </c>
      <c r="C28" s="57" t="s">
        <v>646</v>
      </c>
      <c r="D28" s="57" t="s">
        <v>323</v>
      </c>
      <c r="E28" s="58" t="s">
        <v>324</v>
      </c>
      <c r="F28" s="59">
        <v>2014</v>
      </c>
    </row>
    <row r="29" spans="1:6">
      <c r="A29" s="60">
        <v>28</v>
      </c>
      <c r="B29" s="61" t="s">
        <v>331</v>
      </c>
      <c r="C29" s="62" t="s">
        <v>647</v>
      </c>
      <c r="D29" s="62" t="s">
        <v>329</v>
      </c>
      <c r="E29" s="63" t="s">
        <v>330</v>
      </c>
      <c r="F29" s="64">
        <v>2016</v>
      </c>
    </row>
    <row r="30" spans="1:6">
      <c r="A30" s="55">
        <v>29</v>
      </c>
      <c r="B30" s="56" t="s">
        <v>331</v>
      </c>
      <c r="C30" s="57" t="s">
        <v>648</v>
      </c>
      <c r="D30" s="57" t="s">
        <v>335</v>
      </c>
      <c r="E30" s="58" t="s">
        <v>336</v>
      </c>
      <c r="F30" s="59">
        <v>2010</v>
      </c>
    </row>
    <row r="31" spans="1:6">
      <c r="A31" s="60">
        <v>30</v>
      </c>
      <c r="B31" s="61" t="s">
        <v>340</v>
      </c>
      <c r="C31" s="62" t="s">
        <v>649</v>
      </c>
      <c r="D31" s="62" t="s">
        <v>338</v>
      </c>
      <c r="E31" s="63" t="s">
        <v>339</v>
      </c>
      <c r="F31" s="64">
        <v>2014</v>
      </c>
    </row>
    <row r="32" spans="1:6">
      <c r="A32" s="55">
        <v>31</v>
      </c>
      <c r="B32" s="56" t="s">
        <v>347</v>
      </c>
      <c r="C32" s="57" t="s">
        <v>650</v>
      </c>
      <c r="D32" s="57" t="s">
        <v>345</v>
      </c>
      <c r="E32" s="58" t="s">
        <v>346</v>
      </c>
      <c r="F32" s="59">
        <v>2019</v>
      </c>
    </row>
    <row r="33" spans="1:6">
      <c r="A33" s="60">
        <v>32</v>
      </c>
      <c r="B33" s="61" t="s">
        <v>356</v>
      </c>
      <c r="C33" s="62" t="s">
        <v>651</v>
      </c>
      <c r="D33" s="62" t="s">
        <v>354</v>
      </c>
      <c r="E33" s="63" t="s">
        <v>355</v>
      </c>
      <c r="F33" s="64">
        <v>2015</v>
      </c>
    </row>
    <row r="34" spans="1:6">
      <c r="A34" s="55">
        <v>33</v>
      </c>
      <c r="B34" s="56" t="s">
        <v>316</v>
      </c>
      <c r="C34" s="57" t="s">
        <v>652</v>
      </c>
      <c r="D34" s="57" t="s">
        <v>358</v>
      </c>
      <c r="E34" s="58" t="s">
        <v>359</v>
      </c>
      <c r="F34" s="59">
        <v>2015</v>
      </c>
    </row>
    <row r="35" spans="1:6">
      <c r="A35" s="60">
        <v>34</v>
      </c>
      <c r="B35" s="61" t="s">
        <v>364</v>
      </c>
      <c r="C35" s="62" t="s">
        <v>653</v>
      </c>
      <c r="D35" s="62" t="s">
        <v>362</v>
      </c>
      <c r="E35" s="63" t="s">
        <v>363</v>
      </c>
      <c r="F35" s="64">
        <v>2020</v>
      </c>
    </row>
    <row r="36" spans="1:6">
      <c r="A36" s="55">
        <v>35</v>
      </c>
      <c r="B36" s="56" t="s">
        <v>370</v>
      </c>
      <c r="C36" s="57" t="s">
        <v>654</v>
      </c>
      <c r="D36" s="57" t="s">
        <v>368</v>
      </c>
      <c r="E36" s="58" t="s">
        <v>369</v>
      </c>
      <c r="F36" s="59">
        <v>2014</v>
      </c>
    </row>
    <row r="37" spans="1:6">
      <c r="A37" s="60">
        <v>36</v>
      </c>
      <c r="B37" s="61" t="s">
        <v>370</v>
      </c>
      <c r="C37" s="62" t="s">
        <v>655</v>
      </c>
      <c r="D37" s="62" t="s">
        <v>373</v>
      </c>
      <c r="E37" s="63" t="s">
        <v>374</v>
      </c>
      <c r="F37" s="64">
        <v>2016</v>
      </c>
    </row>
    <row r="38" spans="1:6">
      <c r="A38" s="55">
        <v>37</v>
      </c>
      <c r="B38" s="56" t="s">
        <v>370</v>
      </c>
      <c r="C38" s="57" t="s">
        <v>656</v>
      </c>
      <c r="D38" s="57" t="s">
        <v>377</v>
      </c>
      <c r="E38" s="58" t="s">
        <v>378</v>
      </c>
      <c r="F38" s="59">
        <v>2015</v>
      </c>
    </row>
    <row r="39" spans="1:6">
      <c r="A39" s="60">
        <v>38</v>
      </c>
      <c r="B39" s="61" t="s">
        <v>382</v>
      </c>
      <c r="C39" s="62" t="s">
        <v>657</v>
      </c>
      <c r="D39" s="62" t="s">
        <v>380</v>
      </c>
      <c r="E39" s="63" t="s">
        <v>381</v>
      </c>
      <c r="F39" s="64">
        <v>2015</v>
      </c>
    </row>
    <row r="40" spans="1:6">
      <c r="A40" s="55">
        <v>39</v>
      </c>
      <c r="B40" s="56" t="s">
        <v>388</v>
      </c>
      <c r="C40" s="57" t="s">
        <v>658</v>
      </c>
      <c r="D40" s="57" t="s">
        <v>386</v>
      </c>
      <c r="E40" s="58" t="s">
        <v>387</v>
      </c>
      <c r="F40" s="59">
        <v>2012</v>
      </c>
    </row>
    <row r="41" spans="1:6">
      <c r="A41" s="60">
        <v>40</v>
      </c>
      <c r="B41" s="61" t="s">
        <v>388</v>
      </c>
      <c r="C41" s="62" t="s">
        <v>659</v>
      </c>
      <c r="D41" s="62" t="s">
        <v>393</v>
      </c>
      <c r="E41" s="63" t="s">
        <v>394</v>
      </c>
      <c r="F41" s="64">
        <v>2013</v>
      </c>
    </row>
    <row r="42" spans="1:6">
      <c r="A42" s="55">
        <v>41</v>
      </c>
      <c r="B42" s="56" t="s">
        <v>388</v>
      </c>
      <c r="C42" s="57" t="s">
        <v>660</v>
      </c>
      <c r="D42" s="57" t="s">
        <v>397</v>
      </c>
      <c r="E42" s="58" t="s">
        <v>398</v>
      </c>
      <c r="F42" s="59">
        <v>2015</v>
      </c>
    </row>
    <row r="43" spans="1:6">
      <c r="A43" s="60">
        <v>42</v>
      </c>
      <c r="B43" s="61" t="s">
        <v>388</v>
      </c>
      <c r="C43" s="62" t="s">
        <v>661</v>
      </c>
      <c r="D43" s="62" t="s">
        <v>401</v>
      </c>
      <c r="E43" s="63" t="s">
        <v>402</v>
      </c>
      <c r="F43" s="64">
        <v>2010</v>
      </c>
    </row>
    <row r="44" spans="1:6">
      <c r="A44" s="55">
        <v>43</v>
      </c>
      <c r="B44" s="56" t="s">
        <v>388</v>
      </c>
      <c r="C44" s="57" t="s">
        <v>662</v>
      </c>
      <c r="D44" s="57" t="s">
        <v>405</v>
      </c>
      <c r="E44" s="58" t="s">
        <v>406</v>
      </c>
      <c r="F44" s="59">
        <v>2009</v>
      </c>
    </row>
    <row r="45" spans="1:6">
      <c r="A45" s="60">
        <v>44</v>
      </c>
      <c r="B45" s="61" t="s">
        <v>411</v>
      </c>
      <c r="C45" s="62" t="s">
        <v>663</v>
      </c>
      <c r="D45" s="62" t="s">
        <v>409</v>
      </c>
      <c r="E45" s="63" t="s">
        <v>410</v>
      </c>
      <c r="F45" s="64">
        <v>2018</v>
      </c>
    </row>
    <row r="46" spans="1:6">
      <c r="A46" s="55">
        <v>45</v>
      </c>
      <c r="B46" s="56" t="s">
        <v>411</v>
      </c>
      <c r="C46" s="57" t="s">
        <v>664</v>
      </c>
      <c r="D46" s="57" t="s">
        <v>415</v>
      </c>
      <c r="E46" s="58" t="s">
        <v>665</v>
      </c>
      <c r="F46" s="59">
        <v>2019</v>
      </c>
    </row>
    <row r="47" spans="1:6">
      <c r="A47" s="60">
        <v>46</v>
      </c>
      <c r="B47" s="61" t="s">
        <v>421</v>
      </c>
      <c r="C47" s="62" t="s">
        <v>666</v>
      </c>
      <c r="D47" s="62" t="s">
        <v>419</v>
      </c>
      <c r="E47" s="63" t="s">
        <v>420</v>
      </c>
      <c r="F47" s="64">
        <v>2019</v>
      </c>
    </row>
    <row r="48" spans="1:6">
      <c r="A48" s="55">
        <v>47</v>
      </c>
      <c r="B48" s="56" t="s">
        <v>421</v>
      </c>
      <c r="C48" s="57" t="s">
        <v>667</v>
      </c>
      <c r="D48" s="57" t="s">
        <v>423</v>
      </c>
      <c r="E48" s="58" t="s">
        <v>668</v>
      </c>
      <c r="F48" s="59">
        <v>2019</v>
      </c>
    </row>
    <row r="49" spans="1:6">
      <c r="A49" s="60">
        <v>48</v>
      </c>
      <c r="B49" s="61" t="s">
        <v>429</v>
      </c>
      <c r="C49" s="62" t="s">
        <v>669</v>
      </c>
      <c r="D49" s="62" t="s">
        <v>427</v>
      </c>
      <c r="E49" s="63" t="s">
        <v>428</v>
      </c>
      <c r="F49" s="64">
        <v>2017</v>
      </c>
    </row>
    <row r="50" spans="1:6">
      <c r="A50" s="55">
        <v>49</v>
      </c>
      <c r="B50" s="56" t="s">
        <v>438</v>
      </c>
      <c r="C50" s="57" t="s">
        <v>628</v>
      </c>
      <c r="D50" s="57" t="s">
        <v>436</v>
      </c>
      <c r="E50" s="58" t="s">
        <v>437</v>
      </c>
      <c r="F50" s="59">
        <v>2010</v>
      </c>
    </row>
    <row r="51" spans="1:6">
      <c r="A51" s="60">
        <v>50</v>
      </c>
      <c r="B51" s="61" t="s">
        <v>438</v>
      </c>
      <c r="C51" s="62" t="s">
        <v>670</v>
      </c>
      <c r="D51" s="62" t="s">
        <v>444</v>
      </c>
      <c r="E51" s="62" t="s">
        <v>445</v>
      </c>
      <c r="F51" s="64">
        <v>2019</v>
      </c>
    </row>
    <row r="52" spans="1:6">
      <c r="A52" s="55">
        <v>51</v>
      </c>
      <c r="B52" s="56" t="s">
        <v>449</v>
      </c>
      <c r="C52" s="57" t="s">
        <v>671</v>
      </c>
      <c r="D52" s="57" t="s">
        <v>447</v>
      </c>
      <c r="E52" s="58" t="s">
        <v>448</v>
      </c>
      <c r="F52" s="59">
        <v>2019</v>
      </c>
    </row>
    <row r="53" spans="1:6">
      <c r="A53" s="60">
        <v>52</v>
      </c>
      <c r="B53" s="61" t="s">
        <v>157</v>
      </c>
      <c r="C53" s="62" t="s">
        <v>672</v>
      </c>
      <c r="D53" s="62" t="s">
        <v>452</v>
      </c>
      <c r="E53" s="62" t="s">
        <v>453</v>
      </c>
      <c r="F53" s="64">
        <v>2020</v>
      </c>
    </row>
    <row r="54" spans="1:6">
      <c r="A54" s="55">
        <v>53</v>
      </c>
      <c r="B54" s="56" t="s">
        <v>461</v>
      </c>
      <c r="C54" s="57" t="s">
        <v>673</v>
      </c>
      <c r="D54" s="57" t="s">
        <v>459</v>
      </c>
      <c r="E54" s="58" t="s">
        <v>460</v>
      </c>
      <c r="F54" s="59">
        <v>2013</v>
      </c>
    </row>
    <row r="55" spans="1:6">
      <c r="A55" s="60">
        <v>54</v>
      </c>
      <c r="B55" s="61" t="s">
        <v>461</v>
      </c>
      <c r="C55" s="62" t="s">
        <v>674</v>
      </c>
      <c r="D55" s="62" t="s">
        <v>463</v>
      </c>
      <c r="E55" s="63" t="s">
        <v>464</v>
      </c>
      <c r="F55" s="64">
        <v>2012</v>
      </c>
    </row>
    <row r="56" spans="1:6">
      <c r="A56" s="55">
        <v>55</v>
      </c>
      <c r="B56" s="56" t="s">
        <v>471</v>
      </c>
      <c r="C56" s="57" t="s">
        <v>675</v>
      </c>
      <c r="D56" s="57" t="s">
        <v>469</v>
      </c>
      <c r="E56" s="58" t="s">
        <v>470</v>
      </c>
      <c r="F56" s="59">
        <v>2019</v>
      </c>
    </row>
    <row r="57" spans="1:6">
      <c r="A57" s="60">
        <v>56</v>
      </c>
      <c r="B57" s="61" t="s">
        <v>321</v>
      </c>
      <c r="C57" s="62" t="s">
        <v>676</v>
      </c>
      <c r="D57" s="62" t="s">
        <v>473</v>
      </c>
      <c r="E57" s="63" t="s">
        <v>474</v>
      </c>
      <c r="F57" s="64">
        <v>2019</v>
      </c>
    </row>
    <row r="58" spans="1:6">
      <c r="A58" s="55">
        <v>57</v>
      </c>
      <c r="B58" s="56" t="s">
        <v>479</v>
      </c>
      <c r="C58" s="57" t="s">
        <v>677</v>
      </c>
      <c r="D58" s="57" t="s">
        <v>477</v>
      </c>
      <c r="E58" s="58" t="s">
        <v>478</v>
      </c>
      <c r="F58" s="59">
        <v>2018</v>
      </c>
    </row>
    <row r="59" spans="1:6">
      <c r="A59" s="60">
        <v>58</v>
      </c>
      <c r="B59" s="61" t="s">
        <v>479</v>
      </c>
      <c r="C59" s="62" t="s">
        <v>678</v>
      </c>
      <c r="D59" s="62" t="s">
        <v>482</v>
      </c>
      <c r="E59" s="63" t="s">
        <v>483</v>
      </c>
      <c r="F59" s="64">
        <v>2020</v>
      </c>
    </row>
    <row r="60" spans="1:6">
      <c r="A60" s="55">
        <v>59</v>
      </c>
      <c r="B60" s="56" t="s">
        <v>487</v>
      </c>
      <c r="C60" s="57" t="s">
        <v>679</v>
      </c>
      <c r="D60" s="57" t="s">
        <v>485</v>
      </c>
      <c r="E60" s="58" t="s">
        <v>486</v>
      </c>
      <c r="F60" s="59">
        <v>2017</v>
      </c>
    </row>
    <row r="61" spans="1:6">
      <c r="A61" s="60">
        <v>60</v>
      </c>
      <c r="B61" s="61" t="s">
        <v>164</v>
      </c>
      <c r="C61" s="62" t="s">
        <v>680</v>
      </c>
      <c r="D61" s="62" t="s">
        <v>490</v>
      </c>
      <c r="E61" s="63" t="s">
        <v>491</v>
      </c>
      <c r="F61" s="64">
        <v>2016</v>
      </c>
    </row>
    <row r="62" spans="1:6">
      <c r="A62" s="55">
        <v>61</v>
      </c>
      <c r="B62" s="56" t="s">
        <v>164</v>
      </c>
      <c r="C62" s="57" t="s">
        <v>681</v>
      </c>
      <c r="D62" s="57" t="s">
        <v>492</v>
      </c>
      <c r="E62" s="58" t="s">
        <v>493</v>
      </c>
      <c r="F62" s="59">
        <v>2019</v>
      </c>
    </row>
    <row r="63" spans="1:6">
      <c r="A63" s="60">
        <v>62</v>
      </c>
      <c r="B63" s="61" t="s">
        <v>164</v>
      </c>
      <c r="C63" s="62" t="s">
        <v>682</v>
      </c>
      <c r="D63" s="62" t="s">
        <v>496</v>
      </c>
      <c r="E63" s="63" t="s">
        <v>497</v>
      </c>
      <c r="F63" s="64">
        <v>2016</v>
      </c>
    </row>
    <row r="64" spans="1:6">
      <c r="A64" s="55">
        <v>63</v>
      </c>
      <c r="B64" s="56" t="s">
        <v>502</v>
      </c>
      <c r="C64" s="57" t="s">
        <v>628</v>
      </c>
      <c r="D64" s="57" t="s">
        <v>500</v>
      </c>
      <c r="E64" s="58" t="s">
        <v>501</v>
      </c>
      <c r="F64" s="59">
        <v>2015</v>
      </c>
    </row>
    <row r="65" spans="1:6">
      <c r="A65" s="60">
        <v>64</v>
      </c>
      <c r="B65" s="61" t="s">
        <v>508</v>
      </c>
      <c r="C65" s="62" t="s">
        <v>683</v>
      </c>
      <c r="D65" s="62" t="s">
        <v>506</v>
      </c>
      <c r="E65" s="63" t="s">
        <v>507</v>
      </c>
      <c r="F65" s="64">
        <v>2015</v>
      </c>
    </row>
    <row r="66" spans="1:6">
      <c r="A66" s="55">
        <v>65</v>
      </c>
      <c r="B66" s="56" t="s">
        <v>513</v>
      </c>
      <c r="C66" s="57" t="s">
        <v>684</v>
      </c>
      <c r="D66" s="57" t="s">
        <v>511</v>
      </c>
      <c r="E66" s="58" t="s">
        <v>512</v>
      </c>
      <c r="F66" s="59">
        <v>2019</v>
      </c>
    </row>
    <row r="67" spans="1:6">
      <c r="A67" s="60">
        <v>66</v>
      </c>
      <c r="B67" s="61" t="s">
        <v>517</v>
      </c>
      <c r="C67" s="62" t="s">
        <v>685</v>
      </c>
      <c r="D67" s="62" t="s">
        <v>515</v>
      </c>
      <c r="E67" s="63" t="s">
        <v>516</v>
      </c>
      <c r="F67" s="64">
        <v>2013</v>
      </c>
    </row>
    <row r="68" spans="1:6">
      <c r="A68" s="55">
        <v>67</v>
      </c>
      <c r="B68" s="56" t="s">
        <v>522</v>
      </c>
      <c r="C68" s="57" t="s">
        <v>686</v>
      </c>
      <c r="D68" s="57" t="s">
        <v>520</v>
      </c>
      <c r="E68" s="58" t="s">
        <v>521</v>
      </c>
      <c r="F68" s="59">
        <v>2019</v>
      </c>
    </row>
    <row r="69" spans="1:6">
      <c r="A69" s="60">
        <v>68</v>
      </c>
      <c r="B69" s="61" t="s">
        <v>527</v>
      </c>
      <c r="C69" s="62" t="s">
        <v>687</v>
      </c>
      <c r="D69" s="62" t="s">
        <v>525</v>
      </c>
      <c r="E69" s="63" t="s">
        <v>526</v>
      </c>
      <c r="F69" s="64">
        <v>2019</v>
      </c>
    </row>
    <row r="70" spans="1:6">
      <c r="A70" s="55">
        <v>69</v>
      </c>
      <c r="B70" s="56" t="s">
        <v>531</v>
      </c>
      <c r="C70" s="57" t="s">
        <v>688</v>
      </c>
      <c r="D70" s="57" t="s">
        <v>529</v>
      </c>
      <c r="E70" s="58" t="s">
        <v>530</v>
      </c>
      <c r="F70" s="59">
        <v>2018</v>
      </c>
    </row>
    <row r="71" spans="1:6">
      <c r="A71" s="60">
        <v>70</v>
      </c>
      <c r="B71" s="61" t="s">
        <v>531</v>
      </c>
      <c r="C71" s="62" t="s">
        <v>688</v>
      </c>
      <c r="D71" s="62" t="s">
        <v>533</v>
      </c>
      <c r="E71" s="63" t="s">
        <v>534</v>
      </c>
      <c r="F71" s="64">
        <v>2019</v>
      </c>
    </row>
    <row r="72" spans="1:6">
      <c r="A72" s="55">
        <v>71</v>
      </c>
      <c r="B72" s="56" t="s">
        <v>538</v>
      </c>
      <c r="C72" s="57" t="s">
        <v>689</v>
      </c>
      <c r="D72" s="57" t="s">
        <v>536</v>
      </c>
      <c r="E72" s="58" t="s">
        <v>537</v>
      </c>
      <c r="F72" s="59">
        <v>2017</v>
      </c>
    </row>
    <row r="73" spans="1:6">
      <c r="A73" s="60">
        <v>72</v>
      </c>
      <c r="B73" s="61" t="s">
        <v>538</v>
      </c>
      <c r="C73" s="62" t="s">
        <v>690</v>
      </c>
      <c r="D73" s="62" t="s">
        <v>541</v>
      </c>
      <c r="E73" s="63" t="s">
        <v>542</v>
      </c>
      <c r="F73" s="64">
        <v>2012</v>
      </c>
    </row>
    <row r="74" spans="1:6">
      <c r="A74" s="55">
        <v>73</v>
      </c>
      <c r="B74" s="56" t="s">
        <v>538</v>
      </c>
      <c r="C74" s="57" t="s">
        <v>691</v>
      </c>
      <c r="D74" s="57" t="s">
        <v>544</v>
      </c>
      <c r="E74" s="58" t="s">
        <v>545</v>
      </c>
      <c r="F74" s="59">
        <v>2018</v>
      </c>
    </row>
    <row r="75" spans="1:6">
      <c r="A75" s="60">
        <v>74</v>
      </c>
      <c r="B75" s="61" t="s">
        <v>538</v>
      </c>
      <c r="C75" s="62" t="s">
        <v>692</v>
      </c>
      <c r="D75" s="62" t="s">
        <v>551</v>
      </c>
      <c r="E75" s="63" t="s">
        <v>552</v>
      </c>
      <c r="F75" s="64">
        <v>2016</v>
      </c>
    </row>
    <row r="76" spans="1:6">
      <c r="A76" s="55">
        <v>75</v>
      </c>
      <c r="B76" s="56" t="s">
        <v>557</v>
      </c>
      <c r="C76" s="57" t="s">
        <v>628</v>
      </c>
      <c r="D76" s="57" t="s">
        <v>555</v>
      </c>
      <c r="E76" s="58" t="s">
        <v>556</v>
      </c>
      <c r="F76" s="59">
        <v>2016</v>
      </c>
    </row>
    <row r="77" spans="1:6">
      <c r="A77" s="60">
        <v>76</v>
      </c>
      <c r="B77" s="61" t="s">
        <v>571</v>
      </c>
      <c r="C77" s="62" t="s">
        <v>693</v>
      </c>
      <c r="D77" s="62" t="s">
        <v>569</v>
      </c>
      <c r="E77" s="63" t="s">
        <v>570</v>
      </c>
      <c r="F77" s="64">
        <v>2014</v>
      </c>
    </row>
    <row r="78" spans="1:6">
      <c r="A78" s="55">
        <v>77</v>
      </c>
      <c r="B78" s="56" t="s">
        <v>571</v>
      </c>
      <c r="C78" s="57" t="s">
        <v>693</v>
      </c>
      <c r="D78" s="57" t="s">
        <v>577</v>
      </c>
      <c r="E78" s="58" t="s">
        <v>578</v>
      </c>
      <c r="F78" s="59">
        <v>2020</v>
      </c>
    </row>
    <row r="79" spans="1:6">
      <c r="A79" s="60">
        <v>78</v>
      </c>
      <c r="B79" s="61" t="s">
        <v>582</v>
      </c>
      <c r="C79" s="62" t="s">
        <v>694</v>
      </c>
      <c r="D79" s="62" t="s">
        <v>580</v>
      </c>
      <c r="E79" s="63" t="s">
        <v>581</v>
      </c>
      <c r="F79" s="64">
        <v>2013</v>
      </c>
    </row>
    <row r="80" spans="1:6">
      <c r="A80" s="55">
        <v>79</v>
      </c>
      <c r="B80" s="56" t="s">
        <v>586</v>
      </c>
      <c r="C80" s="57" t="s">
        <v>695</v>
      </c>
      <c r="D80" s="57" t="s">
        <v>584</v>
      </c>
      <c r="E80" s="58" t="s">
        <v>585</v>
      </c>
      <c r="F80" s="59">
        <v>2020</v>
      </c>
    </row>
    <row r="81" spans="1:6">
      <c r="A81" s="60">
        <v>80</v>
      </c>
      <c r="B81" s="61" t="s">
        <v>593</v>
      </c>
      <c r="C81" s="62" t="s">
        <v>696</v>
      </c>
      <c r="D81" s="62" t="s">
        <v>591</v>
      </c>
      <c r="E81" s="63" t="s">
        <v>592</v>
      </c>
      <c r="F81" s="64">
        <v>2013</v>
      </c>
    </row>
    <row r="82" spans="1:6">
      <c r="A82" s="55">
        <v>81</v>
      </c>
      <c r="B82" s="56" t="s">
        <v>598</v>
      </c>
      <c r="C82" s="57" t="s">
        <v>697</v>
      </c>
      <c r="D82" s="57" t="s">
        <v>596</v>
      </c>
      <c r="E82" s="58" t="s">
        <v>597</v>
      </c>
      <c r="F82" s="59">
        <v>2020</v>
      </c>
    </row>
    <row r="83" spans="1:6">
      <c r="A83" s="60">
        <v>82</v>
      </c>
      <c r="B83" s="61" t="s">
        <v>605</v>
      </c>
      <c r="C83" s="62" t="s">
        <v>698</v>
      </c>
      <c r="D83" s="62" t="s">
        <v>603</v>
      </c>
      <c r="E83" s="63" t="s">
        <v>604</v>
      </c>
      <c r="F83" s="64">
        <v>2010</v>
      </c>
    </row>
    <row r="84" spans="1:6">
      <c r="A84" s="55">
        <v>83</v>
      </c>
      <c r="B84" s="56" t="s">
        <v>605</v>
      </c>
      <c r="C84" s="57" t="s">
        <v>699</v>
      </c>
      <c r="D84" s="57" t="s">
        <v>608</v>
      </c>
      <c r="E84" s="58" t="s">
        <v>609</v>
      </c>
      <c r="F84" s="59">
        <v>2019</v>
      </c>
    </row>
    <row r="85" spans="1:6" ht="15" thickBot="1">
      <c r="A85" s="67">
        <v>84</v>
      </c>
      <c r="B85" s="68" t="s">
        <v>614</v>
      </c>
      <c r="C85" s="68" t="s">
        <v>700</v>
      </c>
      <c r="D85" s="68" t="s">
        <v>612</v>
      </c>
      <c r="E85" s="69" t="s">
        <v>613</v>
      </c>
      <c r="F85" s="70">
        <v>2012</v>
      </c>
    </row>
    <row r="86" spans="1:6" ht="15" thickTop="1"/>
  </sheetData>
  <hyperlinks>
    <hyperlink ref="E29" r:id="rId1" xr:uid="{AC06930E-8044-4849-BD39-5F2D83E0B53F}"/>
    <hyperlink ref="E2" r:id="rId2" xr:uid="{36ACF8B3-608D-41E7-AAB1-B9831183EED4}"/>
    <hyperlink ref="E3" r:id="rId3" xr:uid="{C7F06E6A-988C-40DE-80FD-45CBDBCFC5A8}"/>
    <hyperlink ref="E4" r:id="rId4" xr:uid="{D61C15E2-D594-4BAA-9983-BE779343C6C9}"/>
    <hyperlink ref="E5" r:id="rId5" xr:uid="{DA857E19-16D4-4FF9-BF40-A83F6938F3C0}"/>
    <hyperlink ref="E6" r:id="rId6" xr:uid="{6AEFCF0B-6CE1-45F5-9DC8-0673220CAADF}"/>
    <hyperlink ref="E7" r:id="rId7" xr:uid="{12FC63C4-E633-4418-960E-2FD0FF244D3D}"/>
    <hyperlink ref="E8" r:id="rId8" xr:uid="{0A9D541A-AE38-42C4-A81B-2C93FE5DF153}"/>
    <hyperlink ref="E9" r:id="rId9" xr:uid="{5E1797A8-5EBA-40F4-90F6-0CB748B5ED45}"/>
    <hyperlink ref="E10" r:id="rId10" xr:uid="{78641003-BC9F-46C9-B18D-3E4685D99AB2}"/>
    <hyperlink ref="E11" r:id="rId11" xr:uid="{D316BC57-0C36-4137-A5F5-79708448D975}"/>
    <hyperlink ref="E12" r:id="rId12" xr:uid="{343ACF47-F69A-4E0D-9F87-5EE46C805FE3}"/>
    <hyperlink ref="E13" r:id="rId13" xr:uid="{2D9BBD70-1B6E-4CD5-9D7B-DFE36681C20B}"/>
    <hyperlink ref="E14" r:id="rId14" xr:uid="{9284D976-CC6A-4404-896D-3FC7AD249C68}"/>
    <hyperlink ref="E15" r:id="rId15" xr:uid="{4921FCDC-A68F-4C44-B676-9133A3FB3957}"/>
    <hyperlink ref="E16" r:id="rId16" xr:uid="{F840B47C-1C8E-4DD7-A540-24AF700AA82E}"/>
    <hyperlink ref="E17" r:id="rId17" xr:uid="{EDE36705-8EC4-470D-9EA9-752DDF2154A9}"/>
    <hyperlink ref="E18" r:id="rId18" xr:uid="{C98BD2A4-8183-4ABB-AF46-9C293C262037}"/>
    <hyperlink ref="E19" r:id="rId19" xr:uid="{D0F386AF-A28D-4BB4-85E7-D51F3300306F}"/>
    <hyperlink ref="E21" r:id="rId20" xr:uid="{F6D4C3CF-C7B4-46A2-B7E8-609094925D0D}"/>
    <hyperlink ref="E22" r:id="rId21" xr:uid="{AD010316-0E22-4036-AF46-68957B7680B0}"/>
    <hyperlink ref="E23" r:id="rId22" xr:uid="{9E264C9F-D10E-466F-87FF-8B2B34ECECD4}"/>
    <hyperlink ref="E24" r:id="rId23" xr:uid="{4D7E3EDE-3C1E-4CB8-9B26-3F4771D33AFD}"/>
    <hyperlink ref="E25" r:id="rId24" xr:uid="{BD344B0F-C613-42BC-A8FE-387C5E884FC1}"/>
    <hyperlink ref="E26" r:id="rId25" xr:uid="{1442B691-BB59-44BF-B591-9B05A24CD6E8}"/>
    <hyperlink ref="E27" r:id="rId26" xr:uid="{C664D0E5-6130-4BCE-9B7D-3A24206D88B1}"/>
    <hyperlink ref="E28" r:id="rId27" xr:uid="{D3A9ABE5-6887-44A9-9A5D-B9F9F0314154}"/>
    <hyperlink ref="E30" r:id="rId28" xr:uid="{8D7448D3-313B-4BA4-ADC3-F77FBA7AAED5}"/>
    <hyperlink ref="E31" r:id="rId29" xr:uid="{DF2AFB66-E46F-4606-8004-C75EC6826804}"/>
    <hyperlink ref="E32" r:id="rId30" xr:uid="{A2A6B90B-088B-401B-BD40-73F99ED8435A}"/>
    <hyperlink ref="E33" r:id="rId31" xr:uid="{81D0E4B6-C356-44A4-BD9A-F001D402A318}"/>
    <hyperlink ref="E34" r:id="rId32" xr:uid="{E578420E-21F7-4AAD-BE0C-F9FC60773A74}"/>
    <hyperlink ref="E35" r:id="rId33" xr:uid="{1AE882B4-5FAD-4016-8D54-8F83CC07A578}"/>
    <hyperlink ref="E36" r:id="rId34" xr:uid="{BD9B6D1D-8D06-4436-84F6-D655BE53A3DC}"/>
    <hyperlink ref="E37" r:id="rId35" xr:uid="{9D9292A8-CDD6-43D0-879E-30756E9D217B}"/>
    <hyperlink ref="E38" r:id="rId36" xr:uid="{DA6C4400-D839-47EC-8E19-FEA3EB0818F8}"/>
    <hyperlink ref="E39" r:id="rId37" xr:uid="{00F087A3-AE3E-43CB-9A2C-4210EB60E672}"/>
    <hyperlink ref="E40" r:id="rId38" xr:uid="{029B46D7-7815-47E4-906B-1204626377E8}"/>
    <hyperlink ref="E41" r:id="rId39" xr:uid="{7B2D0651-68A9-4DD9-83D5-75971EB2A096}"/>
    <hyperlink ref="E42" r:id="rId40" xr:uid="{C516F1F0-2CDE-4F9F-A37C-FAB33A4626B9}"/>
    <hyperlink ref="E43" r:id="rId41" xr:uid="{5B7360B6-1250-4020-A847-8AF458EECB8E}"/>
    <hyperlink ref="E44" r:id="rId42" xr:uid="{EA82DF66-26BD-44C1-A65F-168A396B60AD}"/>
    <hyperlink ref="E45" r:id="rId43" xr:uid="{CBC9C257-1729-49C1-BC49-7E100AF1422B}"/>
    <hyperlink ref="E46" r:id="rId44" display="https://www.leket.org/en/food-waste-and-rescue-report/" xr:uid="{8775C14E-887B-459D-AB76-7D3B75B79C5B}"/>
    <hyperlink ref="E47" r:id="rId45" xr:uid="{9BD8301D-C470-463B-AC62-5820A34B7F56}"/>
    <hyperlink ref="E49" r:id="rId46" xr:uid="{EC0B6A9F-6A63-41C3-A544-DA5A5B5EF724}"/>
    <hyperlink ref="E48" r:id="rId47" xr:uid="{A1D605F8-343A-4A25-B4CC-1BAA79880AC4}"/>
    <hyperlink ref="E50" r:id="rId48" xr:uid="{ED766CB7-7082-4546-AB3A-3EDA59F60B4D}"/>
    <hyperlink ref="E52" r:id="rId49" xr:uid="{8B343A7D-8D45-4CF7-B2EE-151DD0D0A6E7}"/>
    <hyperlink ref="E54" r:id="rId50" xr:uid="{81B4BC3D-F26F-4551-9426-AE670AB3C90A}"/>
    <hyperlink ref="E55" r:id="rId51" xr:uid="{DA95580F-B121-42E1-AB60-93996C0C55ED}"/>
    <hyperlink ref="E56" r:id="rId52" xr:uid="{61B98817-CC65-49E2-BBAA-E1920EE9B753}"/>
    <hyperlink ref="E57" r:id="rId53" xr:uid="{2DCCF0F5-B266-4D80-85CD-66A4429C40D4}"/>
    <hyperlink ref="E58" r:id="rId54" xr:uid="{366D96DF-9D90-4607-8DCF-344762D64C2F}"/>
    <hyperlink ref="E59" r:id="rId55" xr:uid="{200C2DF3-DA87-408F-A1FB-0DA282643E91}"/>
    <hyperlink ref="E60" r:id="rId56" xr:uid="{22FC2B5B-C4B4-4D7F-AB39-99318F5BABF0}"/>
    <hyperlink ref="E61" r:id="rId57" xr:uid="{0A7F3C1D-D3C8-4E68-AC7E-A450A064D0DF}"/>
    <hyperlink ref="E62" r:id="rId58" xr:uid="{4EC6085F-95BA-4858-AA01-F9BFDC64DE28}"/>
    <hyperlink ref="E63" r:id="rId59" xr:uid="{E38279FB-ADF4-4D0F-A1AB-82553E6FB733}"/>
    <hyperlink ref="E64" r:id="rId60" xr:uid="{F6635E59-8A39-4793-9542-C14DC2F540A6}"/>
    <hyperlink ref="E65" r:id="rId61" xr:uid="{F7128BE7-7128-4546-8BD2-AC8FA85B2316}"/>
    <hyperlink ref="E66" r:id="rId62" xr:uid="{5AEB4365-D80F-46A9-BB58-BC21568EB1BD}"/>
    <hyperlink ref="E67" r:id="rId63" xr:uid="{73383ED4-C35E-4C49-81B0-0AB6103176D5}"/>
    <hyperlink ref="E68" r:id="rId64" xr:uid="{6362F8DB-CF5A-472A-8A2A-9DB2472573D8}"/>
    <hyperlink ref="E69" r:id="rId65" xr:uid="{9088380E-D231-4CA8-AF9A-51862D237A82}"/>
    <hyperlink ref="E71" r:id="rId66" xr:uid="{AB43DBC3-3F4E-4239-B027-1352F1FF97A5}"/>
    <hyperlink ref="E70" r:id="rId67" xr:uid="{54EE7A79-6AC8-4557-BB8E-261F2E0C6AE9}"/>
    <hyperlink ref="E72" r:id="rId68" xr:uid="{DF3CA309-BEB8-42D3-954A-1A44CC68D542}"/>
    <hyperlink ref="E74" r:id="rId69" xr:uid="{CF76A5B9-204C-47A8-8D35-01D7C470A086}"/>
    <hyperlink ref="E73" r:id="rId70" xr:uid="{AD192799-E264-4110-85EA-12F124D2ECB2}"/>
    <hyperlink ref="E75" r:id="rId71" xr:uid="{5301B730-2CF1-4E81-8757-DC0BC14309A7}"/>
    <hyperlink ref="E76" r:id="rId72" xr:uid="{F74B17A6-51B1-4EAB-9ED7-C49ECA859157}"/>
    <hyperlink ref="E77" r:id="rId73" xr:uid="{54156BC1-8267-4E3B-AC7C-693BFAA826D7}"/>
    <hyperlink ref="E78" r:id="rId74" xr:uid="{84E4CDFD-6F62-4BE2-A7CA-3624037D06D5}"/>
    <hyperlink ref="E79" r:id="rId75" xr:uid="{7B9AAB3C-D8AB-4C7A-9E05-B06BB0C61E64}"/>
    <hyperlink ref="E80" r:id="rId76" xr:uid="{7BF5AD0B-55B1-453B-B982-CC401DB55B49}"/>
    <hyperlink ref="E81" r:id="rId77" xr:uid="{C9BD7C9B-EF28-4A49-B8E2-EAAB81E8EFA7}"/>
    <hyperlink ref="E82" r:id="rId78" xr:uid="{B52FAD38-32C8-4ADA-A303-B88459F00818}"/>
    <hyperlink ref="E83" r:id="rId79" xr:uid="{D927E548-1FB5-445C-82E9-E54FCDF927A5}"/>
    <hyperlink ref="E84" r:id="rId80" xr:uid="{7979A4B1-A82C-4EC3-A199-A93AA46957F8}"/>
    <hyperlink ref="E85" r:id="rId81" xr:uid="{5C4C5F4F-348A-48A9-B6FC-34DAF8C0A931}"/>
  </hyperlinks>
  <pageMargins left="0.7" right="0.7" top="0.75" bottom="0.75" header="0.3" footer="0.3"/>
  <pageSetup paperSize="9" orientation="portrait" verticalDpi="0" r:id="rId8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AB896-2B7B-43C3-B92D-392307C9944B}">
  <sheetPr>
    <tabColor theme="9" tint="0.79998168889431442"/>
  </sheetPr>
  <dimension ref="A1:F238"/>
  <sheetViews>
    <sheetView tabSelected="1" workbookViewId="0">
      <selection activeCell="I18" sqref="I18"/>
    </sheetView>
  </sheetViews>
  <sheetFormatPr defaultRowHeight="14.45"/>
  <cols>
    <col min="1" max="6" width="23.7109375" style="175" customWidth="1"/>
  </cols>
  <sheetData>
    <row r="1" spans="1:6">
      <c r="A1" s="240" t="s">
        <v>701</v>
      </c>
      <c r="B1" s="240"/>
      <c r="C1" s="240"/>
      <c r="D1" s="240"/>
      <c r="E1" s="240"/>
      <c r="F1" s="240"/>
    </row>
    <row r="2" spans="1:6" ht="20.45">
      <c r="A2" s="169" t="s">
        <v>33</v>
      </c>
      <c r="B2" s="169" t="s">
        <v>702</v>
      </c>
      <c r="C2" s="169" t="s">
        <v>29</v>
      </c>
      <c r="D2" s="169" t="s">
        <v>703</v>
      </c>
      <c r="E2" s="169" t="s">
        <v>704</v>
      </c>
      <c r="F2" s="169" t="s">
        <v>705</v>
      </c>
    </row>
    <row r="3" spans="1:6">
      <c r="A3" s="171" t="s">
        <v>127</v>
      </c>
      <c r="B3" s="171">
        <v>36</v>
      </c>
      <c r="C3" s="171" t="s">
        <v>126</v>
      </c>
      <c r="D3" s="172">
        <v>101.6978108246626</v>
      </c>
      <c r="E3" s="172">
        <v>2563110.2657761364</v>
      </c>
      <c r="F3" s="170" t="s">
        <v>706</v>
      </c>
    </row>
    <row r="4" spans="1:6">
      <c r="A4" s="171" t="s">
        <v>127</v>
      </c>
      <c r="B4" s="171">
        <v>554</v>
      </c>
      <c r="C4" s="171" t="s">
        <v>479</v>
      </c>
      <c r="D4" s="172">
        <v>61</v>
      </c>
      <c r="E4" s="172">
        <v>291769.09999999998</v>
      </c>
      <c r="F4" s="170" t="s">
        <v>706</v>
      </c>
    </row>
    <row r="5" spans="1:6">
      <c r="A5" s="171" t="s">
        <v>707</v>
      </c>
      <c r="B5" s="171">
        <v>398</v>
      </c>
      <c r="C5" s="171" t="s">
        <v>708</v>
      </c>
      <c r="D5" s="172">
        <v>75.713119146168523</v>
      </c>
      <c r="E5" s="172">
        <v>1404584.3585282306</v>
      </c>
      <c r="F5" s="170" t="s">
        <v>709</v>
      </c>
    </row>
    <row r="6" spans="1:6">
      <c r="A6" s="171" t="s">
        <v>707</v>
      </c>
      <c r="B6" s="171">
        <v>417</v>
      </c>
      <c r="C6" s="171" t="s">
        <v>710</v>
      </c>
      <c r="D6" s="172">
        <v>91.016179554931128</v>
      </c>
      <c r="E6" s="172">
        <v>583950.70640648261</v>
      </c>
      <c r="F6" s="170" t="s">
        <v>709</v>
      </c>
    </row>
    <row r="7" spans="1:6">
      <c r="A7" s="171" t="s">
        <v>707</v>
      </c>
      <c r="B7" s="171">
        <v>762</v>
      </c>
      <c r="C7" s="171" t="s">
        <v>711</v>
      </c>
      <c r="D7" s="172">
        <v>97.222250733275928</v>
      </c>
      <c r="E7" s="172">
        <v>906208.59908486495</v>
      </c>
      <c r="F7" s="170" t="s">
        <v>709</v>
      </c>
    </row>
    <row r="8" spans="1:6">
      <c r="A8" s="171" t="s">
        <v>707</v>
      </c>
      <c r="B8" s="171">
        <v>795</v>
      </c>
      <c r="C8" s="171" t="s">
        <v>712</v>
      </c>
      <c r="D8" s="172">
        <v>75.713119146168523</v>
      </c>
      <c r="E8" s="172">
        <v>449894.92527844798</v>
      </c>
      <c r="F8" s="170" t="s">
        <v>709</v>
      </c>
    </row>
    <row r="9" spans="1:6">
      <c r="A9" s="171" t="s">
        <v>707</v>
      </c>
      <c r="B9" s="171">
        <v>860</v>
      </c>
      <c r="C9" s="171" t="s">
        <v>713</v>
      </c>
      <c r="D9" s="172">
        <v>91.016179554931128</v>
      </c>
      <c r="E9" s="172">
        <v>3001868.3292268715</v>
      </c>
      <c r="F9" s="170" t="s">
        <v>709</v>
      </c>
    </row>
    <row r="10" spans="1:6">
      <c r="A10" s="171" t="s">
        <v>233</v>
      </c>
      <c r="B10" s="171">
        <v>156</v>
      </c>
      <c r="C10" s="171" t="s">
        <v>232</v>
      </c>
      <c r="D10" s="172">
        <v>63.919134180621413</v>
      </c>
      <c r="E10" s="172">
        <v>91646212.706287846</v>
      </c>
      <c r="F10" s="170" t="s">
        <v>714</v>
      </c>
    </row>
    <row r="11" spans="1:6">
      <c r="A11" s="171" t="s">
        <v>233</v>
      </c>
      <c r="B11" s="171">
        <v>344</v>
      </c>
      <c r="C11" s="171" t="s">
        <v>715</v>
      </c>
      <c r="D11" s="172">
        <v>71.405416561062623</v>
      </c>
      <c r="E11" s="172">
        <v>530984.95863137383</v>
      </c>
      <c r="F11" s="170" t="s">
        <v>709</v>
      </c>
    </row>
    <row r="12" spans="1:6">
      <c r="A12" s="171" t="s">
        <v>233</v>
      </c>
      <c r="B12" s="171">
        <v>446</v>
      </c>
      <c r="C12" s="171" t="s">
        <v>716</v>
      </c>
      <c r="D12" s="172">
        <v>71.405416561062623</v>
      </c>
      <c r="E12" s="172">
        <v>45728.028765704505</v>
      </c>
      <c r="F12" s="170" t="s">
        <v>709</v>
      </c>
    </row>
    <row r="13" spans="1:6">
      <c r="A13" s="171" t="s">
        <v>233</v>
      </c>
      <c r="B13" s="171">
        <v>408</v>
      </c>
      <c r="C13" s="171" t="s">
        <v>717</v>
      </c>
      <c r="D13" s="172">
        <v>80.671375409647695</v>
      </c>
      <c r="E13" s="172">
        <v>2070527.6555390996</v>
      </c>
      <c r="F13" s="170" t="s">
        <v>709</v>
      </c>
    </row>
    <row r="14" spans="1:6">
      <c r="A14" s="171" t="s">
        <v>233</v>
      </c>
      <c r="B14" s="171">
        <v>392</v>
      </c>
      <c r="C14" s="171" t="s">
        <v>429</v>
      </c>
      <c r="D14" s="172">
        <v>64.321865991417496</v>
      </c>
      <c r="E14" s="172">
        <v>8159891.2162310211</v>
      </c>
      <c r="F14" s="170" t="s">
        <v>714</v>
      </c>
    </row>
    <row r="15" spans="1:6">
      <c r="A15" s="171" t="s">
        <v>233</v>
      </c>
      <c r="B15" s="171">
        <v>496</v>
      </c>
      <c r="C15" s="171" t="s">
        <v>718</v>
      </c>
      <c r="D15" s="172">
        <v>77.568339820475302</v>
      </c>
      <c r="E15" s="172">
        <v>250173.40958899696</v>
      </c>
      <c r="F15" s="170" t="s">
        <v>709</v>
      </c>
    </row>
    <row r="16" spans="1:6">
      <c r="A16" s="171" t="s">
        <v>233</v>
      </c>
      <c r="B16" s="171">
        <v>410</v>
      </c>
      <c r="C16" s="171" t="s">
        <v>719</v>
      </c>
      <c r="D16" s="172">
        <v>71.405416561062623</v>
      </c>
      <c r="E16" s="172">
        <v>3657763.8849654011</v>
      </c>
      <c r="F16" s="170" t="s">
        <v>709</v>
      </c>
    </row>
    <row r="17" spans="1:6">
      <c r="A17" s="171" t="s">
        <v>365</v>
      </c>
      <c r="B17" s="171">
        <v>112</v>
      </c>
      <c r="C17" s="171" t="s">
        <v>720</v>
      </c>
      <c r="D17" s="172">
        <v>68.380065497345115</v>
      </c>
      <c r="E17" s="172">
        <v>646355.73110710504</v>
      </c>
      <c r="F17" s="170" t="s">
        <v>709</v>
      </c>
    </row>
    <row r="18" spans="1:6">
      <c r="A18" s="171" t="s">
        <v>365</v>
      </c>
      <c r="B18" s="171">
        <v>100</v>
      </c>
      <c r="C18" s="171" t="s">
        <v>721</v>
      </c>
      <c r="D18" s="172">
        <v>68.380065497345115</v>
      </c>
      <c r="E18" s="172">
        <v>478667.2964879655</v>
      </c>
      <c r="F18" s="170" t="s">
        <v>709</v>
      </c>
    </row>
    <row r="19" spans="1:6">
      <c r="A19" s="171" t="s">
        <v>365</v>
      </c>
      <c r="B19" s="171">
        <v>203</v>
      </c>
      <c r="C19" s="171" t="s">
        <v>722</v>
      </c>
      <c r="D19" s="172">
        <v>69.868672442313738</v>
      </c>
      <c r="E19" s="172">
        <v>746840.21347037994</v>
      </c>
      <c r="F19" s="170" t="s">
        <v>709</v>
      </c>
    </row>
    <row r="20" spans="1:6">
      <c r="A20" s="171" t="s">
        <v>365</v>
      </c>
      <c r="B20" s="171">
        <v>348</v>
      </c>
      <c r="C20" s="171" t="s">
        <v>364</v>
      </c>
      <c r="D20" s="172">
        <v>93.825214899713458</v>
      </c>
      <c r="E20" s="172">
        <v>908669.05873925495</v>
      </c>
      <c r="F20" s="170" t="s">
        <v>714</v>
      </c>
    </row>
    <row r="21" spans="1:6">
      <c r="A21" s="171" t="s">
        <v>365</v>
      </c>
      <c r="B21" s="171">
        <v>616</v>
      </c>
      <c r="C21" s="171" t="s">
        <v>508</v>
      </c>
      <c r="D21" s="172">
        <v>55.940300000000001</v>
      </c>
      <c r="E21" s="172">
        <v>2119454.8983399998</v>
      </c>
      <c r="F21" s="170" t="s">
        <v>714</v>
      </c>
    </row>
    <row r="22" spans="1:6">
      <c r="A22" s="171" t="s">
        <v>365</v>
      </c>
      <c r="B22" s="171">
        <v>498</v>
      </c>
      <c r="C22" s="171" t="s">
        <v>723</v>
      </c>
      <c r="D22" s="172">
        <v>76.031595701726417</v>
      </c>
      <c r="E22" s="172">
        <v>307418.55090079043</v>
      </c>
      <c r="F22" s="170" t="s">
        <v>709</v>
      </c>
    </row>
    <row r="23" spans="1:6">
      <c r="A23" s="171" t="s">
        <v>365</v>
      </c>
      <c r="B23" s="171">
        <v>642</v>
      </c>
      <c r="C23" s="171" t="s">
        <v>724</v>
      </c>
      <c r="D23" s="172">
        <v>69.868672442313738</v>
      </c>
      <c r="E23" s="172">
        <v>1352978.8943764286</v>
      </c>
      <c r="F23" s="170" t="s">
        <v>709</v>
      </c>
    </row>
    <row r="24" spans="1:6">
      <c r="A24" s="171" t="s">
        <v>365</v>
      </c>
      <c r="B24" s="171">
        <v>643</v>
      </c>
      <c r="C24" s="171" t="s">
        <v>513</v>
      </c>
      <c r="D24" s="172">
        <v>33.375520645851665</v>
      </c>
      <c r="E24" s="172">
        <v>4868563.9603078682</v>
      </c>
      <c r="F24" s="170" t="s">
        <v>714</v>
      </c>
    </row>
    <row r="25" spans="1:6">
      <c r="A25" s="171" t="s">
        <v>365</v>
      </c>
      <c r="B25" s="171">
        <v>703</v>
      </c>
      <c r="C25" s="171" t="s">
        <v>725</v>
      </c>
      <c r="D25" s="172">
        <v>69.868672442313738</v>
      </c>
      <c r="E25" s="172">
        <v>381273.34551770607</v>
      </c>
      <c r="F25" s="170" t="s">
        <v>709</v>
      </c>
    </row>
    <row r="26" spans="1:6">
      <c r="A26" s="171" t="s">
        <v>365</v>
      </c>
      <c r="B26" s="171">
        <v>804</v>
      </c>
      <c r="C26" s="171" t="s">
        <v>726</v>
      </c>
      <c r="D26" s="172">
        <v>76.031595701726417</v>
      </c>
      <c r="E26" s="172">
        <v>3344903.6086634714</v>
      </c>
      <c r="F26" s="170" t="s">
        <v>709</v>
      </c>
    </row>
    <row r="27" spans="1:6">
      <c r="A27" s="171" t="s">
        <v>209</v>
      </c>
      <c r="B27" s="171">
        <v>660</v>
      </c>
      <c r="C27" s="171" t="s">
        <v>727</v>
      </c>
      <c r="D27" s="172" t="s">
        <v>728</v>
      </c>
      <c r="E27" s="172" t="s">
        <v>728</v>
      </c>
      <c r="F27" s="170" t="s">
        <v>729</v>
      </c>
    </row>
    <row r="28" spans="1:6">
      <c r="A28" s="171" t="s">
        <v>209</v>
      </c>
      <c r="B28" s="171">
        <v>28</v>
      </c>
      <c r="C28" s="171" t="s">
        <v>730</v>
      </c>
      <c r="D28" s="172">
        <v>73.920769675063781</v>
      </c>
      <c r="E28" s="172">
        <v>7177.7067354486926</v>
      </c>
      <c r="F28" s="170" t="s">
        <v>709</v>
      </c>
    </row>
    <row r="29" spans="1:6">
      <c r="A29" s="171" t="s">
        <v>209</v>
      </c>
      <c r="B29" s="171">
        <v>32</v>
      </c>
      <c r="C29" s="171" t="s">
        <v>731</v>
      </c>
      <c r="D29" s="172">
        <v>72.432162730095172</v>
      </c>
      <c r="E29" s="172">
        <v>3243562.9495675731</v>
      </c>
      <c r="F29" s="170" t="s">
        <v>709</v>
      </c>
    </row>
    <row r="30" spans="1:6">
      <c r="A30" s="171" t="s">
        <v>209</v>
      </c>
      <c r="B30" s="171">
        <v>533</v>
      </c>
      <c r="C30" s="171" t="s">
        <v>732</v>
      </c>
      <c r="D30" s="172">
        <v>73.920769675063781</v>
      </c>
      <c r="E30" s="172">
        <v>7857.7778164592792</v>
      </c>
      <c r="F30" s="170" t="s">
        <v>709</v>
      </c>
    </row>
    <row r="31" spans="1:6">
      <c r="A31" s="171" t="s">
        <v>209</v>
      </c>
      <c r="B31" s="171">
        <v>44</v>
      </c>
      <c r="C31" s="171" t="s">
        <v>733</v>
      </c>
      <c r="D31" s="172">
        <v>73.920769675063781</v>
      </c>
      <c r="E31" s="172">
        <v>28792.139788437344</v>
      </c>
      <c r="F31" s="170" t="s">
        <v>709</v>
      </c>
    </row>
    <row r="32" spans="1:6">
      <c r="A32" s="171" t="s">
        <v>209</v>
      </c>
      <c r="B32" s="171">
        <v>52</v>
      </c>
      <c r="C32" s="171" t="s">
        <v>734</v>
      </c>
      <c r="D32" s="172">
        <v>73.920769675063781</v>
      </c>
      <c r="E32" s="172">
        <v>21215.260896743304</v>
      </c>
      <c r="F32" s="170" t="s">
        <v>709</v>
      </c>
    </row>
    <row r="33" spans="1:6">
      <c r="A33" s="171" t="s">
        <v>209</v>
      </c>
      <c r="B33" s="171">
        <v>84</v>
      </c>
      <c r="C33" s="171" t="s">
        <v>208</v>
      </c>
      <c r="D33" s="172">
        <v>52.673888807177477</v>
      </c>
      <c r="E33" s="172">
        <v>20563.886190322086</v>
      </c>
      <c r="F33" s="170" t="s">
        <v>714</v>
      </c>
    </row>
    <row r="34" spans="1:6">
      <c r="A34" s="171" t="s">
        <v>209</v>
      </c>
      <c r="B34" s="171">
        <v>68</v>
      </c>
      <c r="C34" s="171" t="s">
        <v>735</v>
      </c>
      <c r="D34" s="172">
        <v>80.08369293447646</v>
      </c>
      <c r="E34" s="172">
        <v>922011.56512392091</v>
      </c>
      <c r="F34" s="170" t="s">
        <v>709</v>
      </c>
    </row>
    <row r="35" spans="1:6">
      <c r="A35" s="171" t="s">
        <v>209</v>
      </c>
      <c r="B35" s="171">
        <v>535</v>
      </c>
      <c r="C35" s="171" t="s">
        <v>736</v>
      </c>
      <c r="D35" s="172" t="s">
        <v>728</v>
      </c>
      <c r="E35" s="172" t="s">
        <v>728</v>
      </c>
      <c r="F35" s="170" t="s">
        <v>729</v>
      </c>
    </row>
    <row r="36" spans="1:6">
      <c r="A36" s="171" t="s">
        <v>209</v>
      </c>
      <c r="B36" s="171">
        <v>76</v>
      </c>
      <c r="C36" s="171" t="s">
        <v>221</v>
      </c>
      <c r="D36" s="172">
        <v>59.598853868194844</v>
      </c>
      <c r="E36" s="172">
        <v>12578308.309455587</v>
      </c>
      <c r="F36" s="170" t="s">
        <v>714</v>
      </c>
    </row>
    <row r="37" spans="1:6">
      <c r="A37" s="171" t="s">
        <v>209</v>
      </c>
      <c r="B37" s="171">
        <v>92</v>
      </c>
      <c r="C37" s="171" t="s">
        <v>737</v>
      </c>
      <c r="D37" s="172">
        <v>73.920769675063781</v>
      </c>
      <c r="E37" s="172">
        <v>2217.6230902519133</v>
      </c>
      <c r="F37" s="170" t="s">
        <v>709</v>
      </c>
    </row>
    <row r="38" spans="1:6">
      <c r="A38" s="171" t="s">
        <v>209</v>
      </c>
      <c r="B38" s="171">
        <v>136</v>
      </c>
      <c r="C38" s="171" t="s">
        <v>738</v>
      </c>
      <c r="D38" s="172">
        <v>73.920769675063781</v>
      </c>
      <c r="E38" s="172">
        <v>4797.4579519116396</v>
      </c>
      <c r="F38" s="170" t="s">
        <v>709</v>
      </c>
    </row>
    <row r="39" spans="1:6">
      <c r="A39" s="171" t="s">
        <v>209</v>
      </c>
      <c r="B39" s="171">
        <v>152</v>
      </c>
      <c r="C39" s="171" t="s">
        <v>739</v>
      </c>
      <c r="D39" s="172">
        <v>73.920769675063781</v>
      </c>
      <c r="E39" s="172">
        <v>1400946.4268818088</v>
      </c>
      <c r="F39" s="170" t="s">
        <v>709</v>
      </c>
    </row>
    <row r="40" spans="1:6">
      <c r="A40" s="171" t="s">
        <v>209</v>
      </c>
      <c r="B40" s="171">
        <v>170</v>
      </c>
      <c r="C40" s="171" t="s">
        <v>271</v>
      </c>
      <c r="D40" s="172">
        <v>70.431888000000001</v>
      </c>
      <c r="E40" s="172">
        <v>3545498.9827871998</v>
      </c>
      <c r="F40" s="170" t="s">
        <v>714</v>
      </c>
    </row>
    <row r="41" spans="1:6">
      <c r="A41" s="171" t="s">
        <v>209</v>
      </c>
      <c r="B41" s="171">
        <v>188</v>
      </c>
      <c r="C41" s="171" t="s">
        <v>740</v>
      </c>
      <c r="D41" s="172">
        <v>72.432162730095172</v>
      </c>
      <c r="E41" s="172">
        <v>365608.58459642838</v>
      </c>
      <c r="F41" s="170" t="s">
        <v>709</v>
      </c>
    </row>
    <row r="42" spans="1:6">
      <c r="A42" s="171" t="s">
        <v>209</v>
      </c>
      <c r="B42" s="171">
        <v>192</v>
      </c>
      <c r="C42" s="171" t="s">
        <v>741</v>
      </c>
      <c r="D42" s="172">
        <v>72.432162730095172</v>
      </c>
      <c r="E42" s="172">
        <v>820909.91630153358</v>
      </c>
      <c r="F42" s="170" t="s">
        <v>709</v>
      </c>
    </row>
    <row r="43" spans="1:6">
      <c r="A43" s="171" t="s">
        <v>209</v>
      </c>
      <c r="B43" s="171">
        <v>531</v>
      </c>
      <c r="C43" s="171" t="s">
        <v>742</v>
      </c>
      <c r="D43" s="172">
        <v>73.920769675063781</v>
      </c>
      <c r="E43" s="172">
        <v>12078.653764905421</v>
      </c>
      <c r="F43" s="170" t="s">
        <v>709</v>
      </c>
    </row>
    <row r="44" spans="1:6">
      <c r="A44" s="171" t="s">
        <v>209</v>
      </c>
      <c r="B44" s="171">
        <v>212</v>
      </c>
      <c r="C44" s="171" t="s">
        <v>743</v>
      </c>
      <c r="D44" s="172">
        <v>72.432162730095172</v>
      </c>
      <c r="E44" s="172">
        <v>5200.6292840208334</v>
      </c>
      <c r="F44" s="170" t="s">
        <v>709</v>
      </c>
    </row>
    <row r="45" spans="1:6">
      <c r="A45" s="171" t="s">
        <v>209</v>
      </c>
      <c r="B45" s="171">
        <v>214</v>
      </c>
      <c r="C45" s="171" t="s">
        <v>744</v>
      </c>
      <c r="D45" s="172">
        <v>72.432162730095172</v>
      </c>
      <c r="E45" s="172">
        <v>777848.99555849202</v>
      </c>
      <c r="F45" s="170" t="s">
        <v>709</v>
      </c>
    </row>
    <row r="46" spans="1:6">
      <c r="A46" s="171" t="s">
        <v>209</v>
      </c>
      <c r="B46" s="171">
        <v>218</v>
      </c>
      <c r="C46" s="171" t="s">
        <v>745</v>
      </c>
      <c r="D46" s="172">
        <v>72.432162730095172</v>
      </c>
      <c r="E46" s="172">
        <v>1258414.6656238544</v>
      </c>
      <c r="F46" s="170" t="s">
        <v>709</v>
      </c>
    </row>
    <row r="47" spans="1:6">
      <c r="A47" s="171" t="s">
        <v>209</v>
      </c>
      <c r="B47" s="171">
        <v>222</v>
      </c>
      <c r="C47" s="171" t="s">
        <v>746</v>
      </c>
      <c r="D47" s="172">
        <v>80.08369293447646</v>
      </c>
      <c r="E47" s="172">
        <v>516828.12072193727</v>
      </c>
      <c r="F47" s="170" t="s">
        <v>709</v>
      </c>
    </row>
    <row r="48" spans="1:6">
      <c r="A48" s="171" t="s">
        <v>209</v>
      </c>
      <c r="B48" s="171">
        <v>238</v>
      </c>
      <c r="C48" s="171" t="s">
        <v>747</v>
      </c>
      <c r="D48" s="172" t="s">
        <v>728</v>
      </c>
      <c r="E48" s="172" t="s">
        <v>728</v>
      </c>
      <c r="F48" s="170" t="s">
        <v>729</v>
      </c>
    </row>
    <row r="49" spans="1:6">
      <c r="A49" s="171" t="s">
        <v>209</v>
      </c>
      <c r="B49" s="171">
        <v>254</v>
      </c>
      <c r="C49" s="171" t="s">
        <v>748</v>
      </c>
      <c r="D49" s="172" t="s">
        <v>728</v>
      </c>
      <c r="E49" s="172" t="s">
        <v>728</v>
      </c>
      <c r="F49" s="170" t="s">
        <v>729</v>
      </c>
    </row>
    <row r="50" spans="1:6">
      <c r="A50" s="171" t="s">
        <v>209</v>
      </c>
      <c r="B50" s="171">
        <v>308</v>
      </c>
      <c r="C50" s="171" t="s">
        <v>749</v>
      </c>
      <c r="D50" s="172">
        <v>72.432162730095172</v>
      </c>
      <c r="E50" s="172">
        <v>8112.4022257706592</v>
      </c>
      <c r="F50" s="170" t="s">
        <v>709</v>
      </c>
    </row>
    <row r="51" spans="1:6">
      <c r="A51" s="171" t="s">
        <v>209</v>
      </c>
      <c r="B51" s="171">
        <v>312</v>
      </c>
      <c r="C51" s="171" t="s">
        <v>750</v>
      </c>
      <c r="D51" s="172" t="s">
        <v>728</v>
      </c>
      <c r="E51" s="172" t="s">
        <v>728</v>
      </c>
      <c r="F51" s="170" t="s">
        <v>729</v>
      </c>
    </row>
    <row r="52" spans="1:6">
      <c r="A52" s="171" t="s">
        <v>209</v>
      </c>
      <c r="B52" s="171">
        <v>320</v>
      </c>
      <c r="C52" s="171" t="s">
        <v>751</v>
      </c>
      <c r="D52" s="172">
        <v>72.432162730095172</v>
      </c>
      <c r="E52" s="172">
        <v>1273466.0690391683</v>
      </c>
      <c r="F52" s="170" t="s">
        <v>709</v>
      </c>
    </row>
    <row r="53" spans="1:6">
      <c r="A53" s="171" t="s">
        <v>209</v>
      </c>
      <c r="B53" s="171">
        <v>328</v>
      </c>
      <c r="C53" s="171" t="s">
        <v>752</v>
      </c>
      <c r="D53" s="172">
        <v>72.432162730095172</v>
      </c>
      <c r="E53" s="172">
        <v>56699.896985118503</v>
      </c>
      <c r="F53" s="170" t="s">
        <v>709</v>
      </c>
    </row>
    <row r="54" spans="1:6">
      <c r="A54" s="171" t="s">
        <v>209</v>
      </c>
      <c r="B54" s="171">
        <v>332</v>
      </c>
      <c r="C54" s="171" t="s">
        <v>753</v>
      </c>
      <c r="D54" s="172">
        <v>83.186728523648867</v>
      </c>
      <c r="E54" s="172">
        <v>936940.44203470962</v>
      </c>
      <c r="F54" s="170" t="s">
        <v>709</v>
      </c>
    </row>
    <row r="55" spans="1:6">
      <c r="A55" s="171" t="s">
        <v>209</v>
      </c>
      <c r="B55" s="171">
        <v>340</v>
      </c>
      <c r="C55" s="171" t="s">
        <v>754</v>
      </c>
      <c r="D55" s="172">
        <v>80.08369293447646</v>
      </c>
      <c r="E55" s="172">
        <v>780503.67970870098</v>
      </c>
      <c r="F55" s="170" t="s">
        <v>709</v>
      </c>
    </row>
    <row r="56" spans="1:6">
      <c r="A56" s="171" t="s">
        <v>209</v>
      </c>
      <c r="B56" s="171">
        <v>388</v>
      </c>
      <c r="C56" s="171" t="s">
        <v>755</v>
      </c>
      <c r="D56" s="172">
        <v>72.432162730095172</v>
      </c>
      <c r="E56" s="172">
        <v>213551.7453771396</v>
      </c>
      <c r="F56" s="170" t="s">
        <v>709</v>
      </c>
    </row>
    <row r="57" spans="1:6">
      <c r="A57" s="171" t="s">
        <v>209</v>
      </c>
      <c r="B57" s="171">
        <v>474</v>
      </c>
      <c r="C57" s="171" t="s">
        <v>756</v>
      </c>
      <c r="D57" s="172" t="s">
        <v>728</v>
      </c>
      <c r="E57" s="172" t="s">
        <v>728</v>
      </c>
      <c r="F57" s="170" t="s">
        <v>729</v>
      </c>
    </row>
    <row r="58" spans="1:6">
      <c r="A58" s="171" t="s">
        <v>209</v>
      </c>
      <c r="B58" s="171">
        <v>484</v>
      </c>
      <c r="C58" s="171" t="s">
        <v>471</v>
      </c>
      <c r="D58" s="172">
        <v>93.900194580714896</v>
      </c>
      <c r="E58" s="172">
        <v>11979364.273731994</v>
      </c>
      <c r="F58" s="170" t="s">
        <v>714</v>
      </c>
    </row>
    <row r="59" spans="1:6">
      <c r="A59" s="171" t="s">
        <v>209</v>
      </c>
      <c r="B59" s="171">
        <v>500</v>
      </c>
      <c r="C59" s="171" t="s">
        <v>757</v>
      </c>
      <c r="D59" s="172" t="s">
        <v>728</v>
      </c>
      <c r="E59" s="172" t="s">
        <v>728</v>
      </c>
      <c r="F59" s="170" t="s">
        <v>729</v>
      </c>
    </row>
    <row r="60" spans="1:6">
      <c r="A60" s="171" t="s">
        <v>209</v>
      </c>
      <c r="B60" s="171">
        <v>558</v>
      </c>
      <c r="C60" s="171" t="s">
        <v>758</v>
      </c>
      <c r="D60" s="172">
        <v>80.08369293447646</v>
      </c>
      <c r="E60" s="172">
        <v>524187.81210261566</v>
      </c>
      <c r="F60" s="170" t="s">
        <v>709</v>
      </c>
    </row>
    <row r="61" spans="1:6">
      <c r="A61" s="171" t="s">
        <v>209</v>
      </c>
      <c r="B61" s="171">
        <v>591</v>
      </c>
      <c r="C61" s="171" t="s">
        <v>759</v>
      </c>
      <c r="D61" s="172">
        <v>73.920769675063781</v>
      </c>
      <c r="E61" s="172">
        <v>313897.15634819085</v>
      </c>
      <c r="F61" s="170" t="s">
        <v>709</v>
      </c>
    </row>
    <row r="62" spans="1:6">
      <c r="A62" s="171" t="s">
        <v>209</v>
      </c>
      <c r="B62" s="171">
        <v>600</v>
      </c>
      <c r="C62" s="171" t="s">
        <v>760</v>
      </c>
      <c r="D62" s="172">
        <v>72.432162730095172</v>
      </c>
      <c r="E62" s="172">
        <v>510255.61356842844</v>
      </c>
      <c r="F62" s="170" t="s">
        <v>709</v>
      </c>
    </row>
    <row r="63" spans="1:6">
      <c r="A63" s="171" t="s">
        <v>209</v>
      </c>
      <c r="B63" s="171">
        <v>604</v>
      </c>
      <c r="C63" s="171" t="s">
        <v>761</v>
      </c>
      <c r="D63" s="172">
        <v>72.432162730095172</v>
      </c>
      <c r="E63" s="172">
        <v>2354805.826436759</v>
      </c>
      <c r="F63" s="170" t="s">
        <v>709</v>
      </c>
    </row>
    <row r="64" spans="1:6">
      <c r="A64" s="171" t="s">
        <v>209</v>
      </c>
      <c r="B64" s="171">
        <v>630</v>
      </c>
      <c r="C64" s="171" t="s">
        <v>762</v>
      </c>
      <c r="D64" s="172">
        <v>73.920769675063781</v>
      </c>
      <c r="E64" s="172">
        <v>216839.1857648321</v>
      </c>
      <c r="F64" s="170" t="s">
        <v>709</v>
      </c>
    </row>
    <row r="65" spans="1:6">
      <c r="A65" s="171" t="s">
        <v>209</v>
      </c>
      <c r="B65" s="171">
        <v>652</v>
      </c>
      <c r="C65" s="171" t="s">
        <v>763</v>
      </c>
      <c r="D65" s="172" t="s">
        <v>728</v>
      </c>
      <c r="E65" s="172" t="s">
        <v>728</v>
      </c>
      <c r="F65" s="170" t="s">
        <v>729</v>
      </c>
    </row>
    <row r="66" spans="1:6">
      <c r="A66" s="171" t="s">
        <v>209</v>
      </c>
      <c r="B66" s="171">
        <v>659</v>
      </c>
      <c r="C66" s="171" t="s">
        <v>764</v>
      </c>
      <c r="D66" s="172">
        <v>73.920769675063781</v>
      </c>
      <c r="E66" s="172">
        <v>3903.0166388433677</v>
      </c>
      <c r="F66" s="170" t="s">
        <v>709</v>
      </c>
    </row>
    <row r="67" spans="1:6">
      <c r="A67" s="171" t="s">
        <v>209</v>
      </c>
      <c r="B67" s="171">
        <v>662</v>
      </c>
      <c r="C67" s="171" t="s">
        <v>765</v>
      </c>
      <c r="D67" s="172">
        <v>72.432162730095172</v>
      </c>
      <c r="E67" s="172">
        <v>13240.599347061398</v>
      </c>
      <c r="F67" s="170" t="s">
        <v>709</v>
      </c>
    </row>
    <row r="68" spans="1:6">
      <c r="A68" s="171" t="s">
        <v>209</v>
      </c>
      <c r="B68" s="171">
        <v>663</v>
      </c>
      <c r="C68" s="171" t="s">
        <v>766</v>
      </c>
      <c r="D68" s="172">
        <v>73.920769675063781</v>
      </c>
      <c r="E68" s="172">
        <v>2808.9892476524237</v>
      </c>
      <c r="F68" s="170" t="s">
        <v>709</v>
      </c>
    </row>
    <row r="69" spans="1:6">
      <c r="A69" s="171" t="s">
        <v>209</v>
      </c>
      <c r="B69" s="171">
        <v>670</v>
      </c>
      <c r="C69" s="171" t="s">
        <v>767</v>
      </c>
      <c r="D69" s="172">
        <v>72.432162730095172</v>
      </c>
      <c r="E69" s="172">
        <v>8010.9971979485254</v>
      </c>
      <c r="F69" s="170" t="s">
        <v>709</v>
      </c>
    </row>
    <row r="70" spans="1:6">
      <c r="A70" s="171" t="s">
        <v>209</v>
      </c>
      <c r="B70" s="171">
        <v>534</v>
      </c>
      <c r="C70" s="171" t="s">
        <v>768</v>
      </c>
      <c r="D70" s="172">
        <v>73.920769675063781</v>
      </c>
      <c r="E70" s="172">
        <v>3134.2406342227046</v>
      </c>
      <c r="F70" s="170" t="s">
        <v>709</v>
      </c>
    </row>
    <row r="71" spans="1:6">
      <c r="A71" s="171" t="s">
        <v>209</v>
      </c>
      <c r="B71" s="171">
        <v>740</v>
      </c>
      <c r="C71" s="171" t="s">
        <v>769</v>
      </c>
      <c r="D71" s="172">
        <v>72.432162730095172</v>
      </c>
      <c r="E71" s="172">
        <v>42112.059411277332</v>
      </c>
      <c r="F71" s="170" t="s">
        <v>709</v>
      </c>
    </row>
    <row r="72" spans="1:6">
      <c r="A72" s="171" t="s">
        <v>209</v>
      </c>
      <c r="B72" s="171">
        <v>780</v>
      </c>
      <c r="C72" s="171" t="s">
        <v>770</v>
      </c>
      <c r="D72" s="172">
        <v>73.920769675063781</v>
      </c>
      <c r="E72" s="172">
        <v>103119.47369671398</v>
      </c>
      <c r="F72" s="170" t="s">
        <v>709</v>
      </c>
    </row>
    <row r="73" spans="1:6">
      <c r="A73" s="171" t="s">
        <v>209</v>
      </c>
      <c r="B73" s="171">
        <v>796</v>
      </c>
      <c r="C73" s="171" t="s">
        <v>771</v>
      </c>
      <c r="D73" s="172">
        <v>73.920769675063781</v>
      </c>
      <c r="E73" s="172">
        <v>2823.7734015874366</v>
      </c>
      <c r="F73" s="170" t="s">
        <v>709</v>
      </c>
    </row>
    <row r="74" spans="1:6">
      <c r="A74" s="171" t="s">
        <v>209</v>
      </c>
      <c r="B74" s="171">
        <v>850</v>
      </c>
      <c r="C74" s="171" t="s">
        <v>772</v>
      </c>
      <c r="D74" s="172">
        <v>73.920769675063781</v>
      </c>
      <c r="E74" s="172">
        <v>7732.1125080116717</v>
      </c>
      <c r="F74" s="170" t="s">
        <v>709</v>
      </c>
    </row>
    <row r="75" spans="1:6">
      <c r="A75" s="171" t="s">
        <v>209</v>
      </c>
      <c r="B75" s="171">
        <v>858</v>
      </c>
      <c r="C75" s="171" t="s">
        <v>773</v>
      </c>
      <c r="D75" s="172">
        <v>73.920769675063781</v>
      </c>
      <c r="E75" s="172">
        <v>255891.52838416828</v>
      </c>
      <c r="F75" s="170" t="s">
        <v>709</v>
      </c>
    </row>
    <row r="76" spans="1:6">
      <c r="A76" s="171" t="s">
        <v>209</v>
      </c>
      <c r="B76" s="171">
        <v>862</v>
      </c>
      <c r="C76" s="171" t="s">
        <v>774</v>
      </c>
      <c r="D76" s="172">
        <v>72.432162730095172</v>
      </c>
      <c r="E76" s="172">
        <v>2065461.0659788479</v>
      </c>
      <c r="F76" s="170" t="s">
        <v>709</v>
      </c>
    </row>
    <row r="77" spans="1:6">
      <c r="A77" s="171" t="s">
        <v>775</v>
      </c>
      <c r="B77" s="171">
        <v>242</v>
      </c>
      <c r="C77" s="171" t="s">
        <v>776</v>
      </c>
      <c r="D77" s="172">
        <v>75.713119146168523</v>
      </c>
      <c r="E77" s="172">
        <v>67384.67604008998</v>
      </c>
      <c r="F77" s="170" t="s">
        <v>709</v>
      </c>
    </row>
    <row r="78" spans="1:6">
      <c r="A78" s="171" t="s">
        <v>775</v>
      </c>
      <c r="B78" s="171">
        <v>540</v>
      </c>
      <c r="C78" s="171" t="s">
        <v>777</v>
      </c>
      <c r="D78" s="172">
        <v>78.69033303610577</v>
      </c>
      <c r="E78" s="172">
        <v>22253.626182610715</v>
      </c>
      <c r="F78" s="170" t="s">
        <v>709</v>
      </c>
    </row>
    <row r="79" spans="1:6">
      <c r="A79" s="171" t="s">
        <v>775</v>
      </c>
      <c r="B79" s="171">
        <v>598</v>
      </c>
      <c r="C79" s="171" t="s">
        <v>778</v>
      </c>
      <c r="D79" s="172">
        <v>91.016179554931128</v>
      </c>
      <c r="E79" s="172">
        <v>798767.09339203103</v>
      </c>
      <c r="F79" s="170" t="s">
        <v>709</v>
      </c>
    </row>
    <row r="80" spans="1:6">
      <c r="A80" s="171" t="s">
        <v>775</v>
      </c>
      <c r="B80" s="171">
        <v>90</v>
      </c>
      <c r="C80" s="171" t="s">
        <v>779</v>
      </c>
      <c r="D80" s="172">
        <v>91.016179554931128</v>
      </c>
      <c r="E80" s="172">
        <v>60962.637065892864</v>
      </c>
      <c r="F80" s="170" t="s">
        <v>709</v>
      </c>
    </row>
    <row r="81" spans="1:6">
      <c r="A81" s="171" t="s">
        <v>775</v>
      </c>
      <c r="B81" s="171">
        <v>548</v>
      </c>
      <c r="C81" s="171" t="s">
        <v>780</v>
      </c>
      <c r="D81" s="172">
        <v>91.016179554931128</v>
      </c>
      <c r="E81" s="172">
        <v>27295.752248523848</v>
      </c>
      <c r="F81" s="170" t="s">
        <v>709</v>
      </c>
    </row>
    <row r="82" spans="1:6">
      <c r="A82" s="171" t="s">
        <v>781</v>
      </c>
      <c r="B82" s="171">
        <v>316</v>
      </c>
      <c r="C82" s="171" t="s">
        <v>782</v>
      </c>
      <c r="D82" s="172">
        <v>78.69033303610577</v>
      </c>
      <c r="E82" s="172">
        <v>13164.892716940496</v>
      </c>
      <c r="F82" s="170" t="s">
        <v>709</v>
      </c>
    </row>
    <row r="83" spans="1:6">
      <c r="A83" s="171" t="s">
        <v>781</v>
      </c>
      <c r="B83" s="171">
        <v>296</v>
      </c>
      <c r="C83" s="171" t="s">
        <v>783</v>
      </c>
      <c r="D83" s="172">
        <v>91.016179554931128</v>
      </c>
      <c r="E83" s="172">
        <v>10703.502715659901</v>
      </c>
      <c r="F83" s="170" t="s">
        <v>709</v>
      </c>
    </row>
    <row r="84" spans="1:6">
      <c r="A84" s="171" t="s">
        <v>781</v>
      </c>
      <c r="B84" s="171">
        <v>584</v>
      </c>
      <c r="C84" s="171" t="s">
        <v>784</v>
      </c>
      <c r="D84" s="172">
        <v>75.713119146168523</v>
      </c>
      <c r="E84" s="172">
        <v>4451.9314057947086</v>
      </c>
      <c r="F84" s="170" t="s">
        <v>709</v>
      </c>
    </row>
    <row r="85" spans="1:6">
      <c r="A85" s="171" t="s">
        <v>781</v>
      </c>
      <c r="B85" s="171">
        <v>583</v>
      </c>
      <c r="C85" s="171" t="s">
        <v>785</v>
      </c>
      <c r="D85" s="172">
        <v>91.016179554931128</v>
      </c>
      <c r="E85" s="172">
        <v>10357.641233351162</v>
      </c>
      <c r="F85" s="170" t="s">
        <v>709</v>
      </c>
    </row>
    <row r="86" spans="1:6">
      <c r="A86" s="171" t="s">
        <v>781</v>
      </c>
      <c r="B86" s="171">
        <v>520</v>
      </c>
      <c r="C86" s="171" t="s">
        <v>786</v>
      </c>
      <c r="D86" s="172">
        <v>78.69033303610577</v>
      </c>
      <c r="E86" s="172">
        <v>849.85559678994241</v>
      </c>
      <c r="F86" s="170" t="s">
        <v>709</v>
      </c>
    </row>
    <row r="87" spans="1:6">
      <c r="A87" s="171" t="s">
        <v>781</v>
      </c>
      <c r="B87" s="171">
        <v>580</v>
      </c>
      <c r="C87" s="171" t="s">
        <v>787</v>
      </c>
      <c r="D87" s="172">
        <v>78.69033303610577</v>
      </c>
      <c r="E87" s="172">
        <v>4501.0870496652497</v>
      </c>
      <c r="F87" s="170" t="s">
        <v>709</v>
      </c>
    </row>
    <row r="88" spans="1:6">
      <c r="A88" s="171" t="s">
        <v>781</v>
      </c>
      <c r="B88" s="171">
        <v>585</v>
      </c>
      <c r="C88" s="171" t="s">
        <v>788</v>
      </c>
      <c r="D88" s="172">
        <v>78.69033303610577</v>
      </c>
      <c r="E88" s="172">
        <v>1416.4259946499039</v>
      </c>
      <c r="F88" s="170" t="s">
        <v>709</v>
      </c>
    </row>
    <row r="89" spans="1:6">
      <c r="A89" s="171" t="s">
        <v>789</v>
      </c>
      <c r="B89" s="171">
        <v>12</v>
      </c>
      <c r="C89" s="171" t="s">
        <v>790</v>
      </c>
      <c r="D89" s="172">
        <v>91.016179554931128</v>
      </c>
      <c r="E89" s="172">
        <v>3918528.6799964053</v>
      </c>
      <c r="F89" s="170" t="s">
        <v>709</v>
      </c>
    </row>
    <row r="90" spans="1:6">
      <c r="A90" s="171" t="s">
        <v>789</v>
      </c>
      <c r="B90" s="171">
        <v>818</v>
      </c>
      <c r="C90" s="171" t="s">
        <v>791</v>
      </c>
      <c r="D90" s="172">
        <v>91.016179554931128</v>
      </c>
      <c r="E90" s="172">
        <v>9136941.3347783815</v>
      </c>
      <c r="F90" s="170" t="s">
        <v>709</v>
      </c>
    </row>
    <row r="91" spans="1:6">
      <c r="A91" s="171" t="s">
        <v>789</v>
      </c>
      <c r="B91" s="171">
        <v>434</v>
      </c>
      <c r="C91" s="171" t="s">
        <v>792</v>
      </c>
      <c r="D91" s="172">
        <v>75.713119146168523</v>
      </c>
      <c r="E91" s="172">
        <v>513145.66501315718</v>
      </c>
      <c r="F91" s="170" t="s">
        <v>709</v>
      </c>
    </row>
    <row r="92" spans="1:6">
      <c r="A92" s="171" t="s">
        <v>789</v>
      </c>
      <c r="B92" s="171">
        <v>504</v>
      </c>
      <c r="C92" s="171" t="s">
        <v>793</v>
      </c>
      <c r="D92" s="172">
        <v>91.016179554931128</v>
      </c>
      <c r="E92" s="172">
        <v>3319523.897491537</v>
      </c>
      <c r="F92" s="170" t="s">
        <v>709</v>
      </c>
    </row>
    <row r="93" spans="1:6">
      <c r="A93" s="171" t="s">
        <v>789</v>
      </c>
      <c r="B93" s="171">
        <v>729</v>
      </c>
      <c r="C93" s="171" t="s">
        <v>794</v>
      </c>
      <c r="D93" s="172">
        <v>97.222250733275928</v>
      </c>
      <c r="E93" s="172">
        <v>4162395.6650938885</v>
      </c>
      <c r="F93" s="170" t="s">
        <v>709</v>
      </c>
    </row>
    <row r="94" spans="1:6">
      <c r="A94" s="171" t="s">
        <v>789</v>
      </c>
      <c r="B94" s="171">
        <v>788</v>
      </c>
      <c r="C94" s="171" t="s">
        <v>795</v>
      </c>
      <c r="D94" s="172">
        <v>91.016179554931128</v>
      </c>
      <c r="E94" s="172">
        <v>1064406.915041053</v>
      </c>
      <c r="F94" s="170" t="s">
        <v>709</v>
      </c>
    </row>
    <row r="95" spans="1:6">
      <c r="A95" s="171" t="s">
        <v>789</v>
      </c>
      <c r="B95" s="171">
        <v>732</v>
      </c>
      <c r="C95" s="171" t="s">
        <v>796</v>
      </c>
      <c r="D95" s="172" t="s">
        <v>728</v>
      </c>
      <c r="E95" s="172" t="s">
        <v>728</v>
      </c>
      <c r="F95" s="170" t="s">
        <v>729</v>
      </c>
    </row>
    <row r="96" spans="1:6">
      <c r="A96" s="171" t="s">
        <v>227</v>
      </c>
      <c r="B96" s="171">
        <v>60</v>
      </c>
      <c r="C96" s="171" t="s">
        <v>797</v>
      </c>
      <c r="D96" s="172">
        <v>73.688879646838529</v>
      </c>
      <c r="E96" s="172">
        <v>4605.5549779274079</v>
      </c>
      <c r="F96" s="170" t="s">
        <v>709</v>
      </c>
    </row>
    <row r="97" spans="1:6">
      <c r="A97" s="171" t="s">
        <v>227</v>
      </c>
      <c r="B97" s="171">
        <v>124</v>
      </c>
      <c r="C97" s="171" t="s">
        <v>226</v>
      </c>
      <c r="D97" s="172">
        <v>78.541621323468746</v>
      </c>
      <c r="E97" s="172">
        <v>2938320.5953322891</v>
      </c>
      <c r="F97" s="170" t="s">
        <v>706</v>
      </c>
    </row>
    <row r="98" spans="1:6">
      <c r="A98" s="171" t="s">
        <v>227</v>
      </c>
      <c r="B98" s="171">
        <v>304</v>
      </c>
      <c r="C98" s="171" t="s">
        <v>798</v>
      </c>
      <c r="D98" s="172">
        <v>73.688879646838529</v>
      </c>
      <c r="E98" s="172">
        <v>4178.1594759757445</v>
      </c>
      <c r="F98" s="170" t="s">
        <v>709</v>
      </c>
    </row>
    <row r="99" spans="1:6">
      <c r="A99" s="171" t="s">
        <v>227</v>
      </c>
      <c r="B99" s="171">
        <v>666</v>
      </c>
      <c r="C99" s="171" t="s">
        <v>799</v>
      </c>
      <c r="D99" s="172" t="s">
        <v>728</v>
      </c>
      <c r="E99" s="172" t="s">
        <v>728</v>
      </c>
      <c r="F99" s="170" t="s">
        <v>729</v>
      </c>
    </row>
    <row r="100" spans="1:6">
      <c r="A100" s="171" t="s">
        <v>227</v>
      </c>
      <c r="B100" s="171">
        <v>840</v>
      </c>
      <c r="C100" s="171" t="s">
        <v>598</v>
      </c>
      <c r="D100" s="172">
        <v>58.833231191673804</v>
      </c>
      <c r="E100" s="172">
        <v>19359951.338765021</v>
      </c>
      <c r="F100" s="170" t="s">
        <v>706</v>
      </c>
    </row>
    <row r="101" spans="1:6">
      <c r="A101" s="171" t="s">
        <v>155</v>
      </c>
      <c r="B101" s="171">
        <v>208</v>
      </c>
      <c r="C101" s="171" t="s">
        <v>278</v>
      </c>
      <c r="D101" s="172">
        <v>81.333527554384801</v>
      </c>
      <c r="E101" s="172">
        <v>469448.98769115366</v>
      </c>
      <c r="F101" s="170" t="s">
        <v>706</v>
      </c>
    </row>
    <row r="102" spans="1:6">
      <c r="A102" s="171" t="s">
        <v>155</v>
      </c>
      <c r="B102" s="171">
        <v>233</v>
      </c>
      <c r="C102" s="171" t="s">
        <v>154</v>
      </c>
      <c r="D102" s="172">
        <v>77.507163323782237</v>
      </c>
      <c r="E102" s="172">
        <v>102743.49570200573</v>
      </c>
      <c r="F102" s="170" t="s">
        <v>714</v>
      </c>
    </row>
    <row r="103" spans="1:6">
      <c r="A103" s="171" t="s">
        <v>155</v>
      </c>
      <c r="B103" s="171">
        <v>234</v>
      </c>
      <c r="C103" s="171" t="s">
        <v>800</v>
      </c>
      <c r="D103" s="172">
        <v>76.185479353763768</v>
      </c>
      <c r="E103" s="172">
        <v>3710.2328445282956</v>
      </c>
      <c r="F103" s="170" t="s">
        <v>801</v>
      </c>
    </row>
    <row r="104" spans="1:6">
      <c r="A104" s="171" t="s">
        <v>155</v>
      </c>
      <c r="B104" s="171">
        <v>246</v>
      </c>
      <c r="C104" s="171" t="s">
        <v>313</v>
      </c>
      <c r="D104" s="172">
        <v>65.423688821785305</v>
      </c>
      <c r="E104" s="172">
        <v>361936.93129988067</v>
      </c>
      <c r="F104" s="170" t="s">
        <v>714</v>
      </c>
    </row>
    <row r="105" spans="1:6">
      <c r="A105" s="171" t="s">
        <v>155</v>
      </c>
      <c r="B105" s="171">
        <v>352</v>
      </c>
      <c r="C105" s="171" t="s">
        <v>802</v>
      </c>
      <c r="D105" s="172">
        <v>76.185479353763768</v>
      </c>
      <c r="E105" s="172">
        <v>25826.877500925919</v>
      </c>
      <c r="F105" s="170" t="s">
        <v>801</v>
      </c>
    </row>
    <row r="106" spans="1:6">
      <c r="A106" s="171" t="s">
        <v>155</v>
      </c>
      <c r="B106" s="171">
        <v>372</v>
      </c>
      <c r="C106" s="171" t="s">
        <v>318</v>
      </c>
      <c r="D106" s="172">
        <v>54.7</v>
      </c>
      <c r="E106" s="172">
        <v>267072.75</v>
      </c>
      <c r="F106" s="170" t="s">
        <v>714</v>
      </c>
    </row>
    <row r="107" spans="1:6">
      <c r="A107" s="171" t="s">
        <v>155</v>
      </c>
      <c r="B107" s="171">
        <v>833</v>
      </c>
      <c r="C107" s="171" t="s">
        <v>803</v>
      </c>
      <c r="D107" s="172">
        <v>76.185479353763768</v>
      </c>
      <c r="E107" s="172">
        <v>6445.291553328414</v>
      </c>
      <c r="F107" s="170" t="s">
        <v>801</v>
      </c>
    </row>
    <row r="108" spans="1:6">
      <c r="A108" s="171" t="s">
        <v>155</v>
      </c>
      <c r="B108" s="171">
        <v>428</v>
      </c>
      <c r="C108" s="171" t="s">
        <v>804</v>
      </c>
      <c r="D108" s="172">
        <v>76.185479353763768</v>
      </c>
      <c r="E108" s="172">
        <v>145262.85348382135</v>
      </c>
      <c r="F108" s="170" t="s">
        <v>801</v>
      </c>
    </row>
    <row r="109" spans="1:6">
      <c r="A109" s="171" t="s">
        <v>155</v>
      </c>
      <c r="B109" s="171">
        <v>440</v>
      </c>
      <c r="C109" s="171" t="s">
        <v>805</v>
      </c>
      <c r="D109" s="172">
        <v>76.185479353763768</v>
      </c>
      <c r="E109" s="172">
        <v>210241.4488246465</v>
      </c>
      <c r="F109" s="170" t="s">
        <v>801</v>
      </c>
    </row>
    <row r="110" spans="1:6">
      <c r="A110" s="171" t="s">
        <v>155</v>
      </c>
      <c r="B110" s="171">
        <v>578</v>
      </c>
      <c r="C110" s="171" t="s">
        <v>164</v>
      </c>
      <c r="D110" s="172">
        <v>78.8</v>
      </c>
      <c r="E110" s="172">
        <v>423857.32</v>
      </c>
      <c r="F110" s="170" t="s">
        <v>706</v>
      </c>
    </row>
    <row r="111" spans="1:6">
      <c r="A111" s="171" t="s">
        <v>155</v>
      </c>
      <c r="B111" s="171">
        <v>752</v>
      </c>
      <c r="C111" s="171" t="s">
        <v>571</v>
      </c>
      <c r="D111" s="172">
        <v>81</v>
      </c>
      <c r="E111" s="172">
        <v>812948.4</v>
      </c>
      <c r="F111" s="170" t="s">
        <v>706</v>
      </c>
    </row>
    <row r="112" spans="1:6">
      <c r="A112" s="171" t="s">
        <v>155</v>
      </c>
      <c r="B112" s="171">
        <v>826</v>
      </c>
      <c r="C112" s="171" t="s">
        <v>806</v>
      </c>
      <c r="D112" s="172">
        <v>77</v>
      </c>
      <c r="E112" s="172">
        <v>5199825.4000000004</v>
      </c>
      <c r="F112" s="170" t="s">
        <v>706</v>
      </c>
    </row>
    <row r="113" spans="1:6">
      <c r="A113" s="171" t="s">
        <v>807</v>
      </c>
      <c r="B113" s="171">
        <v>16</v>
      </c>
      <c r="C113" s="171" t="s">
        <v>808</v>
      </c>
      <c r="D113" s="172">
        <v>75.713119146168523</v>
      </c>
      <c r="E113" s="172">
        <v>4186.9354887831196</v>
      </c>
      <c r="F113" s="170" t="s">
        <v>709</v>
      </c>
    </row>
    <row r="114" spans="1:6">
      <c r="A114" s="171" t="s">
        <v>807</v>
      </c>
      <c r="B114" s="171">
        <v>184</v>
      </c>
      <c r="C114" s="171" t="s">
        <v>809</v>
      </c>
      <c r="D114" s="172" t="s">
        <v>728</v>
      </c>
      <c r="E114" s="172" t="s">
        <v>728</v>
      </c>
      <c r="F114" s="170" t="s">
        <v>729</v>
      </c>
    </row>
    <row r="115" spans="1:6">
      <c r="A115" s="171" t="s">
        <v>807</v>
      </c>
      <c r="B115" s="171">
        <v>258</v>
      </c>
      <c r="C115" s="171" t="s">
        <v>810</v>
      </c>
      <c r="D115" s="172">
        <v>78.69033303610577</v>
      </c>
      <c r="E115" s="172">
        <v>21978.21001698434</v>
      </c>
      <c r="F115" s="170" t="s">
        <v>709</v>
      </c>
    </row>
    <row r="116" spans="1:6">
      <c r="A116" s="171" t="s">
        <v>807</v>
      </c>
      <c r="B116" s="171">
        <v>570</v>
      </c>
      <c r="C116" s="171" t="s">
        <v>811</v>
      </c>
      <c r="D116" s="172" t="s">
        <v>728</v>
      </c>
      <c r="E116" s="172" t="s">
        <v>728</v>
      </c>
      <c r="F116" s="170" t="s">
        <v>729</v>
      </c>
    </row>
    <row r="117" spans="1:6">
      <c r="A117" s="171" t="s">
        <v>807</v>
      </c>
      <c r="B117" s="171">
        <v>882</v>
      </c>
      <c r="C117" s="171" t="s">
        <v>812</v>
      </c>
      <c r="D117" s="172">
        <v>75.713119146168523</v>
      </c>
      <c r="E117" s="172">
        <v>14923.055783709817</v>
      </c>
      <c r="F117" s="170" t="s">
        <v>709</v>
      </c>
    </row>
    <row r="118" spans="1:6">
      <c r="A118" s="171" t="s">
        <v>807</v>
      </c>
      <c r="B118" s="171">
        <v>772</v>
      </c>
      <c r="C118" s="171" t="s">
        <v>813</v>
      </c>
      <c r="D118" s="172" t="s">
        <v>728</v>
      </c>
      <c r="E118" s="172" t="s">
        <v>728</v>
      </c>
      <c r="F118" s="170" t="s">
        <v>729</v>
      </c>
    </row>
    <row r="119" spans="1:6">
      <c r="A119" s="171" t="s">
        <v>807</v>
      </c>
      <c r="B119" s="171">
        <v>776</v>
      </c>
      <c r="C119" s="171" t="s">
        <v>814</v>
      </c>
      <c r="D119" s="172">
        <v>75.713119146168523</v>
      </c>
      <c r="E119" s="172">
        <v>7912.0209507746113</v>
      </c>
      <c r="F119" s="170" t="s">
        <v>709</v>
      </c>
    </row>
    <row r="120" spans="1:6">
      <c r="A120" s="171" t="s">
        <v>807</v>
      </c>
      <c r="B120" s="171">
        <v>798</v>
      </c>
      <c r="C120" s="171" t="s">
        <v>815</v>
      </c>
      <c r="D120" s="172">
        <v>75.713119146168523</v>
      </c>
      <c r="E120" s="172">
        <v>878.27218209555485</v>
      </c>
      <c r="F120" s="170" t="s">
        <v>709</v>
      </c>
    </row>
    <row r="121" spans="1:6">
      <c r="A121" s="171" t="s">
        <v>807</v>
      </c>
      <c r="B121" s="171">
        <v>876</v>
      </c>
      <c r="C121" s="171" t="s">
        <v>816</v>
      </c>
      <c r="D121" s="172" t="s">
        <v>728</v>
      </c>
      <c r="E121" s="172" t="s">
        <v>728</v>
      </c>
      <c r="F121" s="170" t="s">
        <v>729</v>
      </c>
    </row>
    <row r="122" spans="1:6">
      <c r="A122" s="171" t="s">
        <v>383</v>
      </c>
      <c r="B122" s="171">
        <v>96</v>
      </c>
      <c r="C122" s="171" t="s">
        <v>817</v>
      </c>
      <c r="D122" s="172">
        <v>80.17420344001772</v>
      </c>
      <c r="E122" s="172">
        <v>34739.48235055968</v>
      </c>
      <c r="F122" s="170" t="s">
        <v>709</v>
      </c>
    </row>
    <row r="123" spans="1:6">
      <c r="A123" s="171" t="s">
        <v>383</v>
      </c>
      <c r="B123" s="171">
        <v>116</v>
      </c>
      <c r="C123" s="171" t="s">
        <v>818</v>
      </c>
      <c r="D123" s="172">
        <v>86.337126699430399</v>
      </c>
      <c r="E123" s="172">
        <v>1423397.0393301591</v>
      </c>
      <c r="F123" s="170" t="s">
        <v>709</v>
      </c>
    </row>
    <row r="124" spans="1:6">
      <c r="A124" s="171" t="s">
        <v>383</v>
      </c>
      <c r="B124" s="171">
        <v>360</v>
      </c>
      <c r="C124" s="171" t="s">
        <v>382</v>
      </c>
      <c r="D124" s="172">
        <v>77.369811750000011</v>
      </c>
      <c r="E124" s="172">
        <v>20938251.726730805</v>
      </c>
      <c r="F124" s="170" t="s">
        <v>714</v>
      </c>
    </row>
    <row r="125" spans="1:6">
      <c r="A125" s="171" t="s">
        <v>383</v>
      </c>
      <c r="B125" s="171">
        <v>418</v>
      </c>
      <c r="C125" s="171" t="s">
        <v>819</v>
      </c>
      <c r="D125" s="172">
        <v>86.337126699430399</v>
      </c>
      <c r="E125" s="172">
        <v>618994.02987156634</v>
      </c>
      <c r="F125" s="170" t="s">
        <v>709</v>
      </c>
    </row>
    <row r="126" spans="1:6">
      <c r="A126" s="171" t="s">
        <v>383</v>
      </c>
      <c r="B126" s="171">
        <v>458</v>
      </c>
      <c r="C126" s="171" t="s">
        <v>461</v>
      </c>
      <c r="D126" s="172">
        <v>91.442717194288974</v>
      </c>
      <c r="E126" s="172">
        <v>2921576.5258140941</v>
      </c>
      <c r="F126" s="170" t="s">
        <v>714</v>
      </c>
    </row>
    <row r="127" spans="1:6">
      <c r="A127" s="171" t="s">
        <v>383</v>
      </c>
      <c r="B127" s="171">
        <v>104</v>
      </c>
      <c r="C127" s="171" t="s">
        <v>820</v>
      </c>
      <c r="D127" s="172">
        <v>86.337126699430399</v>
      </c>
      <c r="E127" s="172">
        <v>4666124.5473213959</v>
      </c>
      <c r="F127" s="170" t="s">
        <v>709</v>
      </c>
    </row>
    <row r="128" spans="1:6">
      <c r="A128" s="171" t="s">
        <v>383</v>
      </c>
      <c r="B128" s="171">
        <v>608</v>
      </c>
      <c r="C128" s="171" t="s">
        <v>821</v>
      </c>
      <c r="D128" s="172">
        <v>86.337126699430399</v>
      </c>
      <c r="E128" s="172">
        <v>9334476.5925116371</v>
      </c>
      <c r="F128" s="170" t="s">
        <v>709</v>
      </c>
    </row>
    <row r="129" spans="1:6">
      <c r="A129" s="171" t="s">
        <v>383</v>
      </c>
      <c r="B129" s="171">
        <v>702</v>
      </c>
      <c r="C129" s="171" t="s">
        <v>822</v>
      </c>
      <c r="D129" s="172">
        <v>80.17420344001772</v>
      </c>
      <c r="E129" s="172">
        <v>465355.12902689487</v>
      </c>
      <c r="F129" s="170" t="s">
        <v>709</v>
      </c>
    </row>
    <row r="130" spans="1:6">
      <c r="A130" s="171" t="s">
        <v>383</v>
      </c>
      <c r="B130" s="171">
        <v>764</v>
      </c>
      <c r="C130" s="171" t="s">
        <v>823</v>
      </c>
      <c r="D130" s="172">
        <v>78.685596495049097</v>
      </c>
      <c r="E130" s="172">
        <v>5478531.8673256906</v>
      </c>
      <c r="F130" s="170" t="s">
        <v>709</v>
      </c>
    </row>
    <row r="131" spans="1:6">
      <c r="A131" s="171" t="s">
        <v>383</v>
      </c>
      <c r="B131" s="171">
        <v>626</v>
      </c>
      <c r="C131" s="171" t="s">
        <v>824</v>
      </c>
      <c r="D131" s="172">
        <v>86.337126699430399</v>
      </c>
      <c r="E131" s="172">
        <v>111642.53853503345</v>
      </c>
      <c r="F131" s="170" t="s">
        <v>709</v>
      </c>
    </row>
    <row r="132" spans="1:6">
      <c r="A132" s="171" t="s">
        <v>383</v>
      </c>
      <c r="B132" s="171">
        <v>704</v>
      </c>
      <c r="C132" s="171" t="s">
        <v>605</v>
      </c>
      <c r="D132" s="172">
        <v>76.161692587499999</v>
      </c>
      <c r="E132" s="172">
        <v>7346716.8065446839</v>
      </c>
      <c r="F132" s="170" t="s">
        <v>714</v>
      </c>
    </row>
    <row r="133" spans="1:6">
      <c r="A133" s="171" t="s">
        <v>180</v>
      </c>
      <c r="B133" s="171">
        <v>4</v>
      </c>
      <c r="C133" s="171" t="s">
        <v>825</v>
      </c>
      <c r="D133" s="172">
        <v>81.729904237917722</v>
      </c>
      <c r="E133" s="172">
        <v>3109152.6710380181</v>
      </c>
      <c r="F133" s="170" t="s">
        <v>709</v>
      </c>
    </row>
    <row r="134" spans="1:6">
      <c r="A134" s="171" t="s">
        <v>180</v>
      </c>
      <c r="B134" s="171">
        <v>50</v>
      </c>
      <c r="C134" s="171" t="s">
        <v>179</v>
      </c>
      <c r="D134" s="172">
        <v>65.124075000000005</v>
      </c>
      <c r="E134" s="172">
        <v>10618232.957265001</v>
      </c>
      <c r="F134" s="170" t="s">
        <v>714</v>
      </c>
    </row>
    <row r="135" spans="1:6">
      <c r="A135" s="171" t="s">
        <v>180</v>
      </c>
      <c r="B135" s="171">
        <v>64</v>
      </c>
      <c r="C135" s="171" t="s">
        <v>826</v>
      </c>
      <c r="D135" s="172">
        <v>78.626868648745329</v>
      </c>
      <c r="E135" s="172">
        <v>60000.163465857557</v>
      </c>
      <c r="F135" s="170" t="s">
        <v>709</v>
      </c>
    </row>
    <row r="136" spans="1:6">
      <c r="A136" s="171" t="s">
        <v>180</v>
      </c>
      <c r="B136" s="171">
        <v>356</v>
      </c>
      <c r="C136" s="171" t="s">
        <v>370</v>
      </c>
      <c r="D136" s="172">
        <v>50.321478095238092</v>
      </c>
      <c r="E136" s="172">
        <v>68760163.39164342</v>
      </c>
      <c r="F136" s="170" t="s">
        <v>714</v>
      </c>
    </row>
    <row r="137" spans="1:6">
      <c r="A137" s="171" t="s">
        <v>180</v>
      </c>
      <c r="B137" s="171">
        <v>364</v>
      </c>
      <c r="C137" s="171" t="s">
        <v>827</v>
      </c>
      <c r="D137" s="172">
        <v>70.975338444364013</v>
      </c>
      <c r="E137" s="172">
        <v>5884842.1142421532</v>
      </c>
      <c r="F137" s="170" t="s">
        <v>709</v>
      </c>
    </row>
    <row r="138" spans="1:6">
      <c r="A138" s="171" t="s">
        <v>180</v>
      </c>
      <c r="B138" s="171">
        <v>462</v>
      </c>
      <c r="C138" s="171" t="s">
        <v>828</v>
      </c>
      <c r="D138" s="172">
        <v>70.975338444364013</v>
      </c>
      <c r="E138" s="172">
        <v>37687.904713957287</v>
      </c>
      <c r="F138" s="170" t="s">
        <v>709</v>
      </c>
    </row>
    <row r="139" spans="1:6">
      <c r="A139" s="171" t="s">
        <v>180</v>
      </c>
      <c r="B139" s="171">
        <v>524</v>
      </c>
      <c r="C139" s="171" t="s">
        <v>829</v>
      </c>
      <c r="D139" s="172">
        <v>78.626868648745329</v>
      </c>
      <c r="E139" s="172">
        <v>2249412.4971113605</v>
      </c>
      <c r="F139" s="170" t="s">
        <v>709</v>
      </c>
    </row>
    <row r="140" spans="1:6">
      <c r="A140" s="171" t="s">
        <v>180</v>
      </c>
      <c r="B140" s="171">
        <v>586</v>
      </c>
      <c r="C140" s="171" t="s">
        <v>502</v>
      </c>
      <c r="D140" s="172">
        <v>73.638965624999997</v>
      </c>
      <c r="E140" s="172">
        <v>15947644.682267813</v>
      </c>
      <c r="F140" s="170" t="s">
        <v>714</v>
      </c>
    </row>
    <row r="141" spans="1:6">
      <c r="A141" s="171" t="s">
        <v>180</v>
      </c>
      <c r="B141" s="171">
        <v>144</v>
      </c>
      <c r="C141" s="171" t="s">
        <v>557</v>
      </c>
      <c r="D141" s="172">
        <v>75.865712250000001</v>
      </c>
      <c r="E141" s="172">
        <v>1617737.6883053251</v>
      </c>
      <c r="F141" s="170" t="s">
        <v>714</v>
      </c>
    </row>
    <row r="142" spans="1:6">
      <c r="A142" s="171" t="s">
        <v>161</v>
      </c>
      <c r="B142" s="171">
        <v>8</v>
      </c>
      <c r="C142" s="171" t="s">
        <v>830</v>
      </c>
      <c r="D142" s="172">
        <v>82.783773370705802</v>
      </c>
      <c r="E142" s="172">
        <v>238491.77270366636</v>
      </c>
      <c r="F142" s="170" t="s">
        <v>801</v>
      </c>
    </row>
    <row r="143" spans="1:6">
      <c r="A143" s="171" t="s">
        <v>161</v>
      </c>
      <c r="B143" s="171">
        <v>20</v>
      </c>
      <c r="C143" s="171" t="s">
        <v>831</v>
      </c>
      <c r="D143" s="172">
        <v>84.272380315674425</v>
      </c>
      <c r="E143" s="172">
        <v>6497.4005223384984</v>
      </c>
      <c r="F143" s="170" t="s">
        <v>801</v>
      </c>
    </row>
    <row r="144" spans="1:6">
      <c r="A144" s="171" t="s">
        <v>161</v>
      </c>
      <c r="B144" s="171">
        <v>70</v>
      </c>
      <c r="C144" s="171" t="s">
        <v>832</v>
      </c>
      <c r="D144" s="172">
        <v>82.783773370705802</v>
      </c>
      <c r="E144" s="172">
        <v>273269.23589669983</v>
      </c>
      <c r="F144" s="170" t="s">
        <v>801</v>
      </c>
    </row>
    <row r="145" spans="1:6">
      <c r="A145" s="171" t="s">
        <v>161</v>
      </c>
      <c r="B145" s="171">
        <v>191</v>
      </c>
      <c r="C145" s="171" t="s">
        <v>833</v>
      </c>
      <c r="D145" s="172">
        <v>84.272380315674425</v>
      </c>
      <c r="E145" s="172">
        <v>348070.21241783007</v>
      </c>
      <c r="F145" s="170" t="s">
        <v>801</v>
      </c>
    </row>
    <row r="146" spans="1:6">
      <c r="A146" s="171" t="s">
        <v>161</v>
      </c>
      <c r="B146" s="171">
        <v>292</v>
      </c>
      <c r="C146" s="171" t="s">
        <v>834</v>
      </c>
      <c r="D146" s="172">
        <v>84.272380315674425</v>
      </c>
      <c r="E146" s="172">
        <v>2839.9792166382281</v>
      </c>
      <c r="F146" s="170" t="s">
        <v>801</v>
      </c>
    </row>
    <row r="147" spans="1:6">
      <c r="A147" s="171" t="s">
        <v>161</v>
      </c>
      <c r="B147" s="171">
        <v>300</v>
      </c>
      <c r="C147" s="171" t="s">
        <v>316</v>
      </c>
      <c r="D147" s="172">
        <v>141.69054441260747</v>
      </c>
      <c r="E147" s="172">
        <v>1483995.9169054443</v>
      </c>
      <c r="F147" s="170" t="s">
        <v>714</v>
      </c>
    </row>
    <row r="148" spans="1:6">
      <c r="A148" s="171" t="s">
        <v>161</v>
      </c>
      <c r="B148" s="171">
        <v>336</v>
      </c>
      <c r="C148" s="171" t="s">
        <v>835</v>
      </c>
      <c r="D148" s="172" t="s">
        <v>728</v>
      </c>
      <c r="E148" s="172" t="s">
        <v>728</v>
      </c>
      <c r="F148" s="170" t="s">
        <v>729</v>
      </c>
    </row>
    <row r="149" spans="1:6">
      <c r="A149" s="171" t="s">
        <v>161</v>
      </c>
      <c r="B149" s="171">
        <v>380</v>
      </c>
      <c r="C149" s="171" t="s">
        <v>421</v>
      </c>
      <c r="D149" s="172">
        <v>67.048710601719208</v>
      </c>
      <c r="E149" s="172">
        <v>4059806.1318051582</v>
      </c>
      <c r="F149" s="170" t="s">
        <v>714</v>
      </c>
    </row>
    <row r="150" spans="1:6">
      <c r="A150" s="171" t="s">
        <v>161</v>
      </c>
      <c r="B150" s="171">
        <v>470</v>
      </c>
      <c r="C150" s="171" t="s">
        <v>160</v>
      </c>
      <c r="D150" s="172">
        <v>129</v>
      </c>
      <c r="E150" s="172">
        <v>56811.6</v>
      </c>
      <c r="F150" s="170" t="s">
        <v>706</v>
      </c>
    </row>
    <row r="151" spans="1:6">
      <c r="A151" s="171" t="s">
        <v>161</v>
      </c>
      <c r="B151" s="171">
        <v>499</v>
      </c>
      <c r="C151" s="171" t="s">
        <v>836</v>
      </c>
      <c r="D151" s="172">
        <v>82.783773370705802</v>
      </c>
      <c r="E151" s="172">
        <v>51988.20967680325</v>
      </c>
      <c r="F151" s="170" t="s">
        <v>801</v>
      </c>
    </row>
    <row r="152" spans="1:6">
      <c r="A152" s="171" t="s">
        <v>161</v>
      </c>
      <c r="B152" s="171">
        <v>807</v>
      </c>
      <c r="C152" s="171" t="s">
        <v>837</v>
      </c>
      <c r="D152" s="172">
        <v>82.783773370705802</v>
      </c>
      <c r="E152" s="172">
        <v>172479.99181786555</v>
      </c>
      <c r="F152" s="170" t="s">
        <v>801</v>
      </c>
    </row>
    <row r="153" spans="1:6">
      <c r="A153" s="171" t="s">
        <v>161</v>
      </c>
      <c r="B153" s="171">
        <v>620</v>
      </c>
      <c r="C153" s="171" t="s">
        <v>838</v>
      </c>
      <c r="D153" s="172">
        <v>84.272380315674425</v>
      </c>
      <c r="E153" s="172">
        <v>861786.21558414982</v>
      </c>
      <c r="F153" s="170" t="s">
        <v>801</v>
      </c>
    </row>
    <row r="154" spans="1:6">
      <c r="A154" s="171" t="s">
        <v>161</v>
      </c>
      <c r="B154" s="171">
        <v>674</v>
      </c>
      <c r="C154" s="171" t="s">
        <v>839</v>
      </c>
      <c r="D154" s="172">
        <v>84.272380315674425</v>
      </c>
      <c r="E154" s="172">
        <v>2856.8336927013629</v>
      </c>
      <c r="F154" s="170" t="s">
        <v>801</v>
      </c>
    </row>
    <row r="155" spans="1:6">
      <c r="A155" s="171" t="s">
        <v>161</v>
      </c>
      <c r="B155" s="171">
        <v>688</v>
      </c>
      <c r="C155" s="171" t="s">
        <v>527</v>
      </c>
      <c r="D155" s="172">
        <v>82.783773370705802</v>
      </c>
      <c r="E155" s="172">
        <v>726195.81676250545</v>
      </c>
      <c r="F155" s="170" t="s">
        <v>801</v>
      </c>
    </row>
    <row r="156" spans="1:6">
      <c r="A156" s="171" t="s">
        <v>161</v>
      </c>
      <c r="B156" s="171">
        <v>705</v>
      </c>
      <c r="C156" s="171" t="s">
        <v>531</v>
      </c>
      <c r="D156" s="172">
        <v>34.207218234128007</v>
      </c>
      <c r="E156" s="172">
        <v>71106.544543281881</v>
      </c>
      <c r="F156" s="170" t="s">
        <v>714</v>
      </c>
    </row>
    <row r="157" spans="1:6">
      <c r="A157" s="171" t="s">
        <v>161</v>
      </c>
      <c r="B157" s="171">
        <v>724</v>
      </c>
      <c r="C157" s="171" t="s">
        <v>167</v>
      </c>
      <c r="D157" s="172">
        <v>77.325664727760767</v>
      </c>
      <c r="E157" s="172">
        <v>3613954.1272484092</v>
      </c>
      <c r="F157" s="170" t="s">
        <v>714</v>
      </c>
    </row>
    <row r="158" spans="1:6">
      <c r="A158" s="171" t="s">
        <v>306</v>
      </c>
      <c r="B158" s="171">
        <v>24</v>
      </c>
      <c r="C158" s="171" t="s">
        <v>840</v>
      </c>
      <c r="D158" s="172">
        <v>99.59129668943163</v>
      </c>
      <c r="E158" s="172">
        <v>3169522.8945301687</v>
      </c>
      <c r="F158" s="170" t="s">
        <v>801</v>
      </c>
    </row>
    <row r="159" spans="1:6">
      <c r="A159" s="171" t="s">
        <v>306</v>
      </c>
      <c r="B159" s="171">
        <v>204</v>
      </c>
      <c r="C159" s="171" t="s">
        <v>841</v>
      </c>
      <c r="D159" s="172">
        <v>99.59129668943163</v>
      </c>
      <c r="E159" s="172">
        <v>1175296.8104913207</v>
      </c>
      <c r="F159" s="170" t="s">
        <v>801</v>
      </c>
    </row>
    <row r="160" spans="1:6">
      <c r="A160" s="171" t="s">
        <v>306</v>
      </c>
      <c r="B160" s="171">
        <v>72</v>
      </c>
      <c r="C160" s="171" t="s">
        <v>842</v>
      </c>
      <c r="D160" s="172">
        <v>91.939766485050328</v>
      </c>
      <c r="E160" s="172">
        <v>211801.64005161045</v>
      </c>
      <c r="F160" s="170" t="s">
        <v>801</v>
      </c>
    </row>
    <row r="161" spans="1:6">
      <c r="A161" s="171" t="s">
        <v>306</v>
      </c>
      <c r="B161" s="171">
        <v>854</v>
      </c>
      <c r="C161" s="171" t="s">
        <v>843</v>
      </c>
      <c r="D161" s="172">
        <v>102.69433227860404</v>
      </c>
      <c r="E161" s="172">
        <v>2086892.603966424</v>
      </c>
      <c r="F161" s="170" t="s">
        <v>801</v>
      </c>
    </row>
    <row r="162" spans="1:6">
      <c r="A162" s="171" t="s">
        <v>306</v>
      </c>
      <c r="B162" s="171">
        <v>108</v>
      </c>
      <c r="C162" s="171" t="s">
        <v>844</v>
      </c>
      <c r="D162" s="172">
        <v>102.69433227860404</v>
      </c>
      <c r="E162" s="172">
        <v>1184127.2677716718</v>
      </c>
      <c r="F162" s="170" t="s">
        <v>801</v>
      </c>
    </row>
    <row r="163" spans="1:6">
      <c r="A163" s="171" t="s">
        <v>306</v>
      </c>
      <c r="B163" s="171">
        <v>132</v>
      </c>
      <c r="C163" s="171" t="s">
        <v>845</v>
      </c>
      <c r="D163" s="172">
        <v>99.59129668943163</v>
      </c>
      <c r="E163" s="172">
        <v>54765.254049518451</v>
      </c>
      <c r="F163" s="170" t="s">
        <v>801</v>
      </c>
    </row>
    <row r="164" spans="1:6">
      <c r="A164" s="171" t="s">
        <v>306</v>
      </c>
      <c r="B164" s="171">
        <v>120</v>
      </c>
      <c r="C164" s="171" t="s">
        <v>846</v>
      </c>
      <c r="D164" s="172">
        <v>99.59129668943163</v>
      </c>
      <c r="E164" s="172">
        <v>2577064.2296544085</v>
      </c>
      <c r="F164" s="170" t="s">
        <v>801</v>
      </c>
    </row>
    <row r="165" spans="1:6">
      <c r="A165" s="171" t="s">
        <v>306</v>
      </c>
      <c r="B165" s="171">
        <v>140</v>
      </c>
      <c r="C165" s="171" t="s">
        <v>847</v>
      </c>
      <c r="D165" s="172">
        <v>102.69433227860404</v>
      </c>
      <c r="E165" s="172">
        <v>487305.14552843187</v>
      </c>
      <c r="F165" s="170" t="s">
        <v>801</v>
      </c>
    </row>
    <row r="166" spans="1:6">
      <c r="A166" s="171" t="s">
        <v>306</v>
      </c>
      <c r="B166" s="171">
        <v>148</v>
      </c>
      <c r="C166" s="171" t="s">
        <v>848</v>
      </c>
      <c r="D166" s="172">
        <v>102.69433227860404</v>
      </c>
      <c r="E166" s="172">
        <v>1637656.2474136709</v>
      </c>
      <c r="F166" s="170" t="s">
        <v>801</v>
      </c>
    </row>
    <row r="167" spans="1:6">
      <c r="A167" s="171" t="s">
        <v>306</v>
      </c>
      <c r="B167" s="171">
        <v>174</v>
      </c>
      <c r="C167" s="171" t="s">
        <v>849</v>
      </c>
      <c r="D167" s="172">
        <v>99.59129668943163</v>
      </c>
      <c r="E167" s="172">
        <v>84742.234353037376</v>
      </c>
      <c r="F167" s="170" t="s">
        <v>801</v>
      </c>
    </row>
    <row r="168" spans="1:6">
      <c r="A168" s="171" t="s">
        <v>306</v>
      </c>
      <c r="B168" s="171">
        <v>178</v>
      </c>
      <c r="C168" s="171" t="s">
        <v>850</v>
      </c>
      <c r="D168" s="172">
        <v>99.59129668943163</v>
      </c>
      <c r="E168" s="172">
        <v>535850.97183748684</v>
      </c>
      <c r="F168" s="170" t="s">
        <v>801</v>
      </c>
    </row>
    <row r="169" spans="1:6">
      <c r="A169" s="171" t="s">
        <v>306</v>
      </c>
      <c r="B169" s="171">
        <v>384</v>
      </c>
      <c r="C169" s="171" t="s">
        <v>851</v>
      </c>
      <c r="D169" s="172">
        <v>99.59129668943163</v>
      </c>
      <c r="E169" s="172">
        <v>2561139.5813137684</v>
      </c>
      <c r="F169" s="170" t="s">
        <v>801</v>
      </c>
    </row>
    <row r="170" spans="1:6">
      <c r="A170" s="171" t="s">
        <v>306</v>
      </c>
      <c r="B170" s="171">
        <v>180</v>
      </c>
      <c r="C170" s="171" t="s">
        <v>852</v>
      </c>
      <c r="D170" s="172">
        <v>102.69433227860404</v>
      </c>
      <c r="E170" s="172">
        <v>8912902.7150594126</v>
      </c>
      <c r="F170" s="170" t="s">
        <v>801</v>
      </c>
    </row>
    <row r="171" spans="1:6">
      <c r="A171" s="171" t="s">
        <v>306</v>
      </c>
      <c r="B171" s="171">
        <v>262</v>
      </c>
      <c r="C171" s="171" t="s">
        <v>853</v>
      </c>
      <c r="D171" s="172">
        <v>99.59129668943163</v>
      </c>
      <c r="E171" s="172">
        <v>96962.086456830642</v>
      </c>
      <c r="F171" s="170" t="s">
        <v>801</v>
      </c>
    </row>
    <row r="172" spans="1:6">
      <c r="A172" s="171" t="s">
        <v>306</v>
      </c>
      <c r="B172" s="171">
        <v>226</v>
      </c>
      <c r="C172" s="171" t="s">
        <v>854</v>
      </c>
      <c r="D172" s="172">
        <v>91.939766485050328</v>
      </c>
      <c r="E172" s="172">
        <v>124670.32335372825</v>
      </c>
      <c r="F172" s="170" t="s">
        <v>801</v>
      </c>
    </row>
    <row r="173" spans="1:6">
      <c r="A173" s="171" t="s">
        <v>306</v>
      </c>
      <c r="B173" s="171">
        <v>232</v>
      </c>
      <c r="C173" s="171" t="s">
        <v>855</v>
      </c>
      <c r="D173" s="172">
        <v>102.69433227860404</v>
      </c>
      <c r="E173" s="172">
        <v>359132.34941150615</v>
      </c>
      <c r="F173" s="170" t="s">
        <v>801</v>
      </c>
    </row>
    <row r="174" spans="1:6">
      <c r="A174" s="171" t="s">
        <v>306</v>
      </c>
      <c r="B174" s="171">
        <v>748</v>
      </c>
      <c r="C174" s="171" t="s">
        <v>856</v>
      </c>
      <c r="D174" s="172">
        <v>99.59129668943163</v>
      </c>
      <c r="E174" s="172">
        <v>114340.76772913645</v>
      </c>
      <c r="F174" s="170" t="s">
        <v>801</v>
      </c>
    </row>
    <row r="175" spans="1:6">
      <c r="A175" s="171" t="s">
        <v>306</v>
      </c>
      <c r="B175" s="171">
        <v>231</v>
      </c>
      <c r="C175" s="171" t="s">
        <v>305</v>
      </c>
      <c r="D175" s="172">
        <v>92.142713249999986</v>
      </c>
      <c r="E175" s="172">
        <v>10327235.515532775</v>
      </c>
      <c r="F175" s="170" t="s">
        <v>714</v>
      </c>
    </row>
    <row r="176" spans="1:6">
      <c r="A176" s="171" t="s">
        <v>306</v>
      </c>
      <c r="B176" s="171">
        <v>266</v>
      </c>
      <c r="C176" s="171" t="s">
        <v>857</v>
      </c>
      <c r="D176" s="172">
        <v>91.939766485050328</v>
      </c>
      <c r="E176" s="172">
        <v>199748.33666542036</v>
      </c>
      <c r="F176" s="170" t="s">
        <v>801</v>
      </c>
    </row>
    <row r="177" spans="1:6">
      <c r="A177" s="171" t="s">
        <v>306</v>
      </c>
      <c r="B177" s="171">
        <v>270</v>
      </c>
      <c r="C177" s="171" t="s">
        <v>858</v>
      </c>
      <c r="D177" s="172">
        <v>102.69433227860404</v>
      </c>
      <c r="E177" s="172">
        <v>241095.4838904787</v>
      </c>
      <c r="F177" s="170" t="s">
        <v>801</v>
      </c>
    </row>
    <row r="178" spans="1:6">
      <c r="A178" s="171" t="s">
        <v>306</v>
      </c>
      <c r="B178" s="171">
        <v>288</v>
      </c>
      <c r="C178" s="171" t="s">
        <v>356</v>
      </c>
      <c r="D178" s="172">
        <v>84.007500000000007</v>
      </c>
      <c r="E178" s="172">
        <v>2555331.7342500002</v>
      </c>
      <c r="F178" s="170" t="s">
        <v>706</v>
      </c>
    </row>
    <row r="179" spans="1:6">
      <c r="A179" s="171" t="s">
        <v>306</v>
      </c>
      <c r="B179" s="171">
        <v>324</v>
      </c>
      <c r="C179" s="171" t="s">
        <v>859</v>
      </c>
      <c r="D179" s="172">
        <v>102.69433227860404</v>
      </c>
      <c r="E179" s="172">
        <v>1311529.8563965079</v>
      </c>
      <c r="F179" s="170" t="s">
        <v>801</v>
      </c>
    </row>
    <row r="180" spans="1:6">
      <c r="A180" s="171" t="s">
        <v>306</v>
      </c>
      <c r="B180" s="171">
        <v>624</v>
      </c>
      <c r="C180" s="171" t="s">
        <v>860</v>
      </c>
      <c r="D180" s="172">
        <v>102.69433227860404</v>
      </c>
      <c r="E180" s="172">
        <v>197265.54287397049</v>
      </c>
      <c r="F180" s="170" t="s">
        <v>801</v>
      </c>
    </row>
    <row r="181" spans="1:6">
      <c r="A181" s="171" t="s">
        <v>306</v>
      </c>
      <c r="B181" s="171">
        <v>404</v>
      </c>
      <c r="C181" s="171" t="s">
        <v>438</v>
      </c>
      <c r="D181" s="172">
        <v>99.238536991573298</v>
      </c>
      <c r="E181" s="172">
        <v>5217366.8437949745</v>
      </c>
      <c r="F181" s="170" t="s">
        <v>714</v>
      </c>
    </row>
    <row r="182" spans="1:6">
      <c r="A182" s="171" t="s">
        <v>306</v>
      </c>
      <c r="B182" s="171">
        <v>426</v>
      </c>
      <c r="C182" s="171" t="s">
        <v>861</v>
      </c>
      <c r="D182" s="172">
        <v>99.59129668943163</v>
      </c>
      <c r="E182" s="172">
        <v>211661.38285404906</v>
      </c>
      <c r="F182" s="170" t="s">
        <v>801</v>
      </c>
    </row>
    <row r="183" spans="1:6">
      <c r="A183" s="171" t="s">
        <v>306</v>
      </c>
      <c r="B183" s="171">
        <v>430</v>
      </c>
      <c r="C183" s="171" t="s">
        <v>862</v>
      </c>
      <c r="D183" s="172">
        <v>102.69433227860404</v>
      </c>
      <c r="E183" s="172">
        <v>507042.99619237962</v>
      </c>
      <c r="F183" s="170" t="s">
        <v>801</v>
      </c>
    </row>
    <row r="184" spans="1:6">
      <c r="A184" s="171" t="s">
        <v>306</v>
      </c>
      <c r="B184" s="171">
        <v>450</v>
      </c>
      <c r="C184" s="171" t="s">
        <v>863</v>
      </c>
      <c r="D184" s="172">
        <v>102.69433227860404</v>
      </c>
      <c r="E184" s="172">
        <v>2769594.2555213557</v>
      </c>
      <c r="F184" s="170" t="s">
        <v>801</v>
      </c>
    </row>
    <row r="185" spans="1:6">
      <c r="A185" s="171" t="s">
        <v>306</v>
      </c>
      <c r="B185" s="171">
        <v>454</v>
      </c>
      <c r="C185" s="171" t="s">
        <v>864</v>
      </c>
      <c r="D185" s="172">
        <v>102.69433227860404</v>
      </c>
      <c r="E185" s="172">
        <v>1913061.907718431</v>
      </c>
      <c r="F185" s="170" t="s">
        <v>801</v>
      </c>
    </row>
    <row r="186" spans="1:6">
      <c r="A186" s="171" t="s">
        <v>306</v>
      </c>
      <c r="B186" s="171">
        <v>466</v>
      </c>
      <c r="C186" s="171" t="s">
        <v>865</v>
      </c>
      <c r="D186" s="172">
        <v>102.69433227860404</v>
      </c>
      <c r="E186" s="172">
        <v>2018765.1839327982</v>
      </c>
      <c r="F186" s="170" t="s">
        <v>801</v>
      </c>
    </row>
    <row r="187" spans="1:6">
      <c r="A187" s="171" t="s">
        <v>306</v>
      </c>
      <c r="B187" s="171">
        <v>478</v>
      </c>
      <c r="C187" s="171" t="s">
        <v>866</v>
      </c>
      <c r="D187" s="172">
        <v>99.59129668943163</v>
      </c>
      <c r="E187" s="172">
        <v>450720.33142736071</v>
      </c>
      <c r="F187" s="170" t="s">
        <v>801</v>
      </c>
    </row>
    <row r="188" spans="1:6">
      <c r="A188" s="171" t="s">
        <v>306</v>
      </c>
      <c r="B188" s="171">
        <v>480</v>
      </c>
      <c r="C188" s="171" t="s">
        <v>867</v>
      </c>
      <c r="D188" s="172">
        <v>93.428373430018951</v>
      </c>
      <c r="E188" s="172">
        <v>118626.00574409506</v>
      </c>
      <c r="F188" s="170" t="s">
        <v>801</v>
      </c>
    </row>
    <row r="189" spans="1:6">
      <c r="A189" s="171" t="s">
        <v>306</v>
      </c>
      <c r="B189" s="171">
        <v>175</v>
      </c>
      <c r="C189" s="171" t="s">
        <v>868</v>
      </c>
      <c r="D189" s="172" t="s">
        <v>728</v>
      </c>
      <c r="E189" s="172" t="s">
        <v>728</v>
      </c>
      <c r="F189" s="170" t="s">
        <v>729</v>
      </c>
    </row>
    <row r="190" spans="1:6">
      <c r="A190" s="171" t="s">
        <v>306</v>
      </c>
      <c r="B190" s="171">
        <v>508</v>
      </c>
      <c r="C190" s="171" t="s">
        <v>869</v>
      </c>
      <c r="D190" s="172">
        <v>102.69433227860404</v>
      </c>
      <c r="E190" s="172">
        <v>3118416.0939720902</v>
      </c>
      <c r="F190" s="170" t="s">
        <v>801</v>
      </c>
    </row>
    <row r="191" spans="1:6">
      <c r="A191" s="171" t="s">
        <v>306</v>
      </c>
      <c r="B191" s="171">
        <v>516</v>
      </c>
      <c r="C191" s="171" t="s">
        <v>870</v>
      </c>
      <c r="D191" s="172">
        <v>91.939766485050328</v>
      </c>
      <c r="E191" s="172">
        <v>229343.74749695804</v>
      </c>
      <c r="F191" s="170" t="s">
        <v>801</v>
      </c>
    </row>
    <row r="192" spans="1:6">
      <c r="A192" s="171" t="s">
        <v>306</v>
      </c>
      <c r="B192" s="171">
        <v>562</v>
      </c>
      <c r="C192" s="171" t="s">
        <v>871</v>
      </c>
      <c r="D192" s="172">
        <v>102.69433227860404</v>
      </c>
      <c r="E192" s="172">
        <v>2393876.7714468553</v>
      </c>
      <c r="F192" s="170" t="s">
        <v>801</v>
      </c>
    </row>
    <row r="193" spans="1:6">
      <c r="A193" s="171" t="s">
        <v>306</v>
      </c>
      <c r="B193" s="171">
        <v>566</v>
      </c>
      <c r="C193" s="171" t="s">
        <v>487</v>
      </c>
      <c r="D193" s="172">
        <v>188.79772500000001</v>
      </c>
      <c r="E193" s="172">
        <v>37941470.487810008</v>
      </c>
      <c r="F193" s="170" t="s">
        <v>714</v>
      </c>
    </row>
    <row r="194" spans="1:6">
      <c r="A194" s="171" t="s">
        <v>306</v>
      </c>
      <c r="B194" s="171">
        <v>638</v>
      </c>
      <c r="C194" s="171" t="s">
        <v>872</v>
      </c>
      <c r="D194" s="172" t="s">
        <v>728</v>
      </c>
      <c r="E194" s="172" t="s">
        <v>728</v>
      </c>
      <c r="F194" s="170" t="s">
        <v>729</v>
      </c>
    </row>
    <row r="195" spans="1:6">
      <c r="A195" s="171" t="s">
        <v>306</v>
      </c>
      <c r="B195" s="171">
        <v>646</v>
      </c>
      <c r="C195" s="171" t="s">
        <v>517</v>
      </c>
      <c r="D195" s="172">
        <v>164.36250000000001</v>
      </c>
      <c r="E195" s="172">
        <v>2075405.2875000003</v>
      </c>
      <c r="F195" s="170" t="s">
        <v>714</v>
      </c>
    </row>
    <row r="196" spans="1:6">
      <c r="A196" s="171" t="s">
        <v>306</v>
      </c>
      <c r="B196" s="171">
        <v>654</v>
      </c>
      <c r="C196" s="171" t="s">
        <v>873</v>
      </c>
      <c r="D196" s="172" t="s">
        <v>728</v>
      </c>
      <c r="E196" s="172" t="s">
        <v>728</v>
      </c>
      <c r="F196" s="170" t="s">
        <v>729</v>
      </c>
    </row>
    <row r="197" spans="1:6">
      <c r="A197" s="171" t="s">
        <v>306</v>
      </c>
      <c r="B197" s="171">
        <v>678</v>
      </c>
      <c r="C197" s="171" t="s">
        <v>874</v>
      </c>
      <c r="D197" s="172">
        <v>99.59129668943163</v>
      </c>
      <c r="E197" s="172">
        <v>21422.087917896744</v>
      </c>
      <c r="F197" s="170" t="s">
        <v>801</v>
      </c>
    </row>
    <row r="198" spans="1:6">
      <c r="A198" s="171" t="s">
        <v>306</v>
      </c>
      <c r="B198" s="171">
        <v>686</v>
      </c>
      <c r="C198" s="171" t="s">
        <v>875</v>
      </c>
      <c r="D198" s="172">
        <v>99.59129668943163</v>
      </c>
      <c r="E198" s="172">
        <v>1622979.6073696534</v>
      </c>
      <c r="F198" s="170" t="s">
        <v>801</v>
      </c>
    </row>
    <row r="199" spans="1:6">
      <c r="A199" s="171" t="s">
        <v>306</v>
      </c>
      <c r="B199" s="171">
        <v>690</v>
      </c>
      <c r="C199" s="171" t="s">
        <v>876</v>
      </c>
      <c r="D199" s="172">
        <v>93.428373430018951</v>
      </c>
      <c r="E199" s="172">
        <v>9127.9520841128506</v>
      </c>
      <c r="F199" s="170" t="s">
        <v>801</v>
      </c>
    </row>
    <row r="200" spans="1:6">
      <c r="A200" s="171" t="s">
        <v>306</v>
      </c>
      <c r="B200" s="171">
        <v>694</v>
      </c>
      <c r="C200" s="171" t="s">
        <v>877</v>
      </c>
      <c r="D200" s="172">
        <v>102.69433227860404</v>
      </c>
      <c r="E200" s="172">
        <v>802371.35695918906</v>
      </c>
      <c r="F200" s="170" t="s">
        <v>801</v>
      </c>
    </row>
    <row r="201" spans="1:6">
      <c r="A201" s="171" t="s">
        <v>306</v>
      </c>
      <c r="B201" s="171">
        <v>706</v>
      </c>
      <c r="C201" s="171" t="s">
        <v>878</v>
      </c>
      <c r="D201" s="172">
        <v>102.69433227860404</v>
      </c>
      <c r="E201" s="172">
        <v>1585898.3039452543</v>
      </c>
      <c r="F201" s="170" t="s">
        <v>801</v>
      </c>
    </row>
    <row r="202" spans="1:6">
      <c r="A202" s="171" t="s">
        <v>306</v>
      </c>
      <c r="B202" s="171">
        <v>710</v>
      </c>
      <c r="C202" s="171" t="s">
        <v>538</v>
      </c>
      <c r="D202" s="172">
        <v>39.776225349883873</v>
      </c>
      <c r="E202" s="172">
        <v>2329228.1369061051</v>
      </c>
      <c r="F202" s="170" t="s">
        <v>714</v>
      </c>
    </row>
    <row r="203" spans="1:6">
      <c r="A203" s="171" t="s">
        <v>306</v>
      </c>
      <c r="B203" s="171">
        <v>728</v>
      </c>
      <c r="C203" s="171" t="s">
        <v>879</v>
      </c>
      <c r="D203" s="172">
        <v>102.69433227860404</v>
      </c>
      <c r="E203" s="172">
        <v>1136014.9730991456</v>
      </c>
      <c r="F203" s="170" t="s">
        <v>801</v>
      </c>
    </row>
    <row r="204" spans="1:6">
      <c r="A204" s="171" t="s">
        <v>306</v>
      </c>
      <c r="B204" s="171">
        <v>768</v>
      </c>
      <c r="C204" s="171" t="s">
        <v>880</v>
      </c>
      <c r="D204" s="172">
        <v>102.69433227860404</v>
      </c>
      <c r="E204" s="172">
        <v>830016.67120858934</v>
      </c>
      <c r="F204" s="170" t="s">
        <v>801</v>
      </c>
    </row>
    <row r="205" spans="1:6">
      <c r="A205" s="171" t="s">
        <v>306</v>
      </c>
      <c r="B205" s="171">
        <v>800</v>
      </c>
      <c r="C205" s="171" t="s">
        <v>881</v>
      </c>
      <c r="D205" s="172">
        <v>102.69433227860404</v>
      </c>
      <c r="E205" s="172">
        <v>4546237.0122408895</v>
      </c>
      <c r="F205" s="170" t="s">
        <v>801</v>
      </c>
    </row>
    <row r="206" spans="1:6">
      <c r="A206" s="171" t="s">
        <v>306</v>
      </c>
      <c r="B206" s="171">
        <v>834</v>
      </c>
      <c r="C206" s="171" t="s">
        <v>882</v>
      </c>
      <c r="D206" s="172">
        <v>119.08611000000001</v>
      </c>
      <c r="E206" s="172">
        <v>6907649.3536050003</v>
      </c>
      <c r="F206" s="170" t="s">
        <v>714</v>
      </c>
    </row>
    <row r="207" spans="1:6">
      <c r="A207" s="171" t="s">
        <v>306</v>
      </c>
      <c r="B207" s="171">
        <v>894</v>
      </c>
      <c r="C207" s="171" t="s">
        <v>614</v>
      </c>
      <c r="D207" s="172">
        <v>77.92</v>
      </c>
      <c r="E207" s="172">
        <v>1391729.12</v>
      </c>
      <c r="F207" s="170" t="s">
        <v>714</v>
      </c>
    </row>
    <row r="208" spans="1:6">
      <c r="A208" s="171" t="s">
        <v>306</v>
      </c>
      <c r="B208" s="171">
        <v>716</v>
      </c>
      <c r="C208" s="171" t="s">
        <v>883</v>
      </c>
      <c r="D208" s="172">
        <v>99.59129668943163</v>
      </c>
      <c r="E208" s="172">
        <v>1458564.3356650709</v>
      </c>
      <c r="F208" s="170" t="s">
        <v>801</v>
      </c>
    </row>
    <row r="209" spans="1:6">
      <c r="A209" s="171" t="s">
        <v>173</v>
      </c>
      <c r="B209" s="171">
        <v>51</v>
      </c>
      <c r="C209" s="171" t="s">
        <v>884</v>
      </c>
      <c r="D209" s="172">
        <v>93.043415809981326</v>
      </c>
      <c r="E209" s="172">
        <v>275194.5109411818</v>
      </c>
      <c r="F209" s="170" t="s">
        <v>801</v>
      </c>
    </row>
    <row r="210" spans="1:6">
      <c r="A210" s="171" t="s">
        <v>173</v>
      </c>
      <c r="B210" s="171">
        <v>31</v>
      </c>
      <c r="C210" s="171" t="s">
        <v>885</v>
      </c>
      <c r="D210" s="172">
        <v>93.043415809981326</v>
      </c>
      <c r="E210" s="172">
        <v>934872.32903394941</v>
      </c>
      <c r="F210" s="170" t="s">
        <v>801</v>
      </c>
    </row>
    <row r="211" spans="1:6">
      <c r="A211" s="171" t="s">
        <v>173</v>
      </c>
      <c r="B211" s="171">
        <v>48</v>
      </c>
      <c r="C211" s="171" t="s">
        <v>172</v>
      </c>
      <c r="D211" s="172">
        <v>131.70916002944918</v>
      </c>
      <c r="E211" s="172">
        <v>216161.07344033199</v>
      </c>
      <c r="F211" s="170" t="s">
        <v>714</v>
      </c>
    </row>
    <row r="212" spans="1:6">
      <c r="A212" s="171" t="s">
        <v>173</v>
      </c>
      <c r="B212" s="171">
        <v>196</v>
      </c>
      <c r="C212" s="171" t="s">
        <v>886</v>
      </c>
      <c r="D212" s="172">
        <v>94.532022754949935</v>
      </c>
      <c r="E212" s="172">
        <v>113306.08247408298</v>
      </c>
      <c r="F212" s="170" t="s">
        <v>801</v>
      </c>
    </row>
    <row r="213" spans="1:6">
      <c r="A213" s="171" t="s">
        <v>173</v>
      </c>
      <c r="B213" s="171">
        <v>268</v>
      </c>
      <c r="C213" s="171" t="s">
        <v>340</v>
      </c>
      <c r="D213" s="172">
        <v>100.974</v>
      </c>
      <c r="E213" s="172">
        <v>403572.88319999998</v>
      </c>
      <c r="F213" s="170" t="s">
        <v>714</v>
      </c>
    </row>
    <row r="214" spans="1:6">
      <c r="A214" s="171" t="s">
        <v>173</v>
      </c>
      <c r="B214" s="171">
        <v>368</v>
      </c>
      <c r="C214" s="171" t="s">
        <v>388</v>
      </c>
      <c r="D214" s="172">
        <v>120.43903491883626</v>
      </c>
      <c r="E214" s="172">
        <v>4734434.3748524692</v>
      </c>
      <c r="F214" s="170" t="s">
        <v>714</v>
      </c>
    </row>
    <row r="215" spans="1:6">
      <c r="A215" s="171" t="s">
        <v>173</v>
      </c>
      <c r="B215" s="171">
        <v>376</v>
      </c>
      <c r="C215" s="171" t="s">
        <v>411</v>
      </c>
      <c r="D215" s="172">
        <v>99.583919436026534</v>
      </c>
      <c r="E215" s="172">
        <v>848395.24324328441</v>
      </c>
      <c r="F215" s="170" t="s">
        <v>714</v>
      </c>
    </row>
    <row r="216" spans="1:6">
      <c r="A216" s="171" t="s">
        <v>173</v>
      </c>
      <c r="B216" s="171">
        <v>400</v>
      </c>
      <c r="C216" s="171" t="s">
        <v>887</v>
      </c>
      <c r="D216" s="172">
        <v>93.043415809981326</v>
      </c>
      <c r="E216" s="172">
        <v>939896.6734876883</v>
      </c>
      <c r="F216" s="170" t="s">
        <v>801</v>
      </c>
    </row>
    <row r="217" spans="1:6">
      <c r="A217" s="171" t="s">
        <v>173</v>
      </c>
      <c r="B217" s="171">
        <v>414</v>
      </c>
      <c r="C217" s="171" t="s">
        <v>888</v>
      </c>
      <c r="D217" s="172">
        <v>94.532022754949935</v>
      </c>
      <c r="E217" s="172">
        <v>397705.67293234984</v>
      </c>
      <c r="F217" s="170" t="s">
        <v>801</v>
      </c>
    </row>
    <row r="218" spans="1:6">
      <c r="A218" s="171" t="s">
        <v>173</v>
      </c>
      <c r="B218" s="171">
        <v>422</v>
      </c>
      <c r="C218" s="171" t="s">
        <v>449</v>
      </c>
      <c r="D218" s="172">
        <v>104.65616045845272</v>
      </c>
      <c r="E218" s="172">
        <v>717491.23925501434</v>
      </c>
      <c r="F218" s="170" t="s">
        <v>714</v>
      </c>
    </row>
    <row r="219" spans="1:6">
      <c r="A219" s="171" t="s">
        <v>173</v>
      </c>
      <c r="B219" s="171">
        <v>512</v>
      </c>
      <c r="C219" s="171" t="s">
        <v>889</v>
      </c>
      <c r="D219" s="172">
        <v>94.532022754949935</v>
      </c>
      <c r="E219" s="172">
        <v>470296.81320587592</v>
      </c>
      <c r="F219" s="170" t="s">
        <v>801</v>
      </c>
    </row>
    <row r="220" spans="1:6">
      <c r="A220" s="171" t="s">
        <v>173</v>
      </c>
      <c r="B220" s="171">
        <v>634</v>
      </c>
      <c r="C220" s="171" t="s">
        <v>890</v>
      </c>
      <c r="D220" s="172">
        <v>94.532022754949935</v>
      </c>
      <c r="E220" s="172">
        <v>267724.14164429373</v>
      </c>
      <c r="F220" s="170" t="s">
        <v>801</v>
      </c>
    </row>
    <row r="221" spans="1:6">
      <c r="A221" s="171" t="s">
        <v>173</v>
      </c>
      <c r="B221" s="171">
        <v>682</v>
      </c>
      <c r="C221" s="171" t="s">
        <v>522</v>
      </c>
      <c r="D221" s="172">
        <v>104.88</v>
      </c>
      <c r="E221" s="172">
        <v>3594080.28</v>
      </c>
      <c r="F221" s="170" t="s">
        <v>706</v>
      </c>
    </row>
    <row r="222" spans="1:6">
      <c r="A222" s="171" t="s">
        <v>173</v>
      </c>
      <c r="B222" s="171">
        <v>275</v>
      </c>
      <c r="C222" s="171" t="s">
        <v>891</v>
      </c>
      <c r="D222" s="172">
        <v>100.69494601436261</v>
      </c>
      <c r="E222" s="172">
        <v>501601.80407594593</v>
      </c>
      <c r="F222" s="170" t="s">
        <v>801</v>
      </c>
    </row>
    <row r="223" spans="1:6">
      <c r="A223" s="171" t="s">
        <v>173</v>
      </c>
      <c r="B223" s="171">
        <v>760</v>
      </c>
      <c r="C223" s="171" t="s">
        <v>892</v>
      </c>
      <c r="D223" s="172">
        <v>103.79798160353502</v>
      </c>
      <c r="E223" s="172">
        <v>1771841.9257705032</v>
      </c>
      <c r="F223" s="170" t="s">
        <v>709</v>
      </c>
    </row>
    <row r="224" spans="1:6">
      <c r="A224" s="171" t="s">
        <v>173</v>
      </c>
      <c r="B224" s="171">
        <v>792</v>
      </c>
      <c r="C224" s="171" t="s">
        <v>893</v>
      </c>
      <c r="D224" s="172">
        <v>93.043415809981326</v>
      </c>
      <c r="E224" s="172">
        <v>7762574.9636604181</v>
      </c>
      <c r="F224" s="170" t="s">
        <v>801</v>
      </c>
    </row>
    <row r="225" spans="1:6">
      <c r="A225" s="171" t="s">
        <v>173</v>
      </c>
      <c r="B225" s="171">
        <v>784</v>
      </c>
      <c r="C225" s="171" t="s">
        <v>894</v>
      </c>
      <c r="D225" s="172">
        <v>94.532022754949935</v>
      </c>
      <c r="E225" s="172">
        <v>923625.12832723837</v>
      </c>
      <c r="F225" s="170" t="s">
        <v>801</v>
      </c>
    </row>
    <row r="226" spans="1:6">
      <c r="A226" s="171" t="s">
        <v>173</v>
      </c>
      <c r="B226" s="171">
        <v>887</v>
      </c>
      <c r="C226" s="171" t="s">
        <v>895</v>
      </c>
      <c r="D226" s="172">
        <v>103.79798160353502</v>
      </c>
      <c r="E226" s="172">
        <v>3026946.3597241277</v>
      </c>
      <c r="F226" s="170" t="s">
        <v>709</v>
      </c>
    </row>
    <row r="227" spans="1:6">
      <c r="A227" s="171" t="s">
        <v>141</v>
      </c>
      <c r="B227" s="171">
        <v>40</v>
      </c>
      <c r="C227" s="171" t="s">
        <v>140</v>
      </c>
      <c r="D227" s="172">
        <v>39</v>
      </c>
      <c r="E227" s="172">
        <v>349248.9</v>
      </c>
      <c r="F227" s="170" t="s">
        <v>706</v>
      </c>
    </row>
    <row r="228" spans="1:6">
      <c r="A228" s="171" t="s">
        <v>141</v>
      </c>
      <c r="B228" s="171">
        <v>56</v>
      </c>
      <c r="C228" s="171" t="s">
        <v>197</v>
      </c>
      <c r="D228" s="172">
        <v>49.91951182692307</v>
      </c>
      <c r="E228" s="172">
        <v>576036.22282441345</v>
      </c>
      <c r="F228" s="170" t="s">
        <v>714</v>
      </c>
    </row>
    <row r="229" spans="1:6">
      <c r="A229" s="171" t="s">
        <v>141</v>
      </c>
      <c r="B229" s="171">
        <v>250</v>
      </c>
      <c r="C229" s="171" t="s">
        <v>331</v>
      </c>
      <c r="D229" s="172">
        <v>84.790171811458606</v>
      </c>
      <c r="E229" s="172">
        <v>5522358.4530287553</v>
      </c>
      <c r="F229" s="170" t="s">
        <v>714</v>
      </c>
    </row>
    <row r="230" spans="1:6">
      <c r="A230" s="171" t="s">
        <v>141</v>
      </c>
      <c r="B230" s="171">
        <v>276</v>
      </c>
      <c r="C230" s="171" t="s">
        <v>347</v>
      </c>
      <c r="D230" s="172">
        <v>75</v>
      </c>
      <c r="E230" s="172">
        <v>6263775</v>
      </c>
      <c r="F230" s="170" t="s">
        <v>706</v>
      </c>
    </row>
    <row r="231" spans="1:6">
      <c r="A231" s="171" t="s">
        <v>141</v>
      </c>
      <c r="B231" s="171">
        <v>438</v>
      </c>
      <c r="C231" s="171" t="s">
        <v>896</v>
      </c>
      <c r="D231" s="172">
        <v>71.675140154584682</v>
      </c>
      <c r="E231" s="172">
        <v>2723.6553258742179</v>
      </c>
      <c r="F231" s="170" t="s">
        <v>801</v>
      </c>
    </row>
    <row r="232" spans="1:6">
      <c r="A232" s="171" t="s">
        <v>141</v>
      </c>
      <c r="B232" s="171">
        <v>442</v>
      </c>
      <c r="C232" s="171" t="s">
        <v>157</v>
      </c>
      <c r="D232" s="172">
        <v>89.25</v>
      </c>
      <c r="E232" s="172">
        <v>54951.224999999999</v>
      </c>
      <c r="F232" s="170" t="s">
        <v>714</v>
      </c>
    </row>
    <row r="233" spans="1:6">
      <c r="A233" s="171" t="s">
        <v>141</v>
      </c>
      <c r="B233" s="171">
        <v>492</v>
      </c>
      <c r="C233" s="171" t="s">
        <v>897</v>
      </c>
      <c r="D233" s="172">
        <v>71.675140154584682</v>
      </c>
      <c r="E233" s="172">
        <v>2795.3304660288027</v>
      </c>
      <c r="F233" s="170" t="s">
        <v>801</v>
      </c>
    </row>
    <row r="234" spans="1:6">
      <c r="A234" s="171" t="s">
        <v>141</v>
      </c>
      <c r="B234" s="171">
        <v>528</v>
      </c>
      <c r="C234" s="171" t="s">
        <v>321</v>
      </c>
      <c r="D234" s="172">
        <v>50</v>
      </c>
      <c r="E234" s="172">
        <v>854855</v>
      </c>
      <c r="F234" s="170" t="s">
        <v>706</v>
      </c>
    </row>
    <row r="235" spans="1:6">
      <c r="A235" s="173" t="s">
        <v>141</v>
      </c>
      <c r="B235" s="173">
        <v>756</v>
      </c>
      <c r="C235" s="173" t="s">
        <v>582</v>
      </c>
      <c r="D235" s="174">
        <v>71.675140154584682</v>
      </c>
      <c r="E235" s="174">
        <v>615789.79912409873</v>
      </c>
      <c r="F235" s="170" t="s">
        <v>801</v>
      </c>
    </row>
    <row r="236" spans="1:6">
      <c r="A236" s="171"/>
      <c r="B236" s="171">
        <v>830</v>
      </c>
      <c r="C236" s="171" t="s">
        <v>898</v>
      </c>
      <c r="D236" s="172" t="s">
        <v>728</v>
      </c>
      <c r="E236" s="172" t="s">
        <v>728</v>
      </c>
      <c r="F236" s="170" t="s">
        <v>729</v>
      </c>
    </row>
    <row r="237" spans="1:6">
      <c r="A237" s="171"/>
      <c r="B237" s="171">
        <v>158</v>
      </c>
      <c r="C237" s="171" t="s">
        <v>899</v>
      </c>
      <c r="D237" s="172" t="s">
        <v>728</v>
      </c>
      <c r="E237" s="172" t="s">
        <v>728</v>
      </c>
      <c r="F237" s="170" t="s">
        <v>729</v>
      </c>
    </row>
    <row r="238" spans="1:6" ht="23.65" customHeight="1">
      <c r="A238" s="241" t="s">
        <v>900</v>
      </c>
      <c r="B238" s="242"/>
      <c r="C238" s="242"/>
      <c r="D238" s="242"/>
      <c r="E238" s="242"/>
      <c r="F238" s="243"/>
    </row>
  </sheetData>
  <mergeCells count="2">
    <mergeCell ref="A1:F1"/>
    <mergeCell ref="A238:F238"/>
  </mergeCells>
  <conditionalFormatting sqref="F3:F237">
    <cfRule type="containsText" dxfId="11" priority="1" operator="containsText" text="Medium Confidence">
      <formula>NOT(ISERROR(SEARCH("Medium Confidence",F3)))</formula>
    </cfRule>
    <cfRule type="containsText" dxfId="10" priority="2" operator="containsText" text="Very Low Confidence">
      <formula>NOT(ISERROR(SEARCH("Very Low Confidence",F3)))</formula>
    </cfRule>
    <cfRule type="containsText" dxfId="9" priority="3" operator="containsText" text="Low Confidence">
      <formula>NOT(ISERROR(SEARCH("Low Confidence",F3)))</formula>
    </cfRule>
    <cfRule type="containsText" dxfId="8" priority="4" operator="containsText" text="High Confidence">
      <formula>NOT(ISERROR(SEARCH("High Confidence",F3)))</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30FFA-F1A0-494B-AC38-1924FD8A1960}">
  <sheetPr>
    <tabColor theme="9" tint="0.79998168889431442"/>
  </sheetPr>
  <dimension ref="A1:F238"/>
  <sheetViews>
    <sheetView workbookViewId="0">
      <selection activeCell="B20" sqref="B20"/>
    </sheetView>
  </sheetViews>
  <sheetFormatPr defaultRowHeight="14.45"/>
  <cols>
    <col min="1" max="6" width="23.7109375" style="175" customWidth="1"/>
  </cols>
  <sheetData>
    <row r="1" spans="1:6">
      <c r="A1" s="244" t="s">
        <v>901</v>
      </c>
      <c r="B1" s="245"/>
      <c r="C1" s="245"/>
      <c r="D1" s="245"/>
      <c r="E1" s="245"/>
      <c r="F1" s="246"/>
    </row>
    <row r="2" spans="1:6" ht="20.45">
      <c r="A2" s="169" t="s">
        <v>33</v>
      </c>
      <c r="B2" s="169" t="s">
        <v>702</v>
      </c>
      <c r="C2" s="169" t="s">
        <v>29</v>
      </c>
      <c r="D2" s="169" t="s">
        <v>902</v>
      </c>
      <c r="E2" s="169" t="s">
        <v>903</v>
      </c>
      <c r="F2" s="169" t="s">
        <v>705</v>
      </c>
    </row>
    <row r="3" spans="1:6">
      <c r="A3" s="171" t="s">
        <v>127</v>
      </c>
      <c r="B3" s="171">
        <v>36</v>
      </c>
      <c r="C3" s="171" t="s">
        <v>126</v>
      </c>
      <c r="D3" s="172">
        <v>21.677391537791951</v>
      </c>
      <c r="E3" s="172">
        <v>546339.63440527814</v>
      </c>
      <c r="F3" s="170" t="s">
        <v>904</v>
      </c>
    </row>
    <row r="4" spans="1:6">
      <c r="A4" s="171" t="s">
        <v>127</v>
      </c>
      <c r="B4" s="171">
        <v>554</v>
      </c>
      <c r="C4" s="171" t="s">
        <v>479</v>
      </c>
      <c r="D4" s="172">
        <v>25.5704180040103</v>
      </c>
      <c r="E4" s="172">
        <v>122305.86635498166</v>
      </c>
      <c r="F4" s="170" t="s">
        <v>801</v>
      </c>
    </row>
    <row r="5" spans="1:6">
      <c r="A5" s="171" t="s">
        <v>707</v>
      </c>
      <c r="B5" s="171">
        <v>398</v>
      </c>
      <c r="C5" s="171" t="s">
        <v>708</v>
      </c>
      <c r="D5" s="172">
        <v>27.648074566430626</v>
      </c>
      <c r="E5" s="172">
        <v>512910.49051168113</v>
      </c>
      <c r="F5" s="170" t="s">
        <v>709</v>
      </c>
    </row>
    <row r="6" spans="1:6">
      <c r="A6" s="171" t="s">
        <v>707</v>
      </c>
      <c r="B6" s="171">
        <v>417</v>
      </c>
      <c r="C6" s="171" t="s">
        <v>710</v>
      </c>
      <c r="D6" s="172">
        <v>27.648074566430626</v>
      </c>
      <c r="E6" s="172">
        <v>177387.28161076226</v>
      </c>
      <c r="F6" s="170" t="s">
        <v>709</v>
      </c>
    </row>
    <row r="7" spans="1:6">
      <c r="A7" s="171" t="s">
        <v>707</v>
      </c>
      <c r="B7" s="171">
        <v>762</v>
      </c>
      <c r="C7" s="171" t="s">
        <v>711</v>
      </c>
      <c r="D7" s="172">
        <v>27.648074566430626</v>
      </c>
      <c r="E7" s="172">
        <v>257707.70303369986</v>
      </c>
      <c r="F7" s="170" t="s">
        <v>709</v>
      </c>
    </row>
    <row r="8" spans="1:6">
      <c r="A8" s="171" t="s">
        <v>707</v>
      </c>
      <c r="B8" s="171">
        <v>795</v>
      </c>
      <c r="C8" s="171" t="s">
        <v>712</v>
      </c>
      <c r="D8" s="172">
        <v>27.648074566430626</v>
      </c>
      <c r="E8" s="172">
        <v>164287.62388118744</v>
      </c>
      <c r="F8" s="170" t="s">
        <v>709</v>
      </c>
    </row>
    <row r="9" spans="1:6">
      <c r="A9" s="171" t="s">
        <v>707</v>
      </c>
      <c r="B9" s="171">
        <v>860</v>
      </c>
      <c r="C9" s="171" t="s">
        <v>713</v>
      </c>
      <c r="D9" s="172">
        <v>27.648074566430626</v>
      </c>
      <c r="E9" s="172">
        <v>911880.5009276449</v>
      </c>
      <c r="F9" s="170" t="s">
        <v>709</v>
      </c>
    </row>
    <row r="10" spans="1:6">
      <c r="A10" s="171" t="s">
        <v>233</v>
      </c>
      <c r="B10" s="171">
        <v>156</v>
      </c>
      <c r="C10" s="171" t="s">
        <v>232</v>
      </c>
      <c r="D10" s="172">
        <v>45.598050000000001</v>
      </c>
      <c r="E10" s="172">
        <v>65377740.841785006</v>
      </c>
      <c r="F10" s="170" t="s">
        <v>904</v>
      </c>
    </row>
    <row r="11" spans="1:6">
      <c r="A11" s="171" t="s">
        <v>233</v>
      </c>
      <c r="B11" s="171">
        <v>344</v>
      </c>
      <c r="C11" s="171" t="s">
        <v>715</v>
      </c>
      <c r="D11" s="172">
        <v>25.5704180040103</v>
      </c>
      <c r="E11" s="172">
        <v>190146.74236142138</v>
      </c>
      <c r="F11" s="170" t="s">
        <v>801</v>
      </c>
    </row>
    <row r="12" spans="1:6">
      <c r="A12" s="171" t="s">
        <v>233</v>
      </c>
      <c r="B12" s="171">
        <v>446</v>
      </c>
      <c r="C12" s="171" t="s">
        <v>716</v>
      </c>
      <c r="D12" s="172">
        <v>25.5704180040103</v>
      </c>
      <c r="E12" s="172">
        <v>16375.295689768194</v>
      </c>
      <c r="F12" s="170" t="s">
        <v>801</v>
      </c>
    </row>
    <row r="13" spans="1:6">
      <c r="A13" s="171" t="s">
        <v>233</v>
      </c>
      <c r="B13" s="171">
        <v>408</v>
      </c>
      <c r="C13" s="171" t="s">
        <v>717</v>
      </c>
      <c r="D13" s="172">
        <v>27.648074566430626</v>
      </c>
      <c r="E13" s="172">
        <v>709621.01143692166</v>
      </c>
      <c r="F13" s="170" t="s">
        <v>709</v>
      </c>
    </row>
    <row r="14" spans="1:6">
      <c r="A14" s="171" t="s">
        <v>233</v>
      </c>
      <c r="B14" s="171">
        <v>392</v>
      </c>
      <c r="C14" s="171" t="s">
        <v>429</v>
      </c>
      <c r="D14" s="172">
        <v>14.746421607138945</v>
      </c>
      <c r="E14" s="172">
        <v>1870735.4690081286</v>
      </c>
      <c r="F14" s="170" t="s">
        <v>905</v>
      </c>
    </row>
    <row r="15" spans="1:6">
      <c r="A15" s="171" t="s">
        <v>233</v>
      </c>
      <c r="B15" s="171">
        <v>496</v>
      </c>
      <c r="C15" s="171" t="s">
        <v>718</v>
      </c>
      <c r="D15" s="172">
        <v>27.648074566430626</v>
      </c>
      <c r="E15" s="172">
        <v>89170.570091652044</v>
      </c>
      <c r="F15" s="170" t="s">
        <v>709</v>
      </c>
    </row>
    <row r="16" spans="1:6">
      <c r="A16" s="171" t="s">
        <v>233</v>
      </c>
      <c r="B16" s="171">
        <v>410</v>
      </c>
      <c r="C16" s="171" t="s">
        <v>719</v>
      </c>
      <c r="D16" s="172">
        <v>25.5704180040103</v>
      </c>
      <c r="E16" s="172">
        <v>1309852.3333808288</v>
      </c>
      <c r="F16" s="170" t="s">
        <v>801</v>
      </c>
    </row>
    <row r="17" spans="1:6">
      <c r="A17" s="171" t="s">
        <v>365</v>
      </c>
      <c r="B17" s="171">
        <v>112</v>
      </c>
      <c r="C17" s="171" t="s">
        <v>720</v>
      </c>
      <c r="D17" s="172">
        <v>27.648074566430626</v>
      </c>
      <c r="E17" s="172">
        <v>261340.66003172885</v>
      </c>
      <c r="F17" s="170" t="s">
        <v>709</v>
      </c>
    </row>
    <row r="18" spans="1:6">
      <c r="A18" s="171" t="s">
        <v>365</v>
      </c>
      <c r="B18" s="171">
        <v>100</v>
      </c>
      <c r="C18" s="171" t="s">
        <v>721</v>
      </c>
      <c r="D18" s="172">
        <v>27.648074566430626</v>
      </c>
      <c r="E18" s="172">
        <v>193539.28677247104</v>
      </c>
      <c r="F18" s="170" t="s">
        <v>709</v>
      </c>
    </row>
    <row r="19" spans="1:6">
      <c r="A19" s="171" t="s">
        <v>365</v>
      </c>
      <c r="B19" s="171">
        <v>203</v>
      </c>
      <c r="C19" s="171" t="s">
        <v>722</v>
      </c>
      <c r="D19" s="172">
        <v>25.5704180040103</v>
      </c>
      <c r="E19" s="172">
        <v>273327.3121284669</v>
      </c>
      <c r="F19" s="170" t="s">
        <v>801</v>
      </c>
    </row>
    <row r="20" spans="1:6">
      <c r="A20" s="171" t="s">
        <v>365</v>
      </c>
      <c r="B20" s="171">
        <v>348</v>
      </c>
      <c r="C20" s="171" t="s">
        <v>364</v>
      </c>
      <c r="D20" s="172">
        <v>25.5704180040103</v>
      </c>
      <c r="E20" s="172">
        <v>247641.82724343854</v>
      </c>
      <c r="F20" s="170" t="s">
        <v>801</v>
      </c>
    </row>
    <row r="21" spans="1:6">
      <c r="A21" s="171" t="s">
        <v>365</v>
      </c>
      <c r="B21" s="171">
        <v>616</v>
      </c>
      <c r="C21" s="171" t="s">
        <v>508</v>
      </c>
      <c r="D21" s="172">
        <v>25.5704180040103</v>
      </c>
      <c r="E21" s="172">
        <v>968806.88325234142</v>
      </c>
      <c r="F21" s="170" t="s">
        <v>801</v>
      </c>
    </row>
    <row r="22" spans="1:6">
      <c r="A22" s="171" t="s">
        <v>365</v>
      </c>
      <c r="B22" s="171">
        <v>498</v>
      </c>
      <c r="C22" s="171" t="s">
        <v>723</v>
      </c>
      <c r="D22" s="172">
        <v>27.648074566430626</v>
      </c>
      <c r="E22" s="172">
        <v>111789.45989444897</v>
      </c>
      <c r="F22" s="170" t="s">
        <v>709</v>
      </c>
    </row>
    <row r="23" spans="1:6">
      <c r="A23" s="171" t="s">
        <v>365</v>
      </c>
      <c r="B23" s="171">
        <v>642</v>
      </c>
      <c r="C23" s="171" t="s">
        <v>724</v>
      </c>
      <c r="D23" s="172">
        <v>25.5704180040103</v>
      </c>
      <c r="E23" s="172">
        <v>495160.91648045782</v>
      </c>
      <c r="F23" s="170" t="s">
        <v>801</v>
      </c>
    </row>
    <row r="24" spans="1:6">
      <c r="A24" s="171" t="s">
        <v>365</v>
      </c>
      <c r="B24" s="171">
        <v>643</v>
      </c>
      <c r="C24" s="171" t="s">
        <v>513</v>
      </c>
      <c r="D24" s="172">
        <v>27.648074566430626</v>
      </c>
      <c r="E24" s="172">
        <v>4033088.2275767382</v>
      </c>
      <c r="F24" s="170" t="s">
        <v>709</v>
      </c>
    </row>
    <row r="25" spans="1:6">
      <c r="A25" s="171" t="s">
        <v>365</v>
      </c>
      <c r="B25" s="171">
        <v>703</v>
      </c>
      <c r="C25" s="171" t="s">
        <v>725</v>
      </c>
      <c r="D25" s="172">
        <v>25.5704180040103</v>
      </c>
      <c r="E25" s="172">
        <v>139537.77104788419</v>
      </c>
      <c r="F25" s="170" t="s">
        <v>801</v>
      </c>
    </row>
    <row r="26" spans="1:6">
      <c r="A26" s="171" t="s">
        <v>365</v>
      </c>
      <c r="B26" s="171">
        <v>804</v>
      </c>
      <c r="C26" s="171" t="s">
        <v>726</v>
      </c>
      <c r="D26" s="172">
        <v>27.648074566430626</v>
      </c>
      <c r="E26" s="172">
        <v>1216338.3332457223</v>
      </c>
      <c r="F26" s="170" t="s">
        <v>709</v>
      </c>
    </row>
    <row r="27" spans="1:6">
      <c r="A27" s="171" t="s">
        <v>209</v>
      </c>
      <c r="B27" s="171">
        <v>660</v>
      </c>
      <c r="C27" s="171" t="s">
        <v>727</v>
      </c>
      <c r="D27" s="172" t="s">
        <v>728</v>
      </c>
      <c r="E27" s="172" t="s">
        <v>728</v>
      </c>
      <c r="F27" s="170" t="s">
        <v>906</v>
      </c>
    </row>
    <row r="28" spans="1:6">
      <c r="A28" s="171" t="s">
        <v>209</v>
      </c>
      <c r="B28" s="171">
        <v>28</v>
      </c>
      <c r="C28" s="171" t="s">
        <v>730</v>
      </c>
      <c r="D28" s="172">
        <v>25.5704180040103</v>
      </c>
      <c r="E28" s="172">
        <v>2482.8875881894</v>
      </c>
      <c r="F28" s="170" t="s">
        <v>801</v>
      </c>
    </row>
    <row r="29" spans="1:6">
      <c r="A29" s="171" t="s">
        <v>209</v>
      </c>
      <c r="B29" s="171">
        <v>32</v>
      </c>
      <c r="C29" s="171" t="s">
        <v>731</v>
      </c>
      <c r="D29" s="172">
        <v>27.648074566430626</v>
      </c>
      <c r="E29" s="172">
        <v>1238100.13273696</v>
      </c>
      <c r="F29" s="170" t="s">
        <v>709</v>
      </c>
    </row>
    <row r="30" spans="1:6">
      <c r="A30" s="171" t="s">
        <v>209</v>
      </c>
      <c r="B30" s="171">
        <v>533</v>
      </c>
      <c r="C30" s="171" t="s">
        <v>732</v>
      </c>
      <c r="D30" s="172">
        <v>25.5704180040103</v>
      </c>
      <c r="E30" s="172">
        <v>2718.1354338262945</v>
      </c>
      <c r="F30" s="170" t="s">
        <v>801</v>
      </c>
    </row>
    <row r="31" spans="1:6">
      <c r="A31" s="171" t="s">
        <v>209</v>
      </c>
      <c r="B31" s="171">
        <v>44</v>
      </c>
      <c r="C31" s="171" t="s">
        <v>733</v>
      </c>
      <c r="D31" s="172">
        <v>25.5704180040103</v>
      </c>
      <c r="E31" s="172">
        <v>9959.6778125620112</v>
      </c>
      <c r="F31" s="170" t="s">
        <v>801</v>
      </c>
    </row>
    <row r="32" spans="1:6">
      <c r="A32" s="171" t="s">
        <v>209</v>
      </c>
      <c r="B32" s="171">
        <v>52</v>
      </c>
      <c r="C32" s="171" t="s">
        <v>734</v>
      </c>
      <c r="D32" s="172">
        <v>25.5704180040103</v>
      </c>
      <c r="E32" s="172">
        <v>7338.7099671509568</v>
      </c>
      <c r="F32" s="170" t="s">
        <v>801</v>
      </c>
    </row>
    <row r="33" spans="1:6">
      <c r="A33" s="171" t="s">
        <v>209</v>
      </c>
      <c r="B33" s="171">
        <v>84</v>
      </c>
      <c r="C33" s="171" t="s">
        <v>208</v>
      </c>
      <c r="D33" s="172">
        <v>27.648074566430626</v>
      </c>
      <c r="E33" s="172">
        <v>10793.808310734516</v>
      </c>
      <c r="F33" s="170" t="s">
        <v>709</v>
      </c>
    </row>
    <row r="34" spans="1:6">
      <c r="A34" s="171" t="s">
        <v>209</v>
      </c>
      <c r="B34" s="171">
        <v>68</v>
      </c>
      <c r="C34" s="171" t="s">
        <v>735</v>
      </c>
      <c r="D34" s="172">
        <v>27.648074566430626</v>
      </c>
      <c r="E34" s="172">
        <v>318315.04729077243</v>
      </c>
      <c r="F34" s="170" t="s">
        <v>709</v>
      </c>
    </row>
    <row r="35" spans="1:6">
      <c r="A35" s="171" t="s">
        <v>209</v>
      </c>
      <c r="B35" s="171">
        <v>535</v>
      </c>
      <c r="C35" s="171" t="s">
        <v>736</v>
      </c>
      <c r="D35" s="172" t="s">
        <v>728</v>
      </c>
      <c r="E35" s="172" t="s">
        <v>728</v>
      </c>
      <c r="F35" s="170" t="s">
        <v>906</v>
      </c>
    </row>
    <row r="36" spans="1:6">
      <c r="A36" s="171" t="s">
        <v>209</v>
      </c>
      <c r="B36" s="171">
        <v>76</v>
      </c>
      <c r="C36" s="171" t="s">
        <v>221</v>
      </c>
      <c r="D36" s="172">
        <v>27.648074566430626</v>
      </c>
      <c r="E36" s="172">
        <v>5835112.3132079002</v>
      </c>
      <c r="F36" s="170" t="s">
        <v>709</v>
      </c>
    </row>
    <row r="37" spans="1:6">
      <c r="A37" s="171" t="s">
        <v>209</v>
      </c>
      <c r="B37" s="171">
        <v>92</v>
      </c>
      <c r="C37" s="171" t="s">
        <v>737</v>
      </c>
      <c r="D37" s="172">
        <v>25.5704180040103</v>
      </c>
      <c r="E37" s="172">
        <v>767.11254012030895</v>
      </c>
      <c r="F37" s="170" t="s">
        <v>801</v>
      </c>
    </row>
    <row r="38" spans="1:6">
      <c r="A38" s="171" t="s">
        <v>209</v>
      </c>
      <c r="B38" s="171">
        <v>136</v>
      </c>
      <c r="C38" s="171" t="s">
        <v>738</v>
      </c>
      <c r="D38" s="172">
        <v>25.5704180040103</v>
      </c>
      <c r="E38" s="172">
        <v>1659.5201284602686</v>
      </c>
      <c r="F38" s="170" t="s">
        <v>801</v>
      </c>
    </row>
    <row r="39" spans="1:6">
      <c r="A39" s="171" t="s">
        <v>209</v>
      </c>
      <c r="B39" s="171">
        <v>152</v>
      </c>
      <c r="C39" s="171" t="s">
        <v>739</v>
      </c>
      <c r="D39" s="172">
        <v>25.5704180040103</v>
      </c>
      <c r="E39" s="172">
        <v>484610.56201200321</v>
      </c>
      <c r="F39" s="170" t="s">
        <v>801</v>
      </c>
    </row>
    <row r="40" spans="1:6">
      <c r="A40" s="171" t="s">
        <v>209</v>
      </c>
      <c r="B40" s="171">
        <v>170</v>
      </c>
      <c r="C40" s="171" t="s">
        <v>271</v>
      </c>
      <c r="D40" s="172">
        <v>27.648074566430626</v>
      </c>
      <c r="E40" s="172">
        <v>1391787.4848293778</v>
      </c>
      <c r="F40" s="170" t="s">
        <v>709</v>
      </c>
    </row>
    <row r="41" spans="1:6">
      <c r="A41" s="171" t="s">
        <v>209</v>
      </c>
      <c r="B41" s="171">
        <v>188</v>
      </c>
      <c r="C41" s="171" t="s">
        <v>740</v>
      </c>
      <c r="D41" s="172">
        <v>27.648074566430626</v>
      </c>
      <c r="E41" s="172">
        <v>139556.42118151521</v>
      </c>
      <c r="F41" s="170" t="s">
        <v>709</v>
      </c>
    </row>
    <row r="42" spans="1:6">
      <c r="A42" s="171" t="s">
        <v>209</v>
      </c>
      <c r="B42" s="171">
        <v>192</v>
      </c>
      <c r="C42" s="171" t="s">
        <v>741</v>
      </c>
      <c r="D42" s="172">
        <v>27.648074566430626</v>
      </c>
      <c r="E42" s="172">
        <v>313349.45309864153</v>
      </c>
      <c r="F42" s="170" t="s">
        <v>709</v>
      </c>
    </row>
    <row r="43" spans="1:6">
      <c r="A43" s="171" t="s">
        <v>209</v>
      </c>
      <c r="B43" s="171">
        <v>531</v>
      </c>
      <c r="C43" s="171" t="s">
        <v>742</v>
      </c>
      <c r="D43" s="172">
        <v>25.5704180040103</v>
      </c>
      <c r="E43" s="172">
        <v>4178.2063018552826</v>
      </c>
      <c r="F43" s="170" t="s">
        <v>801</v>
      </c>
    </row>
    <row r="44" spans="1:6">
      <c r="A44" s="171" t="s">
        <v>209</v>
      </c>
      <c r="B44" s="171">
        <v>212</v>
      </c>
      <c r="C44" s="171" t="s">
        <v>743</v>
      </c>
      <c r="D44" s="172">
        <v>27.648074566430626</v>
      </c>
      <c r="E44" s="172">
        <v>1985.131753869719</v>
      </c>
      <c r="F44" s="170" t="s">
        <v>709</v>
      </c>
    </row>
    <row r="45" spans="1:6">
      <c r="A45" s="171" t="s">
        <v>209</v>
      </c>
      <c r="B45" s="171">
        <v>214</v>
      </c>
      <c r="C45" s="171" t="s">
        <v>744</v>
      </c>
      <c r="D45" s="172">
        <v>27.648074566430626</v>
      </c>
      <c r="E45" s="172">
        <v>296912.67276889848</v>
      </c>
      <c r="F45" s="170" t="s">
        <v>709</v>
      </c>
    </row>
    <row r="46" spans="1:6">
      <c r="A46" s="171" t="s">
        <v>209</v>
      </c>
      <c r="B46" s="171">
        <v>218</v>
      </c>
      <c r="C46" s="171" t="s">
        <v>745</v>
      </c>
      <c r="D46" s="172">
        <v>27.648074566430626</v>
      </c>
      <c r="E46" s="172">
        <v>480349.35309479578</v>
      </c>
      <c r="F46" s="170" t="s">
        <v>709</v>
      </c>
    </row>
    <row r="47" spans="1:6">
      <c r="A47" s="171" t="s">
        <v>209</v>
      </c>
      <c r="B47" s="171">
        <v>222</v>
      </c>
      <c r="C47" s="171" t="s">
        <v>746</v>
      </c>
      <c r="D47" s="172">
        <v>27.648074566430626</v>
      </c>
      <c r="E47" s="172">
        <v>178429.6140219167</v>
      </c>
      <c r="F47" s="170" t="s">
        <v>709</v>
      </c>
    </row>
    <row r="48" spans="1:6">
      <c r="A48" s="171" t="s">
        <v>209</v>
      </c>
      <c r="B48" s="171">
        <v>238</v>
      </c>
      <c r="C48" s="171" t="s">
        <v>747</v>
      </c>
      <c r="D48" s="172" t="s">
        <v>728</v>
      </c>
      <c r="E48" s="172" t="s">
        <v>728</v>
      </c>
      <c r="F48" s="170" t="s">
        <v>906</v>
      </c>
    </row>
    <row r="49" spans="1:6">
      <c r="A49" s="171" t="s">
        <v>209</v>
      </c>
      <c r="B49" s="171">
        <v>254</v>
      </c>
      <c r="C49" s="171" t="s">
        <v>748</v>
      </c>
      <c r="D49" s="172" t="s">
        <v>728</v>
      </c>
      <c r="E49" s="172" t="s">
        <v>728</v>
      </c>
      <c r="F49" s="170" t="s">
        <v>906</v>
      </c>
    </row>
    <row r="50" spans="1:6">
      <c r="A50" s="171" t="s">
        <v>209</v>
      </c>
      <c r="B50" s="171">
        <v>308</v>
      </c>
      <c r="C50" s="171" t="s">
        <v>749</v>
      </c>
      <c r="D50" s="172">
        <v>27.648074566430626</v>
      </c>
      <c r="E50" s="172">
        <v>3096.58435144023</v>
      </c>
      <c r="F50" s="170" t="s">
        <v>709</v>
      </c>
    </row>
    <row r="51" spans="1:6">
      <c r="A51" s="171" t="s">
        <v>209</v>
      </c>
      <c r="B51" s="171">
        <v>312</v>
      </c>
      <c r="C51" s="171" t="s">
        <v>750</v>
      </c>
      <c r="D51" s="172" t="s">
        <v>728</v>
      </c>
      <c r="E51" s="172" t="s">
        <v>728</v>
      </c>
      <c r="F51" s="170" t="s">
        <v>906</v>
      </c>
    </row>
    <row r="52" spans="1:6">
      <c r="A52" s="171" t="s">
        <v>209</v>
      </c>
      <c r="B52" s="171">
        <v>320</v>
      </c>
      <c r="C52" s="171" t="s">
        <v>751</v>
      </c>
      <c r="D52" s="172">
        <v>27.648074566430626</v>
      </c>
      <c r="E52" s="172">
        <v>486094.62298970006</v>
      </c>
      <c r="F52" s="170" t="s">
        <v>709</v>
      </c>
    </row>
    <row r="53" spans="1:6">
      <c r="A53" s="171" t="s">
        <v>209</v>
      </c>
      <c r="B53" s="171">
        <v>328</v>
      </c>
      <c r="C53" s="171" t="s">
        <v>752</v>
      </c>
      <c r="D53" s="172">
        <v>27.648074566430626</v>
      </c>
      <c r="E53" s="172">
        <v>21642.912770601895</v>
      </c>
      <c r="F53" s="170" t="s">
        <v>709</v>
      </c>
    </row>
    <row r="54" spans="1:6">
      <c r="A54" s="171" t="s">
        <v>209</v>
      </c>
      <c r="B54" s="171">
        <v>332</v>
      </c>
      <c r="C54" s="171" t="s">
        <v>753</v>
      </c>
      <c r="D54" s="172">
        <v>27.648074566430626</v>
      </c>
      <c r="E54" s="172">
        <v>311403.02864916477</v>
      </c>
      <c r="F54" s="170" t="s">
        <v>709</v>
      </c>
    </row>
    <row r="55" spans="1:6">
      <c r="A55" s="171" t="s">
        <v>209</v>
      </c>
      <c r="B55" s="171">
        <v>340</v>
      </c>
      <c r="C55" s="171" t="s">
        <v>754</v>
      </c>
      <c r="D55" s="172">
        <v>27.648074566430626</v>
      </c>
      <c r="E55" s="172">
        <v>269460.89953188947</v>
      </c>
      <c r="F55" s="170" t="s">
        <v>709</v>
      </c>
    </row>
    <row r="56" spans="1:6">
      <c r="A56" s="171" t="s">
        <v>209</v>
      </c>
      <c r="B56" s="171">
        <v>388</v>
      </c>
      <c r="C56" s="171" t="s">
        <v>755</v>
      </c>
      <c r="D56" s="172">
        <v>27.648074566430626</v>
      </c>
      <c r="E56" s="172">
        <v>81514.818244207418</v>
      </c>
      <c r="F56" s="170" t="s">
        <v>709</v>
      </c>
    </row>
    <row r="57" spans="1:6">
      <c r="A57" s="171" t="s">
        <v>209</v>
      </c>
      <c r="B57" s="171">
        <v>474</v>
      </c>
      <c r="C57" s="171" t="s">
        <v>756</v>
      </c>
      <c r="D57" s="172" t="s">
        <v>728</v>
      </c>
      <c r="E57" s="172" t="s">
        <v>728</v>
      </c>
      <c r="F57" s="170" t="s">
        <v>906</v>
      </c>
    </row>
    <row r="58" spans="1:6">
      <c r="A58" s="171" t="s">
        <v>209</v>
      </c>
      <c r="B58" s="171">
        <v>484</v>
      </c>
      <c r="C58" s="171" t="s">
        <v>471</v>
      </c>
      <c r="D58" s="172">
        <v>27.648074566430626</v>
      </c>
      <c r="E58" s="172">
        <v>3527216.9368496705</v>
      </c>
      <c r="F58" s="170" t="s">
        <v>709</v>
      </c>
    </row>
    <row r="59" spans="1:6">
      <c r="A59" s="171" t="s">
        <v>209</v>
      </c>
      <c r="B59" s="171">
        <v>500</v>
      </c>
      <c r="C59" s="171" t="s">
        <v>757</v>
      </c>
      <c r="D59" s="172" t="s">
        <v>728</v>
      </c>
      <c r="E59" s="172" t="s">
        <v>728</v>
      </c>
      <c r="F59" s="170" t="s">
        <v>906</v>
      </c>
    </row>
    <row r="60" spans="1:6">
      <c r="A60" s="171" t="s">
        <v>209</v>
      </c>
      <c r="B60" s="171">
        <v>558</v>
      </c>
      <c r="C60" s="171" t="s">
        <v>758</v>
      </c>
      <c r="D60" s="172">
        <v>27.648074566430626</v>
      </c>
      <c r="E60" s="172">
        <v>180970.47207457168</v>
      </c>
      <c r="F60" s="170" t="s">
        <v>709</v>
      </c>
    </row>
    <row r="61" spans="1:6">
      <c r="A61" s="171" t="s">
        <v>209</v>
      </c>
      <c r="B61" s="171">
        <v>591</v>
      </c>
      <c r="C61" s="171" t="s">
        <v>759</v>
      </c>
      <c r="D61" s="172">
        <v>25.5704180040103</v>
      </c>
      <c r="E61" s="172">
        <v>108582.22301222934</v>
      </c>
      <c r="F61" s="170" t="s">
        <v>801</v>
      </c>
    </row>
    <row r="62" spans="1:6">
      <c r="A62" s="171" t="s">
        <v>209</v>
      </c>
      <c r="B62" s="171">
        <v>600</v>
      </c>
      <c r="C62" s="171" t="s">
        <v>760</v>
      </c>
      <c r="D62" s="172">
        <v>27.648074566430626</v>
      </c>
      <c r="E62" s="172">
        <v>194769.62609067719</v>
      </c>
      <c r="F62" s="170" t="s">
        <v>709</v>
      </c>
    </row>
    <row r="63" spans="1:6">
      <c r="A63" s="171" t="s">
        <v>209</v>
      </c>
      <c r="B63" s="171">
        <v>604</v>
      </c>
      <c r="C63" s="171" t="s">
        <v>761</v>
      </c>
      <c r="D63" s="172">
        <v>27.648074566430626</v>
      </c>
      <c r="E63" s="172">
        <v>898852.72819194291</v>
      </c>
      <c r="F63" s="170" t="s">
        <v>709</v>
      </c>
    </row>
    <row r="64" spans="1:6">
      <c r="A64" s="171" t="s">
        <v>209</v>
      </c>
      <c r="B64" s="171">
        <v>630</v>
      </c>
      <c r="C64" s="171" t="s">
        <v>762</v>
      </c>
      <c r="D64" s="172">
        <v>25.5704180040103</v>
      </c>
      <c r="E64" s="172">
        <v>75008.264172963813</v>
      </c>
      <c r="F64" s="170" t="s">
        <v>801</v>
      </c>
    </row>
    <row r="65" spans="1:6">
      <c r="A65" s="171" t="s">
        <v>209</v>
      </c>
      <c r="B65" s="171">
        <v>652</v>
      </c>
      <c r="C65" s="171" t="s">
        <v>763</v>
      </c>
      <c r="D65" s="172" t="s">
        <v>728</v>
      </c>
      <c r="E65" s="172" t="s">
        <v>728</v>
      </c>
      <c r="F65" s="170" t="s">
        <v>906</v>
      </c>
    </row>
    <row r="66" spans="1:6">
      <c r="A66" s="171" t="s">
        <v>209</v>
      </c>
      <c r="B66" s="171">
        <v>659</v>
      </c>
      <c r="C66" s="171" t="s">
        <v>764</v>
      </c>
      <c r="D66" s="172">
        <v>25.5704180040103</v>
      </c>
      <c r="E66" s="172">
        <v>1350.1180706117436</v>
      </c>
      <c r="F66" s="170" t="s">
        <v>801</v>
      </c>
    </row>
    <row r="67" spans="1:6">
      <c r="A67" s="171" t="s">
        <v>209</v>
      </c>
      <c r="B67" s="171">
        <v>662</v>
      </c>
      <c r="C67" s="171" t="s">
        <v>765</v>
      </c>
      <c r="D67" s="172">
        <v>27.648074566430626</v>
      </c>
      <c r="E67" s="172">
        <v>5054.0680307435186</v>
      </c>
      <c r="F67" s="170" t="s">
        <v>709</v>
      </c>
    </row>
    <row r="68" spans="1:6">
      <c r="A68" s="171" t="s">
        <v>209</v>
      </c>
      <c r="B68" s="171">
        <v>663</v>
      </c>
      <c r="C68" s="171" t="s">
        <v>766</v>
      </c>
      <c r="D68" s="172">
        <v>25.5704180040103</v>
      </c>
      <c r="E68" s="172">
        <v>971.67588415239129</v>
      </c>
      <c r="F68" s="170" t="s">
        <v>801</v>
      </c>
    </row>
    <row r="69" spans="1:6">
      <c r="A69" s="171" t="s">
        <v>209</v>
      </c>
      <c r="B69" s="171">
        <v>670</v>
      </c>
      <c r="C69" s="171" t="s">
        <v>767</v>
      </c>
      <c r="D69" s="172">
        <v>27.648074566430626</v>
      </c>
      <c r="E69" s="172">
        <v>3057.8770470472273</v>
      </c>
      <c r="F69" s="170" t="s">
        <v>709</v>
      </c>
    </row>
    <row r="70" spans="1:6">
      <c r="A70" s="171" t="s">
        <v>209</v>
      </c>
      <c r="B70" s="171">
        <v>534</v>
      </c>
      <c r="C70" s="171" t="s">
        <v>768</v>
      </c>
      <c r="D70" s="172">
        <v>25.5704180040103</v>
      </c>
      <c r="E70" s="172">
        <v>1084.1857233700368</v>
      </c>
      <c r="F70" s="170" t="s">
        <v>801</v>
      </c>
    </row>
    <row r="71" spans="1:6">
      <c r="A71" s="171" t="s">
        <v>209</v>
      </c>
      <c r="B71" s="171">
        <v>740</v>
      </c>
      <c r="C71" s="171" t="s">
        <v>769</v>
      </c>
      <c r="D71" s="172">
        <v>27.648074566430626</v>
      </c>
      <c r="E71" s="172">
        <v>16074.590552922768</v>
      </c>
      <c r="F71" s="170" t="s">
        <v>709</v>
      </c>
    </row>
    <row r="72" spans="1:6">
      <c r="A72" s="171" t="s">
        <v>209</v>
      </c>
      <c r="B72" s="171">
        <v>780</v>
      </c>
      <c r="C72" s="171" t="s">
        <v>770</v>
      </c>
      <c r="D72" s="172">
        <v>25.5704180040103</v>
      </c>
      <c r="E72" s="172">
        <v>35670.733115594361</v>
      </c>
      <c r="F72" s="170" t="s">
        <v>801</v>
      </c>
    </row>
    <row r="73" spans="1:6">
      <c r="A73" s="171" t="s">
        <v>209</v>
      </c>
      <c r="B73" s="171">
        <v>796</v>
      </c>
      <c r="C73" s="171" t="s">
        <v>771</v>
      </c>
      <c r="D73" s="172">
        <v>25.5704180040103</v>
      </c>
      <c r="E73" s="172">
        <v>976.78996775319342</v>
      </c>
      <c r="F73" s="170" t="s">
        <v>801</v>
      </c>
    </row>
    <row r="74" spans="1:6">
      <c r="A74" s="171" t="s">
        <v>209</v>
      </c>
      <c r="B74" s="171">
        <v>850</v>
      </c>
      <c r="C74" s="171" t="s">
        <v>772</v>
      </c>
      <c r="D74" s="172">
        <v>25.5704180040103</v>
      </c>
      <c r="E74" s="172">
        <v>2674.6657232194775</v>
      </c>
      <c r="F74" s="170" t="s">
        <v>801</v>
      </c>
    </row>
    <row r="75" spans="1:6">
      <c r="A75" s="171" t="s">
        <v>209</v>
      </c>
      <c r="B75" s="171">
        <v>858</v>
      </c>
      <c r="C75" s="171" t="s">
        <v>773</v>
      </c>
      <c r="D75" s="172">
        <v>25.5704180040103</v>
      </c>
      <c r="E75" s="172">
        <v>88517.11600448245</v>
      </c>
      <c r="F75" s="170" t="s">
        <v>801</v>
      </c>
    </row>
    <row r="76" spans="1:6">
      <c r="A76" s="171" t="s">
        <v>209</v>
      </c>
      <c r="B76" s="171">
        <v>862</v>
      </c>
      <c r="C76" s="171" t="s">
        <v>774</v>
      </c>
      <c r="D76" s="172">
        <v>27.648074566430626</v>
      </c>
      <c r="E76" s="172">
        <v>788406.96472142241</v>
      </c>
      <c r="F76" s="170" t="s">
        <v>709</v>
      </c>
    </row>
    <row r="77" spans="1:6">
      <c r="A77" s="171" t="s">
        <v>775</v>
      </c>
      <c r="B77" s="171">
        <v>242</v>
      </c>
      <c r="C77" s="171" t="s">
        <v>776</v>
      </c>
      <c r="D77" s="172">
        <v>27.648074566430626</v>
      </c>
      <c r="E77" s="172">
        <v>24606.786364123258</v>
      </c>
      <c r="F77" s="170" t="s">
        <v>709</v>
      </c>
    </row>
    <row r="78" spans="1:6">
      <c r="A78" s="171" t="s">
        <v>775</v>
      </c>
      <c r="B78" s="171">
        <v>540</v>
      </c>
      <c r="C78" s="171" t="s">
        <v>777</v>
      </c>
      <c r="D78" s="172">
        <v>25.5704180040103</v>
      </c>
      <c r="E78" s="172">
        <v>7231.3142115341125</v>
      </c>
      <c r="F78" s="170" t="s">
        <v>801</v>
      </c>
    </row>
    <row r="79" spans="1:6">
      <c r="A79" s="171" t="s">
        <v>775</v>
      </c>
      <c r="B79" s="171">
        <v>598</v>
      </c>
      <c r="C79" s="171" t="s">
        <v>778</v>
      </c>
      <c r="D79" s="172">
        <v>27.648074566430626</v>
      </c>
      <c r="E79" s="172">
        <v>242642.26720245183</v>
      </c>
      <c r="F79" s="170" t="s">
        <v>709</v>
      </c>
    </row>
    <row r="80" spans="1:6">
      <c r="A80" s="171" t="s">
        <v>775</v>
      </c>
      <c r="B80" s="171">
        <v>90</v>
      </c>
      <c r="C80" s="171" t="s">
        <v>779</v>
      </c>
      <c r="D80" s="172">
        <v>27.648074566430626</v>
      </c>
      <c r="E80" s="172">
        <v>18518.680344595236</v>
      </c>
      <c r="F80" s="170" t="s">
        <v>709</v>
      </c>
    </row>
    <row r="81" spans="1:6">
      <c r="A81" s="171" t="s">
        <v>775</v>
      </c>
      <c r="B81" s="171">
        <v>548</v>
      </c>
      <c r="C81" s="171" t="s">
        <v>780</v>
      </c>
      <c r="D81" s="172">
        <v>27.648074566430626</v>
      </c>
      <c r="E81" s="172">
        <v>8291.6575624725447</v>
      </c>
      <c r="F81" s="170" t="s">
        <v>709</v>
      </c>
    </row>
    <row r="82" spans="1:6">
      <c r="A82" s="171" t="s">
        <v>781</v>
      </c>
      <c r="B82" s="171">
        <v>316</v>
      </c>
      <c r="C82" s="171" t="s">
        <v>782</v>
      </c>
      <c r="D82" s="172">
        <v>25.5704180040103</v>
      </c>
      <c r="E82" s="172">
        <v>4277.9309320709226</v>
      </c>
      <c r="F82" s="170" t="s">
        <v>801</v>
      </c>
    </row>
    <row r="83" spans="1:6">
      <c r="A83" s="171" t="s">
        <v>781</v>
      </c>
      <c r="B83" s="171">
        <v>296</v>
      </c>
      <c r="C83" s="171" t="s">
        <v>783</v>
      </c>
      <c r="D83" s="172">
        <v>27.648074566430626</v>
      </c>
      <c r="E83" s="172">
        <v>3251.4135690122416</v>
      </c>
      <c r="F83" s="170" t="s">
        <v>709</v>
      </c>
    </row>
    <row r="84" spans="1:6">
      <c r="A84" s="171" t="s">
        <v>781</v>
      </c>
      <c r="B84" s="171">
        <v>584</v>
      </c>
      <c r="C84" s="171" t="s">
        <v>784</v>
      </c>
      <c r="D84" s="172">
        <v>27.648074566430626</v>
      </c>
      <c r="E84" s="172">
        <v>1625.7067845061208</v>
      </c>
      <c r="F84" s="170" t="s">
        <v>709</v>
      </c>
    </row>
    <row r="85" spans="1:6">
      <c r="A85" s="171" t="s">
        <v>781</v>
      </c>
      <c r="B85" s="171">
        <v>583</v>
      </c>
      <c r="C85" s="171" t="s">
        <v>785</v>
      </c>
      <c r="D85" s="172">
        <v>27.648074566430626</v>
      </c>
      <c r="E85" s="172">
        <v>3146.350885659805</v>
      </c>
      <c r="F85" s="170" t="s">
        <v>709</v>
      </c>
    </row>
    <row r="86" spans="1:6">
      <c r="A86" s="171" t="s">
        <v>781</v>
      </c>
      <c r="B86" s="171">
        <v>520</v>
      </c>
      <c r="C86" s="171" t="s">
        <v>786</v>
      </c>
      <c r="D86" s="172">
        <v>25.5704180040103</v>
      </c>
      <c r="E86" s="172">
        <v>276.16051444331129</v>
      </c>
      <c r="F86" s="170" t="s">
        <v>801</v>
      </c>
    </row>
    <row r="87" spans="1:6">
      <c r="A87" s="171" t="s">
        <v>781</v>
      </c>
      <c r="B87" s="171">
        <v>580</v>
      </c>
      <c r="C87" s="171" t="s">
        <v>787</v>
      </c>
      <c r="D87" s="172">
        <v>25.5704180040103</v>
      </c>
      <c r="E87" s="172">
        <v>1462.6279098293892</v>
      </c>
      <c r="F87" s="170" t="s">
        <v>801</v>
      </c>
    </row>
    <row r="88" spans="1:6">
      <c r="A88" s="171" t="s">
        <v>781</v>
      </c>
      <c r="B88" s="171">
        <v>585</v>
      </c>
      <c r="C88" s="171" t="s">
        <v>788</v>
      </c>
      <c r="D88" s="172">
        <v>25.5704180040103</v>
      </c>
      <c r="E88" s="172">
        <v>460.26752407218538</v>
      </c>
      <c r="F88" s="170" t="s">
        <v>801</v>
      </c>
    </row>
    <row r="89" spans="1:6">
      <c r="A89" s="171" t="s">
        <v>789</v>
      </c>
      <c r="B89" s="171">
        <v>12</v>
      </c>
      <c r="C89" s="171" t="s">
        <v>790</v>
      </c>
      <c r="D89" s="172">
        <v>27.648074566430626</v>
      </c>
      <c r="E89" s="172">
        <v>1190335.3191159945</v>
      </c>
      <c r="F89" s="170" t="s">
        <v>709</v>
      </c>
    </row>
    <row r="90" spans="1:6">
      <c r="A90" s="171" t="s">
        <v>789</v>
      </c>
      <c r="B90" s="171">
        <v>818</v>
      </c>
      <c r="C90" s="171" t="s">
        <v>791</v>
      </c>
      <c r="D90" s="172">
        <v>27.648074566430626</v>
      </c>
      <c r="E90" s="172">
        <v>2775537.6743822941</v>
      </c>
      <c r="F90" s="170" t="s">
        <v>709</v>
      </c>
    </row>
    <row r="91" spans="1:6">
      <c r="A91" s="171" t="s">
        <v>789</v>
      </c>
      <c r="B91" s="171">
        <v>434</v>
      </c>
      <c r="C91" s="171" t="s">
        <v>792</v>
      </c>
      <c r="D91" s="172">
        <v>27.648074566430626</v>
      </c>
      <c r="E91" s="172">
        <v>187384.82537398356</v>
      </c>
      <c r="F91" s="170" t="s">
        <v>709</v>
      </c>
    </row>
    <row r="92" spans="1:6">
      <c r="A92" s="171" t="s">
        <v>789</v>
      </c>
      <c r="B92" s="171">
        <v>504</v>
      </c>
      <c r="C92" s="171" t="s">
        <v>793</v>
      </c>
      <c r="D92" s="172">
        <v>27.648074566430626</v>
      </c>
      <c r="E92" s="172">
        <v>1008375.0459719446</v>
      </c>
      <c r="F92" s="170" t="s">
        <v>709</v>
      </c>
    </row>
    <row r="93" spans="1:6">
      <c r="A93" s="171" t="s">
        <v>789</v>
      </c>
      <c r="B93" s="171">
        <v>729</v>
      </c>
      <c r="C93" s="171" t="s">
        <v>794</v>
      </c>
      <c r="D93" s="172">
        <v>27.648074566430626</v>
      </c>
      <c r="E93" s="172">
        <v>1183702.5460275079</v>
      </c>
      <c r="F93" s="170" t="s">
        <v>709</v>
      </c>
    </row>
    <row r="94" spans="1:6">
      <c r="A94" s="171" t="s">
        <v>789</v>
      </c>
      <c r="B94" s="171">
        <v>788</v>
      </c>
      <c r="C94" s="171" t="s">
        <v>795</v>
      </c>
      <c r="D94" s="172">
        <v>27.648074566430626</v>
      </c>
      <c r="E94" s="172">
        <v>323335.93763203628</v>
      </c>
      <c r="F94" s="170" t="s">
        <v>709</v>
      </c>
    </row>
    <row r="95" spans="1:6">
      <c r="A95" s="171" t="s">
        <v>789</v>
      </c>
      <c r="B95" s="171">
        <v>732</v>
      </c>
      <c r="C95" s="171" t="s">
        <v>796</v>
      </c>
      <c r="D95" s="172" t="s">
        <v>728</v>
      </c>
      <c r="E95" s="172" t="s">
        <v>728</v>
      </c>
      <c r="F95" s="170" t="s">
        <v>906</v>
      </c>
    </row>
    <row r="96" spans="1:6">
      <c r="A96" s="171" t="s">
        <v>227</v>
      </c>
      <c r="B96" s="171">
        <v>60</v>
      </c>
      <c r="C96" s="171" t="s">
        <v>797</v>
      </c>
      <c r="D96" s="172">
        <v>25.5704180040103</v>
      </c>
      <c r="E96" s="172">
        <v>1598.1511252506439</v>
      </c>
      <c r="F96" s="170" t="s">
        <v>801</v>
      </c>
    </row>
    <row r="97" spans="1:6">
      <c r="A97" s="171" t="s">
        <v>227</v>
      </c>
      <c r="B97" s="171">
        <v>124</v>
      </c>
      <c r="C97" s="171" t="s">
        <v>226</v>
      </c>
      <c r="D97" s="172">
        <v>25.5704180040103</v>
      </c>
      <c r="E97" s="172">
        <v>956614.90794802923</v>
      </c>
      <c r="F97" s="170" t="s">
        <v>801</v>
      </c>
    </row>
    <row r="98" spans="1:6">
      <c r="A98" s="171" t="s">
        <v>227</v>
      </c>
      <c r="B98" s="171">
        <v>304</v>
      </c>
      <c r="C98" s="171" t="s">
        <v>798</v>
      </c>
      <c r="D98" s="172">
        <v>25.5704180040103</v>
      </c>
      <c r="E98" s="172">
        <v>1449.8427008273839</v>
      </c>
      <c r="F98" s="170" t="s">
        <v>801</v>
      </c>
    </row>
    <row r="99" spans="1:6">
      <c r="A99" s="171" t="s">
        <v>227</v>
      </c>
      <c r="B99" s="171">
        <v>666</v>
      </c>
      <c r="C99" s="171" t="s">
        <v>799</v>
      </c>
      <c r="D99" s="172" t="s">
        <v>728</v>
      </c>
      <c r="E99" s="172" t="s">
        <v>728</v>
      </c>
      <c r="F99" s="170" t="s">
        <v>906</v>
      </c>
    </row>
    <row r="100" spans="1:6">
      <c r="A100" s="171" t="s">
        <v>227</v>
      </c>
      <c r="B100" s="171">
        <v>840</v>
      </c>
      <c r="C100" s="171" t="s">
        <v>598</v>
      </c>
      <c r="D100" s="172">
        <v>63.619143418084469</v>
      </c>
      <c r="E100" s="172">
        <v>20934827.066957623</v>
      </c>
      <c r="F100" s="170" t="s">
        <v>904</v>
      </c>
    </row>
    <row r="101" spans="1:6">
      <c r="A101" s="171" t="s">
        <v>155</v>
      </c>
      <c r="B101" s="171">
        <v>208</v>
      </c>
      <c r="C101" s="171" t="s">
        <v>278</v>
      </c>
      <c r="D101" s="172">
        <v>20.640389820228037</v>
      </c>
      <c r="E101" s="172">
        <v>119134.2660033742</v>
      </c>
      <c r="F101" s="170" t="s">
        <v>904</v>
      </c>
    </row>
    <row r="102" spans="1:6">
      <c r="A102" s="171" t="s">
        <v>155</v>
      </c>
      <c r="B102" s="171">
        <v>233</v>
      </c>
      <c r="C102" s="171" t="s">
        <v>154</v>
      </c>
      <c r="D102" s="172">
        <v>16.60574299916971</v>
      </c>
      <c r="E102" s="172">
        <v>22012.572919699367</v>
      </c>
      <c r="F102" s="170" t="s">
        <v>904</v>
      </c>
    </row>
    <row r="103" spans="1:6">
      <c r="A103" s="171" t="s">
        <v>155</v>
      </c>
      <c r="B103" s="171">
        <v>234</v>
      </c>
      <c r="C103" s="171" t="s">
        <v>800</v>
      </c>
      <c r="D103" s="172">
        <v>25.5704180040103</v>
      </c>
      <c r="E103" s="172">
        <v>1245.2793567953017</v>
      </c>
      <c r="F103" s="170" t="s">
        <v>801</v>
      </c>
    </row>
    <row r="104" spans="1:6">
      <c r="A104" s="171" t="s">
        <v>155</v>
      </c>
      <c r="B104" s="171">
        <v>246</v>
      </c>
      <c r="C104" s="171" t="s">
        <v>313</v>
      </c>
      <c r="D104" s="172">
        <v>23.304906254164074</v>
      </c>
      <c r="E104" s="172">
        <v>128927.40237928649</v>
      </c>
      <c r="F104" s="170" t="s">
        <v>905</v>
      </c>
    </row>
    <row r="105" spans="1:6">
      <c r="A105" s="171" t="s">
        <v>155</v>
      </c>
      <c r="B105" s="171">
        <v>352</v>
      </c>
      <c r="C105" s="171" t="s">
        <v>802</v>
      </c>
      <c r="D105" s="172">
        <v>25.5704180040103</v>
      </c>
      <c r="E105" s="172">
        <v>8668.3717033594912</v>
      </c>
      <c r="F105" s="170" t="s">
        <v>801</v>
      </c>
    </row>
    <row r="106" spans="1:6">
      <c r="A106" s="171" t="s">
        <v>155</v>
      </c>
      <c r="B106" s="171">
        <v>372</v>
      </c>
      <c r="C106" s="171" t="s">
        <v>318</v>
      </c>
      <c r="D106" s="172">
        <v>56.14642745390838</v>
      </c>
      <c r="E106" s="172">
        <v>274134.9320437077</v>
      </c>
      <c r="F106" s="170" t="s">
        <v>905</v>
      </c>
    </row>
    <row r="107" spans="1:6">
      <c r="A107" s="171" t="s">
        <v>155</v>
      </c>
      <c r="B107" s="171">
        <v>833</v>
      </c>
      <c r="C107" s="171" t="s">
        <v>803</v>
      </c>
      <c r="D107" s="172">
        <v>25.5704180040103</v>
      </c>
      <c r="E107" s="172">
        <v>2163.2573631392711</v>
      </c>
      <c r="F107" s="170" t="s">
        <v>801</v>
      </c>
    </row>
    <row r="108" spans="1:6">
      <c r="A108" s="171" t="s">
        <v>155</v>
      </c>
      <c r="B108" s="171">
        <v>428</v>
      </c>
      <c r="C108" s="171" t="s">
        <v>804</v>
      </c>
      <c r="D108" s="172">
        <v>25.5704180040103</v>
      </c>
      <c r="E108" s="172">
        <v>48755.116008246434</v>
      </c>
      <c r="F108" s="170" t="s">
        <v>801</v>
      </c>
    </row>
    <row r="109" spans="1:6">
      <c r="A109" s="171" t="s">
        <v>155</v>
      </c>
      <c r="B109" s="171">
        <v>440</v>
      </c>
      <c r="C109" s="171" t="s">
        <v>805</v>
      </c>
      <c r="D109" s="172">
        <v>25.5704180040103</v>
      </c>
      <c r="E109" s="172">
        <v>70564.125523866824</v>
      </c>
      <c r="F109" s="170" t="s">
        <v>801</v>
      </c>
    </row>
    <row r="110" spans="1:6">
      <c r="A110" s="171" t="s">
        <v>155</v>
      </c>
      <c r="B110" s="171">
        <v>578</v>
      </c>
      <c r="C110" s="171" t="s">
        <v>164</v>
      </c>
      <c r="D110" s="172">
        <v>4.961141497472104</v>
      </c>
      <c r="E110" s="172">
        <v>26685.484000752698</v>
      </c>
      <c r="F110" s="170" t="s">
        <v>905</v>
      </c>
    </row>
    <row r="111" spans="1:6">
      <c r="A111" s="171" t="s">
        <v>155</v>
      </c>
      <c r="B111" s="171">
        <v>752</v>
      </c>
      <c r="C111" s="171" t="s">
        <v>571</v>
      </c>
      <c r="D111" s="172">
        <v>20.5</v>
      </c>
      <c r="E111" s="172">
        <v>205746.2</v>
      </c>
      <c r="F111" s="170" t="s">
        <v>904</v>
      </c>
    </row>
    <row r="112" spans="1:6">
      <c r="A112" s="171" t="s">
        <v>155</v>
      </c>
      <c r="B112" s="171">
        <v>826</v>
      </c>
      <c r="C112" s="171" t="s">
        <v>806</v>
      </c>
      <c r="D112" s="172">
        <v>16.5</v>
      </c>
      <c r="E112" s="172">
        <v>1114248.3</v>
      </c>
      <c r="F112" s="170" t="s">
        <v>904</v>
      </c>
    </row>
    <row r="113" spans="1:6">
      <c r="A113" s="171" t="s">
        <v>807</v>
      </c>
      <c r="B113" s="171">
        <v>16</v>
      </c>
      <c r="C113" s="171" t="s">
        <v>808</v>
      </c>
      <c r="D113" s="172">
        <v>27.648074566430626</v>
      </c>
      <c r="E113" s="172">
        <v>1528.9385235236136</v>
      </c>
      <c r="F113" s="170" t="s">
        <v>709</v>
      </c>
    </row>
    <row r="114" spans="1:6">
      <c r="A114" s="171" t="s">
        <v>807</v>
      </c>
      <c r="B114" s="171">
        <v>184</v>
      </c>
      <c r="C114" s="171" t="s">
        <v>809</v>
      </c>
      <c r="D114" s="172" t="s">
        <v>728</v>
      </c>
      <c r="E114" s="172" t="s">
        <v>728</v>
      </c>
      <c r="F114" s="170" t="s">
        <v>906</v>
      </c>
    </row>
    <row r="115" spans="1:6">
      <c r="A115" s="171" t="s">
        <v>807</v>
      </c>
      <c r="B115" s="171">
        <v>258</v>
      </c>
      <c r="C115" s="171" t="s">
        <v>810</v>
      </c>
      <c r="D115" s="172">
        <v>25.5704180040103</v>
      </c>
      <c r="E115" s="172">
        <v>7141.8177485200758</v>
      </c>
      <c r="F115" s="170" t="s">
        <v>801</v>
      </c>
    </row>
    <row r="116" spans="1:6">
      <c r="A116" s="171" t="s">
        <v>807</v>
      </c>
      <c r="B116" s="171">
        <v>570</v>
      </c>
      <c r="C116" s="171" t="s">
        <v>811</v>
      </c>
      <c r="D116" s="172" t="s">
        <v>728</v>
      </c>
      <c r="E116" s="172" t="s">
        <v>728</v>
      </c>
      <c r="F116" s="170" t="s">
        <v>906</v>
      </c>
    </row>
    <row r="117" spans="1:6">
      <c r="A117" s="171" t="s">
        <v>807</v>
      </c>
      <c r="B117" s="171">
        <v>882</v>
      </c>
      <c r="C117" s="171" t="s">
        <v>812</v>
      </c>
      <c r="D117" s="172">
        <v>27.648074566430626</v>
      </c>
      <c r="E117" s="172">
        <v>5449.4354970434761</v>
      </c>
      <c r="F117" s="170" t="s">
        <v>709</v>
      </c>
    </row>
    <row r="118" spans="1:6">
      <c r="A118" s="171" t="s">
        <v>807</v>
      </c>
      <c r="B118" s="171">
        <v>772</v>
      </c>
      <c r="C118" s="171" t="s">
        <v>813</v>
      </c>
      <c r="D118" s="172" t="s">
        <v>728</v>
      </c>
      <c r="E118" s="172" t="s">
        <v>728</v>
      </c>
      <c r="F118" s="170" t="s">
        <v>906</v>
      </c>
    </row>
    <row r="119" spans="1:6">
      <c r="A119" s="171" t="s">
        <v>807</v>
      </c>
      <c r="B119" s="171">
        <v>776</v>
      </c>
      <c r="C119" s="171" t="s">
        <v>814</v>
      </c>
      <c r="D119" s="172">
        <v>27.648074566430626</v>
      </c>
      <c r="E119" s="172">
        <v>2889.2237921920005</v>
      </c>
      <c r="F119" s="170" t="s">
        <v>709</v>
      </c>
    </row>
    <row r="120" spans="1:6">
      <c r="A120" s="171" t="s">
        <v>807</v>
      </c>
      <c r="B120" s="171">
        <v>798</v>
      </c>
      <c r="C120" s="171" t="s">
        <v>815</v>
      </c>
      <c r="D120" s="172">
        <v>27.648074566430626</v>
      </c>
      <c r="E120" s="172">
        <v>320.71766497059525</v>
      </c>
      <c r="F120" s="170" t="s">
        <v>709</v>
      </c>
    </row>
    <row r="121" spans="1:6">
      <c r="A121" s="171" t="s">
        <v>807</v>
      </c>
      <c r="B121" s="171">
        <v>876</v>
      </c>
      <c r="C121" s="171" t="s">
        <v>816</v>
      </c>
      <c r="D121" s="172" t="s">
        <v>728</v>
      </c>
      <c r="E121" s="172" t="s">
        <v>728</v>
      </c>
      <c r="F121" s="170" t="s">
        <v>906</v>
      </c>
    </row>
    <row r="122" spans="1:6">
      <c r="A122" s="171" t="s">
        <v>383</v>
      </c>
      <c r="B122" s="171">
        <v>96</v>
      </c>
      <c r="C122" s="171" t="s">
        <v>817</v>
      </c>
      <c r="D122" s="172">
        <v>25.5704180040103</v>
      </c>
      <c r="E122" s="172">
        <v>11079.662121137664</v>
      </c>
      <c r="F122" s="170" t="s">
        <v>801</v>
      </c>
    </row>
    <row r="123" spans="1:6">
      <c r="A123" s="171" t="s">
        <v>383</v>
      </c>
      <c r="B123" s="171">
        <v>116</v>
      </c>
      <c r="C123" s="171" t="s">
        <v>818</v>
      </c>
      <c r="D123" s="172">
        <v>27.648074566430626</v>
      </c>
      <c r="E123" s="172">
        <v>455819.98133945855</v>
      </c>
      <c r="F123" s="170" t="s">
        <v>709</v>
      </c>
    </row>
    <row r="124" spans="1:6">
      <c r="A124" s="171" t="s">
        <v>383</v>
      </c>
      <c r="B124" s="171">
        <v>360</v>
      </c>
      <c r="C124" s="171" t="s">
        <v>382</v>
      </c>
      <c r="D124" s="172">
        <v>27.648074566430626</v>
      </c>
      <c r="E124" s="172">
        <v>7482276.7683850275</v>
      </c>
      <c r="F124" s="170" t="s">
        <v>709</v>
      </c>
    </row>
    <row r="125" spans="1:6">
      <c r="A125" s="171" t="s">
        <v>383</v>
      </c>
      <c r="B125" s="171">
        <v>418</v>
      </c>
      <c r="C125" s="171" t="s">
        <v>819</v>
      </c>
      <c r="D125" s="172">
        <v>27.648074566430626</v>
      </c>
      <c r="E125" s="172">
        <v>198222.87060402439</v>
      </c>
      <c r="F125" s="170" t="s">
        <v>709</v>
      </c>
    </row>
    <row r="126" spans="1:6">
      <c r="A126" s="171" t="s">
        <v>383</v>
      </c>
      <c r="B126" s="171">
        <v>458</v>
      </c>
      <c r="C126" s="171" t="s">
        <v>461</v>
      </c>
      <c r="D126" s="172">
        <v>89.563549462297971</v>
      </c>
      <c r="E126" s="172">
        <v>2861537.4926105277</v>
      </c>
      <c r="F126" s="170" t="s">
        <v>905</v>
      </c>
    </row>
    <row r="127" spans="1:6">
      <c r="A127" s="171" t="s">
        <v>383</v>
      </c>
      <c r="B127" s="171">
        <v>104</v>
      </c>
      <c r="C127" s="171" t="s">
        <v>820</v>
      </c>
      <c r="D127" s="172">
        <v>27.648074566430626</v>
      </c>
      <c r="E127" s="172">
        <v>1494251.2491725697</v>
      </c>
      <c r="F127" s="170" t="s">
        <v>709</v>
      </c>
    </row>
    <row r="128" spans="1:6">
      <c r="A128" s="171" t="s">
        <v>383</v>
      </c>
      <c r="B128" s="171">
        <v>608</v>
      </c>
      <c r="C128" s="171" t="s">
        <v>821</v>
      </c>
      <c r="D128" s="172">
        <v>27.648074566430626</v>
      </c>
      <c r="E128" s="172">
        <v>2989215.8186689536</v>
      </c>
      <c r="F128" s="170" t="s">
        <v>709</v>
      </c>
    </row>
    <row r="129" spans="1:6">
      <c r="A129" s="171" t="s">
        <v>383</v>
      </c>
      <c r="B129" s="171">
        <v>702</v>
      </c>
      <c r="C129" s="171" t="s">
        <v>822</v>
      </c>
      <c r="D129" s="172">
        <v>25.5704180040103</v>
      </c>
      <c r="E129" s="172">
        <v>148418.37722067698</v>
      </c>
      <c r="F129" s="170" t="s">
        <v>801</v>
      </c>
    </row>
    <row r="130" spans="1:6">
      <c r="A130" s="171" t="s">
        <v>383</v>
      </c>
      <c r="B130" s="171">
        <v>764</v>
      </c>
      <c r="C130" s="171" t="s">
        <v>823</v>
      </c>
      <c r="D130" s="172">
        <v>27.648074566430626</v>
      </c>
      <c r="E130" s="172">
        <v>1925013.7805324721</v>
      </c>
      <c r="F130" s="170" t="s">
        <v>709</v>
      </c>
    </row>
    <row r="131" spans="1:6">
      <c r="A131" s="171" t="s">
        <v>383</v>
      </c>
      <c r="B131" s="171">
        <v>626</v>
      </c>
      <c r="C131" s="171" t="s">
        <v>824</v>
      </c>
      <c r="D131" s="172">
        <v>27.648074566430626</v>
      </c>
      <c r="E131" s="172">
        <v>35751.725221851448</v>
      </c>
      <c r="F131" s="170" t="s">
        <v>709</v>
      </c>
    </row>
    <row r="132" spans="1:6">
      <c r="A132" s="171" t="s">
        <v>383</v>
      </c>
      <c r="B132" s="171">
        <v>704</v>
      </c>
      <c r="C132" s="171" t="s">
        <v>605</v>
      </c>
      <c r="D132" s="172">
        <v>27.648074566430626</v>
      </c>
      <c r="E132" s="172">
        <v>2666991.3336344878</v>
      </c>
      <c r="F132" s="170" t="s">
        <v>709</v>
      </c>
    </row>
    <row r="133" spans="1:6">
      <c r="A133" s="171" t="s">
        <v>180</v>
      </c>
      <c r="B133" s="171">
        <v>4</v>
      </c>
      <c r="C133" s="171" t="s">
        <v>825</v>
      </c>
      <c r="D133" s="172">
        <v>27.648074566430626</v>
      </c>
      <c r="E133" s="172">
        <v>1051782.5230412406</v>
      </c>
      <c r="F133" s="170" t="s">
        <v>709</v>
      </c>
    </row>
    <row r="134" spans="1:6">
      <c r="A134" s="171" t="s">
        <v>180</v>
      </c>
      <c r="B134" s="171">
        <v>50</v>
      </c>
      <c r="C134" s="171" t="s">
        <v>179</v>
      </c>
      <c r="D134" s="172">
        <v>3.3391539473684211</v>
      </c>
      <c r="E134" s="172">
        <v>544436.36233342113</v>
      </c>
      <c r="F134" s="170" t="s">
        <v>905</v>
      </c>
    </row>
    <row r="135" spans="1:6">
      <c r="A135" s="171" t="s">
        <v>180</v>
      </c>
      <c r="B135" s="171">
        <v>64</v>
      </c>
      <c r="C135" s="171" t="s">
        <v>826</v>
      </c>
      <c r="D135" s="172">
        <v>27.648074566430626</v>
      </c>
      <c r="E135" s="172">
        <v>21098.245701643209</v>
      </c>
      <c r="F135" s="170" t="s">
        <v>709</v>
      </c>
    </row>
    <row r="136" spans="1:6">
      <c r="A136" s="171" t="s">
        <v>180</v>
      </c>
      <c r="B136" s="171">
        <v>356</v>
      </c>
      <c r="C136" s="171" t="s">
        <v>370</v>
      </c>
      <c r="D136" s="172">
        <v>27.648074566430626</v>
      </c>
      <c r="E136" s="172">
        <v>37778821.223298088</v>
      </c>
      <c r="F136" s="170" t="s">
        <v>709</v>
      </c>
    </row>
    <row r="137" spans="1:6">
      <c r="A137" s="171" t="s">
        <v>180</v>
      </c>
      <c r="B137" s="171">
        <v>364</v>
      </c>
      <c r="C137" s="171" t="s">
        <v>827</v>
      </c>
      <c r="D137" s="172">
        <v>27.648074566430626</v>
      </c>
      <c r="E137" s="172">
        <v>2292409.6897935723</v>
      </c>
      <c r="F137" s="170" t="s">
        <v>709</v>
      </c>
    </row>
    <row r="138" spans="1:6">
      <c r="A138" s="171" t="s">
        <v>180</v>
      </c>
      <c r="B138" s="171">
        <v>462</v>
      </c>
      <c r="C138" s="171" t="s">
        <v>828</v>
      </c>
      <c r="D138" s="172">
        <v>27.648074566430626</v>
      </c>
      <c r="E138" s="172">
        <v>14681.127594774664</v>
      </c>
      <c r="F138" s="170" t="s">
        <v>709</v>
      </c>
    </row>
    <row r="139" spans="1:6">
      <c r="A139" s="171" t="s">
        <v>180</v>
      </c>
      <c r="B139" s="171">
        <v>524</v>
      </c>
      <c r="C139" s="171" t="s">
        <v>829</v>
      </c>
      <c r="D139" s="172">
        <v>27.648074566430626</v>
      </c>
      <c r="E139" s="172">
        <v>790975.47084864392</v>
      </c>
      <c r="F139" s="170" t="s">
        <v>709</v>
      </c>
    </row>
    <row r="140" spans="1:6">
      <c r="A140" s="171" t="s">
        <v>180</v>
      </c>
      <c r="B140" s="171">
        <v>586</v>
      </c>
      <c r="C140" s="171" t="s">
        <v>502</v>
      </c>
      <c r="D140" s="172">
        <v>27.648074566430626</v>
      </c>
      <c r="E140" s="172">
        <v>5987613.5629014187</v>
      </c>
      <c r="F140" s="170" t="s">
        <v>709</v>
      </c>
    </row>
    <row r="141" spans="1:6">
      <c r="A141" s="171" t="s">
        <v>180</v>
      </c>
      <c r="B141" s="171">
        <v>144</v>
      </c>
      <c r="C141" s="171" t="s">
        <v>557</v>
      </c>
      <c r="D141" s="172">
        <v>27.648074566430626</v>
      </c>
      <c r="E141" s="172">
        <v>589559.24763219676</v>
      </c>
      <c r="F141" s="170" t="s">
        <v>709</v>
      </c>
    </row>
    <row r="142" spans="1:6">
      <c r="A142" s="171" t="s">
        <v>161</v>
      </c>
      <c r="B142" s="171">
        <v>8</v>
      </c>
      <c r="C142" s="171" t="s">
        <v>830</v>
      </c>
      <c r="D142" s="172">
        <v>27.648074566430626</v>
      </c>
      <c r="E142" s="172">
        <v>79651.338018429989</v>
      </c>
      <c r="F142" s="170" t="s">
        <v>709</v>
      </c>
    </row>
    <row r="143" spans="1:6">
      <c r="A143" s="171" t="s">
        <v>161</v>
      </c>
      <c r="B143" s="171">
        <v>20</v>
      </c>
      <c r="C143" s="171" t="s">
        <v>831</v>
      </c>
      <c r="D143" s="172">
        <v>25.5704180040103</v>
      </c>
      <c r="E143" s="172">
        <v>1971.4792281091943</v>
      </c>
      <c r="F143" s="170" t="s">
        <v>801</v>
      </c>
    </row>
    <row r="144" spans="1:6">
      <c r="A144" s="171" t="s">
        <v>161</v>
      </c>
      <c r="B144" s="171">
        <v>70</v>
      </c>
      <c r="C144" s="171" t="s">
        <v>832</v>
      </c>
      <c r="D144" s="172">
        <v>27.648074566430626</v>
      </c>
      <c r="E144" s="172">
        <v>91266.294143787498</v>
      </c>
      <c r="F144" s="170" t="s">
        <v>709</v>
      </c>
    </row>
    <row r="145" spans="1:6">
      <c r="A145" s="171" t="s">
        <v>161</v>
      </c>
      <c r="B145" s="171">
        <v>191</v>
      </c>
      <c r="C145" s="171" t="s">
        <v>833</v>
      </c>
      <c r="D145" s="172">
        <v>25.5704180040103</v>
      </c>
      <c r="E145" s="172">
        <v>105613.49748196374</v>
      </c>
      <c r="F145" s="170" t="s">
        <v>801</v>
      </c>
    </row>
    <row r="146" spans="1:6">
      <c r="A146" s="171" t="s">
        <v>161</v>
      </c>
      <c r="B146" s="171">
        <v>292</v>
      </c>
      <c r="C146" s="171" t="s">
        <v>834</v>
      </c>
      <c r="D146" s="172">
        <v>25.5704180040103</v>
      </c>
      <c r="E146" s="172">
        <v>861.72308673514704</v>
      </c>
      <c r="F146" s="170" t="s">
        <v>801</v>
      </c>
    </row>
    <row r="147" spans="1:6">
      <c r="A147" s="171" t="s">
        <v>161</v>
      </c>
      <c r="B147" s="171">
        <v>300</v>
      </c>
      <c r="C147" s="171" t="s">
        <v>316</v>
      </c>
      <c r="D147" s="172">
        <v>25.5704180040103</v>
      </c>
      <c r="E147" s="172">
        <v>267811.77296500187</v>
      </c>
      <c r="F147" s="170" t="s">
        <v>801</v>
      </c>
    </row>
    <row r="148" spans="1:6">
      <c r="A148" s="171" t="s">
        <v>161</v>
      </c>
      <c r="B148" s="171">
        <v>336</v>
      </c>
      <c r="C148" s="171" t="s">
        <v>835</v>
      </c>
      <c r="D148" s="172" t="s">
        <v>728</v>
      </c>
      <c r="E148" s="172" t="s">
        <v>728</v>
      </c>
      <c r="F148" s="170" t="s">
        <v>906</v>
      </c>
    </row>
    <row r="149" spans="1:6">
      <c r="A149" s="171" t="s">
        <v>161</v>
      </c>
      <c r="B149" s="171">
        <v>380</v>
      </c>
      <c r="C149" s="171" t="s">
        <v>421</v>
      </c>
      <c r="D149" s="172">
        <v>25.5704180040103</v>
      </c>
      <c r="E149" s="172">
        <v>1548291.3671846238</v>
      </c>
      <c r="F149" s="170" t="s">
        <v>801</v>
      </c>
    </row>
    <row r="150" spans="1:6">
      <c r="A150" s="171" t="s">
        <v>161</v>
      </c>
      <c r="B150" s="171">
        <v>470</v>
      </c>
      <c r="C150" s="171" t="s">
        <v>160</v>
      </c>
      <c r="D150" s="172">
        <v>25.5704180040103</v>
      </c>
      <c r="E150" s="172">
        <v>11261.212088966136</v>
      </c>
      <c r="F150" s="170" t="s">
        <v>801</v>
      </c>
    </row>
    <row r="151" spans="1:6">
      <c r="A151" s="171" t="s">
        <v>161</v>
      </c>
      <c r="B151" s="171">
        <v>499</v>
      </c>
      <c r="C151" s="171" t="s">
        <v>836</v>
      </c>
      <c r="D151" s="172">
        <v>27.648074566430626</v>
      </c>
      <c r="E151" s="172">
        <v>17362.990827718433</v>
      </c>
      <c r="F151" s="170" t="s">
        <v>709</v>
      </c>
    </row>
    <row r="152" spans="1:6">
      <c r="A152" s="171" t="s">
        <v>161</v>
      </c>
      <c r="B152" s="171">
        <v>807</v>
      </c>
      <c r="C152" s="171" t="s">
        <v>837</v>
      </c>
      <c r="D152" s="172">
        <v>27.648074566430626</v>
      </c>
      <c r="E152" s="172">
        <v>57604.763359158213</v>
      </c>
      <c r="F152" s="170" t="s">
        <v>709</v>
      </c>
    </row>
    <row r="153" spans="1:6">
      <c r="A153" s="171" t="s">
        <v>161</v>
      </c>
      <c r="B153" s="171">
        <v>620</v>
      </c>
      <c r="C153" s="171" t="s">
        <v>838</v>
      </c>
      <c r="D153" s="172">
        <v>25.5704180040103</v>
      </c>
      <c r="E153" s="172">
        <v>261488.20859261011</v>
      </c>
      <c r="F153" s="170" t="s">
        <v>801</v>
      </c>
    </row>
    <row r="154" spans="1:6">
      <c r="A154" s="171" t="s">
        <v>161</v>
      </c>
      <c r="B154" s="171">
        <v>674</v>
      </c>
      <c r="C154" s="171" t="s">
        <v>839</v>
      </c>
      <c r="D154" s="172">
        <v>25.5704180040103</v>
      </c>
      <c r="E154" s="172">
        <v>866.83717033594917</v>
      </c>
      <c r="F154" s="170" t="s">
        <v>801</v>
      </c>
    </row>
    <row r="155" spans="1:6">
      <c r="A155" s="171" t="s">
        <v>161</v>
      </c>
      <c r="B155" s="171">
        <v>688</v>
      </c>
      <c r="C155" s="171" t="s">
        <v>527</v>
      </c>
      <c r="D155" s="172">
        <v>6</v>
      </c>
      <c r="E155" s="172">
        <v>52633.2</v>
      </c>
      <c r="F155" s="170" t="s">
        <v>905</v>
      </c>
    </row>
    <row r="156" spans="1:6">
      <c r="A156" s="171" t="s">
        <v>161</v>
      </c>
      <c r="B156" s="171">
        <v>705</v>
      </c>
      <c r="C156" s="171" t="s">
        <v>531</v>
      </c>
      <c r="D156" s="172">
        <v>20.080268514930744</v>
      </c>
      <c r="E156" s="172">
        <v>41740.854161986535</v>
      </c>
      <c r="F156" s="170" t="s">
        <v>905</v>
      </c>
    </row>
    <row r="157" spans="1:6">
      <c r="A157" s="171" t="s">
        <v>161</v>
      </c>
      <c r="B157" s="171">
        <v>724</v>
      </c>
      <c r="C157" s="171" t="s">
        <v>167</v>
      </c>
      <c r="D157" s="172">
        <v>25.5704180040103</v>
      </c>
      <c r="E157" s="172">
        <v>1195079.5121698286</v>
      </c>
      <c r="F157" s="170" t="s">
        <v>801</v>
      </c>
    </row>
    <row r="158" spans="1:6">
      <c r="A158" s="171" t="s">
        <v>306</v>
      </c>
      <c r="B158" s="171">
        <v>24</v>
      </c>
      <c r="C158" s="171" t="s">
        <v>840</v>
      </c>
      <c r="D158" s="172">
        <v>27.648074566430626</v>
      </c>
      <c r="E158" s="172">
        <v>879908.26749902463</v>
      </c>
      <c r="F158" s="170" t="s">
        <v>709</v>
      </c>
    </row>
    <row r="159" spans="1:6">
      <c r="A159" s="171" t="s">
        <v>306</v>
      </c>
      <c r="B159" s="171">
        <v>204</v>
      </c>
      <c r="C159" s="171" t="s">
        <v>841</v>
      </c>
      <c r="D159" s="172">
        <v>27.648074566430626</v>
      </c>
      <c r="E159" s="172">
        <v>326280.45757336111</v>
      </c>
      <c r="F159" s="170" t="s">
        <v>709</v>
      </c>
    </row>
    <row r="160" spans="1:6">
      <c r="A160" s="171" t="s">
        <v>306</v>
      </c>
      <c r="B160" s="171">
        <v>72</v>
      </c>
      <c r="C160" s="171" t="s">
        <v>842</v>
      </c>
      <c r="D160" s="172">
        <v>27.648074566430626</v>
      </c>
      <c r="E160" s="172">
        <v>63692.869378686235</v>
      </c>
      <c r="F160" s="170" t="s">
        <v>709</v>
      </c>
    </row>
    <row r="161" spans="1:6">
      <c r="A161" s="171" t="s">
        <v>306</v>
      </c>
      <c r="B161" s="171">
        <v>854</v>
      </c>
      <c r="C161" s="171" t="s">
        <v>843</v>
      </c>
      <c r="D161" s="172">
        <v>27.648074566430626</v>
      </c>
      <c r="E161" s="172">
        <v>561847.5824942633</v>
      </c>
      <c r="F161" s="170" t="s">
        <v>709</v>
      </c>
    </row>
    <row r="162" spans="1:6">
      <c r="A162" s="171" t="s">
        <v>306</v>
      </c>
      <c r="B162" s="171">
        <v>108</v>
      </c>
      <c r="C162" s="171" t="s">
        <v>844</v>
      </c>
      <c r="D162" s="172">
        <v>27.648074566430626</v>
      </c>
      <c r="E162" s="172">
        <v>318798.88859568501</v>
      </c>
      <c r="F162" s="170" t="s">
        <v>709</v>
      </c>
    </row>
    <row r="163" spans="1:6">
      <c r="A163" s="171" t="s">
        <v>306</v>
      </c>
      <c r="B163" s="171">
        <v>132</v>
      </c>
      <c r="C163" s="171" t="s">
        <v>845</v>
      </c>
      <c r="D163" s="172">
        <v>27.648074566430626</v>
      </c>
      <c r="E163" s="172">
        <v>15203.676204080202</v>
      </c>
      <c r="F163" s="170" t="s">
        <v>709</v>
      </c>
    </row>
    <row r="164" spans="1:6">
      <c r="A164" s="171" t="s">
        <v>306</v>
      </c>
      <c r="B164" s="171">
        <v>120</v>
      </c>
      <c r="C164" s="171" t="s">
        <v>846</v>
      </c>
      <c r="D164" s="172">
        <v>27.648074566430626</v>
      </c>
      <c r="E164" s="172">
        <v>715432.63671078556</v>
      </c>
      <c r="F164" s="170" t="s">
        <v>709</v>
      </c>
    </row>
    <row r="165" spans="1:6">
      <c r="A165" s="171" t="s">
        <v>306</v>
      </c>
      <c r="B165" s="171">
        <v>140</v>
      </c>
      <c r="C165" s="171" t="s">
        <v>847</v>
      </c>
      <c r="D165" s="172">
        <v>27.648074566430626</v>
      </c>
      <c r="E165" s="172">
        <v>131195.64343262662</v>
      </c>
      <c r="F165" s="170" t="s">
        <v>709</v>
      </c>
    </row>
    <row r="166" spans="1:6">
      <c r="A166" s="171" t="s">
        <v>306</v>
      </c>
      <c r="B166" s="171">
        <v>148</v>
      </c>
      <c r="C166" s="171" t="s">
        <v>848</v>
      </c>
      <c r="D166" s="172">
        <v>27.648074566430626</v>
      </c>
      <c r="E166" s="172">
        <v>440901.08030341257</v>
      </c>
      <c r="F166" s="170" t="s">
        <v>709</v>
      </c>
    </row>
    <row r="167" spans="1:6">
      <c r="A167" s="171" t="s">
        <v>306</v>
      </c>
      <c r="B167" s="171">
        <v>174</v>
      </c>
      <c r="C167" s="171" t="s">
        <v>849</v>
      </c>
      <c r="D167" s="172">
        <v>27.648074566430626</v>
      </c>
      <c r="E167" s="172">
        <v>23525.74664857582</v>
      </c>
      <c r="F167" s="170" t="s">
        <v>709</v>
      </c>
    </row>
    <row r="168" spans="1:6">
      <c r="A168" s="171" t="s">
        <v>306</v>
      </c>
      <c r="B168" s="171">
        <v>178</v>
      </c>
      <c r="C168" s="171" t="s">
        <v>850</v>
      </c>
      <c r="D168" s="172">
        <v>27.648074566430626</v>
      </c>
      <c r="E168" s="172">
        <v>148760.46520467999</v>
      </c>
      <c r="F168" s="170" t="s">
        <v>709</v>
      </c>
    </row>
    <row r="169" spans="1:6">
      <c r="A169" s="171" t="s">
        <v>306</v>
      </c>
      <c r="B169" s="171">
        <v>384</v>
      </c>
      <c r="C169" s="171" t="s">
        <v>851</v>
      </c>
      <c r="D169" s="172">
        <v>27.648074566430626</v>
      </c>
      <c r="E169" s="172">
        <v>711011.70958761324</v>
      </c>
      <c r="F169" s="170" t="s">
        <v>709</v>
      </c>
    </row>
    <row r="170" spans="1:6">
      <c r="A170" s="171" t="s">
        <v>306</v>
      </c>
      <c r="B170" s="171">
        <v>180</v>
      </c>
      <c r="C170" s="171" t="s">
        <v>852</v>
      </c>
      <c r="D170" s="172">
        <v>27.648074566430626</v>
      </c>
      <c r="E170" s="172">
        <v>2399592.9804652538</v>
      </c>
      <c r="F170" s="170" t="s">
        <v>709</v>
      </c>
    </row>
    <row r="171" spans="1:6">
      <c r="A171" s="171" t="s">
        <v>306</v>
      </c>
      <c r="B171" s="171">
        <v>262</v>
      </c>
      <c r="C171" s="171" t="s">
        <v>853</v>
      </c>
      <c r="D171" s="172">
        <v>27.648074566430626</v>
      </c>
      <c r="E171" s="172">
        <v>26918.165397876859</v>
      </c>
      <c r="F171" s="170" t="s">
        <v>709</v>
      </c>
    </row>
    <row r="172" spans="1:6">
      <c r="A172" s="171" t="s">
        <v>306</v>
      </c>
      <c r="B172" s="171">
        <v>226</v>
      </c>
      <c r="C172" s="171" t="s">
        <v>854</v>
      </c>
      <c r="D172" s="172">
        <v>27.648074566430626</v>
      </c>
      <c r="E172" s="172">
        <v>37490.789112079925</v>
      </c>
      <c r="F172" s="170" t="s">
        <v>709</v>
      </c>
    </row>
    <row r="173" spans="1:6">
      <c r="A173" s="171" t="s">
        <v>306</v>
      </c>
      <c r="B173" s="171">
        <v>232</v>
      </c>
      <c r="C173" s="171" t="s">
        <v>855</v>
      </c>
      <c r="D173" s="172">
        <v>27.648074566430626</v>
      </c>
      <c r="E173" s="172">
        <v>96688.081566264533</v>
      </c>
      <c r="F173" s="170" t="s">
        <v>709</v>
      </c>
    </row>
    <row r="174" spans="1:6">
      <c r="A174" s="171" t="s">
        <v>306</v>
      </c>
      <c r="B174" s="171">
        <v>748</v>
      </c>
      <c r="C174" s="171" t="s">
        <v>856</v>
      </c>
      <c r="D174" s="172">
        <v>27.648074566430626</v>
      </c>
      <c r="E174" s="172">
        <v>31742.754409719</v>
      </c>
      <c r="F174" s="170" t="s">
        <v>709</v>
      </c>
    </row>
    <row r="175" spans="1:6">
      <c r="A175" s="171" t="s">
        <v>306</v>
      </c>
      <c r="B175" s="171">
        <v>231</v>
      </c>
      <c r="C175" s="171" t="s">
        <v>305</v>
      </c>
      <c r="D175" s="172">
        <v>27.648074566430626</v>
      </c>
      <c r="E175" s="172">
        <v>3098760.2549086083</v>
      </c>
      <c r="F175" s="170" t="s">
        <v>709</v>
      </c>
    </row>
    <row r="176" spans="1:6">
      <c r="A176" s="171" t="s">
        <v>306</v>
      </c>
      <c r="B176" s="171">
        <v>266</v>
      </c>
      <c r="C176" s="171" t="s">
        <v>857</v>
      </c>
      <c r="D176" s="172">
        <v>27.648074566430626</v>
      </c>
      <c r="E176" s="172">
        <v>60068.206803027177</v>
      </c>
      <c r="F176" s="170" t="s">
        <v>709</v>
      </c>
    </row>
    <row r="177" spans="1:6">
      <c r="A177" s="171" t="s">
        <v>306</v>
      </c>
      <c r="B177" s="171">
        <v>270</v>
      </c>
      <c r="C177" s="171" t="s">
        <v>858</v>
      </c>
      <c r="D177" s="172">
        <v>27.648074566430626</v>
      </c>
      <c r="E177" s="172">
        <v>64909.384659609183</v>
      </c>
      <c r="F177" s="170" t="s">
        <v>709</v>
      </c>
    </row>
    <row r="178" spans="1:6">
      <c r="A178" s="171" t="s">
        <v>306</v>
      </c>
      <c r="B178" s="171">
        <v>288</v>
      </c>
      <c r="C178" s="171" t="s">
        <v>356</v>
      </c>
      <c r="D178" s="172">
        <v>27.648074566430626</v>
      </c>
      <c r="E178" s="172">
        <v>840996.36735423014</v>
      </c>
      <c r="F178" s="170" t="s">
        <v>709</v>
      </c>
    </row>
    <row r="179" spans="1:6">
      <c r="A179" s="171" t="s">
        <v>306</v>
      </c>
      <c r="B179" s="171">
        <v>324</v>
      </c>
      <c r="C179" s="171" t="s">
        <v>859</v>
      </c>
      <c r="D179" s="172">
        <v>27.648074566430626</v>
      </c>
      <c r="E179" s="172">
        <v>353099.08990279882</v>
      </c>
      <c r="F179" s="170" t="s">
        <v>709</v>
      </c>
    </row>
    <row r="180" spans="1:6">
      <c r="A180" s="171" t="s">
        <v>306</v>
      </c>
      <c r="B180" s="171">
        <v>624</v>
      </c>
      <c r="C180" s="171" t="s">
        <v>860</v>
      </c>
      <c r="D180" s="172">
        <v>27.648074566430626</v>
      </c>
      <c r="E180" s="172">
        <v>53109.186434656593</v>
      </c>
      <c r="F180" s="170" t="s">
        <v>709</v>
      </c>
    </row>
    <row r="181" spans="1:6">
      <c r="A181" s="171" t="s">
        <v>306</v>
      </c>
      <c r="B181" s="171">
        <v>404</v>
      </c>
      <c r="C181" s="171" t="s">
        <v>438</v>
      </c>
      <c r="D181" s="172">
        <v>31.137437546052631</v>
      </c>
      <c r="E181" s="172">
        <v>1637019.6415461709</v>
      </c>
      <c r="F181" s="170" t="s">
        <v>905</v>
      </c>
    </row>
    <row r="182" spans="1:6">
      <c r="A182" s="171" t="s">
        <v>306</v>
      </c>
      <c r="B182" s="171">
        <v>426</v>
      </c>
      <c r="C182" s="171" t="s">
        <v>861</v>
      </c>
      <c r="D182" s="172">
        <v>27.648074566430626</v>
      </c>
      <c r="E182" s="172">
        <v>58760.452876035015</v>
      </c>
      <c r="F182" s="170" t="s">
        <v>709</v>
      </c>
    </row>
    <row r="183" spans="1:6">
      <c r="A183" s="171" t="s">
        <v>306</v>
      </c>
      <c r="B183" s="171">
        <v>430</v>
      </c>
      <c r="C183" s="171" t="s">
        <v>862</v>
      </c>
      <c r="D183" s="172">
        <v>27.648074566430626</v>
      </c>
      <c r="E183" s="172">
        <v>136509.6033642946</v>
      </c>
      <c r="F183" s="170" t="s">
        <v>709</v>
      </c>
    </row>
    <row r="184" spans="1:6">
      <c r="A184" s="171" t="s">
        <v>306</v>
      </c>
      <c r="B184" s="171">
        <v>450</v>
      </c>
      <c r="C184" s="171" t="s">
        <v>863</v>
      </c>
      <c r="D184" s="172">
        <v>27.648074566430626</v>
      </c>
      <c r="E184" s="172">
        <v>745649.21740443748</v>
      </c>
      <c r="F184" s="170" t="s">
        <v>709</v>
      </c>
    </row>
    <row r="185" spans="1:6">
      <c r="A185" s="171" t="s">
        <v>306</v>
      </c>
      <c r="B185" s="171">
        <v>454</v>
      </c>
      <c r="C185" s="171" t="s">
        <v>864</v>
      </c>
      <c r="D185" s="172">
        <v>27.648074566430626</v>
      </c>
      <c r="E185" s="172">
        <v>515047.68667566619</v>
      </c>
      <c r="F185" s="170" t="s">
        <v>709</v>
      </c>
    </row>
    <row r="186" spans="1:6">
      <c r="A186" s="171" t="s">
        <v>306</v>
      </c>
      <c r="B186" s="171">
        <v>466</v>
      </c>
      <c r="C186" s="171" t="s">
        <v>865</v>
      </c>
      <c r="D186" s="172">
        <v>27.648074566430626</v>
      </c>
      <c r="E186" s="172">
        <v>543505.84982689319</v>
      </c>
      <c r="F186" s="170" t="s">
        <v>709</v>
      </c>
    </row>
    <row r="187" spans="1:6">
      <c r="A187" s="171" t="s">
        <v>306</v>
      </c>
      <c r="B187" s="171">
        <v>478</v>
      </c>
      <c r="C187" s="171" t="s">
        <v>866</v>
      </c>
      <c r="D187" s="172">
        <v>27.648074566430626</v>
      </c>
      <c r="E187" s="172">
        <v>125126.89106529509</v>
      </c>
      <c r="F187" s="170" t="s">
        <v>709</v>
      </c>
    </row>
    <row r="188" spans="1:6">
      <c r="A188" s="171" t="s">
        <v>306</v>
      </c>
      <c r="B188" s="171">
        <v>480</v>
      </c>
      <c r="C188" s="171" t="s">
        <v>867</v>
      </c>
      <c r="D188" s="172">
        <v>25.5704180040103</v>
      </c>
      <c r="E188" s="172">
        <v>32466.759739691875</v>
      </c>
      <c r="F188" s="170" t="s">
        <v>801</v>
      </c>
    </row>
    <row r="189" spans="1:6">
      <c r="A189" s="171" t="s">
        <v>306</v>
      </c>
      <c r="B189" s="171">
        <v>175</v>
      </c>
      <c r="C189" s="171" t="s">
        <v>868</v>
      </c>
      <c r="D189" s="172" t="s">
        <v>728</v>
      </c>
      <c r="E189" s="172" t="s">
        <v>728</v>
      </c>
      <c r="F189" s="170" t="s">
        <v>906</v>
      </c>
    </row>
    <row r="190" spans="1:6">
      <c r="A190" s="171" t="s">
        <v>306</v>
      </c>
      <c r="B190" s="171">
        <v>508</v>
      </c>
      <c r="C190" s="171" t="s">
        <v>869</v>
      </c>
      <c r="D190" s="172">
        <v>27.648074566430626</v>
      </c>
      <c r="E190" s="172">
        <v>839561.43228423235</v>
      </c>
      <c r="F190" s="170" t="s">
        <v>709</v>
      </c>
    </row>
    <row r="191" spans="1:6">
      <c r="A191" s="171" t="s">
        <v>306</v>
      </c>
      <c r="B191" s="171">
        <v>516</v>
      </c>
      <c r="C191" s="171" t="s">
        <v>870</v>
      </c>
      <c r="D191" s="172">
        <v>27.648074566430626</v>
      </c>
      <c r="E191" s="172">
        <v>68968.122005961195</v>
      </c>
      <c r="F191" s="170" t="s">
        <v>709</v>
      </c>
    </row>
    <row r="192" spans="1:6">
      <c r="A192" s="171" t="s">
        <v>306</v>
      </c>
      <c r="B192" s="171">
        <v>562</v>
      </c>
      <c r="C192" s="171" t="s">
        <v>871</v>
      </c>
      <c r="D192" s="172">
        <v>27.648074566430626</v>
      </c>
      <c r="E192" s="172">
        <v>644495.97179569432</v>
      </c>
      <c r="F192" s="170" t="s">
        <v>709</v>
      </c>
    </row>
    <row r="193" spans="1:6">
      <c r="A193" s="171" t="s">
        <v>306</v>
      </c>
      <c r="B193" s="171">
        <v>566</v>
      </c>
      <c r="C193" s="171" t="s">
        <v>487</v>
      </c>
      <c r="D193" s="172">
        <v>27.648074566430626</v>
      </c>
      <c r="E193" s="172">
        <v>5556256.5979383374</v>
      </c>
      <c r="F193" s="170" t="s">
        <v>709</v>
      </c>
    </row>
    <row r="194" spans="1:6">
      <c r="A194" s="171" t="s">
        <v>306</v>
      </c>
      <c r="B194" s="171">
        <v>638</v>
      </c>
      <c r="C194" s="171" t="s">
        <v>872</v>
      </c>
      <c r="D194" s="172" t="s">
        <v>728</v>
      </c>
      <c r="E194" s="172" t="s">
        <v>728</v>
      </c>
      <c r="F194" s="170" t="s">
        <v>906</v>
      </c>
    </row>
    <row r="195" spans="1:6">
      <c r="A195" s="171" t="s">
        <v>306</v>
      </c>
      <c r="B195" s="171">
        <v>646</v>
      </c>
      <c r="C195" s="171" t="s">
        <v>517</v>
      </c>
      <c r="D195" s="172">
        <v>27.648074566430626</v>
      </c>
      <c r="E195" s="172">
        <v>349112.23755031952</v>
      </c>
      <c r="F195" s="170" t="s">
        <v>709</v>
      </c>
    </row>
    <row r="196" spans="1:6">
      <c r="A196" s="171" t="s">
        <v>306</v>
      </c>
      <c r="B196" s="171">
        <v>654</v>
      </c>
      <c r="C196" s="171" t="s">
        <v>873</v>
      </c>
      <c r="D196" s="172" t="s">
        <v>728</v>
      </c>
      <c r="E196" s="172" t="s">
        <v>728</v>
      </c>
      <c r="F196" s="170" t="s">
        <v>906</v>
      </c>
    </row>
    <row r="197" spans="1:6">
      <c r="A197" s="171" t="s">
        <v>306</v>
      </c>
      <c r="B197" s="171">
        <v>678</v>
      </c>
      <c r="C197" s="171" t="s">
        <v>874</v>
      </c>
      <c r="D197" s="172">
        <v>27.648074566430626</v>
      </c>
      <c r="E197" s="172">
        <v>5947.1008392392278</v>
      </c>
      <c r="F197" s="170" t="s">
        <v>709</v>
      </c>
    </row>
    <row r="198" spans="1:6">
      <c r="A198" s="171" t="s">
        <v>306</v>
      </c>
      <c r="B198" s="171">
        <v>686</v>
      </c>
      <c r="C198" s="171" t="s">
        <v>875</v>
      </c>
      <c r="D198" s="172">
        <v>27.648074566430626</v>
      </c>
      <c r="E198" s="172">
        <v>450564.08236438001</v>
      </c>
      <c r="F198" s="170" t="s">
        <v>709</v>
      </c>
    </row>
    <row r="199" spans="1:6">
      <c r="A199" s="171" t="s">
        <v>306</v>
      </c>
      <c r="B199" s="171">
        <v>690</v>
      </c>
      <c r="C199" s="171" t="s">
        <v>876</v>
      </c>
      <c r="D199" s="172">
        <v>25.5704180040103</v>
      </c>
      <c r="E199" s="172">
        <v>2498.2298389918064</v>
      </c>
      <c r="F199" s="170" t="s">
        <v>801</v>
      </c>
    </row>
    <row r="200" spans="1:6">
      <c r="A200" s="171" t="s">
        <v>306</v>
      </c>
      <c r="B200" s="171">
        <v>694</v>
      </c>
      <c r="C200" s="171" t="s">
        <v>877</v>
      </c>
      <c r="D200" s="172">
        <v>27.648074566430626</v>
      </c>
      <c r="E200" s="172">
        <v>216019.93620243575</v>
      </c>
      <c r="F200" s="170" t="s">
        <v>709</v>
      </c>
    </row>
    <row r="201" spans="1:6">
      <c r="A201" s="171" t="s">
        <v>306</v>
      </c>
      <c r="B201" s="171">
        <v>706</v>
      </c>
      <c r="C201" s="171" t="s">
        <v>878</v>
      </c>
      <c r="D201" s="172">
        <v>27.648074566430626</v>
      </c>
      <c r="E201" s="172">
        <v>426966.45072193153</v>
      </c>
      <c r="F201" s="170" t="s">
        <v>709</v>
      </c>
    </row>
    <row r="202" spans="1:6">
      <c r="A202" s="171" t="s">
        <v>306</v>
      </c>
      <c r="B202" s="171">
        <v>710</v>
      </c>
      <c r="C202" s="171" t="s">
        <v>538</v>
      </c>
      <c r="D202" s="172">
        <v>27.648074566430626</v>
      </c>
      <c r="E202" s="172">
        <v>1619024.2448834146</v>
      </c>
      <c r="F202" s="170" t="s">
        <v>709</v>
      </c>
    </row>
    <row r="203" spans="1:6">
      <c r="A203" s="171" t="s">
        <v>306</v>
      </c>
      <c r="B203" s="171">
        <v>728</v>
      </c>
      <c r="C203" s="171" t="s">
        <v>879</v>
      </c>
      <c r="D203" s="172">
        <v>27.648074566430626</v>
      </c>
      <c r="E203" s="172">
        <v>305845.76566131221</v>
      </c>
      <c r="F203" s="170" t="s">
        <v>709</v>
      </c>
    </row>
    <row r="204" spans="1:6">
      <c r="A204" s="171" t="s">
        <v>306</v>
      </c>
      <c r="B204" s="171">
        <v>768</v>
      </c>
      <c r="C204" s="171" t="s">
        <v>880</v>
      </c>
      <c r="D204" s="172">
        <v>27.648074566430626</v>
      </c>
      <c r="E204" s="172">
        <v>223462.79787571888</v>
      </c>
      <c r="F204" s="170" t="s">
        <v>709</v>
      </c>
    </row>
    <row r="205" spans="1:6">
      <c r="A205" s="171" t="s">
        <v>306</v>
      </c>
      <c r="B205" s="171">
        <v>800</v>
      </c>
      <c r="C205" s="171" t="s">
        <v>881</v>
      </c>
      <c r="D205" s="172">
        <v>27.648074566430626</v>
      </c>
      <c r="E205" s="172">
        <v>1223969.2018260572</v>
      </c>
      <c r="F205" s="170" t="s">
        <v>709</v>
      </c>
    </row>
    <row r="206" spans="1:6">
      <c r="A206" s="171" t="s">
        <v>306</v>
      </c>
      <c r="B206" s="171">
        <v>834</v>
      </c>
      <c r="C206" s="171" t="s">
        <v>882</v>
      </c>
      <c r="D206" s="172">
        <v>27.648074566430626</v>
      </c>
      <c r="E206" s="172">
        <v>1603740.3892630918</v>
      </c>
      <c r="F206" s="170" t="s">
        <v>709</v>
      </c>
    </row>
    <row r="207" spans="1:6">
      <c r="A207" s="171" t="s">
        <v>306</v>
      </c>
      <c r="B207" s="171">
        <v>894</v>
      </c>
      <c r="C207" s="171" t="s">
        <v>614</v>
      </c>
      <c r="D207" s="172">
        <v>27.648074566430626</v>
      </c>
      <c r="E207" s="172">
        <v>493822.25983101741</v>
      </c>
      <c r="F207" s="170" t="s">
        <v>709</v>
      </c>
    </row>
    <row r="208" spans="1:6">
      <c r="A208" s="171" t="s">
        <v>306</v>
      </c>
      <c r="B208" s="171">
        <v>716</v>
      </c>
      <c r="C208" s="171" t="s">
        <v>883</v>
      </c>
      <c r="D208" s="172">
        <v>27.648074566430626</v>
      </c>
      <c r="E208" s="172">
        <v>404919.87606265972</v>
      </c>
      <c r="F208" s="170" t="s">
        <v>709</v>
      </c>
    </row>
    <row r="209" spans="1:6">
      <c r="A209" s="171" t="s">
        <v>173</v>
      </c>
      <c r="B209" s="171">
        <v>51</v>
      </c>
      <c r="C209" s="171" t="s">
        <v>884</v>
      </c>
      <c r="D209" s="172">
        <v>27.648074566430626</v>
      </c>
      <c r="E209" s="172">
        <v>81774.710145131859</v>
      </c>
      <c r="F209" s="170" t="s">
        <v>709</v>
      </c>
    </row>
    <row r="210" spans="1:6">
      <c r="A210" s="171" t="s">
        <v>173</v>
      </c>
      <c r="B210" s="171">
        <v>31</v>
      </c>
      <c r="C210" s="171" t="s">
        <v>885</v>
      </c>
      <c r="D210" s="172">
        <v>27.648074566430626</v>
      </c>
      <c r="E210" s="172">
        <v>277799.55882112501</v>
      </c>
      <c r="F210" s="170" t="s">
        <v>709</v>
      </c>
    </row>
    <row r="211" spans="1:6">
      <c r="A211" s="171" t="s">
        <v>173</v>
      </c>
      <c r="B211" s="171">
        <v>48</v>
      </c>
      <c r="C211" s="171" t="s">
        <v>172</v>
      </c>
      <c r="D211" s="172">
        <v>25.5704180040103</v>
      </c>
      <c r="E211" s="172">
        <v>41966.170028181703</v>
      </c>
      <c r="F211" s="170" t="s">
        <v>801</v>
      </c>
    </row>
    <row r="212" spans="1:6">
      <c r="A212" s="171" t="s">
        <v>173</v>
      </c>
      <c r="B212" s="171">
        <v>196</v>
      </c>
      <c r="C212" s="171" t="s">
        <v>886</v>
      </c>
      <c r="D212" s="172">
        <v>25.5704180040103</v>
      </c>
      <c r="E212" s="172">
        <v>30648.703019606746</v>
      </c>
      <c r="F212" s="170" t="s">
        <v>801</v>
      </c>
    </row>
    <row r="213" spans="1:6">
      <c r="A213" s="171" t="s">
        <v>173</v>
      </c>
      <c r="B213" s="171">
        <v>268</v>
      </c>
      <c r="C213" s="171" t="s">
        <v>340</v>
      </c>
      <c r="D213" s="172">
        <v>27.648074566430626</v>
      </c>
      <c r="E213" s="172">
        <v>110503.82442710992</v>
      </c>
      <c r="F213" s="170" t="s">
        <v>709</v>
      </c>
    </row>
    <row r="214" spans="1:6">
      <c r="A214" s="171" t="s">
        <v>173</v>
      </c>
      <c r="B214" s="171">
        <v>368</v>
      </c>
      <c r="C214" s="171" t="s">
        <v>388</v>
      </c>
      <c r="D214" s="172">
        <v>27.648074566430626</v>
      </c>
      <c r="E214" s="172">
        <v>1086840.2815914745</v>
      </c>
      <c r="F214" s="170" t="s">
        <v>709</v>
      </c>
    </row>
    <row r="215" spans="1:6">
      <c r="A215" s="171" t="s">
        <v>173</v>
      </c>
      <c r="B215" s="171">
        <v>376</v>
      </c>
      <c r="C215" s="171" t="s">
        <v>411</v>
      </c>
      <c r="D215" s="172">
        <v>27.437618593108716</v>
      </c>
      <c r="E215" s="172">
        <v>233752.04784213039</v>
      </c>
      <c r="F215" s="170" t="s">
        <v>905</v>
      </c>
    </row>
    <row r="216" spans="1:6">
      <c r="A216" s="171" t="s">
        <v>173</v>
      </c>
      <c r="B216" s="171">
        <v>400</v>
      </c>
      <c r="C216" s="171" t="s">
        <v>887</v>
      </c>
      <c r="D216" s="172">
        <v>27.648074566430626</v>
      </c>
      <c r="E216" s="172">
        <v>279292.55484771228</v>
      </c>
      <c r="F216" s="170" t="s">
        <v>709</v>
      </c>
    </row>
    <row r="217" spans="1:6">
      <c r="A217" s="171" t="s">
        <v>173</v>
      </c>
      <c r="B217" s="171">
        <v>414</v>
      </c>
      <c r="C217" s="171" t="s">
        <v>888</v>
      </c>
      <c r="D217" s="172">
        <v>25.5704180040103</v>
      </c>
      <c r="E217" s="172">
        <v>107577.30558467173</v>
      </c>
      <c r="F217" s="170" t="s">
        <v>801</v>
      </c>
    </row>
    <row r="218" spans="1:6">
      <c r="A218" s="171" t="s">
        <v>173</v>
      </c>
      <c r="B218" s="171">
        <v>422</v>
      </c>
      <c r="C218" s="171" t="s">
        <v>449</v>
      </c>
      <c r="D218" s="172">
        <v>27.648074566430626</v>
      </c>
      <c r="E218" s="172">
        <v>189546.90480507843</v>
      </c>
      <c r="F218" s="170" t="s">
        <v>709</v>
      </c>
    </row>
    <row r="219" spans="1:6">
      <c r="A219" s="171" t="s">
        <v>173</v>
      </c>
      <c r="B219" s="171">
        <v>512</v>
      </c>
      <c r="C219" s="171" t="s">
        <v>889</v>
      </c>
      <c r="D219" s="172">
        <v>25.5704180040103</v>
      </c>
      <c r="E219" s="172">
        <v>127212.82956995124</v>
      </c>
      <c r="F219" s="170" t="s">
        <v>801</v>
      </c>
    </row>
    <row r="220" spans="1:6">
      <c r="A220" s="171" t="s">
        <v>173</v>
      </c>
      <c r="B220" s="171">
        <v>634</v>
      </c>
      <c r="C220" s="171" t="s">
        <v>890</v>
      </c>
      <c r="D220" s="172">
        <v>25.5704180040103</v>
      </c>
      <c r="E220" s="172">
        <v>72417.980829157575</v>
      </c>
      <c r="F220" s="170" t="s">
        <v>801</v>
      </c>
    </row>
    <row r="221" spans="1:6">
      <c r="A221" s="171" t="s">
        <v>173</v>
      </c>
      <c r="B221" s="171">
        <v>682</v>
      </c>
      <c r="C221" s="171" t="s">
        <v>522</v>
      </c>
      <c r="D221" s="172">
        <v>25.5704180040103</v>
      </c>
      <c r="E221" s="172">
        <v>876259.86937042698</v>
      </c>
      <c r="F221" s="170" t="s">
        <v>801</v>
      </c>
    </row>
    <row r="222" spans="1:6">
      <c r="A222" s="171" t="s">
        <v>173</v>
      </c>
      <c r="B222" s="171">
        <v>275</v>
      </c>
      <c r="C222" s="171" t="s">
        <v>891</v>
      </c>
      <c r="D222" s="172">
        <v>27.648074566430626</v>
      </c>
      <c r="E222" s="172">
        <v>137726.1186452175</v>
      </c>
      <c r="F222" s="170" t="s">
        <v>709</v>
      </c>
    </row>
    <row r="223" spans="1:6">
      <c r="A223" s="171" t="s">
        <v>173</v>
      </c>
      <c r="B223" s="171">
        <v>760</v>
      </c>
      <c r="C223" s="171" t="s">
        <v>892</v>
      </c>
      <c r="D223" s="172">
        <v>27.648074566430626</v>
      </c>
      <c r="E223" s="172">
        <v>471955.39765642746</v>
      </c>
      <c r="F223" s="170" t="s">
        <v>709</v>
      </c>
    </row>
    <row r="224" spans="1:6">
      <c r="A224" s="171" t="s">
        <v>173</v>
      </c>
      <c r="B224" s="171">
        <v>792</v>
      </c>
      <c r="C224" s="171" t="s">
        <v>893</v>
      </c>
      <c r="D224" s="172">
        <v>27.648074566430626</v>
      </c>
      <c r="E224" s="172">
        <v>2306667.8018474807</v>
      </c>
      <c r="F224" s="170" t="s">
        <v>709</v>
      </c>
    </row>
    <row r="225" spans="1:6">
      <c r="A225" s="171" t="s">
        <v>173</v>
      </c>
      <c r="B225" s="171">
        <v>784</v>
      </c>
      <c r="C225" s="171" t="s">
        <v>894</v>
      </c>
      <c r="D225" s="172">
        <v>25.5704180040103</v>
      </c>
      <c r="E225" s="172">
        <v>249835.76910818263</v>
      </c>
      <c r="F225" s="170" t="s">
        <v>801</v>
      </c>
    </row>
    <row r="226" spans="1:6">
      <c r="A226" s="171" t="s">
        <v>173</v>
      </c>
      <c r="B226" s="171">
        <v>887</v>
      </c>
      <c r="C226" s="171" t="s">
        <v>895</v>
      </c>
      <c r="D226" s="172">
        <v>27.648074566430626</v>
      </c>
      <c r="E226" s="172">
        <v>806270.38569879334</v>
      </c>
      <c r="F226" s="170" t="s">
        <v>709</v>
      </c>
    </row>
    <row r="227" spans="1:6">
      <c r="A227" s="171" t="s">
        <v>141</v>
      </c>
      <c r="B227" s="171">
        <v>40</v>
      </c>
      <c r="C227" s="171" t="s">
        <v>140</v>
      </c>
      <c r="D227" s="172">
        <v>28.385021627168378</v>
      </c>
      <c r="E227" s="172">
        <v>254190.70717345554</v>
      </c>
      <c r="F227" s="170" t="s">
        <v>904</v>
      </c>
    </row>
    <row r="228" spans="1:6">
      <c r="A228" s="171" t="s">
        <v>141</v>
      </c>
      <c r="B228" s="171">
        <v>56</v>
      </c>
      <c r="C228" s="171" t="s">
        <v>197</v>
      </c>
      <c r="D228" s="172">
        <v>19.704067307692309</v>
      </c>
      <c r="E228" s="172">
        <v>227371.14388365386</v>
      </c>
      <c r="F228" s="170" t="s">
        <v>905</v>
      </c>
    </row>
    <row r="229" spans="1:6">
      <c r="A229" s="171" t="s">
        <v>141</v>
      </c>
      <c r="B229" s="171">
        <v>250</v>
      </c>
      <c r="C229" s="171" t="s">
        <v>331</v>
      </c>
      <c r="D229" s="172">
        <v>24.483138057587134</v>
      </c>
      <c r="E229" s="172">
        <v>1594579.4367492327</v>
      </c>
      <c r="F229" s="170" t="s">
        <v>905</v>
      </c>
    </row>
    <row r="230" spans="1:6">
      <c r="A230" s="171" t="s">
        <v>141</v>
      </c>
      <c r="B230" s="171">
        <v>276</v>
      </c>
      <c r="C230" s="171" t="s">
        <v>347</v>
      </c>
      <c r="D230" s="172">
        <v>20.575845383740386</v>
      </c>
      <c r="E230" s="172">
        <v>1718432.8789138459</v>
      </c>
      <c r="F230" s="170" t="s">
        <v>904</v>
      </c>
    </row>
    <row r="231" spans="1:6">
      <c r="A231" s="171" t="s">
        <v>141</v>
      </c>
      <c r="B231" s="171">
        <v>438</v>
      </c>
      <c r="C231" s="171" t="s">
        <v>896</v>
      </c>
      <c r="D231" s="172">
        <v>25.5704180040103</v>
      </c>
      <c r="E231" s="172">
        <v>971.67588415239129</v>
      </c>
      <c r="F231" s="170" t="s">
        <v>801</v>
      </c>
    </row>
    <row r="232" spans="1:6">
      <c r="A232" s="171" t="s">
        <v>141</v>
      </c>
      <c r="B232" s="171">
        <v>442</v>
      </c>
      <c r="C232" s="171" t="s">
        <v>157</v>
      </c>
      <c r="D232" s="172">
        <v>20.9</v>
      </c>
      <c r="E232" s="172">
        <v>12868.13</v>
      </c>
      <c r="F232" s="170" t="s">
        <v>905</v>
      </c>
    </row>
    <row r="233" spans="1:6">
      <c r="A233" s="171" t="s">
        <v>141</v>
      </c>
      <c r="B233" s="171">
        <v>492</v>
      </c>
      <c r="C233" s="171" t="s">
        <v>897</v>
      </c>
      <c r="D233" s="172">
        <v>25.5704180040103</v>
      </c>
      <c r="E233" s="172">
        <v>997.24630215640173</v>
      </c>
      <c r="F233" s="170" t="s">
        <v>801</v>
      </c>
    </row>
    <row r="234" spans="1:6">
      <c r="A234" s="171" t="s">
        <v>141</v>
      </c>
      <c r="B234" s="171">
        <v>528</v>
      </c>
      <c r="C234" s="171" t="s">
        <v>321</v>
      </c>
      <c r="D234" s="172">
        <v>25.5704180040103</v>
      </c>
      <c r="E234" s="172">
        <v>437179.9936563645</v>
      </c>
      <c r="F234" s="170" t="s">
        <v>801</v>
      </c>
    </row>
    <row r="235" spans="1:6">
      <c r="A235" s="173" t="s">
        <v>141</v>
      </c>
      <c r="B235" s="173">
        <v>756</v>
      </c>
      <c r="C235" s="173" t="s">
        <v>582</v>
      </c>
      <c r="D235" s="174">
        <v>40</v>
      </c>
      <c r="E235" s="174">
        <v>343656</v>
      </c>
      <c r="F235" s="170" t="s">
        <v>905</v>
      </c>
    </row>
    <row r="236" spans="1:6">
      <c r="A236" s="173"/>
      <c r="B236" s="173">
        <v>830</v>
      </c>
      <c r="C236" s="173" t="s">
        <v>898</v>
      </c>
      <c r="D236" s="174" t="s">
        <v>728</v>
      </c>
      <c r="E236" s="174" t="s">
        <v>728</v>
      </c>
      <c r="F236" s="170" t="s">
        <v>906</v>
      </c>
    </row>
    <row r="237" spans="1:6">
      <c r="A237" s="173"/>
      <c r="B237" s="173">
        <v>158</v>
      </c>
      <c r="C237" s="173" t="s">
        <v>899</v>
      </c>
      <c r="D237" s="174" t="s">
        <v>728</v>
      </c>
      <c r="E237" s="174" t="s">
        <v>728</v>
      </c>
      <c r="F237" s="170" t="s">
        <v>906</v>
      </c>
    </row>
    <row r="238" spans="1:6" ht="28.5" customHeight="1">
      <c r="A238" s="241" t="s">
        <v>900</v>
      </c>
      <c r="B238" s="242"/>
      <c r="C238" s="242"/>
      <c r="D238" s="242"/>
      <c r="E238" s="242"/>
      <c r="F238" s="243"/>
    </row>
  </sheetData>
  <mergeCells count="2">
    <mergeCell ref="A1:F1"/>
    <mergeCell ref="A238:F238"/>
  </mergeCells>
  <conditionalFormatting sqref="F3:F237">
    <cfRule type="containsText" dxfId="7" priority="1" operator="containsText" text="Medium Confidence">
      <formula>NOT(ISERROR(SEARCH("Medium Confidence",F3)))</formula>
    </cfRule>
    <cfRule type="containsText" dxfId="6" priority="2" operator="containsText" text="Very Low Confidence">
      <formula>NOT(ISERROR(SEARCH("Very Low Confidence",F3)))</formula>
    </cfRule>
    <cfRule type="containsText" dxfId="5" priority="3" operator="containsText" text="Low Confidence">
      <formula>NOT(ISERROR(SEARCH("Low Confidence",F3)))</formula>
    </cfRule>
    <cfRule type="containsText" dxfId="4" priority="4" operator="containsText" text="High Confidence">
      <formula>NOT(ISERROR(SEARCH("High Confidence",F3)))</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0C242-9A5F-4A7B-8939-F379BC6D1BE6}">
  <sheetPr>
    <tabColor theme="9" tint="0.79998168889431442"/>
  </sheetPr>
  <dimension ref="A1:F238"/>
  <sheetViews>
    <sheetView topLeftCell="A100" workbookViewId="0">
      <selection activeCell="I18" sqref="I18"/>
    </sheetView>
  </sheetViews>
  <sheetFormatPr defaultRowHeight="14.45"/>
  <cols>
    <col min="1" max="6" width="23.7109375" style="175" customWidth="1"/>
  </cols>
  <sheetData>
    <row r="1" spans="1:6">
      <c r="A1" s="244" t="s">
        <v>907</v>
      </c>
      <c r="B1" s="245"/>
      <c r="C1" s="245"/>
      <c r="D1" s="245"/>
      <c r="E1" s="245"/>
      <c r="F1" s="246"/>
    </row>
    <row r="2" spans="1:6">
      <c r="A2" s="169" t="s">
        <v>33</v>
      </c>
      <c r="B2" s="169" t="s">
        <v>702</v>
      </c>
      <c r="C2" s="169" t="s">
        <v>29</v>
      </c>
      <c r="D2" s="169" t="s">
        <v>908</v>
      </c>
      <c r="E2" s="169" t="s">
        <v>909</v>
      </c>
      <c r="F2" s="169" t="s">
        <v>705</v>
      </c>
    </row>
    <row r="3" spans="1:6">
      <c r="A3" s="171" t="s">
        <v>127</v>
      </c>
      <c r="B3" s="171">
        <v>36</v>
      </c>
      <c r="C3" s="171" t="s">
        <v>126</v>
      </c>
      <c r="D3" s="172">
        <v>9.4530722484807566</v>
      </c>
      <c r="E3" s="172">
        <v>238247.6704929102</v>
      </c>
      <c r="F3" s="170" t="s">
        <v>904</v>
      </c>
    </row>
    <row r="4" spans="1:6">
      <c r="A4" s="171" t="s">
        <v>127</v>
      </c>
      <c r="B4" s="171">
        <v>554</v>
      </c>
      <c r="C4" s="171" t="s">
        <v>479</v>
      </c>
      <c r="D4" s="172">
        <v>3.12</v>
      </c>
      <c r="E4" s="172">
        <v>14923.272000000001</v>
      </c>
      <c r="F4" s="170" t="s">
        <v>904</v>
      </c>
    </row>
    <row r="5" spans="1:6">
      <c r="A5" s="171" t="s">
        <v>707</v>
      </c>
      <c r="B5" s="171">
        <v>398</v>
      </c>
      <c r="C5" s="171" t="s">
        <v>708</v>
      </c>
      <c r="D5" s="172">
        <v>15.640228594822497</v>
      </c>
      <c r="E5" s="172">
        <v>290148.13675399008</v>
      </c>
      <c r="F5" s="170" t="s">
        <v>709</v>
      </c>
    </row>
    <row r="6" spans="1:6">
      <c r="A6" s="171" t="s">
        <v>707</v>
      </c>
      <c r="B6" s="171">
        <v>417</v>
      </c>
      <c r="C6" s="171" t="s">
        <v>710</v>
      </c>
      <c r="D6" s="172">
        <v>15.640228594822497</v>
      </c>
      <c r="E6" s="172">
        <v>100346.14264152166</v>
      </c>
      <c r="F6" s="170" t="s">
        <v>709</v>
      </c>
    </row>
    <row r="7" spans="1:6">
      <c r="A7" s="171" t="s">
        <v>707</v>
      </c>
      <c r="B7" s="171">
        <v>762</v>
      </c>
      <c r="C7" s="171" t="s">
        <v>711</v>
      </c>
      <c r="D7" s="172">
        <v>15.640228594822497</v>
      </c>
      <c r="E7" s="172">
        <v>145782.57073234048</v>
      </c>
      <c r="F7" s="170" t="s">
        <v>709</v>
      </c>
    </row>
    <row r="8" spans="1:6">
      <c r="A8" s="171" t="s">
        <v>707</v>
      </c>
      <c r="B8" s="171">
        <v>795</v>
      </c>
      <c r="C8" s="171" t="s">
        <v>712</v>
      </c>
      <c r="D8" s="172">
        <v>15.640228594822497</v>
      </c>
      <c r="E8" s="172">
        <v>92935.802333294763</v>
      </c>
      <c r="F8" s="170" t="s">
        <v>709</v>
      </c>
    </row>
    <row r="9" spans="1:6">
      <c r="A9" s="171" t="s">
        <v>707</v>
      </c>
      <c r="B9" s="171">
        <v>860</v>
      </c>
      <c r="C9" s="171" t="s">
        <v>713</v>
      </c>
      <c r="D9" s="172">
        <v>15.640228594822497</v>
      </c>
      <c r="E9" s="172">
        <v>515841.32744585711</v>
      </c>
      <c r="F9" s="170" t="s">
        <v>709</v>
      </c>
    </row>
    <row r="10" spans="1:6">
      <c r="A10" s="171" t="s">
        <v>233</v>
      </c>
      <c r="B10" s="171">
        <v>156</v>
      </c>
      <c r="C10" s="171" t="s">
        <v>232</v>
      </c>
      <c r="D10" s="172">
        <v>15.640228594822497</v>
      </c>
      <c r="E10" s="172">
        <v>22424704.823530402</v>
      </c>
      <c r="F10" s="170" t="s">
        <v>709</v>
      </c>
    </row>
    <row r="11" spans="1:6">
      <c r="A11" s="171" t="s">
        <v>233</v>
      </c>
      <c r="B11" s="171">
        <v>344</v>
      </c>
      <c r="C11" s="171" t="s">
        <v>715</v>
      </c>
      <c r="D11" s="172">
        <v>12.811309449374059</v>
      </c>
      <c r="E11" s="172">
        <v>95267.459327435368</v>
      </c>
      <c r="F11" s="170" t="s">
        <v>801</v>
      </c>
    </row>
    <row r="12" spans="1:6">
      <c r="A12" s="171" t="s">
        <v>233</v>
      </c>
      <c r="B12" s="171">
        <v>446</v>
      </c>
      <c r="C12" s="171" t="s">
        <v>716</v>
      </c>
      <c r="D12" s="172">
        <v>12.811309449374059</v>
      </c>
      <c r="E12" s="172">
        <v>8204.362571379148</v>
      </c>
      <c r="F12" s="170" t="s">
        <v>801</v>
      </c>
    </row>
    <row r="13" spans="1:6">
      <c r="A13" s="171" t="s">
        <v>233</v>
      </c>
      <c r="B13" s="171">
        <v>408</v>
      </c>
      <c r="C13" s="171" t="s">
        <v>717</v>
      </c>
      <c r="D13" s="172">
        <v>15.640228594822497</v>
      </c>
      <c r="E13" s="172">
        <v>401425.23516043316</v>
      </c>
      <c r="F13" s="170" t="s">
        <v>709</v>
      </c>
    </row>
    <row r="14" spans="1:6">
      <c r="A14" s="171" t="s">
        <v>233</v>
      </c>
      <c r="B14" s="171">
        <v>392</v>
      </c>
      <c r="C14" s="171" t="s">
        <v>429</v>
      </c>
      <c r="D14" s="172">
        <v>8.6339663272684035</v>
      </c>
      <c r="E14" s="172">
        <v>1095307.5584671679</v>
      </c>
      <c r="F14" s="170" t="s">
        <v>905</v>
      </c>
    </row>
    <row r="15" spans="1:6">
      <c r="A15" s="171" t="s">
        <v>233</v>
      </c>
      <c r="B15" s="171">
        <v>496</v>
      </c>
      <c r="C15" s="171" t="s">
        <v>718</v>
      </c>
      <c r="D15" s="172">
        <v>15.640228594822497</v>
      </c>
      <c r="E15" s="172">
        <v>50442.865264021515</v>
      </c>
      <c r="F15" s="170" t="s">
        <v>709</v>
      </c>
    </row>
    <row r="16" spans="1:6">
      <c r="A16" s="171" t="s">
        <v>233</v>
      </c>
      <c r="B16" s="171">
        <v>410</v>
      </c>
      <c r="C16" s="171" t="s">
        <v>719</v>
      </c>
      <c r="D16" s="172">
        <v>12.811309449374059</v>
      </c>
      <c r="E16" s="172">
        <v>656263.16993702098</v>
      </c>
      <c r="F16" s="170" t="s">
        <v>801</v>
      </c>
    </row>
    <row r="17" spans="1:6">
      <c r="A17" s="171" t="s">
        <v>365</v>
      </c>
      <c r="B17" s="171">
        <v>112</v>
      </c>
      <c r="C17" s="171" t="s">
        <v>720</v>
      </c>
      <c r="D17" s="172">
        <v>15.640228594822497</v>
      </c>
      <c r="E17" s="172">
        <v>147837.69676970018</v>
      </c>
      <c r="F17" s="170" t="s">
        <v>709</v>
      </c>
    </row>
    <row r="18" spans="1:6">
      <c r="A18" s="171" t="s">
        <v>365</v>
      </c>
      <c r="B18" s="171">
        <v>100</v>
      </c>
      <c r="C18" s="171" t="s">
        <v>721</v>
      </c>
      <c r="D18" s="172">
        <v>15.640228594822497</v>
      </c>
      <c r="E18" s="172">
        <v>109483.16418661697</v>
      </c>
      <c r="F18" s="170" t="s">
        <v>709</v>
      </c>
    </row>
    <row r="19" spans="1:6">
      <c r="A19" s="171" t="s">
        <v>365</v>
      </c>
      <c r="B19" s="171">
        <v>203</v>
      </c>
      <c r="C19" s="171" t="s">
        <v>722</v>
      </c>
      <c r="D19" s="172">
        <v>12.811309449374059</v>
      </c>
      <c r="E19" s="172">
        <v>136942.64896624919</v>
      </c>
      <c r="F19" s="170" t="s">
        <v>801</v>
      </c>
    </row>
    <row r="20" spans="1:6">
      <c r="A20" s="171" t="s">
        <v>365</v>
      </c>
      <c r="B20" s="171">
        <v>348</v>
      </c>
      <c r="C20" s="171" t="s">
        <v>364</v>
      </c>
      <c r="D20" s="172">
        <v>12.811309449374059</v>
      </c>
      <c r="E20" s="172">
        <v>124073.68862435294</v>
      </c>
      <c r="F20" s="170" t="s">
        <v>801</v>
      </c>
    </row>
    <row r="21" spans="1:6">
      <c r="A21" s="171" t="s">
        <v>365</v>
      </c>
      <c r="B21" s="171">
        <v>616</v>
      </c>
      <c r="C21" s="171" t="s">
        <v>508</v>
      </c>
      <c r="D21" s="172">
        <v>12.811309449374059</v>
      </c>
      <c r="E21" s="172">
        <v>485392.33015599445</v>
      </c>
      <c r="F21" s="170" t="s">
        <v>801</v>
      </c>
    </row>
    <row r="22" spans="1:6">
      <c r="A22" s="171" t="s">
        <v>365</v>
      </c>
      <c r="B22" s="171">
        <v>498</v>
      </c>
      <c r="C22" s="171" t="s">
        <v>723</v>
      </c>
      <c r="D22" s="172">
        <v>15.640228594822497</v>
      </c>
      <c r="E22" s="172">
        <v>63238.13627744581</v>
      </c>
      <c r="F22" s="170" t="s">
        <v>709</v>
      </c>
    </row>
    <row r="23" spans="1:6">
      <c r="A23" s="171" t="s">
        <v>365</v>
      </c>
      <c r="B23" s="171">
        <v>642</v>
      </c>
      <c r="C23" s="171" t="s">
        <v>724</v>
      </c>
      <c r="D23" s="172">
        <v>12.811309449374059</v>
      </c>
      <c r="E23" s="172">
        <v>248085.88296334891</v>
      </c>
      <c r="F23" s="170" t="s">
        <v>801</v>
      </c>
    </row>
    <row r="24" spans="1:6">
      <c r="A24" s="171" t="s">
        <v>365</v>
      </c>
      <c r="B24" s="171">
        <v>643</v>
      </c>
      <c r="C24" s="171" t="s">
        <v>513</v>
      </c>
      <c r="D24" s="172">
        <v>13.71790467223564</v>
      </c>
      <c r="E24" s="172">
        <v>2001062.3057197591</v>
      </c>
      <c r="F24" s="170" t="s">
        <v>905</v>
      </c>
    </row>
    <row r="25" spans="1:6">
      <c r="A25" s="171" t="s">
        <v>365</v>
      </c>
      <c r="B25" s="171">
        <v>703</v>
      </c>
      <c r="C25" s="171" t="s">
        <v>725</v>
      </c>
      <c r="D25" s="172">
        <v>12.811309449374059</v>
      </c>
      <c r="E25" s="172">
        <v>69911.315665234244</v>
      </c>
      <c r="F25" s="170" t="s">
        <v>801</v>
      </c>
    </row>
    <row r="26" spans="1:6">
      <c r="A26" s="171" t="s">
        <v>365</v>
      </c>
      <c r="B26" s="171">
        <v>804</v>
      </c>
      <c r="C26" s="171" t="s">
        <v>726</v>
      </c>
      <c r="D26" s="172">
        <v>15.640228594822497</v>
      </c>
      <c r="E26" s="172">
        <v>688069.96070918301</v>
      </c>
      <c r="F26" s="170" t="s">
        <v>709</v>
      </c>
    </row>
    <row r="27" spans="1:6">
      <c r="A27" s="171" t="s">
        <v>209</v>
      </c>
      <c r="B27" s="171">
        <v>660</v>
      </c>
      <c r="C27" s="171" t="s">
        <v>727</v>
      </c>
      <c r="D27" s="172" t="s">
        <v>728</v>
      </c>
      <c r="E27" s="172" t="s">
        <v>728</v>
      </c>
      <c r="F27" s="170" t="s">
        <v>906</v>
      </c>
    </row>
    <row r="28" spans="1:6">
      <c r="A28" s="171" t="s">
        <v>209</v>
      </c>
      <c r="B28" s="171">
        <v>28</v>
      </c>
      <c r="C28" s="171" t="s">
        <v>730</v>
      </c>
      <c r="D28" s="172">
        <v>12.811309449374059</v>
      </c>
      <c r="E28" s="172">
        <v>1243.9781475342211</v>
      </c>
      <c r="F28" s="170" t="s">
        <v>801</v>
      </c>
    </row>
    <row r="29" spans="1:6">
      <c r="A29" s="171" t="s">
        <v>209</v>
      </c>
      <c r="B29" s="171">
        <v>32</v>
      </c>
      <c r="C29" s="171" t="s">
        <v>731</v>
      </c>
      <c r="D29" s="172">
        <v>15.640228594822497</v>
      </c>
      <c r="E29" s="172">
        <v>700380.38463616779</v>
      </c>
      <c r="F29" s="170" t="s">
        <v>709</v>
      </c>
    </row>
    <row r="30" spans="1:6">
      <c r="A30" s="171" t="s">
        <v>209</v>
      </c>
      <c r="B30" s="171">
        <v>533</v>
      </c>
      <c r="C30" s="171" t="s">
        <v>732</v>
      </c>
      <c r="D30" s="172">
        <v>12.811309449374059</v>
      </c>
      <c r="E30" s="172">
        <v>1361.8421944684626</v>
      </c>
      <c r="F30" s="170" t="s">
        <v>801</v>
      </c>
    </row>
    <row r="31" spans="1:6">
      <c r="A31" s="171" t="s">
        <v>209</v>
      </c>
      <c r="B31" s="171">
        <v>44</v>
      </c>
      <c r="C31" s="171" t="s">
        <v>733</v>
      </c>
      <c r="D31" s="172">
        <v>12.811309449374059</v>
      </c>
      <c r="E31" s="172">
        <v>4990.0050305311961</v>
      </c>
      <c r="F31" s="170" t="s">
        <v>801</v>
      </c>
    </row>
    <row r="32" spans="1:6">
      <c r="A32" s="171" t="s">
        <v>209</v>
      </c>
      <c r="B32" s="171">
        <v>52</v>
      </c>
      <c r="C32" s="171" t="s">
        <v>734</v>
      </c>
      <c r="D32" s="172">
        <v>12.811309449374059</v>
      </c>
      <c r="E32" s="172">
        <v>3676.845811970355</v>
      </c>
      <c r="F32" s="170" t="s">
        <v>801</v>
      </c>
    </row>
    <row r="33" spans="1:6">
      <c r="A33" s="171" t="s">
        <v>209</v>
      </c>
      <c r="B33" s="171">
        <v>84</v>
      </c>
      <c r="C33" s="171" t="s">
        <v>208</v>
      </c>
      <c r="D33" s="172">
        <v>15.640228594822497</v>
      </c>
      <c r="E33" s="172">
        <v>6105.9452434187033</v>
      </c>
      <c r="F33" s="170" t="s">
        <v>709</v>
      </c>
    </row>
    <row r="34" spans="1:6">
      <c r="A34" s="171" t="s">
        <v>209</v>
      </c>
      <c r="B34" s="171">
        <v>68</v>
      </c>
      <c r="C34" s="171" t="s">
        <v>735</v>
      </c>
      <c r="D34" s="172">
        <v>15.640228594822497</v>
      </c>
      <c r="E34" s="172">
        <v>180067.5158350509</v>
      </c>
      <c r="F34" s="170" t="s">
        <v>709</v>
      </c>
    </row>
    <row r="35" spans="1:6">
      <c r="A35" s="171" t="s">
        <v>209</v>
      </c>
      <c r="B35" s="171">
        <v>535</v>
      </c>
      <c r="C35" s="171" t="s">
        <v>736</v>
      </c>
      <c r="D35" s="172" t="s">
        <v>728</v>
      </c>
      <c r="E35" s="172" t="s">
        <v>728</v>
      </c>
      <c r="F35" s="170" t="s">
        <v>906</v>
      </c>
    </row>
    <row r="36" spans="1:6">
      <c r="A36" s="171" t="s">
        <v>209</v>
      </c>
      <c r="B36" s="171">
        <v>76</v>
      </c>
      <c r="C36" s="171" t="s">
        <v>221</v>
      </c>
      <c r="D36" s="172">
        <v>15.640228594822497</v>
      </c>
      <c r="E36" s="172">
        <v>3300862.4248229908</v>
      </c>
      <c r="F36" s="170" t="s">
        <v>709</v>
      </c>
    </row>
    <row r="37" spans="1:6">
      <c r="A37" s="171" t="s">
        <v>209</v>
      </c>
      <c r="B37" s="171">
        <v>92</v>
      </c>
      <c r="C37" s="171" t="s">
        <v>737</v>
      </c>
      <c r="D37" s="172">
        <v>12.811309449374059</v>
      </c>
      <c r="E37" s="172">
        <v>384.33928348122174</v>
      </c>
      <c r="F37" s="170" t="s">
        <v>801</v>
      </c>
    </row>
    <row r="38" spans="1:6">
      <c r="A38" s="171" t="s">
        <v>209</v>
      </c>
      <c r="B38" s="171">
        <v>136</v>
      </c>
      <c r="C38" s="171" t="s">
        <v>738</v>
      </c>
      <c r="D38" s="172">
        <v>12.811309449374059</v>
      </c>
      <c r="E38" s="172">
        <v>831.45398326437646</v>
      </c>
      <c r="F38" s="170" t="s">
        <v>801</v>
      </c>
    </row>
    <row r="39" spans="1:6">
      <c r="A39" s="171" t="s">
        <v>209</v>
      </c>
      <c r="B39" s="171">
        <v>152</v>
      </c>
      <c r="C39" s="171" t="s">
        <v>739</v>
      </c>
      <c r="D39" s="172">
        <v>12.811309449374059</v>
      </c>
      <c r="E39" s="172">
        <v>242799.93668453718</v>
      </c>
      <c r="F39" s="170" t="s">
        <v>801</v>
      </c>
    </row>
    <row r="40" spans="1:6">
      <c r="A40" s="171" t="s">
        <v>209</v>
      </c>
      <c r="B40" s="171">
        <v>170</v>
      </c>
      <c r="C40" s="171" t="s">
        <v>271</v>
      </c>
      <c r="D40" s="172">
        <v>15.640228594822497</v>
      </c>
      <c r="E40" s="172">
        <v>787319.7233262076</v>
      </c>
      <c r="F40" s="170" t="s">
        <v>709</v>
      </c>
    </row>
    <row r="41" spans="1:6">
      <c r="A41" s="171" t="s">
        <v>209</v>
      </c>
      <c r="B41" s="171">
        <v>188</v>
      </c>
      <c r="C41" s="171" t="s">
        <v>740</v>
      </c>
      <c r="D41" s="172">
        <v>15.640228594822497</v>
      </c>
      <c r="E41" s="172">
        <v>78945.617855226039</v>
      </c>
      <c r="F41" s="170" t="s">
        <v>709</v>
      </c>
    </row>
    <row r="42" spans="1:6">
      <c r="A42" s="171" t="s">
        <v>209</v>
      </c>
      <c r="B42" s="171">
        <v>192</v>
      </c>
      <c r="C42" s="171" t="s">
        <v>741</v>
      </c>
      <c r="D42" s="172">
        <v>15.640228594822497</v>
      </c>
      <c r="E42" s="172">
        <v>177258.53077942078</v>
      </c>
      <c r="F42" s="170" t="s">
        <v>709</v>
      </c>
    </row>
    <row r="43" spans="1:6">
      <c r="A43" s="171" t="s">
        <v>209</v>
      </c>
      <c r="B43" s="171">
        <v>531</v>
      </c>
      <c r="C43" s="171" t="s">
        <v>742</v>
      </c>
      <c r="D43" s="172">
        <v>12.811309449374059</v>
      </c>
      <c r="E43" s="172">
        <v>2093.3679640277214</v>
      </c>
      <c r="F43" s="170" t="s">
        <v>801</v>
      </c>
    </row>
    <row r="44" spans="1:6">
      <c r="A44" s="171" t="s">
        <v>209</v>
      </c>
      <c r="B44" s="171">
        <v>212</v>
      </c>
      <c r="C44" s="171" t="s">
        <v>743</v>
      </c>
      <c r="D44" s="172">
        <v>15.640228594822497</v>
      </c>
      <c r="E44" s="172">
        <v>1122.9684131082552</v>
      </c>
      <c r="F44" s="170" t="s">
        <v>709</v>
      </c>
    </row>
    <row r="45" spans="1:6">
      <c r="A45" s="171" t="s">
        <v>209</v>
      </c>
      <c r="B45" s="171">
        <v>214</v>
      </c>
      <c r="C45" s="171" t="s">
        <v>744</v>
      </c>
      <c r="D45" s="172">
        <v>15.640228594822497</v>
      </c>
      <c r="E45" s="172">
        <v>167960.4148797988</v>
      </c>
      <c r="F45" s="170" t="s">
        <v>709</v>
      </c>
    </row>
    <row r="46" spans="1:6">
      <c r="A46" s="171" t="s">
        <v>209</v>
      </c>
      <c r="B46" s="171">
        <v>218</v>
      </c>
      <c r="C46" s="171" t="s">
        <v>745</v>
      </c>
      <c r="D46" s="172">
        <v>15.640228594822497</v>
      </c>
      <c r="E46" s="172">
        <v>271728.63953786762</v>
      </c>
      <c r="F46" s="170" t="s">
        <v>709</v>
      </c>
    </row>
    <row r="47" spans="1:6">
      <c r="A47" s="171" t="s">
        <v>209</v>
      </c>
      <c r="B47" s="171">
        <v>222</v>
      </c>
      <c r="C47" s="171" t="s">
        <v>746</v>
      </c>
      <c r="D47" s="172">
        <v>15.640228594822497</v>
      </c>
      <c r="E47" s="172">
        <v>100935.77925954647</v>
      </c>
      <c r="F47" s="170" t="s">
        <v>709</v>
      </c>
    </row>
    <row r="48" spans="1:6">
      <c r="A48" s="171" t="s">
        <v>209</v>
      </c>
      <c r="B48" s="171">
        <v>238</v>
      </c>
      <c r="C48" s="171" t="s">
        <v>747</v>
      </c>
      <c r="D48" s="172" t="s">
        <v>728</v>
      </c>
      <c r="E48" s="172" t="s">
        <v>728</v>
      </c>
      <c r="F48" s="170" t="s">
        <v>906</v>
      </c>
    </row>
    <row r="49" spans="1:6">
      <c r="A49" s="171" t="s">
        <v>209</v>
      </c>
      <c r="B49" s="171">
        <v>254</v>
      </c>
      <c r="C49" s="171" t="s">
        <v>748</v>
      </c>
      <c r="D49" s="172" t="s">
        <v>728</v>
      </c>
      <c r="E49" s="172" t="s">
        <v>728</v>
      </c>
      <c r="F49" s="170" t="s">
        <v>906</v>
      </c>
    </row>
    <row r="50" spans="1:6">
      <c r="A50" s="171" t="s">
        <v>209</v>
      </c>
      <c r="B50" s="171">
        <v>308</v>
      </c>
      <c r="C50" s="171" t="s">
        <v>749</v>
      </c>
      <c r="D50" s="172">
        <v>15.640228594822497</v>
      </c>
      <c r="E50" s="172">
        <v>1751.7056026201196</v>
      </c>
      <c r="F50" s="170" t="s">
        <v>709</v>
      </c>
    </row>
    <row r="51" spans="1:6">
      <c r="A51" s="171" t="s">
        <v>209</v>
      </c>
      <c r="B51" s="171">
        <v>312</v>
      </c>
      <c r="C51" s="171" t="s">
        <v>750</v>
      </c>
      <c r="D51" s="172" t="s">
        <v>728</v>
      </c>
      <c r="E51" s="172" t="s">
        <v>728</v>
      </c>
      <c r="F51" s="170" t="s">
        <v>906</v>
      </c>
    </row>
    <row r="52" spans="1:6">
      <c r="A52" s="171" t="s">
        <v>209</v>
      </c>
      <c r="B52" s="171">
        <v>320</v>
      </c>
      <c r="C52" s="171" t="s">
        <v>751</v>
      </c>
      <c r="D52" s="172">
        <v>15.640228594822497</v>
      </c>
      <c r="E52" s="172">
        <v>274978.67903987173</v>
      </c>
      <c r="F52" s="170" t="s">
        <v>709</v>
      </c>
    </row>
    <row r="53" spans="1:6">
      <c r="A53" s="171" t="s">
        <v>209</v>
      </c>
      <c r="B53" s="171">
        <v>328</v>
      </c>
      <c r="C53" s="171" t="s">
        <v>752</v>
      </c>
      <c r="D53" s="172">
        <v>15.640228594822497</v>
      </c>
      <c r="E53" s="172">
        <v>12243.170944027052</v>
      </c>
      <c r="F53" s="170" t="s">
        <v>709</v>
      </c>
    </row>
    <row r="54" spans="1:6">
      <c r="A54" s="171" t="s">
        <v>209</v>
      </c>
      <c r="B54" s="171">
        <v>332</v>
      </c>
      <c r="C54" s="171" t="s">
        <v>753</v>
      </c>
      <c r="D54" s="172">
        <v>15.640228594822497</v>
      </c>
      <c r="E54" s="172">
        <v>176157.45868634529</v>
      </c>
      <c r="F54" s="170" t="s">
        <v>709</v>
      </c>
    </row>
    <row r="55" spans="1:6">
      <c r="A55" s="171" t="s">
        <v>209</v>
      </c>
      <c r="B55" s="171">
        <v>340</v>
      </c>
      <c r="C55" s="171" t="s">
        <v>754</v>
      </c>
      <c r="D55" s="172">
        <v>15.640228594822497</v>
      </c>
      <c r="E55" s="172">
        <v>152431.23190799955</v>
      </c>
      <c r="F55" s="170" t="s">
        <v>709</v>
      </c>
    </row>
    <row r="56" spans="1:6">
      <c r="A56" s="171" t="s">
        <v>209</v>
      </c>
      <c r="B56" s="171">
        <v>388</v>
      </c>
      <c r="C56" s="171" t="s">
        <v>755</v>
      </c>
      <c r="D56" s="172">
        <v>15.640228594822497</v>
      </c>
      <c r="E56" s="172">
        <v>46112.08596611517</v>
      </c>
      <c r="F56" s="170" t="s">
        <v>709</v>
      </c>
    </row>
    <row r="57" spans="1:6">
      <c r="A57" s="171" t="s">
        <v>209</v>
      </c>
      <c r="B57" s="171">
        <v>474</v>
      </c>
      <c r="C57" s="171" t="s">
        <v>756</v>
      </c>
      <c r="D57" s="172" t="s">
        <v>728</v>
      </c>
      <c r="E57" s="172" t="s">
        <v>728</v>
      </c>
      <c r="F57" s="170" t="s">
        <v>906</v>
      </c>
    </row>
    <row r="58" spans="1:6">
      <c r="A58" s="171" t="s">
        <v>209</v>
      </c>
      <c r="B58" s="171">
        <v>484</v>
      </c>
      <c r="C58" s="171" t="s">
        <v>471</v>
      </c>
      <c r="D58" s="172">
        <v>15.640228594822497</v>
      </c>
      <c r="E58" s="172">
        <v>1995309.9830987775</v>
      </c>
      <c r="F58" s="170" t="s">
        <v>709</v>
      </c>
    </row>
    <row r="59" spans="1:6">
      <c r="A59" s="171" t="s">
        <v>209</v>
      </c>
      <c r="B59" s="171">
        <v>500</v>
      </c>
      <c r="C59" s="171" t="s">
        <v>757</v>
      </c>
      <c r="D59" s="172" t="s">
        <v>728</v>
      </c>
      <c r="E59" s="172" t="s">
        <v>728</v>
      </c>
      <c r="F59" s="170" t="s">
        <v>906</v>
      </c>
    </row>
    <row r="60" spans="1:6">
      <c r="A60" s="171" t="s">
        <v>209</v>
      </c>
      <c r="B60" s="171">
        <v>558</v>
      </c>
      <c r="C60" s="171" t="s">
        <v>758</v>
      </c>
      <c r="D60" s="172">
        <v>15.640228594822497</v>
      </c>
      <c r="E60" s="172">
        <v>102373.11626741065</v>
      </c>
      <c r="F60" s="170" t="s">
        <v>709</v>
      </c>
    </row>
    <row r="61" spans="1:6">
      <c r="A61" s="171" t="s">
        <v>209</v>
      </c>
      <c r="B61" s="171">
        <v>591</v>
      </c>
      <c r="C61" s="171" t="s">
        <v>759</v>
      </c>
      <c r="D61" s="172">
        <v>12.811309449374059</v>
      </c>
      <c r="E61" s="172">
        <v>54401.94444582201</v>
      </c>
      <c r="F61" s="170" t="s">
        <v>801</v>
      </c>
    </row>
    <row r="62" spans="1:6">
      <c r="A62" s="171" t="s">
        <v>209</v>
      </c>
      <c r="B62" s="171">
        <v>600</v>
      </c>
      <c r="C62" s="171" t="s">
        <v>760</v>
      </c>
      <c r="D62" s="172">
        <v>15.640228594822497</v>
      </c>
      <c r="E62" s="172">
        <v>110179.15435908658</v>
      </c>
      <c r="F62" s="170" t="s">
        <v>709</v>
      </c>
    </row>
    <row r="63" spans="1:6">
      <c r="A63" s="171" t="s">
        <v>209</v>
      </c>
      <c r="B63" s="171">
        <v>604</v>
      </c>
      <c r="C63" s="171" t="s">
        <v>761</v>
      </c>
      <c r="D63" s="172">
        <v>15.640228594822497</v>
      </c>
      <c r="E63" s="172">
        <v>508471.65173197683</v>
      </c>
      <c r="F63" s="170" t="s">
        <v>709</v>
      </c>
    </row>
    <row r="64" spans="1:6">
      <c r="A64" s="171" t="s">
        <v>209</v>
      </c>
      <c r="B64" s="171">
        <v>630</v>
      </c>
      <c r="C64" s="171" t="s">
        <v>762</v>
      </c>
      <c r="D64" s="172">
        <v>12.811309449374059</v>
      </c>
      <c r="E64" s="172">
        <v>37580.695138793861</v>
      </c>
      <c r="F64" s="170" t="s">
        <v>801</v>
      </c>
    </row>
    <row r="65" spans="1:6">
      <c r="A65" s="171" t="s">
        <v>209</v>
      </c>
      <c r="B65" s="171">
        <v>652</v>
      </c>
      <c r="C65" s="171" t="s">
        <v>763</v>
      </c>
      <c r="D65" s="172" t="s">
        <v>728</v>
      </c>
      <c r="E65" s="172" t="s">
        <v>728</v>
      </c>
      <c r="F65" s="170" t="s">
        <v>906</v>
      </c>
    </row>
    <row r="66" spans="1:6">
      <c r="A66" s="171" t="s">
        <v>209</v>
      </c>
      <c r="B66" s="171">
        <v>659</v>
      </c>
      <c r="C66" s="171" t="s">
        <v>764</v>
      </c>
      <c r="D66" s="172">
        <v>12.811309449374059</v>
      </c>
      <c r="E66" s="172">
        <v>676.4371389269503</v>
      </c>
      <c r="F66" s="170" t="s">
        <v>801</v>
      </c>
    </row>
    <row r="67" spans="1:6">
      <c r="A67" s="171" t="s">
        <v>209</v>
      </c>
      <c r="B67" s="171">
        <v>662</v>
      </c>
      <c r="C67" s="171" t="s">
        <v>765</v>
      </c>
      <c r="D67" s="172">
        <v>15.640228594822497</v>
      </c>
      <c r="E67" s="172">
        <v>2859.0337871335528</v>
      </c>
      <c r="F67" s="170" t="s">
        <v>709</v>
      </c>
    </row>
    <row r="68" spans="1:6">
      <c r="A68" s="171" t="s">
        <v>209</v>
      </c>
      <c r="B68" s="171">
        <v>663</v>
      </c>
      <c r="C68" s="171" t="s">
        <v>766</v>
      </c>
      <c r="D68" s="172">
        <v>12.811309449374059</v>
      </c>
      <c r="E68" s="172">
        <v>486.82975907621426</v>
      </c>
      <c r="F68" s="170" t="s">
        <v>801</v>
      </c>
    </row>
    <row r="69" spans="1:6">
      <c r="A69" s="171" t="s">
        <v>209</v>
      </c>
      <c r="B69" s="171">
        <v>670</v>
      </c>
      <c r="C69" s="171" t="s">
        <v>767</v>
      </c>
      <c r="D69" s="172">
        <v>15.640228594822497</v>
      </c>
      <c r="E69" s="172">
        <v>1729.8092825873682</v>
      </c>
      <c r="F69" s="170" t="s">
        <v>709</v>
      </c>
    </row>
    <row r="70" spans="1:6">
      <c r="A70" s="171" t="s">
        <v>209</v>
      </c>
      <c r="B70" s="171">
        <v>534</v>
      </c>
      <c r="C70" s="171" t="s">
        <v>768</v>
      </c>
      <c r="D70" s="172">
        <v>12.811309449374059</v>
      </c>
      <c r="E70" s="172">
        <v>543.19952065346013</v>
      </c>
      <c r="F70" s="170" t="s">
        <v>801</v>
      </c>
    </row>
    <row r="71" spans="1:6">
      <c r="A71" s="171" t="s">
        <v>209</v>
      </c>
      <c r="B71" s="171">
        <v>740</v>
      </c>
      <c r="C71" s="171" t="s">
        <v>769</v>
      </c>
      <c r="D71" s="172">
        <v>15.640228594822497</v>
      </c>
      <c r="E71" s="172">
        <v>9093.2289050298004</v>
      </c>
      <c r="F71" s="170" t="s">
        <v>709</v>
      </c>
    </row>
    <row r="72" spans="1:6">
      <c r="A72" s="171" t="s">
        <v>209</v>
      </c>
      <c r="B72" s="171">
        <v>780</v>
      </c>
      <c r="C72" s="171" t="s">
        <v>770</v>
      </c>
      <c r="D72" s="172">
        <v>12.811309449374059</v>
      </c>
      <c r="E72" s="172">
        <v>17871.77668187681</v>
      </c>
      <c r="F72" s="170" t="s">
        <v>801</v>
      </c>
    </row>
    <row r="73" spans="1:6">
      <c r="A73" s="171" t="s">
        <v>209</v>
      </c>
      <c r="B73" s="171">
        <v>796</v>
      </c>
      <c r="C73" s="171" t="s">
        <v>771</v>
      </c>
      <c r="D73" s="172">
        <v>12.811309449374059</v>
      </c>
      <c r="E73" s="172">
        <v>489.39202096608904</v>
      </c>
      <c r="F73" s="170" t="s">
        <v>801</v>
      </c>
    </row>
    <row r="74" spans="1:6">
      <c r="A74" s="171" t="s">
        <v>209</v>
      </c>
      <c r="B74" s="171">
        <v>850</v>
      </c>
      <c r="C74" s="171" t="s">
        <v>772</v>
      </c>
      <c r="D74" s="172">
        <v>12.811309449374059</v>
      </c>
      <c r="E74" s="172">
        <v>1340.0629684045266</v>
      </c>
      <c r="F74" s="170" t="s">
        <v>801</v>
      </c>
    </row>
    <row r="75" spans="1:6">
      <c r="A75" s="171" t="s">
        <v>209</v>
      </c>
      <c r="B75" s="171">
        <v>858</v>
      </c>
      <c r="C75" s="171" t="s">
        <v>773</v>
      </c>
      <c r="D75" s="172">
        <v>12.811309449374059</v>
      </c>
      <c r="E75" s="172">
        <v>44348.909920898186</v>
      </c>
      <c r="F75" s="170" t="s">
        <v>801</v>
      </c>
    </row>
    <row r="76" spans="1:6">
      <c r="A76" s="171" t="s">
        <v>209</v>
      </c>
      <c r="B76" s="171">
        <v>862</v>
      </c>
      <c r="C76" s="171" t="s">
        <v>774</v>
      </c>
      <c r="D76" s="172">
        <v>15.640228594822497</v>
      </c>
      <c r="E76" s="172">
        <v>445993.6305642394</v>
      </c>
      <c r="F76" s="170" t="s">
        <v>709</v>
      </c>
    </row>
    <row r="77" spans="1:6">
      <c r="A77" s="171" t="s">
        <v>775</v>
      </c>
      <c r="B77" s="171">
        <v>242</v>
      </c>
      <c r="C77" s="171" t="s">
        <v>776</v>
      </c>
      <c r="D77" s="172">
        <v>15.640228594822497</v>
      </c>
      <c r="E77" s="172">
        <v>13919.803449392022</v>
      </c>
      <c r="F77" s="170" t="s">
        <v>709</v>
      </c>
    </row>
    <row r="78" spans="1:6">
      <c r="A78" s="171" t="s">
        <v>775</v>
      </c>
      <c r="B78" s="171">
        <v>540</v>
      </c>
      <c r="C78" s="171" t="s">
        <v>777</v>
      </c>
      <c r="D78" s="172">
        <v>12.811309449374059</v>
      </c>
      <c r="E78" s="172">
        <v>3623.038312282984</v>
      </c>
      <c r="F78" s="170" t="s">
        <v>801</v>
      </c>
    </row>
    <row r="79" spans="1:6">
      <c r="A79" s="171" t="s">
        <v>775</v>
      </c>
      <c r="B79" s="171">
        <v>598</v>
      </c>
      <c r="C79" s="171" t="s">
        <v>778</v>
      </c>
      <c r="D79" s="172">
        <v>15.640228594822497</v>
      </c>
      <c r="E79" s="172">
        <v>137260.21017102172</v>
      </c>
      <c r="F79" s="170" t="s">
        <v>709</v>
      </c>
    </row>
    <row r="80" spans="1:6">
      <c r="A80" s="171" t="s">
        <v>775</v>
      </c>
      <c r="B80" s="171">
        <v>90</v>
      </c>
      <c r="C80" s="171" t="s">
        <v>779</v>
      </c>
      <c r="D80" s="172">
        <v>15.640228594822497</v>
      </c>
      <c r="E80" s="172">
        <v>10475.82511281211</v>
      </c>
      <c r="F80" s="170" t="s">
        <v>709</v>
      </c>
    </row>
    <row r="81" spans="1:6">
      <c r="A81" s="171" t="s">
        <v>775</v>
      </c>
      <c r="B81" s="171">
        <v>548</v>
      </c>
      <c r="C81" s="171" t="s">
        <v>780</v>
      </c>
      <c r="D81" s="172">
        <v>15.640228594822497</v>
      </c>
      <c r="E81" s="172">
        <v>4690.5045555872666</v>
      </c>
      <c r="F81" s="170" t="s">
        <v>709</v>
      </c>
    </row>
    <row r="82" spans="1:6">
      <c r="A82" s="171" t="s">
        <v>781</v>
      </c>
      <c r="B82" s="171">
        <v>316</v>
      </c>
      <c r="C82" s="171" t="s">
        <v>782</v>
      </c>
      <c r="D82" s="172">
        <v>12.811309449374059</v>
      </c>
      <c r="E82" s="172">
        <v>2143.3320708802803</v>
      </c>
      <c r="F82" s="170" t="s">
        <v>801</v>
      </c>
    </row>
    <row r="83" spans="1:6">
      <c r="A83" s="171" t="s">
        <v>781</v>
      </c>
      <c r="B83" s="171">
        <v>296</v>
      </c>
      <c r="C83" s="171" t="s">
        <v>783</v>
      </c>
      <c r="D83" s="172">
        <v>15.640228594822497</v>
      </c>
      <c r="E83" s="172">
        <v>1839.2908827511255</v>
      </c>
      <c r="F83" s="170" t="s">
        <v>709</v>
      </c>
    </row>
    <row r="84" spans="1:6">
      <c r="A84" s="171" t="s">
        <v>781</v>
      </c>
      <c r="B84" s="171">
        <v>584</v>
      </c>
      <c r="C84" s="171" t="s">
        <v>784</v>
      </c>
      <c r="D84" s="172">
        <v>15.640228594822497</v>
      </c>
      <c r="E84" s="172">
        <v>919.64544137556277</v>
      </c>
      <c r="F84" s="170" t="s">
        <v>709</v>
      </c>
    </row>
    <row r="85" spans="1:6">
      <c r="A85" s="171" t="s">
        <v>781</v>
      </c>
      <c r="B85" s="171">
        <v>583</v>
      </c>
      <c r="C85" s="171" t="s">
        <v>785</v>
      </c>
      <c r="D85" s="172">
        <v>15.640228594822497</v>
      </c>
      <c r="E85" s="172">
        <v>1779.8580140908002</v>
      </c>
      <c r="F85" s="170" t="s">
        <v>709</v>
      </c>
    </row>
    <row r="86" spans="1:6">
      <c r="A86" s="171" t="s">
        <v>781</v>
      </c>
      <c r="B86" s="171">
        <v>520</v>
      </c>
      <c r="C86" s="171" t="s">
        <v>786</v>
      </c>
      <c r="D86" s="172">
        <v>12.811309449374059</v>
      </c>
      <c r="E86" s="172">
        <v>138.36214205323984</v>
      </c>
      <c r="F86" s="170" t="s">
        <v>801</v>
      </c>
    </row>
    <row r="87" spans="1:6">
      <c r="A87" s="171" t="s">
        <v>781</v>
      </c>
      <c r="B87" s="171">
        <v>580</v>
      </c>
      <c r="C87" s="171" t="s">
        <v>787</v>
      </c>
      <c r="D87" s="172">
        <v>12.811309449374059</v>
      </c>
      <c r="E87" s="172">
        <v>732.80690050419616</v>
      </c>
      <c r="F87" s="170" t="s">
        <v>801</v>
      </c>
    </row>
    <row r="88" spans="1:6">
      <c r="A88" s="171" t="s">
        <v>781</v>
      </c>
      <c r="B88" s="171">
        <v>585</v>
      </c>
      <c r="C88" s="171" t="s">
        <v>788</v>
      </c>
      <c r="D88" s="172">
        <v>12.811309449374059</v>
      </c>
      <c r="E88" s="172">
        <v>230.60357008873308</v>
      </c>
      <c r="F88" s="170" t="s">
        <v>801</v>
      </c>
    </row>
    <row r="89" spans="1:6">
      <c r="A89" s="171" t="s">
        <v>789</v>
      </c>
      <c r="B89" s="171">
        <v>12</v>
      </c>
      <c r="C89" s="171" t="s">
        <v>790</v>
      </c>
      <c r="D89" s="172">
        <v>15.640228594822497</v>
      </c>
      <c r="E89" s="172">
        <v>673360.32571575243</v>
      </c>
      <c r="F89" s="170" t="s">
        <v>709</v>
      </c>
    </row>
    <row r="90" spans="1:6">
      <c r="A90" s="171" t="s">
        <v>789</v>
      </c>
      <c r="B90" s="171">
        <v>818</v>
      </c>
      <c r="C90" s="171" t="s">
        <v>791</v>
      </c>
      <c r="D90" s="172">
        <v>15.640228594822497</v>
      </c>
      <c r="E90" s="172">
        <v>1570092.8321999004</v>
      </c>
      <c r="F90" s="170" t="s">
        <v>709</v>
      </c>
    </row>
    <row r="91" spans="1:6">
      <c r="A91" s="171" t="s">
        <v>789</v>
      </c>
      <c r="B91" s="171">
        <v>434</v>
      </c>
      <c r="C91" s="171" t="s">
        <v>792</v>
      </c>
      <c r="D91" s="172">
        <v>15.640228594822497</v>
      </c>
      <c r="E91" s="172">
        <v>106001.64930140949</v>
      </c>
      <c r="F91" s="170" t="s">
        <v>709</v>
      </c>
    </row>
    <row r="92" spans="1:6">
      <c r="A92" s="171" t="s">
        <v>789</v>
      </c>
      <c r="B92" s="171">
        <v>504</v>
      </c>
      <c r="C92" s="171" t="s">
        <v>793</v>
      </c>
      <c r="D92" s="172">
        <v>15.640228594822497</v>
      </c>
      <c r="E92" s="172">
        <v>570427.28926464717</v>
      </c>
      <c r="F92" s="170" t="s">
        <v>709</v>
      </c>
    </row>
    <row r="93" spans="1:6">
      <c r="A93" s="171" t="s">
        <v>789</v>
      </c>
      <c r="B93" s="171">
        <v>729</v>
      </c>
      <c r="C93" s="171" t="s">
        <v>794</v>
      </c>
      <c r="D93" s="172">
        <v>15.640228594822497</v>
      </c>
      <c r="E93" s="172">
        <v>669608.23487585445</v>
      </c>
      <c r="F93" s="170" t="s">
        <v>709</v>
      </c>
    </row>
    <row r="94" spans="1:6">
      <c r="A94" s="171" t="s">
        <v>789</v>
      </c>
      <c r="B94" s="171">
        <v>788</v>
      </c>
      <c r="C94" s="171" t="s">
        <v>795</v>
      </c>
      <c r="D94" s="172">
        <v>15.640228594822497</v>
      </c>
      <c r="E94" s="172">
        <v>182907.78134787065</v>
      </c>
      <c r="F94" s="170" t="s">
        <v>709</v>
      </c>
    </row>
    <row r="95" spans="1:6">
      <c r="A95" s="171" t="s">
        <v>789</v>
      </c>
      <c r="B95" s="171">
        <v>732</v>
      </c>
      <c r="C95" s="171" t="s">
        <v>796</v>
      </c>
      <c r="D95" s="172" t="s">
        <v>728</v>
      </c>
      <c r="E95" s="172" t="s">
        <v>728</v>
      </c>
      <c r="F95" s="170" t="s">
        <v>906</v>
      </c>
    </row>
    <row r="96" spans="1:6">
      <c r="A96" s="171" t="s">
        <v>227</v>
      </c>
      <c r="B96" s="171">
        <v>60</v>
      </c>
      <c r="C96" s="171" t="s">
        <v>797</v>
      </c>
      <c r="D96" s="172">
        <v>12.811309449374059</v>
      </c>
      <c r="E96" s="172">
        <v>800.70684058587869</v>
      </c>
      <c r="F96" s="170" t="s">
        <v>801</v>
      </c>
    </row>
    <row r="97" spans="1:6">
      <c r="A97" s="171" t="s">
        <v>227</v>
      </c>
      <c r="B97" s="171">
        <v>124</v>
      </c>
      <c r="C97" s="171" t="s">
        <v>226</v>
      </c>
      <c r="D97" s="172">
        <v>12.811309449374059</v>
      </c>
      <c r="E97" s="172">
        <v>479283.89781053294</v>
      </c>
      <c r="F97" s="170" t="s">
        <v>801</v>
      </c>
    </row>
    <row r="98" spans="1:6">
      <c r="A98" s="171" t="s">
        <v>227</v>
      </c>
      <c r="B98" s="171">
        <v>304</v>
      </c>
      <c r="C98" s="171" t="s">
        <v>798</v>
      </c>
      <c r="D98" s="172">
        <v>12.811309449374059</v>
      </c>
      <c r="E98" s="172">
        <v>726.40124577950917</v>
      </c>
      <c r="F98" s="170" t="s">
        <v>801</v>
      </c>
    </row>
    <row r="99" spans="1:6">
      <c r="A99" s="171" t="s">
        <v>227</v>
      </c>
      <c r="B99" s="171">
        <v>666</v>
      </c>
      <c r="C99" s="171" t="s">
        <v>799</v>
      </c>
      <c r="D99" s="172" t="s">
        <v>728</v>
      </c>
      <c r="E99" s="172" t="s">
        <v>728</v>
      </c>
      <c r="F99" s="170" t="s">
        <v>906</v>
      </c>
    </row>
    <row r="100" spans="1:6">
      <c r="A100" s="171" t="s">
        <v>227</v>
      </c>
      <c r="B100" s="171">
        <v>840</v>
      </c>
      <c r="C100" s="171" t="s">
        <v>598</v>
      </c>
      <c r="D100" s="172">
        <v>15.654398840633984</v>
      </c>
      <c r="E100" s="172">
        <v>5151313.189053338</v>
      </c>
      <c r="F100" s="170" t="s">
        <v>904</v>
      </c>
    </row>
    <row r="101" spans="1:6">
      <c r="A101" s="171" t="s">
        <v>155</v>
      </c>
      <c r="B101" s="171">
        <v>208</v>
      </c>
      <c r="C101" s="171" t="s">
        <v>278</v>
      </c>
      <c r="D101" s="172">
        <v>29.8</v>
      </c>
      <c r="E101" s="172">
        <v>172002.62</v>
      </c>
      <c r="F101" s="170" t="s">
        <v>904</v>
      </c>
    </row>
    <row r="102" spans="1:6">
      <c r="A102" s="171" t="s">
        <v>155</v>
      </c>
      <c r="B102" s="171">
        <v>233</v>
      </c>
      <c r="C102" s="171" t="s">
        <v>154</v>
      </c>
      <c r="D102" s="172">
        <v>4.7094078698952826</v>
      </c>
      <c r="E102" s="172">
        <v>6242.791072333187</v>
      </c>
      <c r="F102" s="170" t="s">
        <v>905</v>
      </c>
    </row>
    <row r="103" spans="1:6">
      <c r="A103" s="171" t="s">
        <v>155</v>
      </c>
      <c r="B103" s="171">
        <v>234</v>
      </c>
      <c r="C103" s="171" t="s">
        <v>800</v>
      </c>
      <c r="D103" s="172">
        <v>12.811309449374059</v>
      </c>
      <c r="E103" s="172">
        <v>623.91077018451665</v>
      </c>
      <c r="F103" s="170" t="s">
        <v>801</v>
      </c>
    </row>
    <row r="104" spans="1:6">
      <c r="A104" s="171" t="s">
        <v>155</v>
      </c>
      <c r="B104" s="171">
        <v>246</v>
      </c>
      <c r="C104" s="171" t="s">
        <v>313</v>
      </c>
      <c r="D104" s="172">
        <v>12.811309449374059</v>
      </c>
      <c r="E104" s="172">
        <v>70874.726135827164</v>
      </c>
      <c r="F104" s="170" t="s">
        <v>801</v>
      </c>
    </row>
    <row r="105" spans="1:6">
      <c r="A105" s="171" t="s">
        <v>155</v>
      </c>
      <c r="B105" s="171">
        <v>352</v>
      </c>
      <c r="C105" s="171" t="s">
        <v>802</v>
      </c>
      <c r="D105" s="172">
        <v>12.811309449374059</v>
      </c>
      <c r="E105" s="172">
        <v>4343.0339033378068</v>
      </c>
      <c r="F105" s="170" t="s">
        <v>801</v>
      </c>
    </row>
    <row r="106" spans="1:6">
      <c r="A106" s="171" t="s">
        <v>155</v>
      </c>
      <c r="B106" s="171">
        <v>372</v>
      </c>
      <c r="C106" s="171" t="s">
        <v>318</v>
      </c>
      <c r="D106" s="172">
        <v>12.811309449374059</v>
      </c>
      <c r="E106" s="172">
        <v>62551.218386568842</v>
      </c>
      <c r="F106" s="170" t="s">
        <v>801</v>
      </c>
    </row>
    <row r="107" spans="1:6">
      <c r="A107" s="171" t="s">
        <v>155</v>
      </c>
      <c r="B107" s="171">
        <v>833</v>
      </c>
      <c r="C107" s="171" t="s">
        <v>803</v>
      </c>
      <c r="D107" s="172">
        <v>12.811309449374059</v>
      </c>
      <c r="E107" s="172">
        <v>1083.8367794170454</v>
      </c>
      <c r="F107" s="170" t="s">
        <v>801</v>
      </c>
    </row>
    <row r="108" spans="1:6">
      <c r="A108" s="171" t="s">
        <v>155</v>
      </c>
      <c r="B108" s="171">
        <v>428</v>
      </c>
      <c r="C108" s="171" t="s">
        <v>804</v>
      </c>
      <c r="D108" s="172">
        <v>12.811309449374059</v>
      </c>
      <c r="E108" s="172">
        <v>24427.323727121522</v>
      </c>
      <c r="F108" s="170" t="s">
        <v>801</v>
      </c>
    </row>
    <row r="109" spans="1:6">
      <c r="A109" s="171" t="s">
        <v>155</v>
      </c>
      <c r="B109" s="171">
        <v>440</v>
      </c>
      <c r="C109" s="171" t="s">
        <v>805</v>
      </c>
      <c r="D109" s="172">
        <v>12.811309449374059</v>
      </c>
      <c r="E109" s="172">
        <v>35354.089556492654</v>
      </c>
      <c r="F109" s="170" t="s">
        <v>801</v>
      </c>
    </row>
    <row r="110" spans="1:6">
      <c r="A110" s="171" t="s">
        <v>155</v>
      </c>
      <c r="B110" s="171">
        <v>578</v>
      </c>
      <c r="C110" s="171" t="s">
        <v>164</v>
      </c>
      <c r="D110" s="172">
        <v>13.773764857815706</v>
      </c>
      <c r="E110" s="172">
        <v>74087.703793704903</v>
      </c>
      <c r="F110" s="170" t="s">
        <v>905</v>
      </c>
    </row>
    <row r="111" spans="1:6">
      <c r="A111" s="171" t="s">
        <v>155</v>
      </c>
      <c r="B111" s="171">
        <v>752</v>
      </c>
      <c r="C111" s="171" t="s">
        <v>571</v>
      </c>
      <c r="D111" s="172">
        <v>10</v>
      </c>
      <c r="E111" s="172">
        <v>100364</v>
      </c>
      <c r="F111" s="170" t="s">
        <v>904</v>
      </c>
    </row>
    <row r="112" spans="1:6">
      <c r="A112" s="171" t="s">
        <v>155</v>
      </c>
      <c r="B112" s="171">
        <v>826</v>
      </c>
      <c r="C112" s="171" t="s">
        <v>806</v>
      </c>
      <c r="D112" s="172">
        <v>4.2</v>
      </c>
      <c r="E112" s="172">
        <v>283626.84000000003</v>
      </c>
      <c r="F112" s="170" t="s">
        <v>904</v>
      </c>
    </row>
    <row r="113" spans="1:6">
      <c r="A113" s="171" t="s">
        <v>807</v>
      </c>
      <c r="B113" s="171">
        <v>16</v>
      </c>
      <c r="C113" s="171" t="s">
        <v>808</v>
      </c>
      <c r="D113" s="172">
        <v>15.640228594822497</v>
      </c>
      <c r="E113" s="172">
        <v>864.90464129368411</v>
      </c>
      <c r="F113" s="170" t="s">
        <v>709</v>
      </c>
    </row>
    <row r="114" spans="1:6">
      <c r="A114" s="171" t="s">
        <v>807</v>
      </c>
      <c r="B114" s="171">
        <v>184</v>
      </c>
      <c r="C114" s="171" t="s">
        <v>809</v>
      </c>
      <c r="D114" s="172" t="s">
        <v>728</v>
      </c>
      <c r="E114" s="172" t="s">
        <v>728</v>
      </c>
      <c r="F114" s="170" t="s">
        <v>906</v>
      </c>
    </row>
    <row r="115" spans="1:6">
      <c r="A115" s="171" t="s">
        <v>807</v>
      </c>
      <c r="B115" s="171">
        <v>258</v>
      </c>
      <c r="C115" s="171" t="s">
        <v>810</v>
      </c>
      <c r="D115" s="172">
        <v>12.811309449374059</v>
      </c>
      <c r="E115" s="172">
        <v>3578.1987292101749</v>
      </c>
      <c r="F115" s="170" t="s">
        <v>801</v>
      </c>
    </row>
    <row r="116" spans="1:6">
      <c r="A116" s="171" t="s">
        <v>807</v>
      </c>
      <c r="B116" s="171">
        <v>570</v>
      </c>
      <c r="C116" s="171" t="s">
        <v>811</v>
      </c>
      <c r="D116" s="172" t="s">
        <v>728</v>
      </c>
      <c r="E116" s="172" t="s">
        <v>728</v>
      </c>
      <c r="F116" s="170" t="s">
        <v>906</v>
      </c>
    </row>
    <row r="117" spans="1:6">
      <c r="A117" s="171" t="s">
        <v>807</v>
      </c>
      <c r="B117" s="171">
        <v>882</v>
      </c>
      <c r="C117" s="171" t="s">
        <v>812</v>
      </c>
      <c r="D117" s="172">
        <v>15.640228594822497</v>
      </c>
      <c r="E117" s="172">
        <v>3082.6890560395145</v>
      </c>
      <c r="F117" s="170" t="s">
        <v>709</v>
      </c>
    </row>
    <row r="118" spans="1:6">
      <c r="A118" s="171" t="s">
        <v>807</v>
      </c>
      <c r="B118" s="171">
        <v>772</v>
      </c>
      <c r="C118" s="171" t="s">
        <v>813</v>
      </c>
      <c r="D118" s="172" t="s">
        <v>728</v>
      </c>
      <c r="E118" s="172" t="s">
        <v>728</v>
      </c>
      <c r="F118" s="170" t="s">
        <v>906</v>
      </c>
    </row>
    <row r="119" spans="1:6">
      <c r="A119" s="171" t="s">
        <v>807</v>
      </c>
      <c r="B119" s="171">
        <v>776</v>
      </c>
      <c r="C119" s="171" t="s">
        <v>814</v>
      </c>
      <c r="D119" s="172">
        <v>15.640228594822497</v>
      </c>
      <c r="E119" s="172">
        <v>1634.4038881589508</v>
      </c>
      <c r="F119" s="170" t="s">
        <v>709</v>
      </c>
    </row>
    <row r="120" spans="1:6">
      <c r="A120" s="171" t="s">
        <v>807</v>
      </c>
      <c r="B120" s="171">
        <v>798</v>
      </c>
      <c r="C120" s="171" t="s">
        <v>815</v>
      </c>
      <c r="D120" s="172">
        <v>15.640228594822497</v>
      </c>
      <c r="E120" s="172">
        <v>181.42665169994098</v>
      </c>
      <c r="F120" s="170" t="s">
        <v>709</v>
      </c>
    </row>
    <row r="121" spans="1:6">
      <c r="A121" s="171" t="s">
        <v>807</v>
      </c>
      <c r="B121" s="171">
        <v>876</v>
      </c>
      <c r="C121" s="171" t="s">
        <v>816</v>
      </c>
      <c r="D121" s="172" t="s">
        <v>728</v>
      </c>
      <c r="E121" s="172" t="s">
        <v>728</v>
      </c>
      <c r="F121" s="170" t="s">
        <v>906</v>
      </c>
    </row>
    <row r="122" spans="1:6">
      <c r="A122" s="171" t="s">
        <v>383</v>
      </c>
      <c r="B122" s="171">
        <v>96</v>
      </c>
      <c r="C122" s="171" t="s">
        <v>817</v>
      </c>
      <c r="D122" s="172">
        <v>12.811309449374059</v>
      </c>
      <c r="E122" s="172">
        <v>5551.1403844137794</v>
      </c>
      <c r="F122" s="170" t="s">
        <v>801</v>
      </c>
    </row>
    <row r="123" spans="1:6">
      <c r="A123" s="171" t="s">
        <v>383</v>
      </c>
      <c r="B123" s="171">
        <v>116</v>
      </c>
      <c r="C123" s="171" t="s">
        <v>818</v>
      </c>
      <c r="D123" s="172">
        <v>15.640228594822497</v>
      </c>
      <c r="E123" s="172">
        <v>257852.62872854111</v>
      </c>
      <c r="F123" s="170" t="s">
        <v>709</v>
      </c>
    </row>
    <row r="124" spans="1:6">
      <c r="A124" s="171" t="s">
        <v>383</v>
      </c>
      <c r="B124" s="171">
        <v>360</v>
      </c>
      <c r="C124" s="171" t="s">
        <v>382</v>
      </c>
      <c r="D124" s="172">
        <v>15.640228594822497</v>
      </c>
      <c r="E124" s="172">
        <v>4232646.2476109955</v>
      </c>
      <c r="F124" s="170" t="s">
        <v>709</v>
      </c>
    </row>
    <row r="125" spans="1:6">
      <c r="A125" s="171" t="s">
        <v>383</v>
      </c>
      <c r="B125" s="171">
        <v>418</v>
      </c>
      <c r="C125" s="171" t="s">
        <v>819</v>
      </c>
      <c r="D125" s="172">
        <v>15.640228594822497</v>
      </c>
      <c r="E125" s="172">
        <v>112132.61891057988</v>
      </c>
      <c r="F125" s="170" t="s">
        <v>709</v>
      </c>
    </row>
    <row r="126" spans="1:6">
      <c r="A126" s="171" t="s">
        <v>383</v>
      </c>
      <c r="B126" s="171">
        <v>458</v>
      </c>
      <c r="C126" s="171" t="s">
        <v>461</v>
      </c>
      <c r="D126" s="172">
        <v>78.81736997673103</v>
      </c>
      <c r="E126" s="172">
        <v>2518199.2072825609</v>
      </c>
      <c r="F126" s="170" t="s">
        <v>905</v>
      </c>
    </row>
    <row r="127" spans="1:6">
      <c r="A127" s="171" t="s">
        <v>383</v>
      </c>
      <c r="B127" s="171">
        <v>104</v>
      </c>
      <c r="C127" s="171" t="s">
        <v>820</v>
      </c>
      <c r="D127" s="172">
        <v>15.640228594822497</v>
      </c>
      <c r="E127" s="172">
        <v>845282.41049861978</v>
      </c>
      <c r="F127" s="170" t="s">
        <v>709</v>
      </c>
    </row>
    <row r="128" spans="1:6">
      <c r="A128" s="171" t="s">
        <v>383</v>
      </c>
      <c r="B128" s="171">
        <v>608</v>
      </c>
      <c r="C128" s="171" t="s">
        <v>821</v>
      </c>
      <c r="D128" s="172">
        <v>15.640228594822497</v>
      </c>
      <c r="E128" s="172">
        <v>1690968.3388949858</v>
      </c>
      <c r="F128" s="170" t="s">
        <v>709</v>
      </c>
    </row>
    <row r="129" spans="1:6">
      <c r="A129" s="171" t="s">
        <v>383</v>
      </c>
      <c r="B129" s="171">
        <v>702</v>
      </c>
      <c r="C129" s="171" t="s">
        <v>822</v>
      </c>
      <c r="D129" s="172">
        <v>12.811309449374059</v>
      </c>
      <c r="E129" s="172">
        <v>74360.683437001848</v>
      </c>
      <c r="F129" s="170" t="s">
        <v>801</v>
      </c>
    </row>
    <row r="130" spans="1:6">
      <c r="A130" s="171" t="s">
        <v>383</v>
      </c>
      <c r="B130" s="171">
        <v>764</v>
      </c>
      <c r="C130" s="171" t="s">
        <v>823</v>
      </c>
      <c r="D130" s="172">
        <v>15.640228594822497</v>
      </c>
      <c r="E130" s="172">
        <v>1088960.3000516731</v>
      </c>
      <c r="F130" s="170" t="s">
        <v>709</v>
      </c>
    </row>
    <row r="131" spans="1:6">
      <c r="A131" s="171" t="s">
        <v>383</v>
      </c>
      <c r="B131" s="171">
        <v>626</v>
      </c>
      <c r="C131" s="171" t="s">
        <v>824</v>
      </c>
      <c r="D131" s="172">
        <v>15.640228594822497</v>
      </c>
      <c r="E131" s="172">
        <v>20224.379595964972</v>
      </c>
      <c r="F131" s="170" t="s">
        <v>709</v>
      </c>
    </row>
    <row r="132" spans="1:6">
      <c r="A132" s="171" t="s">
        <v>383</v>
      </c>
      <c r="B132" s="171">
        <v>704</v>
      </c>
      <c r="C132" s="171" t="s">
        <v>605</v>
      </c>
      <c r="D132" s="172">
        <v>15.640228594822497</v>
      </c>
      <c r="E132" s="172">
        <v>1508689.2947366273</v>
      </c>
      <c r="F132" s="170" t="s">
        <v>709</v>
      </c>
    </row>
    <row r="133" spans="1:6">
      <c r="A133" s="171" t="s">
        <v>180</v>
      </c>
      <c r="B133" s="171">
        <v>4</v>
      </c>
      <c r="C133" s="171" t="s">
        <v>825</v>
      </c>
      <c r="D133" s="172">
        <v>15.640228594822497</v>
      </c>
      <c r="E133" s="172">
        <v>594982.44815851841</v>
      </c>
      <c r="F133" s="170" t="s">
        <v>709</v>
      </c>
    </row>
    <row r="134" spans="1:6">
      <c r="A134" s="171" t="s">
        <v>180</v>
      </c>
      <c r="B134" s="171">
        <v>50</v>
      </c>
      <c r="C134" s="171" t="s">
        <v>179</v>
      </c>
      <c r="D134" s="172">
        <v>15.640228594822497</v>
      </c>
      <c r="E134" s="172">
        <v>2550079.8395171482</v>
      </c>
      <c r="F134" s="170" t="s">
        <v>709</v>
      </c>
    </row>
    <row r="135" spans="1:6">
      <c r="A135" s="171" t="s">
        <v>180</v>
      </c>
      <c r="B135" s="171">
        <v>64</v>
      </c>
      <c r="C135" s="171" t="s">
        <v>826</v>
      </c>
      <c r="D135" s="172">
        <v>15.640228594822497</v>
      </c>
      <c r="E135" s="172">
        <v>11935.058440709046</v>
      </c>
      <c r="F135" s="170" t="s">
        <v>709</v>
      </c>
    </row>
    <row r="136" spans="1:6">
      <c r="A136" s="171" t="s">
        <v>180</v>
      </c>
      <c r="B136" s="171">
        <v>356</v>
      </c>
      <c r="C136" s="171" t="s">
        <v>370</v>
      </c>
      <c r="D136" s="172">
        <v>15.640228594822497</v>
      </c>
      <c r="E136" s="172">
        <v>21371086.748034447</v>
      </c>
      <c r="F136" s="170" t="s">
        <v>709</v>
      </c>
    </row>
    <row r="137" spans="1:6">
      <c r="A137" s="171" t="s">
        <v>180</v>
      </c>
      <c r="B137" s="171">
        <v>364</v>
      </c>
      <c r="C137" s="171" t="s">
        <v>827</v>
      </c>
      <c r="D137" s="172">
        <v>15.640228594822497</v>
      </c>
      <c r="E137" s="172">
        <v>1296792.3496882531</v>
      </c>
      <c r="F137" s="170" t="s">
        <v>709</v>
      </c>
    </row>
    <row r="138" spans="1:6">
      <c r="A138" s="171" t="s">
        <v>180</v>
      </c>
      <c r="B138" s="171">
        <v>462</v>
      </c>
      <c r="C138" s="171" t="s">
        <v>828</v>
      </c>
      <c r="D138" s="172">
        <v>15.640228594822497</v>
      </c>
      <c r="E138" s="172">
        <v>8304.9613838507466</v>
      </c>
      <c r="F138" s="170" t="s">
        <v>709</v>
      </c>
    </row>
    <row r="139" spans="1:6">
      <c r="A139" s="171" t="s">
        <v>180</v>
      </c>
      <c r="B139" s="171">
        <v>524</v>
      </c>
      <c r="C139" s="171" t="s">
        <v>829</v>
      </c>
      <c r="D139" s="172">
        <v>15.640228594822497</v>
      </c>
      <c r="E139" s="172">
        <v>447446.60780069837</v>
      </c>
      <c r="F139" s="170" t="s">
        <v>709</v>
      </c>
    </row>
    <row r="140" spans="1:6">
      <c r="A140" s="171" t="s">
        <v>180</v>
      </c>
      <c r="B140" s="171">
        <v>586</v>
      </c>
      <c r="C140" s="171" t="s">
        <v>502</v>
      </c>
      <c r="D140" s="172">
        <v>15.640228594822497</v>
      </c>
      <c r="E140" s="172">
        <v>3387130.7977063125</v>
      </c>
      <c r="F140" s="170" t="s">
        <v>709</v>
      </c>
    </row>
    <row r="141" spans="1:6">
      <c r="A141" s="171" t="s">
        <v>180</v>
      </c>
      <c r="B141" s="171">
        <v>144</v>
      </c>
      <c r="C141" s="171" t="s">
        <v>557</v>
      </c>
      <c r="D141" s="172">
        <v>15.640228594822497</v>
      </c>
      <c r="E141" s="172">
        <v>333507.54248741653</v>
      </c>
      <c r="F141" s="170" t="s">
        <v>709</v>
      </c>
    </row>
    <row r="142" spans="1:6">
      <c r="A142" s="171" t="s">
        <v>161</v>
      </c>
      <c r="B142" s="171">
        <v>8</v>
      </c>
      <c r="C142" s="171" t="s">
        <v>830</v>
      </c>
      <c r="D142" s="172">
        <v>15.640228594822497</v>
      </c>
      <c r="E142" s="172">
        <v>45057.934558824127</v>
      </c>
      <c r="F142" s="170" t="s">
        <v>709</v>
      </c>
    </row>
    <row r="143" spans="1:6">
      <c r="A143" s="171" t="s">
        <v>161</v>
      </c>
      <c r="B143" s="171">
        <v>20</v>
      </c>
      <c r="C143" s="171" t="s">
        <v>831</v>
      </c>
      <c r="D143" s="172">
        <v>12.811309449374059</v>
      </c>
      <c r="E143" s="172">
        <v>987.75195854673996</v>
      </c>
      <c r="F143" s="170" t="s">
        <v>801</v>
      </c>
    </row>
    <row r="144" spans="1:6">
      <c r="A144" s="171" t="s">
        <v>161</v>
      </c>
      <c r="B144" s="171">
        <v>70</v>
      </c>
      <c r="C144" s="171" t="s">
        <v>832</v>
      </c>
      <c r="D144" s="172">
        <v>15.640228594822497</v>
      </c>
      <c r="E144" s="172">
        <v>51628.394591509066</v>
      </c>
      <c r="F144" s="170" t="s">
        <v>709</v>
      </c>
    </row>
    <row r="145" spans="1:6">
      <c r="A145" s="171" t="s">
        <v>161</v>
      </c>
      <c r="B145" s="171">
        <v>191</v>
      </c>
      <c r="C145" s="171" t="s">
        <v>833</v>
      </c>
      <c r="D145" s="172">
        <v>12.811309449374059</v>
      </c>
      <c r="E145" s="172">
        <v>52914.551418749674</v>
      </c>
      <c r="F145" s="170" t="s">
        <v>801</v>
      </c>
    </row>
    <row r="146" spans="1:6">
      <c r="A146" s="171" t="s">
        <v>161</v>
      </c>
      <c r="B146" s="171">
        <v>292</v>
      </c>
      <c r="C146" s="171" t="s">
        <v>834</v>
      </c>
      <c r="D146" s="172">
        <v>12.811309449374059</v>
      </c>
      <c r="E146" s="172">
        <v>431.74112844390578</v>
      </c>
      <c r="F146" s="170" t="s">
        <v>801</v>
      </c>
    </row>
    <row r="147" spans="1:6">
      <c r="A147" s="171" t="s">
        <v>161</v>
      </c>
      <c r="B147" s="171">
        <v>300</v>
      </c>
      <c r="C147" s="171" t="s">
        <v>316</v>
      </c>
      <c r="D147" s="172">
        <v>7.3835426121703698</v>
      </c>
      <c r="E147" s="172">
        <v>77331.533548566367</v>
      </c>
      <c r="F147" s="170" t="s">
        <v>905</v>
      </c>
    </row>
    <row r="148" spans="1:6">
      <c r="A148" s="171" t="s">
        <v>161</v>
      </c>
      <c r="B148" s="171">
        <v>336</v>
      </c>
      <c r="C148" s="171" t="s">
        <v>835</v>
      </c>
      <c r="D148" s="172" t="s">
        <v>728</v>
      </c>
      <c r="E148" s="172" t="s">
        <v>728</v>
      </c>
      <c r="F148" s="170" t="s">
        <v>906</v>
      </c>
    </row>
    <row r="149" spans="1:6">
      <c r="A149" s="171" t="s">
        <v>161</v>
      </c>
      <c r="B149" s="171">
        <v>380</v>
      </c>
      <c r="C149" s="171" t="s">
        <v>421</v>
      </c>
      <c r="D149" s="172">
        <v>3.6259532548699025</v>
      </c>
      <c r="E149" s="172">
        <v>219551.83217769809</v>
      </c>
      <c r="F149" s="170" t="s">
        <v>904</v>
      </c>
    </row>
    <row r="150" spans="1:6">
      <c r="A150" s="171" t="s">
        <v>161</v>
      </c>
      <c r="B150" s="171">
        <v>470</v>
      </c>
      <c r="C150" s="171" t="s">
        <v>160</v>
      </c>
      <c r="D150" s="172">
        <v>12.811309449374059</v>
      </c>
      <c r="E150" s="172">
        <v>5642.1006815043365</v>
      </c>
      <c r="F150" s="170" t="s">
        <v>801</v>
      </c>
    </row>
    <row r="151" spans="1:6">
      <c r="A151" s="171" t="s">
        <v>161</v>
      </c>
      <c r="B151" s="171">
        <v>499</v>
      </c>
      <c r="C151" s="171" t="s">
        <v>836</v>
      </c>
      <c r="D151" s="172">
        <v>15.640228594822497</v>
      </c>
      <c r="E151" s="172">
        <v>9822.0635575485285</v>
      </c>
      <c r="F151" s="170" t="s">
        <v>709</v>
      </c>
    </row>
    <row r="152" spans="1:6">
      <c r="A152" s="171" t="s">
        <v>161</v>
      </c>
      <c r="B152" s="171">
        <v>807</v>
      </c>
      <c r="C152" s="171" t="s">
        <v>837</v>
      </c>
      <c r="D152" s="172">
        <v>15.640228594822497</v>
      </c>
      <c r="E152" s="172">
        <v>32586.416277312674</v>
      </c>
      <c r="F152" s="170" t="s">
        <v>709</v>
      </c>
    </row>
    <row r="153" spans="1:6">
      <c r="A153" s="171" t="s">
        <v>161</v>
      </c>
      <c r="B153" s="171">
        <v>620</v>
      </c>
      <c r="C153" s="171" t="s">
        <v>838</v>
      </c>
      <c r="D153" s="172">
        <v>12.811309449374059</v>
      </c>
      <c r="E153" s="172">
        <v>131011.01269118901</v>
      </c>
      <c r="F153" s="170" t="s">
        <v>801</v>
      </c>
    </row>
    <row r="154" spans="1:6">
      <c r="A154" s="171" t="s">
        <v>161</v>
      </c>
      <c r="B154" s="171">
        <v>674</v>
      </c>
      <c r="C154" s="171" t="s">
        <v>839</v>
      </c>
      <c r="D154" s="172">
        <v>12.811309449374059</v>
      </c>
      <c r="E154" s="172">
        <v>434.30339033378061</v>
      </c>
      <c r="F154" s="170" t="s">
        <v>801</v>
      </c>
    </row>
    <row r="155" spans="1:6">
      <c r="A155" s="171" t="s">
        <v>161</v>
      </c>
      <c r="B155" s="171">
        <v>688</v>
      </c>
      <c r="C155" s="171" t="s">
        <v>527</v>
      </c>
      <c r="D155" s="172">
        <v>15.640228594822497</v>
      </c>
      <c r="E155" s="172">
        <v>137199.21327950191</v>
      </c>
      <c r="F155" s="170" t="s">
        <v>709</v>
      </c>
    </row>
    <row r="156" spans="1:6">
      <c r="A156" s="171" t="s">
        <v>161</v>
      </c>
      <c r="B156" s="171">
        <v>705</v>
      </c>
      <c r="C156" s="171" t="s">
        <v>531</v>
      </c>
      <c r="D156" s="172">
        <v>6.6917686763528197</v>
      </c>
      <c r="E156" s="172">
        <v>13910.179547534606</v>
      </c>
      <c r="F156" s="170" t="s">
        <v>905</v>
      </c>
    </row>
    <row r="157" spans="1:6">
      <c r="A157" s="171" t="s">
        <v>161</v>
      </c>
      <c r="B157" s="171">
        <v>724</v>
      </c>
      <c r="C157" s="171" t="s">
        <v>167</v>
      </c>
      <c r="D157" s="172">
        <v>12.811309449374059</v>
      </c>
      <c r="E157" s="172">
        <v>598759.60747350554</v>
      </c>
      <c r="F157" s="170" t="s">
        <v>801</v>
      </c>
    </row>
    <row r="158" spans="1:6">
      <c r="A158" s="171" t="s">
        <v>306</v>
      </c>
      <c r="B158" s="171">
        <v>24</v>
      </c>
      <c r="C158" s="171" t="s">
        <v>840</v>
      </c>
      <c r="D158" s="172">
        <v>15.640228594822497</v>
      </c>
      <c r="E158" s="172">
        <v>497754.96709880442</v>
      </c>
      <c r="F158" s="170" t="s">
        <v>709</v>
      </c>
    </row>
    <row r="159" spans="1:6">
      <c r="A159" s="171" t="s">
        <v>306</v>
      </c>
      <c r="B159" s="171">
        <v>204</v>
      </c>
      <c r="C159" s="171" t="s">
        <v>841</v>
      </c>
      <c r="D159" s="172">
        <v>15.640228594822497</v>
      </c>
      <c r="E159" s="172">
        <v>184573.46569321924</v>
      </c>
      <c r="F159" s="170" t="s">
        <v>709</v>
      </c>
    </row>
    <row r="160" spans="1:6">
      <c r="A160" s="171" t="s">
        <v>306</v>
      </c>
      <c r="B160" s="171">
        <v>72</v>
      </c>
      <c r="C160" s="171" t="s">
        <v>842</v>
      </c>
      <c r="D160" s="172">
        <v>15.640228594822497</v>
      </c>
      <c r="E160" s="172">
        <v>36030.394613892582</v>
      </c>
      <c r="F160" s="170" t="s">
        <v>709</v>
      </c>
    </row>
    <row r="161" spans="1:6">
      <c r="A161" s="171" t="s">
        <v>306</v>
      </c>
      <c r="B161" s="171">
        <v>854</v>
      </c>
      <c r="C161" s="171" t="s">
        <v>843</v>
      </c>
      <c r="D161" s="172">
        <v>15.640228594822497</v>
      </c>
      <c r="E161" s="172">
        <v>317831.34136682586</v>
      </c>
      <c r="F161" s="170" t="s">
        <v>709</v>
      </c>
    </row>
    <row r="162" spans="1:6">
      <c r="A162" s="171" t="s">
        <v>306</v>
      </c>
      <c r="B162" s="171">
        <v>108</v>
      </c>
      <c r="C162" s="171" t="s">
        <v>844</v>
      </c>
      <c r="D162" s="172">
        <v>15.640228594822497</v>
      </c>
      <c r="E162" s="172">
        <v>180341.21983546027</v>
      </c>
      <c r="F162" s="170" t="s">
        <v>709</v>
      </c>
    </row>
    <row r="163" spans="1:6">
      <c r="A163" s="171" t="s">
        <v>306</v>
      </c>
      <c r="B163" s="171">
        <v>132</v>
      </c>
      <c r="C163" s="171" t="s">
        <v>845</v>
      </c>
      <c r="D163" s="172">
        <v>15.640228594822497</v>
      </c>
      <c r="E163" s="172">
        <v>8600.5617042928916</v>
      </c>
      <c r="F163" s="170" t="s">
        <v>709</v>
      </c>
    </row>
    <row r="164" spans="1:6">
      <c r="A164" s="171" t="s">
        <v>306</v>
      </c>
      <c r="B164" s="171">
        <v>120</v>
      </c>
      <c r="C164" s="171" t="s">
        <v>846</v>
      </c>
      <c r="D164" s="172">
        <v>15.640228594822497</v>
      </c>
      <c r="E164" s="172">
        <v>404712.81121106487</v>
      </c>
      <c r="F164" s="170" t="s">
        <v>709</v>
      </c>
    </row>
    <row r="165" spans="1:6">
      <c r="A165" s="171" t="s">
        <v>306</v>
      </c>
      <c r="B165" s="171">
        <v>140</v>
      </c>
      <c r="C165" s="171" t="s">
        <v>847</v>
      </c>
      <c r="D165" s="172">
        <v>15.640228594822497</v>
      </c>
      <c r="E165" s="172">
        <v>74216.012728151705</v>
      </c>
      <c r="F165" s="170" t="s">
        <v>709</v>
      </c>
    </row>
    <row r="166" spans="1:6">
      <c r="A166" s="171" t="s">
        <v>306</v>
      </c>
      <c r="B166" s="171">
        <v>148</v>
      </c>
      <c r="C166" s="171" t="s">
        <v>848</v>
      </c>
      <c r="D166" s="172">
        <v>15.640228594822497</v>
      </c>
      <c r="E166" s="172">
        <v>249413.16137877488</v>
      </c>
      <c r="F166" s="170" t="s">
        <v>709</v>
      </c>
    </row>
    <row r="167" spans="1:6">
      <c r="A167" s="171" t="s">
        <v>306</v>
      </c>
      <c r="B167" s="171">
        <v>174</v>
      </c>
      <c r="C167" s="171" t="s">
        <v>849</v>
      </c>
      <c r="D167" s="172">
        <v>15.640228594822497</v>
      </c>
      <c r="E167" s="172">
        <v>13308.270511334464</v>
      </c>
      <c r="F167" s="170" t="s">
        <v>709</v>
      </c>
    </row>
    <row r="168" spans="1:6">
      <c r="A168" s="171" t="s">
        <v>306</v>
      </c>
      <c r="B168" s="171">
        <v>178</v>
      </c>
      <c r="C168" s="171" t="s">
        <v>850</v>
      </c>
      <c r="D168" s="172">
        <v>15.640228594822497</v>
      </c>
      <c r="E168" s="172">
        <v>84152.249954442435</v>
      </c>
      <c r="F168" s="170" t="s">
        <v>709</v>
      </c>
    </row>
    <row r="169" spans="1:6">
      <c r="A169" s="171" t="s">
        <v>306</v>
      </c>
      <c r="B169" s="171">
        <v>384</v>
      </c>
      <c r="C169" s="171" t="s">
        <v>851</v>
      </c>
      <c r="D169" s="172">
        <v>15.640228594822497</v>
      </c>
      <c r="E169" s="172">
        <v>402211.93865875271</v>
      </c>
      <c r="F169" s="170" t="s">
        <v>709</v>
      </c>
    </row>
    <row r="170" spans="1:6">
      <c r="A170" s="171" t="s">
        <v>306</v>
      </c>
      <c r="B170" s="171">
        <v>180</v>
      </c>
      <c r="C170" s="171" t="s">
        <v>852</v>
      </c>
      <c r="D170" s="172">
        <v>15.640228594822497</v>
      </c>
      <c r="E170" s="172">
        <v>1357424.8238818015</v>
      </c>
      <c r="F170" s="170" t="s">
        <v>709</v>
      </c>
    </row>
    <row r="171" spans="1:6">
      <c r="A171" s="171" t="s">
        <v>306</v>
      </c>
      <c r="B171" s="171">
        <v>262</v>
      </c>
      <c r="C171" s="171" t="s">
        <v>853</v>
      </c>
      <c r="D171" s="172">
        <v>15.640228594822497</v>
      </c>
      <c r="E171" s="172">
        <v>15227.326559919184</v>
      </c>
      <c r="F171" s="170" t="s">
        <v>709</v>
      </c>
    </row>
    <row r="172" spans="1:6">
      <c r="A172" s="171" t="s">
        <v>306</v>
      </c>
      <c r="B172" s="171">
        <v>226</v>
      </c>
      <c r="C172" s="171" t="s">
        <v>854</v>
      </c>
      <c r="D172" s="172">
        <v>15.640228594822497</v>
      </c>
      <c r="E172" s="172">
        <v>21208.149974579308</v>
      </c>
      <c r="F172" s="170" t="s">
        <v>709</v>
      </c>
    </row>
    <row r="173" spans="1:6">
      <c r="A173" s="171" t="s">
        <v>306</v>
      </c>
      <c r="B173" s="171">
        <v>232</v>
      </c>
      <c r="C173" s="171" t="s">
        <v>855</v>
      </c>
      <c r="D173" s="172">
        <v>15.640228594822497</v>
      </c>
      <c r="E173" s="172">
        <v>54695.443418953757</v>
      </c>
      <c r="F173" s="170" t="s">
        <v>709</v>
      </c>
    </row>
    <row r="174" spans="1:6">
      <c r="A174" s="171" t="s">
        <v>306</v>
      </c>
      <c r="B174" s="171">
        <v>748</v>
      </c>
      <c r="C174" s="171" t="s">
        <v>856</v>
      </c>
      <c r="D174" s="172">
        <v>15.640228594822497</v>
      </c>
      <c r="E174" s="172">
        <v>17956.546449715712</v>
      </c>
      <c r="F174" s="170" t="s">
        <v>709</v>
      </c>
    </row>
    <row r="175" spans="1:6">
      <c r="A175" s="171" t="s">
        <v>306</v>
      </c>
      <c r="B175" s="171">
        <v>231</v>
      </c>
      <c r="C175" s="171" t="s">
        <v>305</v>
      </c>
      <c r="D175" s="172">
        <v>15.640228594822497</v>
      </c>
      <c r="E175" s="172">
        <v>1752936.4886105324</v>
      </c>
      <c r="F175" s="170" t="s">
        <v>709</v>
      </c>
    </row>
    <row r="176" spans="1:6">
      <c r="A176" s="171" t="s">
        <v>306</v>
      </c>
      <c r="B176" s="171">
        <v>266</v>
      </c>
      <c r="C176" s="171" t="s">
        <v>857</v>
      </c>
      <c r="D176" s="172">
        <v>15.640228594822497</v>
      </c>
      <c r="E176" s="172">
        <v>33979.960645111358</v>
      </c>
      <c r="F176" s="170" t="s">
        <v>709</v>
      </c>
    </row>
    <row r="177" spans="1:6">
      <c r="A177" s="171" t="s">
        <v>306</v>
      </c>
      <c r="B177" s="171">
        <v>270</v>
      </c>
      <c r="C177" s="171" t="s">
        <v>858</v>
      </c>
      <c r="D177" s="172">
        <v>15.640228594822497</v>
      </c>
      <c r="E177" s="172">
        <v>36718.564672064771</v>
      </c>
      <c r="F177" s="170" t="s">
        <v>709</v>
      </c>
    </row>
    <row r="178" spans="1:6">
      <c r="A178" s="171" t="s">
        <v>306</v>
      </c>
      <c r="B178" s="171">
        <v>288</v>
      </c>
      <c r="C178" s="171" t="s">
        <v>356</v>
      </c>
      <c r="D178" s="172">
        <v>15.640228594822497</v>
      </c>
      <c r="E178" s="172">
        <v>475742.90937445121</v>
      </c>
      <c r="F178" s="170" t="s">
        <v>709</v>
      </c>
    </row>
    <row r="179" spans="1:6">
      <c r="A179" s="171" t="s">
        <v>306</v>
      </c>
      <c r="B179" s="171">
        <v>324</v>
      </c>
      <c r="C179" s="171" t="s">
        <v>859</v>
      </c>
      <c r="D179" s="172">
        <v>15.640228594822497</v>
      </c>
      <c r="E179" s="172">
        <v>199744.4874301971</v>
      </c>
      <c r="F179" s="170" t="s">
        <v>709</v>
      </c>
    </row>
    <row r="180" spans="1:6">
      <c r="A180" s="171" t="s">
        <v>306</v>
      </c>
      <c r="B180" s="171">
        <v>624</v>
      </c>
      <c r="C180" s="171" t="s">
        <v>860</v>
      </c>
      <c r="D180" s="172">
        <v>15.640228594822497</v>
      </c>
      <c r="E180" s="172">
        <v>30043.315107794533</v>
      </c>
      <c r="F180" s="170" t="s">
        <v>709</v>
      </c>
    </row>
    <row r="181" spans="1:6">
      <c r="A181" s="171" t="s">
        <v>306</v>
      </c>
      <c r="B181" s="171">
        <v>404</v>
      </c>
      <c r="C181" s="171" t="s">
        <v>438</v>
      </c>
      <c r="D181" s="172">
        <v>10.963794044469571</v>
      </c>
      <c r="E181" s="172">
        <v>576410.50809394324</v>
      </c>
      <c r="F181" s="170" t="s">
        <v>905</v>
      </c>
    </row>
    <row r="182" spans="1:6">
      <c r="A182" s="171" t="s">
        <v>306</v>
      </c>
      <c r="B182" s="171">
        <v>426</v>
      </c>
      <c r="C182" s="171" t="s">
        <v>861</v>
      </c>
      <c r="D182" s="172">
        <v>15.640228594822497</v>
      </c>
      <c r="E182" s="172">
        <v>33240.17783257625</v>
      </c>
      <c r="F182" s="170" t="s">
        <v>709</v>
      </c>
    </row>
    <row r="183" spans="1:6">
      <c r="A183" s="171" t="s">
        <v>306</v>
      </c>
      <c r="B183" s="171">
        <v>430</v>
      </c>
      <c r="C183" s="171" t="s">
        <v>862</v>
      </c>
      <c r="D183" s="172">
        <v>15.640228594822497</v>
      </c>
      <c r="E183" s="172">
        <v>77222.064664076592</v>
      </c>
      <c r="F183" s="170" t="s">
        <v>709</v>
      </c>
    </row>
    <row r="184" spans="1:6">
      <c r="A184" s="171" t="s">
        <v>306</v>
      </c>
      <c r="B184" s="171">
        <v>450</v>
      </c>
      <c r="C184" s="171" t="s">
        <v>863</v>
      </c>
      <c r="D184" s="172">
        <v>15.640228594822497</v>
      </c>
      <c r="E184" s="172">
        <v>421806.01704234636</v>
      </c>
      <c r="F184" s="170" t="s">
        <v>709</v>
      </c>
    </row>
    <row r="185" spans="1:6">
      <c r="A185" s="171" t="s">
        <v>306</v>
      </c>
      <c r="B185" s="171">
        <v>454</v>
      </c>
      <c r="C185" s="171" t="s">
        <v>864</v>
      </c>
      <c r="D185" s="172">
        <v>15.640228594822497</v>
      </c>
      <c r="E185" s="172">
        <v>291357.12642436987</v>
      </c>
      <c r="F185" s="170" t="s">
        <v>709</v>
      </c>
    </row>
    <row r="186" spans="1:6">
      <c r="A186" s="171" t="s">
        <v>306</v>
      </c>
      <c r="B186" s="171">
        <v>466</v>
      </c>
      <c r="C186" s="171" t="s">
        <v>865</v>
      </c>
      <c r="D186" s="172">
        <v>15.640228594822497</v>
      </c>
      <c r="E186" s="172">
        <v>307455.61371702061</v>
      </c>
      <c r="F186" s="170" t="s">
        <v>709</v>
      </c>
    </row>
    <row r="187" spans="1:6">
      <c r="A187" s="171" t="s">
        <v>306</v>
      </c>
      <c r="B187" s="171">
        <v>478</v>
      </c>
      <c r="C187" s="171" t="s">
        <v>866</v>
      </c>
      <c r="D187" s="172">
        <v>15.640228594822497</v>
      </c>
      <c r="E187" s="172">
        <v>70782.982551588182</v>
      </c>
      <c r="F187" s="170" t="s">
        <v>709</v>
      </c>
    </row>
    <row r="188" spans="1:6">
      <c r="A188" s="171" t="s">
        <v>306</v>
      </c>
      <c r="B188" s="171">
        <v>480</v>
      </c>
      <c r="C188" s="171" t="s">
        <v>867</v>
      </c>
      <c r="D188" s="172">
        <v>12.811309449374059</v>
      </c>
      <c r="E188" s="172">
        <v>16266.519607870243</v>
      </c>
      <c r="F188" s="170" t="s">
        <v>801</v>
      </c>
    </row>
    <row r="189" spans="1:6">
      <c r="A189" s="171" t="s">
        <v>306</v>
      </c>
      <c r="B189" s="171">
        <v>175</v>
      </c>
      <c r="C189" s="171" t="s">
        <v>868</v>
      </c>
      <c r="D189" s="172" t="s">
        <v>728</v>
      </c>
      <c r="E189" s="172" t="s">
        <v>728</v>
      </c>
      <c r="F189" s="170" t="s">
        <v>906</v>
      </c>
    </row>
    <row r="190" spans="1:6">
      <c r="A190" s="171" t="s">
        <v>306</v>
      </c>
      <c r="B190" s="171">
        <v>508</v>
      </c>
      <c r="C190" s="171" t="s">
        <v>869</v>
      </c>
      <c r="D190" s="172">
        <v>15.640228594822497</v>
      </c>
      <c r="E190" s="172">
        <v>474931.18151037995</v>
      </c>
      <c r="F190" s="170" t="s">
        <v>709</v>
      </c>
    </row>
    <row r="191" spans="1:6">
      <c r="A191" s="171" t="s">
        <v>306</v>
      </c>
      <c r="B191" s="171">
        <v>516</v>
      </c>
      <c r="C191" s="171" t="s">
        <v>870</v>
      </c>
      <c r="D191" s="172">
        <v>15.640228594822497</v>
      </c>
      <c r="E191" s="172">
        <v>39014.55022978472</v>
      </c>
      <c r="F191" s="170" t="s">
        <v>709</v>
      </c>
    </row>
    <row r="192" spans="1:6">
      <c r="A192" s="171" t="s">
        <v>306</v>
      </c>
      <c r="B192" s="171">
        <v>562</v>
      </c>
      <c r="C192" s="171" t="s">
        <v>871</v>
      </c>
      <c r="D192" s="172">
        <v>15.640228594822497</v>
      </c>
      <c r="E192" s="172">
        <v>364584.67670532881</v>
      </c>
      <c r="F192" s="170" t="s">
        <v>709</v>
      </c>
    </row>
    <row r="193" spans="1:6">
      <c r="A193" s="171" t="s">
        <v>306</v>
      </c>
      <c r="B193" s="171">
        <v>566</v>
      </c>
      <c r="C193" s="171" t="s">
        <v>487</v>
      </c>
      <c r="D193" s="172">
        <v>15.640228594822497</v>
      </c>
      <c r="E193" s="172">
        <v>3143116.6432384704</v>
      </c>
      <c r="F193" s="170" t="s">
        <v>709</v>
      </c>
    </row>
    <row r="194" spans="1:6">
      <c r="A194" s="171" t="s">
        <v>306</v>
      </c>
      <c r="B194" s="171">
        <v>638</v>
      </c>
      <c r="C194" s="171" t="s">
        <v>872</v>
      </c>
      <c r="D194" s="172" t="s">
        <v>728</v>
      </c>
      <c r="E194" s="172" t="s">
        <v>728</v>
      </c>
      <c r="F194" s="170" t="s">
        <v>906</v>
      </c>
    </row>
    <row r="195" spans="1:6">
      <c r="A195" s="171" t="s">
        <v>306</v>
      </c>
      <c r="B195" s="171">
        <v>646</v>
      </c>
      <c r="C195" s="171" t="s">
        <v>517</v>
      </c>
      <c r="D195" s="172">
        <v>15.640228594822497</v>
      </c>
      <c r="E195" s="172">
        <v>197489.16646682366</v>
      </c>
      <c r="F195" s="170" t="s">
        <v>709</v>
      </c>
    </row>
    <row r="196" spans="1:6">
      <c r="A196" s="171" t="s">
        <v>306</v>
      </c>
      <c r="B196" s="171">
        <v>654</v>
      </c>
      <c r="C196" s="171" t="s">
        <v>873</v>
      </c>
      <c r="D196" s="172" t="s">
        <v>728</v>
      </c>
      <c r="E196" s="172" t="s">
        <v>728</v>
      </c>
      <c r="F196" s="170" t="s">
        <v>906</v>
      </c>
    </row>
    <row r="197" spans="1:6">
      <c r="A197" s="171" t="s">
        <v>306</v>
      </c>
      <c r="B197" s="171">
        <v>678</v>
      </c>
      <c r="C197" s="171" t="s">
        <v>874</v>
      </c>
      <c r="D197" s="172">
        <v>15.640228594822497</v>
      </c>
      <c r="E197" s="172">
        <v>3364.2131707463191</v>
      </c>
      <c r="F197" s="170" t="s">
        <v>709</v>
      </c>
    </row>
    <row r="198" spans="1:6">
      <c r="A198" s="171" t="s">
        <v>306</v>
      </c>
      <c r="B198" s="171">
        <v>686</v>
      </c>
      <c r="C198" s="171" t="s">
        <v>875</v>
      </c>
      <c r="D198" s="172">
        <v>15.640228594822497</v>
      </c>
      <c r="E198" s="172">
        <v>254879.42127266532</v>
      </c>
      <c r="F198" s="170" t="s">
        <v>709</v>
      </c>
    </row>
    <row r="199" spans="1:6">
      <c r="A199" s="171" t="s">
        <v>306</v>
      </c>
      <c r="B199" s="171">
        <v>690</v>
      </c>
      <c r="C199" s="171" t="s">
        <v>876</v>
      </c>
      <c r="D199" s="172">
        <v>12.811309449374059</v>
      </c>
      <c r="E199" s="172">
        <v>1251.6649332038455</v>
      </c>
      <c r="F199" s="170" t="s">
        <v>801</v>
      </c>
    </row>
    <row r="200" spans="1:6">
      <c r="A200" s="171" t="s">
        <v>306</v>
      </c>
      <c r="B200" s="171">
        <v>694</v>
      </c>
      <c r="C200" s="171" t="s">
        <v>877</v>
      </c>
      <c r="D200" s="172">
        <v>15.640228594822497</v>
      </c>
      <c r="E200" s="172">
        <v>122200.23405706714</v>
      </c>
      <c r="F200" s="170" t="s">
        <v>709</v>
      </c>
    </row>
    <row r="201" spans="1:6">
      <c r="A201" s="171" t="s">
        <v>306</v>
      </c>
      <c r="B201" s="171">
        <v>706</v>
      </c>
      <c r="C201" s="171" t="s">
        <v>878</v>
      </c>
      <c r="D201" s="172">
        <v>15.640228594822497</v>
      </c>
      <c r="E201" s="172">
        <v>241530.48616698434</v>
      </c>
      <c r="F201" s="170" t="s">
        <v>709</v>
      </c>
    </row>
    <row r="202" spans="1:6">
      <c r="A202" s="171" t="s">
        <v>306</v>
      </c>
      <c r="B202" s="171">
        <v>710</v>
      </c>
      <c r="C202" s="171" t="s">
        <v>538</v>
      </c>
      <c r="D202" s="172">
        <v>15.640228594822497</v>
      </c>
      <c r="E202" s="172">
        <v>915865.19812419428</v>
      </c>
      <c r="F202" s="170" t="s">
        <v>709</v>
      </c>
    </row>
    <row r="203" spans="1:6">
      <c r="A203" s="171" t="s">
        <v>306</v>
      </c>
      <c r="B203" s="171">
        <v>728</v>
      </c>
      <c r="C203" s="171" t="s">
        <v>879</v>
      </c>
      <c r="D203" s="172">
        <v>15.640228594822497</v>
      </c>
      <c r="E203" s="172">
        <v>173013.77273878595</v>
      </c>
      <c r="F203" s="170" t="s">
        <v>709</v>
      </c>
    </row>
    <row r="204" spans="1:6">
      <c r="A204" s="171" t="s">
        <v>306</v>
      </c>
      <c r="B204" s="171">
        <v>768</v>
      </c>
      <c r="C204" s="171" t="s">
        <v>880</v>
      </c>
      <c r="D204" s="172">
        <v>15.640228594822497</v>
      </c>
      <c r="E204" s="172">
        <v>126410.58359479335</v>
      </c>
      <c r="F204" s="170" t="s">
        <v>709</v>
      </c>
    </row>
    <row r="205" spans="1:6">
      <c r="A205" s="171" t="s">
        <v>306</v>
      </c>
      <c r="B205" s="171">
        <v>800</v>
      </c>
      <c r="C205" s="171" t="s">
        <v>881</v>
      </c>
      <c r="D205" s="172">
        <v>15.640228594822497</v>
      </c>
      <c r="E205" s="172">
        <v>692386.66380135401</v>
      </c>
      <c r="F205" s="170" t="s">
        <v>709</v>
      </c>
    </row>
    <row r="206" spans="1:6">
      <c r="A206" s="171" t="s">
        <v>306</v>
      </c>
      <c r="B206" s="171">
        <v>834</v>
      </c>
      <c r="C206" s="171" t="s">
        <v>882</v>
      </c>
      <c r="D206" s="172">
        <v>15.640228594822497</v>
      </c>
      <c r="E206" s="172">
        <v>907219.27975697641</v>
      </c>
      <c r="F206" s="170" t="s">
        <v>709</v>
      </c>
    </row>
    <row r="207" spans="1:6">
      <c r="A207" s="171" t="s">
        <v>306</v>
      </c>
      <c r="B207" s="171">
        <v>894</v>
      </c>
      <c r="C207" s="171" t="s">
        <v>614</v>
      </c>
      <c r="D207" s="172">
        <v>15.640228594822497</v>
      </c>
      <c r="E207" s="172">
        <v>279350.12293212459</v>
      </c>
      <c r="F207" s="170" t="s">
        <v>709</v>
      </c>
    </row>
    <row r="208" spans="1:6">
      <c r="A208" s="171" t="s">
        <v>306</v>
      </c>
      <c r="B208" s="171">
        <v>716</v>
      </c>
      <c r="C208" s="171" t="s">
        <v>883</v>
      </c>
      <c r="D208" s="172">
        <v>15.640228594822497</v>
      </c>
      <c r="E208" s="172">
        <v>229058.9678854729</v>
      </c>
      <c r="F208" s="170" t="s">
        <v>709</v>
      </c>
    </row>
    <row r="209" spans="1:6">
      <c r="A209" s="171" t="s">
        <v>173</v>
      </c>
      <c r="B209" s="171">
        <v>51</v>
      </c>
      <c r="C209" s="171" t="s">
        <v>884</v>
      </c>
      <c r="D209" s="172">
        <v>15.640228594822497</v>
      </c>
      <c r="E209" s="172">
        <v>46259.104114906499</v>
      </c>
      <c r="F209" s="170" t="s">
        <v>709</v>
      </c>
    </row>
    <row r="210" spans="1:6">
      <c r="A210" s="171" t="s">
        <v>173</v>
      </c>
      <c r="B210" s="171">
        <v>31</v>
      </c>
      <c r="C210" s="171" t="s">
        <v>885</v>
      </c>
      <c r="D210" s="172">
        <v>15.640228594822497</v>
      </c>
      <c r="E210" s="172">
        <v>157148.32485219801</v>
      </c>
      <c r="F210" s="170" t="s">
        <v>709</v>
      </c>
    </row>
    <row r="211" spans="1:6">
      <c r="A211" s="171" t="s">
        <v>173</v>
      </c>
      <c r="B211" s="171">
        <v>48</v>
      </c>
      <c r="C211" s="171" t="s">
        <v>172</v>
      </c>
      <c r="D211" s="172">
        <v>12.811309449374059</v>
      </c>
      <c r="E211" s="172">
        <v>21025.921068312706</v>
      </c>
      <c r="F211" s="170" t="s">
        <v>801</v>
      </c>
    </row>
    <row r="212" spans="1:6">
      <c r="A212" s="171" t="s">
        <v>173</v>
      </c>
      <c r="B212" s="171">
        <v>196</v>
      </c>
      <c r="C212" s="171" t="s">
        <v>886</v>
      </c>
      <c r="D212" s="172">
        <v>12.811309449374059</v>
      </c>
      <c r="E212" s="172">
        <v>15355.635506019747</v>
      </c>
      <c r="F212" s="170" t="s">
        <v>801</v>
      </c>
    </row>
    <row r="213" spans="1:6">
      <c r="A213" s="171" t="s">
        <v>173</v>
      </c>
      <c r="B213" s="171">
        <v>268</v>
      </c>
      <c r="C213" s="171" t="s">
        <v>340</v>
      </c>
      <c r="D213" s="172">
        <v>15.640228594822497</v>
      </c>
      <c r="E213" s="172">
        <v>62510.865647786559</v>
      </c>
      <c r="F213" s="170" t="s">
        <v>709</v>
      </c>
    </row>
    <row r="214" spans="1:6">
      <c r="A214" s="171" t="s">
        <v>173</v>
      </c>
      <c r="B214" s="171">
        <v>368</v>
      </c>
      <c r="C214" s="171" t="s">
        <v>388</v>
      </c>
      <c r="D214" s="172">
        <v>15.640228594822497</v>
      </c>
      <c r="E214" s="172">
        <v>614814.25801675348</v>
      </c>
      <c r="F214" s="170" t="s">
        <v>709</v>
      </c>
    </row>
    <row r="215" spans="1:6">
      <c r="A215" s="171" t="s">
        <v>173</v>
      </c>
      <c r="B215" s="171">
        <v>376</v>
      </c>
      <c r="C215" s="171" t="s">
        <v>411</v>
      </c>
      <c r="D215" s="172">
        <v>51.411711367757945</v>
      </c>
      <c r="E215" s="172">
        <v>437996.93382647703</v>
      </c>
      <c r="F215" s="170" t="s">
        <v>905</v>
      </c>
    </row>
    <row r="216" spans="1:6">
      <c r="A216" s="171" t="s">
        <v>173</v>
      </c>
      <c r="B216" s="171">
        <v>400</v>
      </c>
      <c r="C216" s="171" t="s">
        <v>887</v>
      </c>
      <c r="D216" s="172">
        <v>15.640228594822497</v>
      </c>
      <c r="E216" s="172">
        <v>157992.89719631843</v>
      </c>
      <c r="F216" s="170" t="s">
        <v>709</v>
      </c>
    </row>
    <row r="217" spans="1:6">
      <c r="A217" s="171" t="s">
        <v>173</v>
      </c>
      <c r="B217" s="171">
        <v>414</v>
      </c>
      <c r="C217" s="171" t="s">
        <v>888</v>
      </c>
      <c r="D217" s="172">
        <v>12.811309449374059</v>
      </c>
      <c r="E217" s="172">
        <v>53898.459984461602</v>
      </c>
      <c r="F217" s="170" t="s">
        <v>801</v>
      </c>
    </row>
    <row r="218" spans="1:6">
      <c r="A218" s="171" t="s">
        <v>173</v>
      </c>
      <c r="B218" s="171">
        <v>422</v>
      </c>
      <c r="C218" s="171" t="s">
        <v>449</v>
      </c>
      <c r="D218" s="172">
        <v>15.640228594822497</v>
      </c>
      <c r="E218" s="172">
        <v>107224.7151775246</v>
      </c>
      <c r="F218" s="170" t="s">
        <v>709</v>
      </c>
    </row>
    <row r="219" spans="1:6">
      <c r="A219" s="171" t="s">
        <v>173</v>
      </c>
      <c r="B219" s="171">
        <v>512</v>
      </c>
      <c r="C219" s="171" t="s">
        <v>889</v>
      </c>
      <c r="D219" s="172">
        <v>12.811309449374059</v>
      </c>
      <c r="E219" s="172">
        <v>63736.264510635941</v>
      </c>
      <c r="F219" s="170" t="s">
        <v>801</v>
      </c>
    </row>
    <row r="220" spans="1:6">
      <c r="A220" s="171" t="s">
        <v>173</v>
      </c>
      <c r="B220" s="171">
        <v>634</v>
      </c>
      <c r="C220" s="171" t="s">
        <v>890</v>
      </c>
      <c r="D220" s="172">
        <v>12.811309449374059</v>
      </c>
      <c r="E220" s="172">
        <v>36282.909491572274</v>
      </c>
      <c r="F220" s="170" t="s">
        <v>801</v>
      </c>
    </row>
    <row r="221" spans="1:6">
      <c r="A221" s="171" t="s">
        <v>173</v>
      </c>
      <c r="B221" s="171">
        <v>682</v>
      </c>
      <c r="C221" s="171" t="s">
        <v>522</v>
      </c>
      <c r="D221" s="172">
        <v>19.653668144961511</v>
      </c>
      <c r="E221" s="172">
        <v>673501.72682561353</v>
      </c>
      <c r="F221" s="170" t="s">
        <v>904</v>
      </c>
    </row>
    <row r="222" spans="1:6">
      <c r="A222" s="171" t="s">
        <v>173</v>
      </c>
      <c r="B222" s="171">
        <v>275</v>
      </c>
      <c r="C222" s="171" t="s">
        <v>891</v>
      </c>
      <c r="D222" s="172">
        <v>15.640228594822497</v>
      </c>
      <c r="E222" s="172">
        <v>77910.234722248788</v>
      </c>
      <c r="F222" s="170" t="s">
        <v>709</v>
      </c>
    </row>
    <row r="223" spans="1:6">
      <c r="A223" s="171" t="s">
        <v>173</v>
      </c>
      <c r="B223" s="171">
        <v>760</v>
      </c>
      <c r="C223" s="171" t="s">
        <v>892</v>
      </c>
      <c r="D223" s="172">
        <v>15.640228594822497</v>
      </c>
      <c r="E223" s="172">
        <v>266980.26613647951</v>
      </c>
      <c r="F223" s="170" t="s">
        <v>709</v>
      </c>
    </row>
    <row r="224" spans="1:6">
      <c r="A224" s="171" t="s">
        <v>173</v>
      </c>
      <c r="B224" s="171">
        <v>792</v>
      </c>
      <c r="C224" s="171" t="s">
        <v>893</v>
      </c>
      <c r="D224" s="172">
        <v>15.640228594822497</v>
      </c>
      <c r="E224" s="172">
        <v>1304858.0155746031</v>
      </c>
      <c r="F224" s="170" t="s">
        <v>709</v>
      </c>
    </row>
    <row r="225" spans="1:6">
      <c r="A225" s="171" t="s">
        <v>173</v>
      </c>
      <c r="B225" s="171">
        <v>784</v>
      </c>
      <c r="C225" s="171" t="s">
        <v>894</v>
      </c>
      <c r="D225" s="172">
        <v>12.811309449374059</v>
      </c>
      <c r="E225" s="172">
        <v>125172.89897510924</v>
      </c>
      <c r="F225" s="170" t="s">
        <v>801</v>
      </c>
    </row>
    <row r="226" spans="1:6">
      <c r="A226" s="171" t="s">
        <v>173</v>
      </c>
      <c r="B226" s="171">
        <v>887</v>
      </c>
      <c r="C226" s="171" t="s">
        <v>895</v>
      </c>
      <c r="D226" s="172">
        <v>15.640228594822497</v>
      </c>
      <c r="E226" s="172">
        <v>456098.78225935419</v>
      </c>
      <c r="F226" s="170" t="s">
        <v>709</v>
      </c>
    </row>
    <row r="227" spans="1:6">
      <c r="A227" s="171" t="s">
        <v>141</v>
      </c>
      <c r="B227" s="171">
        <v>40</v>
      </c>
      <c r="C227" s="171" t="s">
        <v>140</v>
      </c>
      <c r="D227" s="172">
        <v>8.6307161647473443</v>
      </c>
      <c r="E227" s="172">
        <v>77288.926326928937</v>
      </c>
      <c r="F227" s="170" t="s">
        <v>904</v>
      </c>
    </row>
    <row r="228" spans="1:6">
      <c r="A228" s="171" t="s">
        <v>141</v>
      </c>
      <c r="B228" s="171">
        <v>56</v>
      </c>
      <c r="C228" s="171" t="s">
        <v>197</v>
      </c>
      <c r="D228" s="172">
        <v>9.7146420256410249</v>
      </c>
      <c r="E228" s="172">
        <v>112100.16872647947</v>
      </c>
      <c r="F228" s="170" t="s">
        <v>905</v>
      </c>
    </row>
    <row r="229" spans="1:6">
      <c r="A229" s="171" t="s">
        <v>141</v>
      </c>
      <c r="B229" s="171">
        <v>250</v>
      </c>
      <c r="C229" s="171" t="s">
        <v>331</v>
      </c>
      <c r="D229" s="172">
        <v>25.603798941245476</v>
      </c>
      <c r="E229" s="172">
        <v>1667567.7439036355</v>
      </c>
      <c r="F229" s="170" t="s">
        <v>905</v>
      </c>
    </row>
    <row r="230" spans="1:6">
      <c r="A230" s="171" t="s">
        <v>141</v>
      </c>
      <c r="B230" s="171">
        <v>276</v>
      </c>
      <c r="C230" s="171" t="s">
        <v>347</v>
      </c>
      <c r="D230" s="172">
        <v>5.9657776556407045</v>
      </c>
      <c r="E230" s="172">
        <v>498243.85246614472</v>
      </c>
      <c r="F230" s="170" t="s">
        <v>904</v>
      </c>
    </row>
    <row r="231" spans="1:6">
      <c r="A231" s="171" t="s">
        <v>141</v>
      </c>
      <c r="B231" s="171">
        <v>438</v>
      </c>
      <c r="C231" s="171" t="s">
        <v>896</v>
      </c>
      <c r="D231" s="172">
        <v>12.811309449374059</v>
      </c>
      <c r="E231" s="172">
        <v>486.82975907621426</v>
      </c>
      <c r="F231" s="170" t="s">
        <v>801</v>
      </c>
    </row>
    <row r="232" spans="1:6">
      <c r="A232" s="171" t="s">
        <v>141</v>
      </c>
      <c r="B232" s="171">
        <v>442</v>
      </c>
      <c r="C232" s="171" t="s">
        <v>157</v>
      </c>
      <c r="D232" s="172">
        <v>7.2</v>
      </c>
      <c r="E232" s="172">
        <v>4433.04</v>
      </c>
      <c r="F232" s="170" t="s">
        <v>905</v>
      </c>
    </row>
    <row r="233" spans="1:6">
      <c r="A233" s="171" t="s">
        <v>141</v>
      </c>
      <c r="B233" s="171">
        <v>492</v>
      </c>
      <c r="C233" s="171" t="s">
        <v>897</v>
      </c>
      <c r="D233" s="172">
        <v>12.811309449374059</v>
      </c>
      <c r="E233" s="172">
        <v>499.64106852558831</v>
      </c>
      <c r="F233" s="170" t="s">
        <v>801</v>
      </c>
    </row>
    <row r="234" spans="1:6">
      <c r="A234" s="171" t="s">
        <v>141</v>
      </c>
      <c r="B234" s="171">
        <v>528</v>
      </c>
      <c r="C234" s="171" t="s">
        <v>321</v>
      </c>
      <c r="D234" s="172">
        <v>11</v>
      </c>
      <c r="E234" s="172">
        <v>188068.1</v>
      </c>
      <c r="F234" s="170" t="s">
        <v>905</v>
      </c>
    </row>
    <row r="235" spans="1:6">
      <c r="A235" s="173" t="s">
        <v>141</v>
      </c>
      <c r="B235" s="173">
        <v>756</v>
      </c>
      <c r="C235" s="173" t="s">
        <v>582</v>
      </c>
      <c r="D235" s="174">
        <v>12.811309449374059</v>
      </c>
      <c r="E235" s="174">
        <v>110067.0840033523</v>
      </c>
      <c r="F235" s="170" t="s">
        <v>801</v>
      </c>
    </row>
    <row r="236" spans="1:6">
      <c r="A236" s="173"/>
      <c r="B236" s="173"/>
      <c r="C236" s="173"/>
      <c r="D236" s="174" t="s">
        <v>728</v>
      </c>
      <c r="E236" s="174" t="s">
        <v>728</v>
      </c>
      <c r="F236" s="170" t="s">
        <v>906</v>
      </c>
    </row>
    <row r="237" spans="1:6">
      <c r="A237" s="173"/>
      <c r="B237" s="173"/>
      <c r="C237" s="173"/>
      <c r="D237" s="174" t="s">
        <v>728</v>
      </c>
      <c r="E237" s="174" t="s">
        <v>728</v>
      </c>
      <c r="F237" s="170" t="s">
        <v>906</v>
      </c>
    </row>
    <row r="238" spans="1:6" ht="28.5" customHeight="1">
      <c r="A238" s="241" t="s">
        <v>900</v>
      </c>
      <c r="B238" s="242"/>
      <c r="C238" s="242"/>
      <c r="D238" s="242"/>
      <c r="E238" s="242"/>
      <c r="F238" s="243"/>
    </row>
  </sheetData>
  <mergeCells count="2">
    <mergeCell ref="A1:F1"/>
    <mergeCell ref="A238:F238"/>
  </mergeCells>
  <conditionalFormatting sqref="F3:F237">
    <cfRule type="containsText" dxfId="3" priority="1" operator="containsText" text="Medium Confidence">
      <formula>NOT(ISERROR(SEARCH("Medium Confidence",F3)))</formula>
    </cfRule>
    <cfRule type="containsText" dxfId="2" priority="2" operator="containsText" text="Very Low Confidence">
      <formula>NOT(ISERROR(SEARCH("Very Low Confidence",F3)))</formula>
    </cfRule>
    <cfRule type="containsText" dxfId="1" priority="3" operator="containsText" text="Low Confidence">
      <formula>NOT(ISERROR(SEARCH("Low Confidence",F3)))</formula>
    </cfRule>
    <cfRule type="containsText" dxfId="0" priority="4" operator="containsText" text="High Confidence">
      <formula>NOT(ISERROR(SEARCH("High Confidence",F3)))</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FCC31BECA045D469153F895080AAD4A" ma:contentTypeVersion="6" ma:contentTypeDescription="Create a new document." ma:contentTypeScope="" ma:versionID="6ff74e249da7ae9a047dc82a01a06856">
  <xsd:schema xmlns:xsd="http://www.w3.org/2001/XMLSchema" xmlns:xs="http://www.w3.org/2001/XMLSchema" xmlns:p="http://schemas.microsoft.com/office/2006/metadata/properties" xmlns:ns2="7b6a929c-cf2b-43e7-b50f-0c37dda043f3" xmlns:ns3="d2725b2f-f9fc-4de5-afd2-80312bc5b499" targetNamespace="http://schemas.microsoft.com/office/2006/metadata/properties" ma:root="true" ma:fieldsID="9624ca5cc449523ad2d77774fe08d324" ns2:_="" ns3:_="">
    <xsd:import namespace="7b6a929c-cf2b-43e7-b50f-0c37dda043f3"/>
    <xsd:import namespace="d2725b2f-f9fc-4de5-afd2-80312bc5b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6a929c-cf2b-43e7-b50f-0c37dda043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725b2f-f9fc-4de5-afd2-80312bc5b49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3B72EE0-14AD-457D-B96F-D124EADECDA2}"/>
</file>

<file path=customXml/itemProps2.xml><?xml version="1.0" encoding="utf-8"?>
<ds:datastoreItem xmlns:ds="http://schemas.openxmlformats.org/officeDocument/2006/customXml" ds:itemID="{81386F65-BA20-483F-B3AB-EB76CF17CC7A}"/>
</file>

<file path=customXml/itemProps3.xml><?xml version="1.0" encoding="utf-8"?>
<ds:datastoreItem xmlns:ds="http://schemas.openxmlformats.org/officeDocument/2006/customXml" ds:itemID="{FD03BD18-68C3-458C-8D8A-6780B379578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Hamish Forbes</dc:creator>
  <cp:keywords/>
  <dc:description/>
  <cp:lastModifiedBy/>
  <cp:revision/>
  <dcterms:created xsi:type="dcterms:W3CDTF">2021-02-04T13:29:58Z</dcterms:created>
  <dcterms:modified xsi:type="dcterms:W3CDTF">2024-02-13T11:30:07Z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0x010100AFCC31BECA045D469153F895080AAD4A</vt:lpwstr>
  </property>
</Properties>
</file>