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23.xml.rels" ContentType="application/vnd.openxmlformats-package.relationships+xml"/>
  <Override PartName="/xl/worksheets/_rels/sheet24.xml.rels" ContentType="application/vnd.openxmlformats-package.relationships+xml"/>
  <Override PartName="/xl/worksheets/_rels/sheet25.xml.rels" ContentType="application/vnd.openxmlformats-package.relationships+xml"/>
  <Override PartName="/xl/worksheets/_rels/sheet26.xml.rels" ContentType="application/vnd.openxmlformats-package.relationships+xml"/>
  <Override PartName="/xl/worksheets/_rels/sheet27.xml.rels" ContentType="application/vnd.openxmlformats-package.relationships+xml"/>
  <Override PartName="/xl/worksheets/_rels/sheet28.xml.rels" ContentType="application/vnd.openxmlformats-package.relationships+xml"/>
  <Override PartName="/xl/worksheets/_rels/sheet29.xml.rels" ContentType="application/vnd.openxmlformats-package.relationships+xml"/>
  <Override PartName="/xl/worksheets/_rels/sheet30.xml.rels" ContentType="application/vnd.openxmlformats-package.relationships+xml"/>
  <Override PartName="/xl/worksheets/_rels/sheet31.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05.07.2021" sheetId="1" state="visible" r:id="rId2"/>
    <sheet name="09.06.2021" sheetId="2" state="visible" r:id="rId3"/>
    <sheet name="03.06.2021" sheetId="3" state="visible" r:id="rId4"/>
    <sheet name="05.05.2021" sheetId="4" state="visible" r:id="rId5"/>
    <sheet name="06.04.2021" sheetId="5" state="visible" r:id="rId6"/>
    <sheet name="23.03.2021" sheetId="6" state="visible" r:id="rId7"/>
    <sheet name="26.02.2021" sheetId="7" state="visible" r:id="rId8"/>
    <sheet name="08.02.21" sheetId="8" state="visible" r:id="rId9"/>
    <sheet name="02.02.21" sheetId="9" state="visible" r:id="rId10"/>
    <sheet name="20.01.21" sheetId="10" state="visible" r:id="rId11"/>
    <sheet name="16.10.20" sheetId="11" state="visible" r:id="rId12"/>
    <sheet name="12.10.20" sheetId="12" state="visible" r:id="rId13"/>
    <sheet name="01.09.20" sheetId="13" state="visible" r:id="rId14"/>
    <sheet name="04.08.20" sheetId="14" state="visible" r:id="rId15"/>
    <sheet name="28.05.20" sheetId="15" state="visible" r:id="rId16"/>
    <sheet name="18.05.20" sheetId="16" state="visible" r:id="rId17"/>
    <sheet name="21.02.20" sheetId="17" state="visible" r:id="rId18"/>
    <sheet name="29.01.20" sheetId="18" state="visible" r:id="rId19"/>
    <sheet name="29.11.19" sheetId="19" state="visible" r:id="rId20"/>
    <sheet name="05.11.19" sheetId="20" state="visible" r:id="rId21"/>
    <sheet name="18.10.19" sheetId="21" state="visible" r:id="rId22"/>
    <sheet name="04.06" sheetId="22" state="visible" r:id="rId23"/>
    <sheet name="03.05" sheetId="23" state="visible" r:id="rId24"/>
    <sheet name="0412" sheetId="24" state="visible" r:id="rId25"/>
    <sheet name="1404" sheetId="25" state="visible" r:id="rId26"/>
    <sheet name="2602" sheetId="26" state="visible" r:id="rId27"/>
    <sheet name="1711" sheetId="27" state="visible" r:id="rId28"/>
    <sheet name="1210" sheetId="28" state="visible" r:id="rId29"/>
    <sheet name="05.03.2018" sheetId="29" state="visible" r:id="rId30"/>
    <sheet name="12.03.2018" sheetId="30" state="visible" r:id="rId31"/>
    <sheet name="Аналіз конкурентів АП" sheetId="31" state="visible" r:id="rId3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<sst xmlns="http://schemas.openxmlformats.org/spreadsheetml/2006/main" count="4155" uniqueCount="691">
  <si>
    <t xml:space="preserve">Назва сайту </t>
  </si>
  <si>
    <t xml:space="preserve">Тумба под ТВ Ацтека Azteca RTV2D2S/4/15</t>
  </si>
  <si>
    <t xml:space="preserve">Комод Ацтека Azteca KOM4S/8/11</t>
  </si>
  <si>
    <t xml:space="preserve">Комод Индиана Indiana (сосна канйон) JKOM_4s/80</t>
  </si>
  <si>
    <t xml:space="preserve">Стол письменный Индиана Indiana (сосна канйон) JBIU_2d2s_140</t>
  </si>
  <si>
    <t xml:space="preserve">BRW (БРВ) КОМОД ДЖУЛИ JULY KOM4S/90</t>
  </si>
  <si>
    <t xml:space="preserve">BRW (БРВ) Шкаф платяной Порто Porto SZF3D2S</t>
  </si>
  <si>
    <t xml:space="preserve">Gerbor (Гербор) Комод Соната Sonata 8/s</t>
  </si>
  <si>
    <t xml:space="preserve">BRW (БРВ) Стол компютерный, письменный Каспиан Kaspian Дуб Сонома BIU 1D1S</t>
  </si>
  <si>
    <t xml:space="preserve">Прихожая Непо Nepo PPK</t>
  </si>
  <si>
    <t xml:space="preserve">КВАТРО QUATRO (ВЕНГЕ МАГИЯ) ГОСТИНАЯ</t>
  </si>
  <si>
    <t xml:space="preserve">Gerbor (Гербор) Комод Вушер Vusher KOM 1W2D2S</t>
  </si>
  <si>
    <t xml:space="preserve">КОМОД ГЕРМАН KOM3S/9/12 БРВ</t>
  </si>
  <si>
    <t xml:space="preserve">ТУМБА ПОД ТЕЛЕВИЗОР АЛИСА RTV2S2K ГЕРБОР</t>
  </si>
  <si>
    <t xml:space="preserve">КОМОД КОЕН МДФ KOM4S ГЕРБОР</t>
  </si>
  <si>
    <t xml:space="preserve">Аляска Alaska гостиная</t>
  </si>
  <si>
    <t xml:space="preserve">РЕКОМЕНДОВАНІ ЦІНИ </t>
  </si>
  <si>
    <t xml:space="preserve">http://gerbor.kiev.ua/</t>
  </si>
  <si>
    <t xml:space="preserve">http://www.brwland.com.ua/</t>
  </si>
  <si>
    <t xml:space="preserve">https://vashamebel.in.ua/</t>
  </si>
  <si>
    <t xml:space="preserve">http://mebel-mebel.com.ua/</t>
  </si>
  <si>
    <t xml:space="preserve">http://abcmebli.com.ua</t>
  </si>
  <si>
    <t xml:space="preserve">https://gerbor.mebelok.com/</t>
  </si>
  <si>
    <t xml:space="preserve">http://maxmebel.com.ua/</t>
  </si>
  <si>
    <t xml:space="preserve">https://moyamebel.com.ua/ua</t>
  </si>
  <si>
    <t xml:space="preserve">https://brw.kiev.ua/</t>
  </si>
  <si>
    <t xml:space="preserve">https://shurup.net.ua/</t>
  </si>
  <si>
    <t xml:space="preserve">https://mebel-online.com.ua</t>
  </si>
  <si>
    <t xml:space="preserve">BRWmania.com.ua </t>
  </si>
  <si>
    <t xml:space="preserve">http://redlight.com.ua/</t>
  </si>
  <si>
    <t xml:space="preserve">https://mebli-bristol.com.ua/</t>
  </si>
  <si>
    <t xml:space="preserve">http://gerbor.dp.ua/</t>
  </si>
  <si>
    <t xml:space="preserve">https://www.dybok.com.ua/</t>
  </si>
  <si>
    <t xml:space="preserve">0 грн</t>
  </si>
  <si>
    <t xml:space="preserve">-</t>
  </si>
  <si>
    <t xml:space="preserve">https://mebel-soyuz.com.ua/</t>
  </si>
  <si>
    <t xml:space="preserve">https://sofino.ua/</t>
  </si>
  <si>
    <t xml:space="preserve">https://www.brw-kiev.com.ua/</t>
  </si>
  <si>
    <t xml:space="preserve">https://lvivmebli.com/</t>
  </si>
  <si>
    <t xml:space="preserve">http://centrmebliv.com.ua/</t>
  </si>
  <si>
    <t xml:space="preserve">https://letromebel.com.ua/</t>
  </si>
  <si>
    <t xml:space="preserve">https://www.taburetka.ua</t>
  </si>
  <si>
    <t xml:space="preserve">http://www.maxidom.com.ua/</t>
  </si>
  <si>
    <t xml:space="preserve">https://mebelnuy.com.ua/</t>
  </si>
  <si>
    <t xml:space="preserve">https://amado.com.ua</t>
  </si>
  <si>
    <t xml:space="preserve">Тумба прикроватная BRW Ацтека KOM2S/4/5 Белый глянец</t>
  </si>
  <si>
    <t xml:space="preserve">Комод Home-UA Brw (Black Red White) Злата KOM2D3S 86х41х135 см Дуб тахо / белый глянец</t>
  </si>
  <si>
    <t xml:space="preserve">Тумба прикроватная BRW Индиана Jkom 1s 50 Сосна каньон</t>
  </si>
  <si>
    <t xml:space="preserve">Вешалка Home-UA Brw (Black Red White) Кристина Wie 60 152х24х66 см Белый глянец</t>
  </si>
  <si>
    <t xml:space="preserve">Прихожая Home-UA Brw (Black Red White) Порто Ppk 189х95.5х39.5 см Джанни / Сосна ларик</t>
  </si>
  <si>
    <t xml:space="preserve">Комод BRW Каспиан Kom 1D1SP Дуб сонома</t>
  </si>
  <si>
    <t xml:space="preserve">Стол письменный Home-UA Brw (Black Red White) Маркус Biu 1D1S 1200х755х560 мм Джанни</t>
  </si>
  <si>
    <t xml:space="preserve">Комод Gerbor Тина Сосна каньон + дуб сонома трюфель</t>
  </si>
  <si>
    <t xml:space="preserve">Комод Home-UA Brw (Black Red White) Маркус Kom 4S/11 91х38х106.5 см Джанни</t>
  </si>
  <si>
    <t xml:space="preserve">Тумба прикроватная BRW Лорен Kom 1S Акация мали бронза</t>
  </si>
  <si>
    <t xml:space="preserve">Комод Gerbor Вушер Белый глянец (KOM1D4SL/P)
</t>
  </si>
  <si>
    <t xml:space="preserve">Комод Gerbor Марсель Ясень снежный (KOM4S)
</t>
  </si>
  <si>
    <t xml:space="preserve">Вітрина Gerbor Коен REG1W2S венге
</t>
  </si>
  <si>
    <t xml:space="preserve">Комод Gerbor Опен Орех калифорнийский (KOM4S)</t>
  </si>
  <si>
    <t xml:space="preserve">Комод Gerbor Граф Орех (KOM3D3S)
</t>
  </si>
  <si>
    <t xml:space="preserve">https://epicentrk.ua/ua</t>
  </si>
  <si>
    <t xml:space="preserve">ПРОМ</t>
  </si>
  <si>
    <t xml:space="preserve">https://prom.ua/p1167879150-tumba-pod-rtv.html?</t>
  </si>
  <si>
    <t xml:space="preserve">https://prom.ua/p983011265-komod-kom-811.html?</t>
  </si>
  <si>
    <t xml:space="preserve">https://prom.ua/p544656153-komod-jkom-4s80.html?</t>
  </si>
  <si>
    <t xml:space="preserve">https://prom.ua/p781599812-indiana-kanon-stol.html?</t>
  </si>
  <si>
    <t xml:space="preserve">https://prom.ua/p54713987-komod-kom-4s90.html?</t>
  </si>
  <si>
    <t xml:space="preserve">https://prom.ua/p544657658-shkaf-platyanoj-szf3d2s.html?</t>
  </si>
  <si>
    <t xml:space="preserve">https://prom.ua/p46283355-komod-sonata-sonata.html?</t>
  </si>
  <si>
    <t xml:space="preserve">https://prom.ua/p54675546-stol-pismennyj-biu.html?</t>
  </si>
  <si>
    <t xml:space="preserve">https://prom.ua/p239247927-prihozhaya-ppk-nepo.html?</t>
  </si>
  <si>
    <t xml:space="preserve">https://prom.ua/p542591704-gostinaya-alyaska-alaska.html?&amp;primelead=MC43NA</t>
  </si>
  <si>
    <t xml:space="preserve">https://prom.ua/p24569524-gostinaya-kvatro-gerbor.html?</t>
  </si>
  <si>
    <t xml:space="preserve">https://prom.ua/p553476998-bufet-kom1w2d2s915-gerbor.html?</t>
  </si>
  <si>
    <t xml:space="preserve">https://prom.ua/p1248775724-komod-brv-german.html?</t>
  </si>
  <si>
    <t xml:space="preserve">https://prom.ua/p1274217210-tumba-rtv2s2k-alisa.html?</t>
  </si>
  <si>
    <t xml:space="preserve">https://prom.ua/p181257399-tumba-pod-rtv.html?</t>
  </si>
  <si>
    <t xml:space="preserve">https://prom.ua/p1280431425-komod-kom4s811-atsteka.html?</t>
  </si>
  <si>
    <t xml:space="preserve">https://prom.ua/p781599816-indiana-kanon-komod.html?</t>
  </si>
  <si>
    <t xml:space="preserve">https://prom.ua/p1046920683-stol-pismennyj-indiana.html?</t>
  </si>
  <si>
    <t xml:space="preserve">https://prom.ua/p553477017-dzhuli-komod-kom4s90.html?</t>
  </si>
  <si>
    <t xml:space="preserve">https://prom.ua/p664294628-shkaf-szf-3d2s.html?</t>
  </si>
  <si>
    <t xml:space="preserve">https://prom.ua/p1211287637-komod-gerbor-sonata.html?</t>
  </si>
  <si>
    <t xml:space="preserve">https://prom.ua/p360359972-stol-pismennyj-biu.html</t>
  </si>
  <si>
    <t xml:space="preserve">https://prom.ua/p542943976-prihozhaya-ppk-nepo.html?</t>
  </si>
  <si>
    <t xml:space="preserve">https://prom.ua/p1248753565-gostinaya-gerbor-kvatro.html?</t>
  </si>
  <si>
    <t xml:space="preserve">https://prom.ua/p106094960-komod-vusher-kom.html?</t>
  </si>
  <si>
    <t xml:space="preserve">https://prom.ua/p777526967-german-komod-kom3s912.html?</t>
  </si>
  <si>
    <t xml:space="preserve">https://prom.ua/p1334713993-tumba-pod-rtv2s2k.html?</t>
  </si>
  <si>
    <t xml:space="preserve">https://prom.ua/p886021256-tumba-pod-atsteka.html?</t>
  </si>
  <si>
    <t xml:space="preserve">https://prom.ua/p1125567115-komod-azteca-kom4s811.html?</t>
  </si>
  <si>
    <t xml:space="preserve">https://prom.ua/p1046925343-komod-indiana-jkom4s80.html?</t>
  </si>
  <si>
    <t xml:space="preserve">https://prom.ua/p544656149-stol-pismennyj-jbiu.html?</t>
  </si>
  <si>
    <t xml:space="preserve">https://prom.ua/p1248752651-komod-brv-dzhuli.html?</t>
  </si>
  <si>
    <t xml:space="preserve">https://prom.ua/p644944451-porto-shkaf-szf3d2s.html?</t>
  </si>
  <si>
    <t xml:space="preserve">https://prom.ua/p1288425504-komod-gerbor-sonata.html?</t>
  </si>
  <si>
    <t xml:space="preserve">https://prom.ua/p553476454-nepo-prihozhaya-ppk.html?</t>
  </si>
  <si>
    <t xml:space="preserve">https://prom.ua/p12120301-gostinaya-kvatro-venge.html</t>
  </si>
  <si>
    <t xml:space="preserve">https://prom.ua/p83295231-komod-kom-1w2d2s.html</t>
  </si>
  <si>
    <t xml:space="preserve">https://prom.ua/p847003898-german-komod-kom3s912.html?</t>
  </si>
  <si>
    <t xml:space="preserve">https://prom.ua/p1248803640-tumba-gerbor-alisa.html?</t>
  </si>
  <si>
    <t xml:space="preserve">https://prom.ua/p1214419043-tumba-pod-atsteka.html?</t>
  </si>
  <si>
    <t xml:space="preserve">https://prom.ua/p1215683017-komod-atsteka-kom4s811.html?</t>
  </si>
  <si>
    <t xml:space="preserve">https://prom.ua/p1183266470-komod-jkom-indiana.html</t>
  </si>
  <si>
    <t xml:space="preserve">https://prom.ua/p1183292769-stol-pismennyj-jbiu.html</t>
  </si>
  <si>
    <t xml:space="preserve">https://prom.ua/p1045568873-komod-dzhuli-kom4s90.html?</t>
  </si>
  <si>
    <t xml:space="preserve">https://prom.ua/p1037803293-shkaf-platyanoj-szf.html</t>
  </si>
  <si>
    <t xml:space="preserve">https://prom.ua/p1334931386-komod-gerbor-sonata.html?</t>
  </si>
  <si>
    <t xml:space="preserve">https://prom.ua/p223321231-prihozhaya-ppk-nepo.html?</t>
  </si>
  <si>
    <t xml:space="preserve">https://prom.ua/p18612661-gostinaya-kvatro.html</t>
  </si>
  <si>
    <t xml:space="preserve">https://prom.ua/p1209395741-komod-vusher-kom1w2d2s.html</t>
  </si>
  <si>
    <t xml:space="preserve">https://prom.ua/p1045115919-komod-german-kom3s912.html?</t>
  </si>
  <si>
    <t xml:space="preserve">https://prom.ua/p1248803641-tumba-gerbor-alisa.html?</t>
  </si>
  <si>
    <t xml:space="preserve">https://prom.ua/p1325973811-tumba-brv-atsteka.html?&amp;primelead=MC43OA</t>
  </si>
  <si>
    <t xml:space="preserve">https://prom.ua/p1248752621-komod-brv-atsteka.html?</t>
  </si>
  <si>
    <t xml:space="preserve">https://prom.ua/p372189619-stol-pismennyj-jbiu2d2s140.html</t>
  </si>
  <si>
    <t xml:space="preserve">https://prom.ua/p1209396495-komod-kom4s90-dzhuli.html</t>
  </si>
  <si>
    <t xml:space="preserve">https://prom.ua/p663109577-shkaf-platyanoj-szf3d2s.html</t>
  </si>
  <si>
    <t xml:space="preserve">https://prom.ua/p553479263-komod-gerbor-sonata.html?</t>
  </si>
  <si>
    <t xml:space="preserve">https://prom.ua/p890543855-prihozhaya-ppk-nepo.html?</t>
  </si>
  <si>
    <t xml:space="preserve">https://prom.ua/p512224979-gostinaya-kvatro.html</t>
  </si>
  <si>
    <t xml:space="preserve">https://prom.ua/p1206351035-komod-german-kom3s912.html?</t>
  </si>
  <si>
    <t xml:space="preserve">https://prom.ua/p1220143520-tumba-pod-televizor.html</t>
  </si>
  <si>
    <t xml:space="preserve">http://brw.com.ua/</t>
  </si>
  <si>
    <t xml:space="preserve">https://mebelstyle.net/</t>
  </si>
  <si>
    <t xml:space="preserve">РЕКОМЕНДОВАНІ ЦІНИ 18/05/20</t>
  </si>
  <si>
    <t xml:space="preserve">Доставка </t>
  </si>
  <si>
    <t xml:space="preserve">бесплатна</t>
  </si>
  <si>
    <t xml:space="preserve">платна </t>
  </si>
  <si>
    <r>
      <rPr>
        <b val="true"/>
        <sz val="9"/>
        <color rgb="FFFF0000"/>
        <rFont val="Verdana, Arial, Helvetica, sans-serif"/>
        <family val="0"/>
        <charset val="1"/>
      </rPr>
      <t xml:space="preserve">!</t>
    </r>
    <r>
      <rPr>
        <sz val="9"/>
        <color rgb="FF000000"/>
        <rFont val="Verdana, Arial, Helvetica, sans-serif"/>
        <family val="0"/>
        <charset val="1"/>
      </rPr>
      <t xml:space="preserve">Доставка в межах Львова до під’їзду чи будинку - безкоштовна, якщо сума замовлення більше 10000грн. </t>
    </r>
    <r>
      <rPr>
        <sz val="9"/>
        <color rgb="FF0000FF"/>
        <rFont val="Verdana, Arial, Helvetica, sans-serif"/>
        <family val="0"/>
        <charset val="1"/>
      </rPr>
      <t xml:space="preserve">(файл Моніторинг конкурентів - не тільки Львів)
</t>
    </r>
    <r>
      <rPr>
        <sz val="9"/>
        <color rgb="FF3C78D8"/>
        <rFont val="Verdana, Arial, Helvetica, sans-serif"/>
        <family val="0"/>
        <charset val="1"/>
      </rPr>
      <t xml:space="preserve">Доставка меблів вартістю до 10000грн  складає 160грн.
</t>
    </r>
    <r>
      <rPr>
        <sz val="9"/>
        <color rgb="FF6AA84F"/>
        <rFont val="Verdana, Arial, Helvetica, sans-serif"/>
        <family val="0"/>
        <charset val="1"/>
      </rPr>
      <t xml:space="preserve">Доставка меблів вартістю </t>
    </r>
    <r>
      <rPr>
        <b val="true"/>
        <sz val="9"/>
        <color rgb="FF6AA84F"/>
        <rFont val="Verdana, Arial, Helvetica, sans-serif"/>
        <family val="0"/>
        <charset val="1"/>
      </rPr>
      <t xml:space="preserve">від 10000грн</t>
    </r>
    <r>
      <rPr>
        <sz val="9"/>
        <color rgb="FF6AA84F"/>
        <rFont val="Verdana, Arial, Helvetica, sans-serif"/>
        <family val="0"/>
        <charset val="1"/>
      </rPr>
      <t xml:space="preserve"> </t>
    </r>
    <r>
      <rPr>
        <b val="true"/>
        <sz val="9"/>
        <color rgb="FF6AA84F"/>
        <rFont val="Verdana, Arial, Helvetica, sans-serif"/>
        <family val="0"/>
        <charset val="1"/>
      </rPr>
      <t xml:space="preserve">- безкоштовна.</t>
    </r>
  </si>
  <si>
    <r>
      <rPr>
        <sz val="11"/>
        <color rgb="FF6AA84F"/>
        <rFont val="calibri"/>
        <family val="0"/>
        <charset val="1"/>
      </rPr>
      <t xml:space="preserve">ТК "Новая почта" – в отделение</t>
    </r>
    <r>
      <rPr>
        <b val="true"/>
        <sz val="11"/>
        <color rgb="FF6AA84F"/>
        <rFont val="calibri"/>
        <family val="0"/>
        <charset val="1"/>
      </rPr>
      <t xml:space="preserve"> БЕСПЛАТНО</t>
    </r>
    <r>
      <rPr>
        <sz val="11"/>
        <color rgb="FF6AA84F"/>
        <rFont val="calibri"/>
        <family val="0"/>
        <charset val="1"/>
      </rPr>
      <t xml:space="preserve"> мебель ГЕРБОР и БРВ-Украина при сумме заказа</t>
    </r>
    <r>
      <rPr>
        <b val="true"/>
        <sz val="11"/>
        <color rgb="FF6AA84F"/>
        <rFont val="calibri"/>
        <family val="0"/>
        <charset val="1"/>
      </rPr>
      <t xml:space="preserve"> более 5 тыс. грн.</t>
    </r>
    <r>
      <rPr>
        <sz val="11"/>
        <color rgb="FF6AA84F"/>
        <rFont val="calibri"/>
        <family val="0"/>
        <charset val="1"/>
      </rPr>
      <t xml:space="preserve"> в любой город Украины.</t>
    </r>
    <r>
      <rPr>
        <sz val="11"/>
        <color rgb="FF3C78D8"/>
        <rFont val="calibri"/>
        <family val="0"/>
        <charset val="1"/>
      </rPr>
      <t xml:space="preserve"> </t>
    </r>
    <r>
      <rPr>
        <sz val="11"/>
        <color rgb="FF0000FF"/>
        <rFont val="calibri"/>
        <family val="0"/>
        <charset val="1"/>
      </rPr>
      <t xml:space="preserve">(файл Моніторинг конкурентів - по тарифах НП)
</t>
    </r>
    <r>
      <rPr>
        <sz val="11"/>
        <color rgb="FF3C78D8"/>
        <rFont val="calibri"/>
        <family val="0"/>
        <charset val="1"/>
      </rPr>
      <t xml:space="preserve">ТК "Новая Почта" – адресная доставка БЕСПЛАТНО при сумме заказа более 10 тыс. грн. в любой город Украины. </t>
    </r>
    <r>
      <rPr>
        <sz val="11"/>
        <color rgb="FF0000FF"/>
        <rFont val="calibri"/>
        <family val="0"/>
        <charset val="1"/>
      </rPr>
      <t xml:space="preserve">(файл Моніторинг конкурентів - по тарифах НП)
</t>
    </r>
    <r>
      <rPr>
        <sz val="11"/>
        <color rgb="FF000000"/>
        <rFont val="calibri"/>
        <family val="0"/>
        <charset val="1"/>
      </rPr>
      <t xml:space="preserve">Доставка по Киеву и Днепру (до подъезда) БЕСПЛАТНО при сумме заказа более 5000 грн. </t>
    </r>
    <r>
      <rPr>
        <sz val="11"/>
        <color rgb="FF0000FF"/>
        <rFont val="calibri"/>
        <family val="0"/>
        <charset val="1"/>
      </rPr>
      <t xml:space="preserve">(файл Моніторинг конкурентів - бесплатно)
</t>
    </r>
    <r>
      <rPr>
        <sz val="11"/>
        <color rgb="FF000000"/>
        <rFont val="calibri"/>
        <family val="0"/>
        <charset val="1"/>
      </rPr>
      <t xml:space="preserve">При сумме заказа менее 5000 грн, стоимость доставки - 200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5000 грн. - бесплатно до Кольцевой дороги + 20 грн. / км до подъезда. 
При сумме заказа менее 5000 грн. - 200 грн. до Кольцевой дороги + 20 грн. / км до подъезда.</t>
    </r>
  </si>
  <si>
    <r>
      <rPr>
        <sz val="11"/>
        <color rgb="FF000000"/>
        <rFont val="calibri"/>
        <family val="0"/>
        <charset val="1"/>
      </rPr>
      <t xml:space="preserve">Доставка мебели по Киеву и Днепру
Стоимость доставки мебели зависит от суммы заказа:
- </t>
    </r>
    <r>
      <rPr>
        <sz val="11"/>
        <color rgb="FF6AA84F"/>
        <rFont val="calibri"/>
        <family val="0"/>
        <charset val="1"/>
      </rPr>
      <t xml:space="preserve">cумма заказа более </t>
    </r>
    <r>
      <rPr>
        <b val="true"/>
        <sz val="11"/>
        <color rgb="FF6AA84F"/>
        <rFont val="calibri"/>
        <family val="0"/>
        <charset val="1"/>
      </rPr>
      <t xml:space="preserve">&gt; 5000 грн</t>
    </r>
    <r>
      <rPr>
        <sz val="11"/>
        <color rgb="FF6AA84F"/>
        <rFont val="calibri"/>
        <family val="0"/>
        <charset val="1"/>
      </rPr>
      <t xml:space="preserve">. - доставка до подъезда</t>
    </r>
    <r>
      <rPr>
        <sz val="11"/>
        <color rgb="FF000000"/>
        <rFont val="calibri"/>
        <family val="0"/>
        <charset val="1"/>
      </rPr>
      <t xml:space="preserve"> </t>
    </r>
    <r>
      <rPr>
        <b val="true"/>
        <sz val="11"/>
        <color rgb="FF6AA84F"/>
        <rFont val="calibri"/>
        <family val="0"/>
        <charset val="1"/>
      </rPr>
      <t xml:space="preserve">БЕСПЛАТНО</t>
    </r>
    <r>
      <rPr>
        <sz val="11"/>
        <color rgb="FF000000"/>
        <rFont val="calibri"/>
        <family val="0"/>
        <charset val="1"/>
      </rPr>
      <t xml:space="preserve">;
- cумма заказа менее &lt; 5000 грн. - доставка до подъезда -</t>
    </r>
    <r>
      <rPr>
        <sz val="11"/>
        <color rgb="FF3C78D8"/>
        <rFont val="calibri"/>
        <family val="0"/>
        <charset val="1"/>
      </rPr>
      <t xml:space="preserve"> </t>
    </r>
    <r>
      <rPr>
        <strike val="true"/>
        <sz val="11"/>
        <color rgb="FF3C78D8"/>
        <rFont val="calibri"/>
        <family val="0"/>
        <charset val="1"/>
      </rPr>
      <t xml:space="preserve">200</t>
    </r>
    <r>
      <rPr>
        <sz val="11"/>
        <color rgb="FF3C78D8"/>
        <rFont val="calibri"/>
        <family val="0"/>
        <charset val="1"/>
      </rPr>
      <t xml:space="preserve"> (250) грн.;
</t>
    </r>
    <r>
      <rPr>
        <strike val="true"/>
        <sz val="11"/>
        <color rgb="FF3C78D8"/>
        <rFont val="calibri"/>
        <family val="0"/>
        <charset val="1"/>
      </rPr>
      <t xml:space="preserve">- cумма заказа менее &lt; 1000 грн. - доставка до подъезда - 250 грн.
</t>
    </r>
    <r>
      <rPr>
        <sz val="11"/>
        <color rgb="FF000000"/>
        <rFont val="calibri"/>
        <family val="0"/>
        <charset val="1"/>
      </rPr>
      <t xml:space="preserve">Доставка по области (Киевской и Днепропетровской) + дополнительно 20 грн / 1 км от кольцевой
</t>
    </r>
    <r>
      <rPr>
        <sz val="11"/>
        <color rgb="FF3C78D8"/>
        <rFont val="calibri"/>
        <family val="0"/>
        <charset val="1"/>
      </rPr>
      <t xml:space="preserve">Україна - платно</t>
    </r>
  </si>
  <si>
    <r>
      <rPr>
        <b val="true"/>
        <sz val="11"/>
        <color rgb="FF6AA84F"/>
        <rFont val="calibri"/>
        <family val="0"/>
        <charset val="1"/>
      </rPr>
      <t xml:space="preserve">Бесплатная доставка</t>
    </r>
    <r>
      <rPr>
        <sz val="11"/>
        <color rgb="FF6AA84F"/>
        <rFont val="calibri"/>
        <family val="0"/>
        <charset val="1"/>
      </rPr>
      <t xml:space="preserve"> мебели до подъезда при сумме заказа </t>
    </r>
    <r>
      <rPr>
        <b val="true"/>
        <sz val="11"/>
        <color rgb="FF6AA84F"/>
        <rFont val="calibri"/>
        <family val="0"/>
        <charset val="1"/>
      </rPr>
      <t xml:space="preserve">более 5000 грн.</t>
    </r>
    <r>
      <rPr>
        <sz val="11"/>
        <color rgb="FF6AA84F"/>
        <rFont val="calibri"/>
        <family val="0"/>
        <charset val="1"/>
      </rPr>
      <t xml:space="preserve">, иначе стоимость доставки 200 грн.</t>
    </r>
    <r>
      <rPr>
        <sz val="11"/>
        <color rgb="FF3C78D8"/>
        <rFont val="calibri"/>
        <family val="0"/>
        <charset val="1"/>
      </rPr>
      <t xml:space="preserve"> </t>
    </r>
    <r>
      <rPr>
        <sz val="11"/>
        <color rgb="FF0000FF"/>
        <rFont val="calibri"/>
        <family val="0"/>
        <charset val="1"/>
      </rPr>
      <t xml:space="preserve">(файл Моніторинг конкурентів - на відділення - бесплатно, адрес - 200, Львів своя логістика)
</t>
    </r>
    <r>
      <rPr>
        <sz val="11"/>
        <color rgb="FF000000"/>
        <rFont val="calibri"/>
        <family val="0"/>
        <charset val="1"/>
      </rPr>
      <t xml:space="preserve">Бесплатная доставка мебели и люстр на отделение компании «Новая Почта», при сумме заказа более 300 грн иначе стоимость доставки 35 грн. Бесплатная доставка мебели до подъезда при сумме заказа более 5000 грн., иначе стоимость доставки 200 грн.</t>
    </r>
  </si>
  <si>
    <r>
      <rPr>
        <sz val="11"/>
        <color rgb="FF6AA84F"/>
        <rFont val="calibri"/>
        <family val="0"/>
        <charset val="1"/>
      </rPr>
      <t xml:space="preserve">Покупая мебель на сумму </t>
    </r>
    <r>
      <rPr>
        <b val="true"/>
        <sz val="11"/>
        <color rgb="FF6AA84F"/>
        <rFont val="calibri"/>
        <family val="0"/>
        <charset val="1"/>
      </rPr>
      <t xml:space="preserve">от 3000 грн.</t>
    </r>
    <r>
      <rPr>
        <sz val="11"/>
        <color rgb="FF6AA84F"/>
        <rFont val="calibri"/>
        <family val="0"/>
        <charset val="1"/>
      </rPr>
      <t xml:space="preserve"> - ДОСТАВКА по территории Украины </t>
    </r>
    <r>
      <rPr>
        <b val="true"/>
        <sz val="11"/>
        <color rgb="FF6AA84F"/>
        <rFont val="calibri"/>
        <family val="0"/>
        <charset val="1"/>
      </rPr>
      <t xml:space="preserve">БЕСПЛАТНАЯ</t>
    </r>
    <r>
      <rPr>
        <sz val="11"/>
        <color rgb="FF6AA84F"/>
        <rFont val="calibri"/>
        <family val="0"/>
        <charset val="1"/>
      </rPr>
      <t xml:space="preserve">.</t>
    </r>
    <r>
      <rPr>
        <sz val="11"/>
        <color rgb="FF3C78D8"/>
        <rFont val="calibri"/>
        <family val="0"/>
        <charset val="1"/>
      </rPr>
      <t xml:space="preserve"> </t>
    </r>
    <r>
      <rPr>
        <sz val="11"/>
        <color rgb="FF0000FF"/>
        <rFont val="calibri"/>
        <family val="0"/>
        <charset val="1"/>
      </rPr>
      <t xml:space="preserve">(файл Моніторинг конкурентів - ?)
</t>
    </r>
    <r>
      <rPr>
        <sz val="11"/>
        <color rgb="FF000000"/>
        <rFont val="calibri"/>
        <family val="0"/>
        <charset val="1"/>
      </rPr>
      <t xml:space="preserve">Доставка мебели осуществляется по всей территории Украины.
Варианты доставки:
1) Доставка по г. Харькову:
- при заказе на сумму от 8000 грн. – доставка бесплатная (до подъезда);
- при заказе на сумму до 8000 грн. – 200 грн. (до подъезда).</t>
    </r>
  </si>
  <si>
    <r>
      <rPr>
        <sz val="11"/>
        <color rgb="FF6AA84F"/>
        <rFont val="calibri"/>
        <family val="0"/>
        <charset val="1"/>
      </rPr>
      <t xml:space="preserve">Если возле товара указано </t>
    </r>
    <r>
      <rPr>
        <b val="true"/>
        <sz val="11"/>
        <color rgb="FF6AA84F"/>
        <rFont val="calibri"/>
        <family val="0"/>
        <charset val="1"/>
      </rPr>
      <t xml:space="preserve">БЕСПЛАТНАЯ ДОСТАВКА</t>
    </r>
    <r>
      <rPr>
        <sz val="11"/>
        <color rgb="FF6AA84F"/>
        <rFont val="calibri"/>
        <family val="0"/>
        <charset val="1"/>
      </rPr>
      <t xml:space="preserve"> она осуществляется при заказе </t>
    </r>
    <r>
      <rPr>
        <b val="true"/>
        <sz val="11"/>
        <color rgb="FF6AA84F"/>
        <rFont val="calibri"/>
        <family val="0"/>
        <charset val="1"/>
      </rPr>
      <t xml:space="preserve">от (10000) грн</t>
    </r>
    <r>
      <rPr>
        <sz val="11"/>
        <color rgb="FF3C78D8"/>
        <rFont val="calibri"/>
        <family val="0"/>
        <charset val="1"/>
      </rPr>
      <t xml:space="preserve"> </t>
    </r>
    <r>
      <rPr>
        <sz val="11"/>
        <color rgb="FF0000FF"/>
        <rFont val="calibri"/>
        <family val="0"/>
        <charset val="1"/>
      </rPr>
      <t xml:space="preserve">(файл Моніторинг конкурентів - ?)
</t>
    </r>
    <r>
      <rPr>
        <sz val="11"/>
        <color rgb="FF3C78D8"/>
        <rFont val="calibri"/>
        <family val="0"/>
        <charset val="1"/>
      </rPr>
      <t xml:space="preserve">Если возле товара указано БЕСПЛАТНАЯ СБОРКА она осуществляется при заказе от 10000 грн</t>
    </r>
  </si>
  <si>
    <r>
      <rPr>
        <sz val="11"/>
        <color rgb="FF000000"/>
        <rFont val="calibri"/>
        <family val="0"/>
        <charset val="1"/>
      </rPr>
      <t xml:space="preserve">Доставка по Киеву При заказе мебели от фабрики Гербор и БРВ  на сумму 10000 и больше ДОСТАВКА и подъем БЕСПЛАТНО </t>
    </r>
    <r>
      <rPr>
        <sz val="11"/>
        <color rgb="FF0000FF"/>
        <rFont val="calibri"/>
        <family val="0"/>
        <charset val="1"/>
      </rPr>
      <t xml:space="preserve">(файл Моніторинг конкурентів - &gt; 4000 бесплатно)</t>
    </r>
    <r>
      <rPr>
        <sz val="11"/>
        <color rgb="FF000000"/>
        <rFont val="calibri"/>
        <family val="0"/>
        <charset val="1"/>
      </rPr>
      <t xml:space="preserve"> 
</t>
    </r>
    <r>
      <rPr>
        <sz val="11"/>
        <color rgb="FF3C78D8"/>
        <rFont val="calibri"/>
        <family val="0"/>
        <charset val="1"/>
      </rPr>
      <t xml:space="preserve">Україна - платно</t>
    </r>
  </si>
  <si>
    <r>
      <rPr>
        <strike val="true"/>
        <sz val="11"/>
        <color rgb="FF000000"/>
        <rFont val="calibri"/>
        <family val="0"/>
        <charset val="1"/>
      </rPr>
      <t xml:space="preserve">Бесплатная доставка
Бесплатная доставка осуществляется при стоимости заказа выше 10 000 грн
</t>
    </r>
    <r>
      <rPr>
        <sz val="11"/>
        <color rgb="FF6AA84F"/>
        <rFont val="calibri"/>
        <family val="0"/>
        <charset val="1"/>
      </rPr>
      <t xml:space="preserve">Товары стоимостью больше 1000 гривен с отметкой "Бесплатная доставка" доставляются бесплатно*. 
Адресная доставка на товары стоимостью больше 7000 гривен с отметкой "Бесплатная доставка" по всей Украине</t>
    </r>
    <r>
      <rPr>
        <sz val="11"/>
        <color rgb="FF3C78D8"/>
        <rFont val="calibri"/>
        <family val="0"/>
        <charset val="1"/>
      </rPr>
      <t xml:space="preserve"> </t>
    </r>
    <r>
      <rPr>
        <sz val="11"/>
        <color rgb="FF0000FF"/>
        <rFont val="calibri"/>
        <family val="0"/>
        <charset val="1"/>
      </rPr>
      <t xml:space="preserve">(файл Моніторинг конкурентів - ?)
</t>
    </r>
    <r>
      <rPr>
        <sz val="11"/>
        <color rgb="FF000000"/>
        <rFont val="calibri"/>
        <family val="0"/>
        <charset val="1"/>
      </rPr>
      <t xml:space="preserve">Доставка по Киеву происходит до подъезда Бесплатная доставка - выше 7000 грн.</t>
    </r>
  </si>
  <si>
    <r>
      <rPr>
        <sz val="11"/>
        <color rgb="FF000000"/>
        <rFont val="calibri"/>
        <family val="0"/>
        <charset val="1"/>
      </rPr>
      <t xml:space="preserve">Стоимость доставки мебели по Киеву
• При сумме заказа свыше </t>
    </r>
    <r>
      <rPr>
        <strike val="true"/>
        <sz val="11"/>
        <color rgb="FF3C78D8"/>
        <rFont val="calibri"/>
        <family val="0"/>
        <charset val="1"/>
      </rPr>
      <t xml:space="preserve">10000</t>
    </r>
    <r>
      <rPr>
        <sz val="11"/>
        <color rgb="FF3C78D8"/>
        <rFont val="calibri"/>
        <family val="0"/>
        <charset val="1"/>
      </rPr>
      <t xml:space="preserve"> (8000)</t>
    </r>
    <r>
      <rPr>
        <sz val="11"/>
        <color rgb="FF000000"/>
        <rFont val="calibri"/>
        <family val="0"/>
        <charset val="1"/>
      </rPr>
      <t xml:space="preserve"> грн - бесплатно (до подъезда);
• При сумме заказа до </t>
    </r>
    <r>
      <rPr>
        <strike val="true"/>
        <sz val="11"/>
        <color rgb="FF3C78D8"/>
        <rFont val="calibri"/>
        <family val="0"/>
        <charset val="1"/>
      </rPr>
      <t xml:space="preserve">5000</t>
    </r>
    <r>
      <rPr>
        <sz val="11"/>
        <color rgb="FF3C78D8"/>
        <rFont val="calibri"/>
        <family val="0"/>
        <charset val="1"/>
      </rPr>
      <t xml:space="preserve"> (8000)</t>
    </r>
    <r>
      <rPr>
        <sz val="11"/>
        <color rgb="FF000000"/>
        <rFont val="calibri"/>
        <family val="0"/>
        <charset val="1"/>
      </rPr>
      <t xml:space="preserve"> грн - </t>
    </r>
    <r>
      <rPr>
        <strike val="true"/>
        <sz val="11"/>
        <color rgb="FF3C78D8"/>
        <rFont val="calibri"/>
        <family val="0"/>
        <charset val="1"/>
      </rPr>
      <t xml:space="preserve">100</t>
    </r>
    <r>
      <rPr>
        <sz val="11"/>
        <color rgb="FF3C78D8"/>
        <rFont val="calibri"/>
        <family val="0"/>
        <charset val="1"/>
      </rPr>
      <t xml:space="preserve"> (180*)</t>
    </r>
    <r>
      <rPr>
        <sz val="11"/>
        <color rgb="FF000000"/>
        <rFont val="calibri"/>
        <family val="0"/>
        <charset val="1"/>
      </rPr>
      <t xml:space="preserve"> грн. (до подъезда);
Стоимость доставки мебели по Киевской области
• </t>
    </r>
    <r>
      <rPr>
        <sz val="11"/>
        <color rgb="FF3C78D8"/>
        <rFont val="calibri"/>
        <family val="0"/>
        <charset val="1"/>
      </rPr>
      <t xml:space="preserve">&gt; 8000</t>
    </r>
    <r>
      <rPr>
        <sz val="11"/>
        <color rgb="FF000000"/>
        <rFont val="calibri"/>
        <family val="0"/>
        <charset val="1"/>
      </rPr>
      <t xml:space="preserve"> Васильков и район - бесплатно;
• </t>
    </r>
    <r>
      <rPr>
        <sz val="11"/>
        <color rgb="FF3C78D8"/>
        <rFont val="calibri"/>
        <family val="0"/>
        <charset val="1"/>
      </rPr>
      <t xml:space="preserve">&gt; 8000</t>
    </r>
    <r>
      <rPr>
        <sz val="11"/>
        <color rgb="FF000000"/>
        <rFont val="calibri"/>
        <family val="0"/>
        <charset val="1"/>
      </rPr>
      <t xml:space="preserve"> Калиновка - бесплатно;
</t>
    </r>
    <r>
      <rPr>
        <sz val="11"/>
        <color rgb="FF3C78D8"/>
        <rFont val="calibri"/>
        <family val="0"/>
        <charset val="1"/>
      </rPr>
      <t xml:space="preserve">Україна - платно</t>
    </r>
  </si>
  <si>
    <t xml:space="preserve">Доставка по Україні - платна
Доставка мебели фабрик БРВ, Гербор стоимостью выше 10000грн по харькову бесплатно. Доставка матрасов фабрики Неолюкс выше 3000грн бесплатная</t>
  </si>
  <si>
    <t xml:space="preserve">платна</t>
  </si>
  <si>
    <r>
      <rPr>
        <b val="true"/>
        <sz val="11"/>
        <color rgb="FF6AA84F"/>
        <rFont val="calibri"/>
        <family val="0"/>
        <charset val="1"/>
      </rPr>
      <t xml:space="preserve">БЕСПЛАТНО</t>
    </r>
    <r>
      <rPr>
        <sz val="11"/>
        <color rgb="FF6AA84F"/>
        <rFont val="calibri"/>
        <family val="0"/>
        <charset val="1"/>
      </rPr>
      <t xml:space="preserve">  доставка по Украине мебель БРВ-Украина и ГЕРБОР  при сумме заказа </t>
    </r>
    <r>
      <rPr>
        <b val="true"/>
        <sz val="11"/>
        <color rgb="FF6AA84F"/>
        <rFont val="calibri"/>
        <family val="0"/>
        <charset val="1"/>
      </rPr>
      <t xml:space="preserve">более 5 тыс.грн</t>
    </r>
    <r>
      <rPr>
        <sz val="11"/>
        <color rgb="FF6AA84F"/>
        <rFont val="calibri"/>
        <family val="0"/>
        <charset val="1"/>
      </rPr>
      <t xml:space="preserve"> (доставка на склад Новой почты).
</t>
    </r>
    <r>
      <rPr>
        <sz val="11"/>
        <color rgb="FF000000"/>
        <rFont val="calibri"/>
        <family val="0"/>
        <charset val="1"/>
      </rPr>
      <t xml:space="preserve">Более 5000грн по Киеву до подъезда бесплатная. </t>
    </r>
    <r>
      <rPr>
        <strike val="true"/>
        <sz val="11"/>
        <color rgb="FF3C78D8"/>
        <rFont val="calibri"/>
        <family val="0"/>
        <charset val="1"/>
      </rPr>
      <t xml:space="preserve">От 1000</t>
    </r>
    <r>
      <rPr>
        <sz val="11"/>
        <color rgb="FF000000"/>
        <rFont val="calibri"/>
        <family val="0"/>
        <charset val="1"/>
      </rPr>
      <t xml:space="preserve"> до 5000 - </t>
    </r>
    <r>
      <rPr>
        <strike val="true"/>
        <sz val="11"/>
        <color rgb="FF3C78D8"/>
        <rFont val="calibri"/>
        <family val="0"/>
        <charset val="1"/>
      </rPr>
      <t xml:space="preserve">200</t>
    </r>
    <r>
      <rPr>
        <sz val="11"/>
        <color rgb="FF3C78D8"/>
        <rFont val="calibri"/>
        <family val="0"/>
        <charset val="1"/>
      </rPr>
      <t xml:space="preserve"> (250)</t>
    </r>
    <r>
      <rPr>
        <sz val="11"/>
        <color rgb="FF000000"/>
        <rFont val="calibri"/>
        <family val="0"/>
        <charset val="1"/>
      </rPr>
      <t xml:space="preserve"> грн. </t>
    </r>
    <r>
      <rPr>
        <strike val="true"/>
        <sz val="11"/>
        <color rgb="FF3C78D8"/>
        <rFont val="calibri"/>
        <family val="0"/>
        <charset val="1"/>
      </rPr>
      <t xml:space="preserve">Меньше 1000грн - 250грн. </t>
    </r>
    <r>
      <rPr>
        <sz val="11"/>
        <color rgb="FF000000"/>
        <rFont val="calibri"/>
        <family val="0"/>
        <charset val="1"/>
      </rPr>
      <t xml:space="preserve">За пределами города + 20грн/км</t>
    </r>
  </si>
  <si>
    <t xml:space="preserve">Стоимость доставки по Киеву составляет 50-100 грн.
Стоимость доставки по Киевской области - 150-200грн.  
Занос мебели в квартиру оплачивается дополнительно - от 30 до 100 грн</t>
  </si>
  <si>
    <t xml:space="preserve">По Україні - платна
Безкоштовна доставка по Львову до під"їзду при одноразовому замовленні меблів на суму більше 5000 грн.</t>
  </si>
  <si>
    <r>
      <rPr>
        <strike val="true"/>
        <sz val="11"/>
        <color rgb="FF000000"/>
        <rFont val="Arial, sans-serif"/>
        <family val="0"/>
        <charset val="1"/>
      </rPr>
      <t xml:space="preserve">платна
</t>
    </r>
    <r>
      <rPr>
        <sz val="11"/>
        <color rgb="FF3C78D8"/>
        <rFont val="Arial, sans-serif"/>
        <family val="0"/>
        <charset val="1"/>
      </rPr>
      <t xml:space="preserve">Адресная доставка по Киеву и области - бесплатно. Занос на этаж, при условии, что всё помещается в лифт (рабочий) — бесплатно
По Україні Міст Експрес або нашим транспортом - платна</t>
    </r>
  </si>
  <si>
    <r>
      <rPr>
        <sz val="11"/>
        <color rgb="FF000000"/>
        <rFont val="Arial, sans-serif"/>
        <family val="0"/>
        <charset val="1"/>
      </rPr>
      <t xml:space="preserve">Україна - платна
</t>
    </r>
    <r>
      <rPr>
        <sz val="11"/>
        <color rgb="FF3C78D8"/>
        <rFont val="Arial, sans-serif"/>
        <family val="0"/>
        <charset val="1"/>
      </rPr>
      <t xml:space="preserve">Стоимость доставки мебели по Киеву (до подъезда):
При сумме заказа свыше 4000 грн. – доставка бесплатная;
При сумме заказа до 4000 грн. – доставка 100 грн;
Стоимость доставки мебели по Киевской области (до подъезда): включает в себя стоимость доставки мебели по Киеву + 12 грн за км от КП до места доставки (в одну сторону)</t>
    </r>
  </si>
  <si>
    <r>
      <rPr>
        <sz val="11"/>
        <color rgb="FF000000"/>
        <rFont val="calibri"/>
        <family val="0"/>
        <charset val="1"/>
      </rPr>
      <t xml:space="preserve">По Україні - Оплата за доставку фиксируется и прибавляется к стоимости товара.
</t>
    </r>
    <r>
      <rPr>
        <sz val="11"/>
        <color rgb="FF3C78D8"/>
        <rFont val="calibri"/>
        <family val="0"/>
        <charset val="1"/>
      </rPr>
      <t xml:space="preserve">Доставка по Киеву 
От 5000 грн - бесплатно
до 5000 грн - 150 грн  </t>
    </r>
    <r>
      <rPr>
        <sz val="11"/>
        <color rgb="FF000000"/>
        <rFont val="calibri"/>
        <family val="0"/>
        <charset val="1"/>
      </rPr>
      <t xml:space="preserve">    
</t>
    </r>
    <r>
      <rPr>
        <sz val="11"/>
        <color rgb="FF3C78D8"/>
        <rFont val="calibri"/>
        <family val="0"/>
        <charset val="1"/>
      </rPr>
      <t xml:space="preserve">Україна - платно</t>
    </r>
  </si>
  <si>
    <t xml:space="preserve">сайт відключено</t>
  </si>
  <si>
    <t xml:space="preserve">https://maxmebel.com.ua/</t>
  </si>
  <si>
    <t xml:space="preserve">Україна - платно</t>
  </si>
  <si>
    <t xml:space="preserve">всі ціни були по 0</t>
  </si>
  <si>
    <t xml:space="preserve">РЕКОМЕНДОВАНІ ЦІНИ 17/10</t>
  </si>
  <si>
    <r>
      <rPr>
        <b val="true"/>
        <sz val="9"/>
        <color rgb="FFFF0000"/>
        <rFont val="Verdana, Arial, Helvetica, sans-serif"/>
        <family val="0"/>
        <charset val="1"/>
      </rPr>
      <t xml:space="preserve">!</t>
    </r>
    <r>
      <rPr>
        <sz val="9"/>
        <color rgb="FF000000"/>
        <rFont val="Verdana, Arial, Helvetica, sans-serif"/>
        <family val="0"/>
        <charset val="1"/>
      </rPr>
      <t xml:space="preserve">Доставка в межах Львова до під’їзду чи будинку - безкоштовна, якщо сума замовлення більше 10000грн. </t>
    </r>
    <r>
      <rPr>
        <sz val="9"/>
        <color rgb="FF0000FF"/>
        <rFont val="Verdana, Arial, Helvetica, sans-serif"/>
        <family val="0"/>
        <charset val="1"/>
      </rPr>
      <t xml:space="preserve">(файл Моніторинг конкурентів - не тільки Львів)
</t>
    </r>
    <r>
      <rPr>
        <sz val="9"/>
        <color rgb="FF3C78D8"/>
        <rFont val="Verdana, Arial, Helvetica, sans-serif"/>
        <family val="0"/>
        <charset val="1"/>
      </rPr>
      <t xml:space="preserve">Доставка меблів вартістю до 10000грн  складає 160грн в межах Львова.
Доставка за межі Львова оплачується додатково в розмірі 10грн за 1км.</t>
    </r>
  </si>
  <si>
    <r>
      <rPr>
        <sz val="11"/>
        <color rgb="FF3C78D8"/>
        <rFont val="calibri"/>
        <family val="0"/>
        <charset val="1"/>
      </rPr>
      <t xml:space="preserve">ТК "Новая почта" – в отделение БЕСПЛАТНО мебель ГЕРБОР и БРВ-Украина при сумме заказа более 10 тыс. грн. в любой город Украины. </t>
    </r>
    <r>
      <rPr>
        <sz val="11"/>
        <color rgb="FF0000FF"/>
        <rFont val="calibri"/>
        <family val="0"/>
        <charset val="1"/>
      </rPr>
      <t xml:space="preserve">(файл Моніторинг конкурентів - по тарифах НП)
</t>
    </r>
    <r>
      <rPr>
        <sz val="11"/>
        <color rgb="FF3C78D8"/>
        <rFont val="calibri"/>
        <family val="0"/>
        <charset val="1"/>
      </rPr>
      <t xml:space="preserve">ТК "Новая Почта" – адресная доставка БЕСПЛАТНО при сумме заказа более 10 тыс. грн. в любой город Украины. </t>
    </r>
    <r>
      <rPr>
        <sz val="11"/>
        <color rgb="FF0000FF"/>
        <rFont val="calibri"/>
        <family val="0"/>
        <charset val="1"/>
      </rPr>
      <t xml:space="preserve">(файл Моніторинг конкурентів - по тарифах НП)
</t>
    </r>
    <r>
      <rPr>
        <sz val="11"/>
        <color rgb="FF000000"/>
        <rFont val="calibri"/>
        <family val="0"/>
        <charset val="1"/>
      </rPr>
      <t xml:space="preserve">Доставка по Киеву и Днепру (до подъезда) БЕСПЛАТНО при сумме заказа более 5000 грн. </t>
    </r>
    <r>
      <rPr>
        <sz val="11"/>
        <color rgb="FF0000FF"/>
        <rFont val="calibri"/>
        <family val="0"/>
        <charset val="1"/>
      </rPr>
      <t xml:space="preserve">(файл Моніторинг конкурентів - бесплатно)
</t>
    </r>
    <r>
      <rPr>
        <sz val="11"/>
        <color rgb="FF000000"/>
        <rFont val="calibri"/>
        <family val="0"/>
        <charset val="1"/>
      </rPr>
      <t xml:space="preserve">При сумме заказа менее 5000 грн, стоимость доставки - 200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5000 грн. - бесплатно до Кольцевой дороги + 20 грн. / км до подъезда. 
При сумме заказа менее 5000 грн. - 200 грн. до Кольцевой дороги + 20 грн. / км до подъезда.</t>
    </r>
  </si>
  <si>
    <r>
      <rPr>
        <sz val="11"/>
        <color rgb="FF000000"/>
        <rFont val="calibri"/>
        <family val="0"/>
        <charset val="1"/>
      </rPr>
      <t xml:space="preserve">Доставка мебели по Киеву и Днепру
Стоимость доставки мебели зависит от суммы заказа:
- cумма заказа более &gt; 5000 грн. - доставка до подъезда БЕСПЛАТНО;
- cумма заказа менее &lt; 5000 грн. - доставка до подъезда -</t>
    </r>
    <r>
      <rPr>
        <sz val="11"/>
        <color rgb="FF3C78D8"/>
        <rFont val="calibri"/>
        <family val="0"/>
        <charset val="1"/>
      </rPr>
      <t xml:space="preserve"> </t>
    </r>
    <r>
      <rPr>
        <strike val="true"/>
        <sz val="11"/>
        <color rgb="FF3C78D8"/>
        <rFont val="calibri"/>
        <family val="0"/>
        <charset val="1"/>
      </rPr>
      <t xml:space="preserve">200</t>
    </r>
    <r>
      <rPr>
        <sz val="11"/>
        <color rgb="FF3C78D8"/>
        <rFont val="calibri"/>
        <family val="0"/>
        <charset val="1"/>
      </rPr>
      <t xml:space="preserve"> (250) грн.;
</t>
    </r>
    <r>
      <rPr>
        <strike val="true"/>
        <sz val="11"/>
        <color rgb="FF3C78D8"/>
        <rFont val="calibri"/>
        <family val="0"/>
        <charset val="1"/>
      </rPr>
      <t xml:space="preserve">- cумма заказа менее &lt; 1000 грн. - доставка до подъезда - 250 грн.
</t>
    </r>
    <r>
      <rPr>
        <sz val="11"/>
        <color rgb="FF000000"/>
        <rFont val="calibri"/>
        <family val="0"/>
        <charset val="1"/>
      </rPr>
      <t xml:space="preserve">Доставка по области (Киевской и Днепропетровской) + дополнительно 20 грн / 1 км от кольцевой
</t>
    </r>
    <r>
      <rPr>
        <sz val="11"/>
        <color rgb="FF3C78D8"/>
        <rFont val="calibri"/>
        <family val="0"/>
        <charset val="1"/>
      </rPr>
      <t xml:space="preserve">Україна - платно</t>
    </r>
  </si>
  <si>
    <r>
      <rPr>
        <sz val="11"/>
        <color rgb="FF3C78D8"/>
        <rFont val="calibri"/>
        <family val="0"/>
        <charset val="1"/>
      </rPr>
      <t xml:space="preserve">Бесплатная доставка мебели до подъезда при сумме заказа более 5000 грн., иначе стоимость доставки 200 грн. </t>
    </r>
    <r>
      <rPr>
        <sz val="11"/>
        <color rgb="FF0000FF"/>
        <rFont val="calibri"/>
        <family val="0"/>
        <charset val="1"/>
      </rPr>
      <t xml:space="preserve">(файл Моніторинг конкурентів - на відділення - бесплатно, адрес - 200, Львів своя логістика)
</t>
    </r>
    <r>
      <rPr>
        <sz val="11"/>
        <color rgb="FF000000"/>
        <rFont val="calibri"/>
        <family val="0"/>
        <charset val="1"/>
      </rPr>
      <t xml:space="preserve">Бесплатная доставка мебели и люстр на отделение компании «Новая Почта», при сумме заказа более 300 грн иначе стоимость доставки 35 грн. Бесплатная доставка мебели до подъезда при сумме заказа более 5000 грн., иначе стоимость доставки 200 грн.</t>
    </r>
  </si>
  <si>
    <r>
      <rPr>
        <sz val="11"/>
        <color rgb="FF3C78D8"/>
        <rFont val="calibri"/>
        <family val="0"/>
        <charset val="1"/>
      </rPr>
      <t xml:space="preserve">Покупая мебель торговых марок Luxe Studio, Sofyno, Halmar, Signal, VOX, Ювента, Олимп, ТИС, Эстелла, Zenit, Blonski, Melbe на сумму от 3000 грн. - ДОСТАВКА по территории Украины БЕСПЛАТНАЯ. </t>
    </r>
    <r>
      <rPr>
        <sz val="11"/>
        <color rgb="FF0000FF"/>
        <rFont val="calibri"/>
        <family val="0"/>
        <charset val="1"/>
      </rPr>
      <t xml:space="preserve">(файл Моніторинг конкурентів - ?)
</t>
    </r>
    <r>
      <rPr>
        <sz val="11"/>
        <color rgb="FF000000"/>
        <rFont val="calibri"/>
        <family val="0"/>
        <charset val="1"/>
      </rPr>
      <t xml:space="preserve">Доставка мебели осуществляется по всей территории Украины.
Варианты доставки:
1) Доставка по г. Харькову:
- при заказе на сумму от 8000 грн. – доставка бесплатная (до подъезда);
- при заказе на сумму до 8000 грн. – 200 грн. (до подъезда).</t>
    </r>
  </si>
  <si>
    <r>
      <rPr>
        <sz val="11"/>
        <color rgb="FF000000"/>
        <rFont val="calibri"/>
        <family val="0"/>
        <charset val="1"/>
      </rPr>
      <t xml:space="preserve">Если возле товара указано БЕСПЛАТНАЯ ДОСТАВКА она осуществляется при заказе от </t>
    </r>
    <r>
      <rPr>
        <strike val="true"/>
        <sz val="11"/>
        <color rgb="FF3C78D8"/>
        <rFont val="calibri"/>
        <family val="0"/>
        <charset val="1"/>
      </rPr>
      <t xml:space="preserve">3000</t>
    </r>
    <r>
      <rPr>
        <sz val="11"/>
        <color rgb="FF3C78D8"/>
        <rFont val="calibri"/>
        <family val="0"/>
        <charset val="1"/>
      </rPr>
      <t xml:space="preserve"> (10000) грн </t>
    </r>
    <r>
      <rPr>
        <sz val="11"/>
        <color rgb="FF0000FF"/>
        <rFont val="calibri"/>
        <family val="0"/>
        <charset val="1"/>
      </rPr>
      <t xml:space="preserve">(файл Моніторинг конкурентів - ?)
</t>
    </r>
    <r>
      <rPr>
        <sz val="11"/>
        <color rgb="FF3C78D8"/>
        <rFont val="calibri"/>
        <family val="0"/>
        <charset val="1"/>
      </rPr>
      <t xml:space="preserve">Если возле товара указано БЕСПЛАТНАЯ СБОРКА она осуществляется при заказе от 10000 грн</t>
    </r>
  </si>
  <si>
    <r>
      <rPr>
        <strike val="true"/>
        <sz val="11"/>
        <color rgb="FF000000"/>
        <rFont val="calibri"/>
        <family val="0"/>
        <charset val="1"/>
      </rPr>
      <t xml:space="preserve">Бесплатная доставка
Бесплатная доставка осуществляется при стоимости заказа выше 10 000 грн
</t>
    </r>
    <r>
      <rPr>
        <sz val="11"/>
        <color rgb="FF3C78D8"/>
        <rFont val="calibri"/>
        <family val="0"/>
        <charset val="1"/>
      </rPr>
      <t xml:space="preserve">Доставка по Киеву происходит до подъезда Бесплатная доставка - выше 7000 грн.
Адресная доставка на товары стоимостью больше 7000 гривен с отметкой "Бесплатная доставка" по всей Украине </t>
    </r>
    <r>
      <rPr>
        <sz val="11"/>
        <color rgb="FF0000FF"/>
        <rFont val="calibri"/>
        <family val="0"/>
        <charset val="1"/>
      </rPr>
      <t xml:space="preserve">(файл Моніторинг конкурентів - ?)
</t>
    </r>
    <r>
      <rPr>
        <sz val="11"/>
        <color rgb="FF3C78D8"/>
        <rFont val="calibri"/>
        <family val="0"/>
        <charset val="1"/>
      </rPr>
      <t xml:space="preserve">Товары стоимостью больше 1000 гривен с отметкой "Бесплатная доставка" доставляются бесплатно*. 
При оформлении заказа на серийную мебель, на сумму более 35 000 грн доставка осуществляется БЕСПЛАТНО.</t>
    </r>
  </si>
  <si>
    <t xml:space="preserve">Доставка мебели фабрик БРВ, Гербор стоимостью выше 10000грн по харькову бесплатно. Доставка матрасов фабрики Неолюкс выше 3000грн бесплатная</t>
  </si>
  <si>
    <r>
      <rPr>
        <sz val="11"/>
        <color rgb="FF3C78D8"/>
        <rFont val="calibri"/>
        <family val="0"/>
        <charset val="1"/>
      </rPr>
      <t xml:space="preserve">БЕСПЛАТНО  доставка по Украине мебель БРВ-Украина и ГЕРБОР  при сумме заказа более 10 тыс.грн (доставка на склад Новой почты).
</t>
    </r>
    <r>
      <rPr>
        <sz val="11"/>
        <color rgb="FF000000"/>
        <rFont val="calibri"/>
        <family val="0"/>
        <charset val="1"/>
      </rPr>
      <t xml:space="preserve">Более 5000грн по Киеву до подъезда бесплатная. </t>
    </r>
    <r>
      <rPr>
        <strike val="true"/>
        <sz val="11"/>
        <color rgb="FF3C78D8"/>
        <rFont val="calibri"/>
        <family val="0"/>
        <charset val="1"/>
      </rPr>
      <t xml:space="preserve">От 1000</t>
    </r>
    <r>
      <rPr>
        <sz val="11"/>
        <color rgb="FF000000"/>
        <rFont val="calibri"/>
        <family val="0"/>
        <charset val="1"/>
      </rPr>
      <t xml:space="preserve"> до 5000 - </t>
    </r>
    <r>
      <rPr>
        <strike val="true"/>
        <sz val="11"/>
        <color rgb="FF3C78D8"/>
        <rFont val="calibri"/>
        <family val="0"/>
        <charset val="1"/>
      </rPr>
      <t xml:space="preserve">200</t>
    </r>
    <r>
      <rPr>
        <sz val="11"/>
        <color rgb="FF3C78D8"/>
        <rFont val="calibri"/>
        <family val="0"/>
        <charset val="1"/>
      </rPr>
      <t xml:space="preserve"> (250)</t>
    </r>
    <r>
      <rPr>
        <sz val="11"/>
        <color rgb="FF000000"/>
        <rFont val="calibri"/>
        <family val="0"/>
        <charset val="1"/>
      </rPr>
      <t xml:space="preserve"> грн. </t>
    </r>
    <r>
      <rPr>
        <strike val="true"/>
        <sz val="11"/>
        <color rgb="FF3C78D8"/>
        <rFont val="calibri"/>
        <family val="0"/>
        <charset val="1"/>
      </rPr>
      <t xml:space="preserve">Меньше 1000грн - 250грн. </t>
    </r>
    <r>
      <rPr>
        <sz val="11"/>
        <color rgb="FF000000"/>
        <rFont val="calibri"/>
        <family val="0"/>
        <charset val="1"/>
      </rPr>
      <t xml:space="preserve">За пределами города + 20грн/км</t>
    </r>
  </si>
  <si>
    <r>
      <rPr>
        <sz val="11"/>
        <color rgb="FF000000"/>
        <rFont val="calibri"/>
        <family val="0"/>
        <charset val="1"/>
      </rPr>
      <t xml:space="preserve">Безкоштовна доставка по Львову до під"їзду при одноразовому замовленні меблів на суму більше 5000 грн. </t>
    </r>
    <r>
      <rPr>
        <strike val="true"/>
        <sz val="11"/>
        <color rgb="FF000000"/>
        <rFont val="calibri"/>
        <family val="0"/>
        <charset val="1"/>
      </rPr>
      <t xml:space="preserve">При меншій вартості замовлення меблів ціна доставки меблів по Львову 200 грн.</t>
    </r>
  </si>
  <si>
    <r>
      <rPr>
        <strike val="true"/>
        <sz val="11"/>
        <color rgb="FF000000"/>
        <rFont val="Arial, sans-serif"/>
        <family val="0"/>
        <charset val="1"/>
      </rPr>
      <t xml:space="preserve">платна
</t>
    </r>
    <r>
      <rPr>
        <sz val="11"/>
        <color rgb="FF3C78D8"/>
        <rFont val="Arial, sans-serif"/>
        <family val="0"/>
        <charset val="1"/>
      </rPr>
      <t xml:space="preserve">Стоимость доставки мебели по Киеву (до подъезда):
При сумме заказа свыше 4000 грн. – доставка бесплатная;
При сумме заказа до 4000 грн. – доставка 100 грн;
Стоимость доставки мебели по Киевской области (до подъезда): включает в себя стоимость доставки мебели по Киеву + 12 грн за км от КП до места доставки (в одну сторону);
Україна - платна</t>
    </r>
  </si>
  <si>
    <t xml:space="preserve">Мы осуществляем доставку по всей территории Украины через популярные службы доставки грузов и товаров - "Новая Почта", "Ин-Тайм" и другие.
В каждом отдельном случае вам необходимо уточнять стоимость доставки у транспортной компании.
В регионы мы осуществляем доставку после предоплаты товара.</t>
  </si>
  <si>
    <t xml:space="preserve">Доставка в межах Львова до під’їзду чи будинку - безкоштовна, якщо сума замовлення більше 10000грн.</t>
  </si>
  <si>
    <t xml:space="preserve">Доставка по Киеву и Днепру (до подъезда) БЕСПЛАТНО при сумме заказа более 5000 грн. 
При сумме заказа менее 5000 грн, стоимость доставки - 200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5000 грн. - бесплатно до Кольцевой дороги + 20 грн. / км до подъезда. 
При сумме заказа менее 5000 грн. - 200 грн. до Кольцевой дороги + 20 грн. / км до подъезда.</t>
  </si>
  <si>
    <t xml:space="preserve">Доставка мебели по Киеву и Днепру
Стоимость доставки мебели зависит от суммы заказа:
- cумма заказа более &gt; 5000 грн. - доставка до подъезда БЕСПЛАТНО;
- cумма заказа менее &lt; 5000 грн. - доставка до подъезда - 200 грн.;
- cумма заказа менее &lt; 1000 грн. - доставка до подъезда - 250 грн.
Доставка по области (Киевской и Днепропетровской) + дополнительно 20 грн / 1 км от кольцевой</t>
  </si>
  <si>
    <t xml:space="preserve">Бесплатная доставка мебели и люстр на отделение компании «Новая Почта», при сумме заказа более 300 грн иначе стоимость доставки 35 грн. Бесплатная доставка мебели до подъезда при сумме заказа более 5000 грн., иначе стоимость доставки 200 грн.</t>
  </si>
  <si>
    <t xml:space="preserve">Доставка мебели осуществляется по всей территории Украины.
Варианты доставки:
1) Доставка по г. Харькову:
- при заказе на сумму от 8000 грн. – доставка бесплатная (до подъезда);
- при заказе на сумму до 8000 грн. – 200 грн. (до подъезда).</t>
  </si>
  <si>
    <t xml:space="preserve">Если возле товара указано БЕСПЛАТНАЯ ДОСТАВКА она осуществляется при заказе от 3000 грн </t>
  </si>
  <si>
    <r>
      <rPr>
        <sz val="11"/>
        <color rgb="FF000000"/>
        <rFont val="calibri"/>
        <family val="0"/>
        <charset val="1"/>
      </rPr>
      <t xml:space="preserve">Доставка по Киеву от разных фабрик может отличаться. У кого-то она платная, может быть так же и бесплатной.
Сборка 5% от стоимости товара Гербор и БРВ 
При заказе мебели от фабрики Гербор и БРВ  на сумму 10 000 и больше
ДОСТАВКА и подъем БЕСПЛАТНО, стоимость сборки уточнять у оператора.
Оплата по факту доставки, никакой предоплаты!!!
Данные условия не распространяются на мебель в описании которой указана-предоплата!!!
Доставка заказов по Киеву и Киевской области:
Если сумма заказа не превышает 6000 грн доставка от 150 -200грн,  
Если сумма заказа превышает 6000 грн то доставка по городу Киеву осуществляется бесплатно
</t>
    </r>
    <r>
      <rPr>
        <sz val="11"/>
        <color rgb="FFFF0000"/>
        <rFont val="calibri"/>
        <family val="0"/>
        <charset val="1"/>
      </rPr>
      <t xml:space="preserve">
</t>
    </r>
  </si>
  <si>
    <t xml:space="preserve">Бесплатная доставка
Бесплатная доставка осуществляется при стоимости заказа выше 10 000 грн</t>
  </si>
  <si>
    <t xml:space="preserve">Стоимость доставки мебели по Киеву
• При сумме заказа свыше 10000 грн - бесплатно (до подъезда);
• При сумме заказа до 5000 грн - 100 грн. (до подъезда);
Стоимость доставки мебели по Киевской области
• Васильков и район - бесплатно;
• Калиновка - бесплатно;</t>
  </si>
  <si>
    <t xml:space="preserve">Более 5000грн по Киеву бесплатная. От 1000 до 5000 - 200грн. Меньше 1000грн - 250грн. За пределами города + 20грн/км</t>
  </si>
  <si>
    <t xml:space="preserve">Безкоштовна доставка по Львову при одноразовому замовленні меблів на суму більше 5000 грн. При меншій вартості замовлення меблів ціна доставки меблів по Львову 200 грн.</t>
  </si>
  <si>
    <t xml:space="preserve">Оплата за доставку фиксируется и прибавляется к стоимости товара.
</t>
  </si>
  <si>
    <r>
      <rPr>
        <sz val="11"/>
        <color rgb="FFFF0000"/>
        <rFont val="calibri"/>
        <family val="0"/>
        <charset val="1"/>
      </rPr>
      <t xml:space="preserve">Д</t>
    </r>
    <r>
      <rPr>
        <sz val="11"/>
        <color rgb="FF000000"/>
        <rFont val="calibri"/>
        <family val="0"/>
        <charset val="1"/>
      </rPr>
      <t xml:space="preserve">оставка мебели по Киеву и Днепру
Стоимость доставки мебели зависит от суммы заказа:
- cумма заказа более &gt; 5000 грн. - доставка до подъезда БЕСПЛАТНО;
- cумма заказа менее &lt; 5000 грн. - доставка до подъезда - 200 грн.;
- cумма заказа менее &lt; 1000 грн. - доставка до подъезда - 250 грн.
Доставка по области (Киевской и Днепропетровской) + дополнительно 20 грн / 1 км от кольцевой</t>
    </r>
  </si>
  <si>
    <t xml:space="preserve">http://gerbor.mebli-smerichka.com.ua/</t>
  </si>
  <si>
    <t xml:space="preserve">не вказано на сайті</t>
  </si>
  <si>
    <t xml:space="preserve">Силка на товар</t>
  </si>
  <si>
    <t xml:space="preserve">Шкаф Коэн Коен МДФ SZF2D2S</t>
  </si>
  <si>
    <t xml:space="preserve">Комод Вайт White 4S _90</t>
  </si>
  <si>
    <t xml:space="preserve">Шкаф Либерти Liberti 3D</t>
  </si>
  <si>
    <t xml:space="preserve">РЕКОМЕНДОВАНІ ЦІНИ</t>
  </si>
  <si>
    <t xml:space="preserve">Платна </t>
  </si>
  <si>
    <t xml:space="preserve">https://brwmania.com.ua/gostinaja/modulnye-gostinye/sistema-azteka/tumba-pod-tv-acteka-rtv2d2s415/</t>
  </si>
  <si>
    <t xml:space="preserve">https://brwmania.com.ua/gostinaja/modulnye-gostinye/sistema_indiana__sosna_kanjon/indiana-sosna-kanyon-j-007-stol-pismennyy-jbiu-2d2s-140/</t>
  </si>
  <si>
    <t xml:space="preserve">https://brwmania.com.ua/gostinaja/modulnye-gostinye/sistema_koen_mdf/014-koen-mdf-shafa-szf2d2s/</t>
  </si>
  <si>
    <t xml:space="preserve">https://brwmania.com.ua/gostinaja/modulnye-gostinye/sistema_vajt/008-vayt-komod-4s-90/</t>
  </si>
  <si>
    <t xml:space="preserve">https://brwmania.com.ua/gostinaja/modulnye-gostinye/sistema_nepo/nepo-prihozha-ppk/</t>
  </si>
  <si>
    <t xml:space="preserve">https://brwmania.com.ua/gostinaja/komplekty-gostinyh/aljaska-alaska-gostinaja/</t>
  </si>
  <si>
    <t xml:space="preserve">https://brwmania.com.ua/gostinaja/komplekty-gostinyh/stinka-kvatro-venge-magia/</t>
  </si>
  <si>
    <t xml:space="preserve">https://brwmania.com.ua/spalni/modulnye-spalni/sistema-spalni-liberti/005-shkaf-3d/</t>
  </si>
  <si>
    <t xml:space="preserve">Конкуренти в платній видачі </t>
  </si>
  <si>
    <t xml:space="preserve">https://brwwood.com.ua/</t>
  </si>
  <si>
    <t xml:space="preserve">Бесплатная доставка от 10000грн.
"</t>
  </si>
  <si>
    <t xml:space="preserve">https://brwwood.com.ua/tumbochki-i-tumby/tumby-pod-televizor/001-atsteka-tumba-rtv2d2s-4-15-tumba-pod-televizor</t>
  </si>
  <si>
    <t xml:space="preserve">3 176</t>
  </si>
  <si>
    <t xml:space="preserve">https://brwwood.com.ua/stoly/pismennye-stoly/stol-pismennyj-brw-indiana-sosna-kanjon-jbiu-2d2s-140</t>
  </si>
  <si>
    <t xml:space="preserve">4 901</t>
  </si>
  <si>
    <t xml:space="preserve">https://brwwood.com.ua/shkafy-i-xranenie/dvuxdvernye-shkafy/shkaf-gerbor-koen-mdf-szf2d2s</t>
  </si>
  <si>
    <t xml:space="preserve">4 971</t>
  </si>
  <si>
    <t xml:space="preserve">https://brwwood.com.ua/komody/komod-gerbor-vajt-4s-90</t>
  </si>
  <si>
    <t xml:space="preserve">https://brwwood.com.ua/mebel-dlja-prixozhej/komplekty-prixozhyx/prixozhaja-gerbor-nepo-ppk</t>
  </si>
  <si>
    <t xml:space="preserve">1 834</t>
  </si>
  <si>
    <t xml:space="preserve">https://brwwood.com.ua/mebel-dlja-gostinoj/komplekty-stenok-v-gostnnuju/gostinaja-aljaska-brw</t>
  </si>
  <si>
    <t xml:space="preserve">7 262</t>
  </si>
  <si>
    <t xml:space="preserve">https://brwwood.com.ua/mebel-dlja-gostinoj/komplekty-stenok-v-gostnnuju/gostinaja-kvatro-gerbor</t>
  </si>
  <si>
    <t xml:space="preserve">2 857</t>
  </si>
  <si>
    <t xml:space="preserve">https://brwwood.com.ua/shkafy-i-xranenie/trexdvernye-shkafy/shkaf-brw-liberti-3d</t>
  </si>
  <si>
    <t xml:space="preserve">8 697</t>
  </si>
  <si>
    <t xml:space="preserve">Доставка в межах Львова до під’їзду чи будинку - безкоштовна, якщо сума замовлення більше 10000грн.
Доставка меблів вартістю до 10000грн  складає 160грн в межах Львова.
Доставка за межі Львова оплачується додатково в розмірі 10грн за 1км. Збірка меблів, монтаж, винос на поверх, виклик майстра здійснюється за додаткову оплату.</t>
  </si>
  <si>
    <t xml:space="preserve">https://mebli-bristol.com.ua/acteka-tumba-rtv-2d2s-4-15-brv-ukraina.html</t>
  </si>
  <si>
    <t xml:space="preserve">https://mebli-bristol.com.ua/indiana-stil-pis-movij-jbiu-2d2s-140-sosna-kan-jon-brv-ukraina.html</t>
  </si>
  <si>
    <t xml:space="preserve">https://mebli-bristol.com.ua/koen-shafa-szf-2d2s-mdf-gerbor.html</t>
  </si>
  <si>
    <t xml:space="preserve">https://mebli-bristol.com.ua/vajt-komod-4s-90-gerbor.html</t>
  </si>
  <si>
    <t xml:space="preserve">https://mebli-bristol.com.ua/nepo-peredpokij-ppk-gerbor-9728.html</t>
  </si>
  <si>
    <t xml:space="preserve">https://mebli-bristol.com.ua/aljaska-brv-ukraina.html</t>
  </si>
  <si>
    <t xml:space="preserve">https://mebli-bristol.com.ua/kvatro-gerbor.html</t>
  </si>
  <si>
    <t xml:space="preserve">https://mebli-bristol.com.ua/liberti-shafa-szf-3d-brv-ukraina.html</t>
  </si>
  <si>
    <t xml:space="preserve">https://stuloff.com.ua/index.php?route=common/home</t>
  </si>
  <si>
    <t xml:space="preserve">Бесплатная доставка от 10000грн.
</t>
  </si>
  <si>
    <t xml:space="preserve">https://stuloff.com.ua/stol_pism_jbiu_2d2s_140_indiana_kanjon-?search=%D0%B8%D0%BD%D0%B4%D0%B8%D0%B0%D0%BD%D0%B0&amp;category_id=0&amp;page=3</t>
  </si>
  <si>
    <t xml:space="preserve">https://stuloff.com.ua/chkaf_szf_2d2s_koen_mdf?search=%D0%BA%D0%BE%D0%B5%D0%BD&amp;category_id=0&amp;page=3</t>
  </si>
  <si>
    <t xml:space="preserve">https://stuloff.com.ua/komod_4s_90_white?search=%D0%B2%D0%B0%D0%B9%D1%82&amp;category_id=0</t>
  </si>
  <si>
    <t xml:space="preserve">https://stuloff.com.ua/prichozay_ppk_nepo?search=%D0%BD%D0%B5%D0%BF%D0%BE&amp;category_id=0</t>
  </si>
  <si>
    <t xml:space="preserve">https://stuloff.com.ua/gostinaya_alyaska_brw?search=%D0%B0%D0%BB%D1%8F%D1%81%D0%BA%D0%B0&amp;category_id=0</t>
  </si>
  <si>
    <t xml:space="preserve">https://stuloff.com.ua/gostinay_kvatro_gerbor_venge?search=%D0%BA%D0%B2%D0%B0%D1%82%D1%80%D0%BE&amp;category_id=0</t>
  </si>
  <si>
    <t xml:space="preserve">https://stuloff.com.ua/chkaf_3d_liberti?search=%D0%BB%D0%B8%D0%B1%D0%B5%D1%80%D1%82%D0%B8&amp;category_id=0</t>
  </si>
  <si>
    <t xml:space="preserve">https://www.mebelvdom.ua/</t>
  </si>
  <si>
    <t xml:space="preserve">Мебель доставляется по всей Украине любой удобной для вас транспортной компанией «Новой почтой», «Ин-таймом», «Деливери». Наложка-тариф 20 грн. за оформление + 2% от суммы заказа.</t>
  </si>
  <si>
    <t xml:space="preserve">https://www.mebelvdom.ua/product/tumba-tv-rtv2d2s-4-15-acteka-brv</t>
  </si>
  <si>
    <t xml:space="preserve">https://www.mebelvdom.ua/product/stol-pismennyj-jbiu2d2s-140-indiana-kanon-brv</t>
  </si>
  <si>
    <t xml:space="preserve">https://www.mebelvdom.ua/product/komod-4s-90-vajt-gerbor</t>
  </si>
  <si>
    <t xml:space="preserve">https://www.mebelvdom.ua/product/prihozhaya-ppk-nepo-gerbor</t>
  </si>
  <si>
    <t xml:space="preserve">https://www.mebelvdom.ua/product/gostinaya-alyaska-brv</t>
  </si>
  <si>
    <t xml:space="preserve">https://www.mebelvdom.ua/product/shkaf-szf3d-liberti-brv</t>
  </si>
  <si>
    <t xml:space="preserve">http://abcmebli.com.ua/</t>
  </si>
  <si>
    <t xml:space="preserve">При заказе мебели от фабрики Гербор и БРВ  на сумму 10 000 и больше
Київ :Если сумма заказа не превышает 6000 грн доставка от 150 -200грн,
Если сумма заказа превышает 6000 грн то доставка по городу Киеву осуществляется бесплатно.</t>
  </si>
  <si>
    <t xml:space="preserve">http://abcmebli.com.ua/p14992-tumba_tv_rtv2d2s-4-15_atsteka</t>
  </si>
  <si>
    <t xml:space="preserve">http://abcmebli.com.ua/p1892-stol_pismenniy_jbiu2d2s_140_indiana</t>
  </si>
  <si>
    <t xml:space="preserve">http://abcmebli.com.ua/p15143-koen_mdf_shkaf_szf2d2s</t>
  </si>
  <si>
    <t xml:space="preserve">http://abcmebli.com.ua/p15658-komod_4s_90_vayt_gerbor</t>
  </si>
  <si>
    <t xml:space="preserve">http://abcmebli.com.ua/p15897-nepo_prihozhaya_ppk_gerbor</t>
  </si>
  <si>
    <t xml:space="preserve">http://abcmebli.com.ua/p15191-stenka_alyaska_brv</t>
  </si>
  <si>
    <t xml:space="preserve">http://abcmebli.com.ua/p2515-stenka_kvatro_gerbor</t>
  </si>
  <si>
    <t xml:space="preserve">http://abcmebli.com.ua/p15617-shkaf_szf3d_liberti_brv</t>
  </si>
  <si>
    <t xml:space="preserve">Доставка заказа по Киеву и Киевской области:
Вся мебель (за исключением мягкой мебели) доставляется в разобранном виде в плоских картонных упаковках. Срок доставки мебели, при наличии на складе 1-2 дня.
Служба доставки интернет магазина мебели Максидом работает ежедневно с 12-00 до 20-00, кроме субботы и воскресенья.
Стоимость доставки мебели по Киеву (до подъезда):
При сумме заказа свыше 5000 грн. – доставка бесплатная;
При сумме заказа от 1000 грн до 5000 грн. – доставка 100 грн;
При сумме заказа до 1000 грн. – доставка 100 грн;
Стоимость доставки мебели по Киевской области (до подъезда): включает в себя стоимость доставки мебели по Киеву + 12 грн за км от КП до места доставки (в одну сторону); Доставка по Украине:
Заказанный товар доставляется компаниями грузоперевозчиками "Новая почта", "Деливери", "Автолюкс", либо любой другой на Ваш выбор. При доставке мебели по Украине (за исключением доставки по Киеву и Киевской области), оплата возможна только по безналичному расчету. Стоимость доставки по Украине оплачивается при получении товара в офисе грузоперевозчика (также, возможна доставка заказанной мебели "до дверей" - по адресу Вашего проживания). Срок отправики заказанного товара - от 1 до 3 дней после поступления 100% оплаты за мебель на наш расчетный счет.</t>
  </si>
  <si>
    <t xml:space="preserve">http://www.maxidom.com.ua/tumba-rtv-atsteka-2d2s415.html?search_string=%D2%F3%EC%E1%E0+%D0%D2%C2+%C0%F6%F2%E5%EA%E0+2D2S%2F4%2F15</t>
  </si>
  <si>
    <t xml:space="preserve">http://www.maxidom.com.ua/stol_pismenniy_indiana_jbiu2d2s.html?search_string=%E8%ED%E4%E8%E0%ED%E0</t>
  </si>
  <si>
    <t xml:space="preserve">http://www.maxidom.com.ua/shkaf-szf2d2s-koen-mdf.html?search_string=%D8%EA%E0%F4+SZF2D2S+%CA%EE%E5%ED+%28%CC%C4%D4%29</t>
  </si>
  <si>
    <t xml:space="preserve">http://www.maxidom.com.ua/komod-vayt-4s-90.html?search_string=%CA%EE%EC%EE%E4+%C2%E0%E9%F2+4S+90</t>
  </si>
  <si>
    <t xml:space="preserve">http://www.maxidom.com.ua/prihozhaya-nepo-ppk.html?search_string=%ED%E5%EF%EE</t>
  </si>
  <si>
    <t xml:space="preserve">http://www.maxidom.com.ua/stenka-alyaska.html?search_string=%C0%EB%FF%F1%EA%E0</t>
  </si>
  <si>
    <t xml:space="preserve">http://www.maxidom.com.ua/stenka-kvatro.html?search_string=%EA%E2%E0%F2%F0%EE</t>
  </si>
  <si>
    <t xml:space="preserve">http://www.maxidom.com.ua/shkaf-liberti-3d.html?search_string=%EB%E8%E1%E5%F0%F2%E8</t>
  </si>
  <si>
    <t xml:space="preserve">Бесплатная доставка мебели и люстр на отделение компании «Новая Почта», при сумме заказа более 300 грн., иначе стоимость доставки 35 грн. Бесплатная доставка люстр до подъезда и на отделение компании «Укрпошта», при сумме заказа более 300 грн., иначе стоимость доставки 35 грн. Бесплатная доставка мебели до подъезда при сумме заказа более 3000 грн., иначе стоимость доставки 100 грн. Предоставляем сопровождающую документацию для перевозки мебели за границу.
</t>
  </si>
  <si>
    <t xml:space="preserve">https://www.dybok.com.ua/ru/product/detail/35816</t>
  </si>
  <si>
    <t xml:space="preserve">https://www.dybok.com.ua/ru/product/detail/4291</t>
  </si>
  <si>
    <t xml:space="preserve">https://www.dybok.com.ua/ru/product/detail/6363</t>
  </si>
  <si>
    <t xml:space="preserve">https://www.dybok.com.ua/ru/product/detail/12057</t>
  </si>
  <si>
    <t xml:space="preserve">https://www.dybok.com.ua/ru/product/detail/18085</t>
  </si>
  <si>
    <t xml:space="preserve">https://www.dybok.com.ua/ru/product/detail/50410</t>
  </si>
  <si>
    <t xml:space="preserve">https://www.dybok.com.ua/ru/product/detail/6077</t>
  </si>
  <si>
    <t xml:space="preserve">https://www.dybok.com.ua/ru/product/detail/31073</t>
  </si>
  <si>
    <t xml:space="preserve">http://mebmarket.com.ua/#meb-main</t>
  </si>
  <si>
    <t xml:space="preserve">Доставка согласно тарифам почты. На некоторые позиции есть фиксированая стоимость доставки.</t>
  </si>
  <si>
    <t xml:space="preserve">http://mebmarket.com.ua/gostinaya1/modulnye-sistemy-dlya-gostinnykh/acteka/rtv2d2s-acteka-detail.html</t>
  </si>
  <si>
    <t xml:space="preserve">http://mebmarket.com.ua/modulnye-sistemy/i-k/2014-04-30-13-16-35/stol-pismennyj-jbiu-2d2s-140-indiana-dub-shutter-3261-detail.html</t>
  </si>
  <si>
    <t xml:space="preserve">http://mebmarket.com.ua/gostinaya1/shkafy/shkafy/szf2d2s-koen-mdf-detail.html</t>
  </si>
  <si>
    <t xml:space="preserve">----------------------</t>
  </si>
  <si>
    <t xml:space="preserve">-------------------</t>
  </si>
  <si>
    <t xml:space="preserve">---------------</t>
  </si>
  <si>
    <t xml:space="preserve">http://mebmarket.com.ua/gostinaya1/gostinye/gostinye-gerbor-i-brw/gostinaya-kvatro-venge-magiya-detail.html</t>
  </si>
  <si>
    <t xml:space="preserve">-----------------</t>
  </si>
  <si>
    <t xml:space="preserve">https://prom.ua/</t>
  </si>
  <si>
    <t xml:space="preserve">https://prom.ua/p942307244-atsteka-tumba-pod.html</t>
  </si>
  <si>
    <t xml:space="preserve">https://prom.ua/p855482757-stol-pismennyj-jbiu.html</t>
  </si>
  <si>
    <t xml:space="preserve">4 899</t>
  </si>
  <si>
    <t xml:space="preserve">https://prom.ua/p356287589-shkaf-szf2d2s-koen.html</t>
  </si>
  <si>
    <t xml:space="preserve">https://prom.ua/p571241833-komod-vajt.html</t>
  </si>
  <si>
    <t xml:space="preserve">4 634</t>
  </si>
  <si>
    <t xml:space="preserve">https://prom.ua/p589661092-stenka-alyaska-brv.html</t>
  </si>
  <si>
    <t xml:space="preserve">Стоимость доставки нужно уточнять при заказе.</t>
  </si>
  <si>
    <t xml:space="preserve">https://shurup.net.ua/azteca-acteka-tumba-rtv2d2s415.p17205</t>
  </si>
  <si>
    <t xml:space="preserve">https://shurup.net.ua/stol-pismennyj-jbiu-2d2s-140-indiana-sosna-kanon.p9423</t>
  </si>
  <si>
    <t xml:space="preserve">https://shurup.net.ua/shkaf-szf2d2s-koen-mdf.p1208</t>
  </si>
  <si>
    <t xml:space="preserve">https://shurup.net.ua/komod-4s-90-vajt.p11059</t>
  </si>
  <si>
    <t xml:space="preserve">https://shurup.net.ua/prihozhaya-rrk-nepo.p13611</t>
  </si>
  <si>
    <t xml:space="preserve">https://shurup.net.ua/gostinaja-aljaska.p28551</t>
  </si>
  <si>
    <t xml:space="preserve">https://shurup.net.ua/gostinaya-kvatro-venge-magiya.p836</t>
  </si>
  <si>
    <t xml:space="preserve">---------------------</t>
  </si>
  <si>
    <t xml:space="preserve">Конкуренти в безплатній видачі </t>
  </si>
  <si>
    <t xml:space="preserve">Стоимость доставки мебели в регионы рассчитывается Новой Почтой перед отправкой груза. Услуги перевозчика оплачиваются отдельно, в отделении Новой Почты.  По Киеву до подъезда: более 10000грн-бесплатно; от 1000 до 10000 - 250грн; менее 1000 - 350грн. </t>
  </si>
  <si>
    <t xml:space="preserve">https://www.brw-kiev.com.ua/catalog/mebel/kabinet/azteca-shafka_pid_tv-rtv2d2s_4_15-000004821.html?sphrase_id=71202</t>
  </si>
  <si>
    <t xml:space="preserve">6 719</t>
  </si>
  <si>
    <t xml:space="preserve">https://www.brw-kiev.com.ua/catalog/mebel/kabinet/indiana-stil_pis_moviy-jbiu2d2s-000000254.html</t>
  </si>
  <si>
    <t xml:space="preserve">5 159</t>
  </si>
  <si>
    <t xml:space="preserve">------------------</t>
  </si>
  <si>
    <t xml:space="preserve">https://www.brw-kiev.com.ua/catalog/mebel/vayt-komod-kom4s_90-000008377.html</t>
  </si>
  <si>
    <t xml:space="preserve">https://www.brw-kiev.com.ua/catalog/mebel/nepo-peredpokiy-ppk-000006567.html</t>
  </si>
  <si>
    <t xml:space="preserve">1 929</t>
  </si>
  <si>
    <t xml:space="preserve">https://www.brw-kiev.com.ua/catalog/mebel/stinki-vital_nya-alaska-000006901.html</t>
  </si>
  <si>
    <t xml:space="preserve">7 649</t>
  </si>
  <si>
    <t xml:space="preserve">https://www.brw-kiev.com.ua/catalog/mebel/liberty-shafa-szf_3d-000006341.html</t>
  </si>
  <si>
    <t xml:space="preserve">Доставка мебели по Киеву и Днепру
Стоимость доставки мебели зависит от суммы заказа:
- cумма заказа более &gt; 5000 грн. - доставка до подъезда БЕСПЛАТНО;
- cумма заказа менее &lt; 5000 грн. - доставка до подъезда - 250 грн.;
Доставка по области (Киевской и Днепропетровской) + дополнительно 20 грн / 1 км от кольцевой. Доставка по Украине соглано тарифам Новой Почти.</t>
  </si>
  <si>
    <t xml:space="preserve">http://www.brwland.com.ua/product/azteca-tumba-tv-rtv2d2s415-brv-ukraina/</t>
  </si>
  <si>
    <t xml:space="preserve">http://www.brwland.com.ua/product/indiana-kanjon-stol-pismennyj-jbiu-2d2s140-brv-ukraina/</t>
  </si>
  <si>
    <t xml:space="preserve">http://www.brwland.com.ua/product/koen-szf-2d2s-shkaf-gerbor/</t>
  </si>
  <si>
    <t xml:space="preserve">http://www.brwland.com.ua/product/white-komod-4s90-gerbor/</t>
  </si>
  <si>
    <t xml:space="preserve">http://www.brwland.com.ua/product/nepo-prihozhaja-ppk-gerbor/</t>
  </si>
  <si>
    <t xml:space="preserve">http://www.brwland.com.ua/category/mebel-alaska-brw-ukraina/</t>
  </si>
  <si>
    <t xml:space="preserve">http://www.brwland.com.ua/product/liberti-shkaf-szf3d-brv-ukraina/</t>
  </si>
  <si>
    <t xml:space="preserve">Доставка по Киеву и Днепру (до подъезда) БЕСПЛАТНО при сумме заказа более 10000 грн. 
При сумме заказа менее 10000 грн, стоимость доставки - 250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10000 грн. - бесплатно до Кольцевой дороги + 20 грн. / км до подъезда. 
При сумме заказа менее 10000 грн. - 250 грн. до Кольцевой дороги + 20 грн. / км до подъезда. Доставка Новой Почтой оплачивается отдельно на отделении Новой Почты.
Наложенный платеж 2% (если заказ оплачивается полностью на карту, данный процент не оплачивается).
Стоимость доставки мебели в регионы рассчитывается на Новой Почте при отправке заказа.</t>
  </si>
  <si>
    <t xml:space="preserve">http://gerbor.kiev.ua/mebelnye-sistemy/mebel-brw-azteca/azteca-tumba-tv-rtv2d2s-brv/</t>
  </si>
  <si>
    <t xml:space="preserve">http://gerbor.kiev.ua/mebelnye-sistemy/mebel-indiana-brw/indiana-stol-pismennyy-jbiu2d2s140-brv/</t>
  </si>
  <si>
    <t xml:space="preserve">http://gerbor.kiev.ua/mebelnye-sistemy/mebel-koen-gerbor/koen-penal-reg2d2s-gerbor/</t>
  </si>
  <si>
    <t xml:space="preserve">http://gerbor.kiev.ua/mebelnye-sistemy/mebel-white-gerbor/white-komod-4s90-gerbor/</t>
  </si>
  <si>
    <t xml:space="preserve">http://gerbor.kiev.ua/mebelnye-sistemy/mebel-nepo-gerbor/nepo-prikhozhaya-ppk-gerbor/</t>
  </si>
  <si>
    <t xml:space="preserve">http://gerbor.kiev.ua/mebelnye-sistemy/mebel-alaska-brw/alaska-gostinaya-brw/</t>
  </si>
  <si>
    <t xml:space="preserve">http://gerbor.kiev.ua/mebelnye-sistemy/mebel-liberti-brw/liberti-shkaf-szf3d-brv/</t>
  </si>
  <si>
    <t xml:space="preserve">http://maxmebel.com.ua/_hh11.htm#gg33</t>
  </si>
  <si>
    <t xml:space="preserve">http://maxmebel.com.ua/pi/products_id/15620</t>
  </si>
  <si>
    <t xml:space="preserve">http://maxmebel.com.ua/pi/products_id/4909</t>
  </si>
  <si>
    <t xml:space="preserve">http://maxmebel.com.ua/pi/products_id/6503</t>
  </si>
  <si>
    <t xml:space="preserve">http://maxmebel.com.ua/pi/products_id/13019</t>
  </si>
  <si>
    <t xml:space="preserve">http://maxmebel.com.ua/pi/products_id/14792</t>
  </si>
  <si>
    <t xml:space="preserve">http://maxmebel.com.ua/pi/products_id/509</t>
  </si>
  <si>
    <t xml:space="preserve">http://maxmebel.com.ua/pi/products_id/6732</t>
  </si>
  <si>
    <t xml:space="preserve">http://maxmebel.com.ua/pi/products_id/19831</t>
  </si>
  <si>
    <t xml:space="preserve">https://promebli.ua/</t>
  </si>
  <si>
    <t xml:space="preserve">КИЕВ: Доставка осуществляется нашей службой доставки. При стандартных условиях доставки - стоимость доставки составляет: при заказе на суму до 1500 грн - 50 грн., больше 1500 грн. - доставка бесплатная. КИЕВСКАЯ ОБЛ.: Доставка осуществляется нашей службой доставки. Стоимость доставки рассчитывается по формуле = стоимость доставки по Киеву + 7 грн/км от черты города. Стоимость доставки товара доступного со склада в Днепре (или доставляется напрямую с фабрики) составляет: при заказе на суму до 2500 грн - 150 грн., больше 2500 грн. - доставка бесплатная. Срок, стоимость и возможность доставки по Днепру описаны на страницах описания товаров. Доставка осуществляется службами курьерской доставки, такими как Новая почта и Дэливери. Стоимость доставки рассчитывается по тарифам выше названых перевозчиков. При расчете стоимости учитываются вес и габаритные размеры товара, а так же расстояния между пунктами назначения. Доставка может осуществляется до склада перевозчика или до дверей заказчика. В последнем случае доставка обычно стоит дороже. Доставка по городам Украины происходит после предоплаты (от 10%)</t>
  </si>
  <si>
    <t xml:space="preserve">https://promebli.ua/tv-tumba-rtv2d2s-4-15-azteca-brw-belaja.html</t>
  </si>
  <si>
    <t xml:space="preserve">https://promebli.ua/jbiu2d2s.html</t>
  </si>
  <si>
    <t xml:space="preserve">https://promebli.ua/shkaf-szf2d2s-koen-mdf-gerbor.html</t>
  </si>
  <si>
    <t xml:space="preserve">https://promebli.ua/komod-4s-90-vait-gerbor.html</t>
  </si>
  <si>
    <t xml:space="preserve">https://promebli.ua/prihozhaja-ppk-nepo-gerbor.html</t>
  </si>
  <si>
    <t xml:space="preserve">https://promebli.ua/stenka-aljaska-brw.html</t>
  </si>
  <si>
    <t xml:space="preserve">https://promebli.ua/stenka-quatro--kvatro--brw.html</t>
  </si>
  <si>
    <t xml:space="preserve">https://promebli.ua/shkaf-3d-liberty-brw.html</t>
  </si>
  <si>
    <t xml:space="preserve">https://komod-bc.com.ua/</t>
  </si>
  <si>
    <t xml:space="preserve">Доставка по Киеву и Киевской области от 2000грн. бесплатно. Доставка по Украине согласно тарифам НП с учетом корпоративной скидки.</t>
  </si>
  <si>
    <t xml:space="preserve">https://komod-bc.com.ua/products/tumba-s205-rtv2d2s415-atsteka-001</t>
  </si>
  <si>
    <t xml:space="preserve">https://komod-bc.com.ua/products/stol-pismennyj-jbiu-2d2s-140-indiana-j-007</t>
  </si>
  <si>
    <t xml:space="preserve">https://komod-bc.com.ua/products/shkaf-szf-2d2s-koen-014</t>
  </si>
  <si>
    <t xml:space="preserve">https://komod-bc.com.ua/products/komod-4s-90-vajt-008</t>
  </si>
  <si>
    <t xml:space="preserve">https://komod-bc.com.ua/products/prihozhaya-rrk-nepo-019</t>
  </si>
  <si>
    <t xml:space="preserve">https://komod-bc.com.ua/products/gostinaya-alyaska</t>
  </si>
  <si>
    <t xml:space="preserve">https://komod-bc.com.ua/products/gostinaya-kvatro</t>
  </si>
  <si>
    <t xml:space="preserve">https://komod-bc.com.ua/products/shkaf-3d-liberti-005</t>
  </si>
  <si>
    <t xml:space="preserve">https://www.mebelok.com/</t>
  </si>
  <si>
    <t xml:space="preserve">Бесплатная доставка осуществляется при стоимости заказа выше 10 000 грн. https://www.mebelok.com/info-o-dostavke/</t>
  </si>
  <si>
    <t xml:space="preserve">https://www.mebelok.com/tymba-tv-rtv2d2s415-acteka/</t>
  </si>
  <si>
    <t xml:space="preserve">https://www.mebelok.com/stol-pismennyy-jbiu-2d2s-140/#option-74736-549003/</t>
  </si>
  <si>
    <t xml:space="preserve">https://www.mebelok.com/koen-shkaf-szf2d2s-mdf/</t>
  </si>
  <si>
    <t xml:space="preserve">https://www.mebelok.com/prihojaya-ppk-nepo/</t>
  </si>
  <si>
    <t xml:space="preserve">https://www.mebelok.com/gostinaya-kvatro/</t>
  </si>
  <si>
    <t xml:space="preserve">https://www.mebelok.com/shkaf-3d-liberti/</t>
  </si>
  <si>
    <t xml:space="preserve">Доставка мебели по Киеву
В любой район города!
При заказе мебели от фабрики Гербор и БРВ  на сумму 10 000 и больше ДОСТАВКА и подъем БЕСПЛАТНО.
Стоимость доставки мебели по Киеву: Зависит от расстояния от склада, по тарифам службы доставки.
Стоимость доставки мебели за пределы Киева: по тарифам службы доставки.
Стоимость заноса/подъема в квартиру: Зависит от габаритов, тяжести, количества элементов и этажа от 50 грн.
Доставка по Украине
Мы осуществляем доставку по всей территории Украины через популярные службы доставки грузов и товаров - "Новая Почта", "Ин-Тайм" и другие.
В каждом отдельном случае вам необходимо уточнять стоимость доставки у транспортной компании.
В регионы мы осуществляем доставку после предоплаты товара.</t>
  </si>
  <si>
    <t xml:space="preserve">http://redlight.com.ua/cat/mebel-dlja-gostinnoj/tv-stands/tumba-tv-rtv2d2s-4-15-atsteka.html</t>
  </si>
  <si>
    <t xml:space="preserve">http://redlight.com.ua/cat/stoly/pisminnye/stol-pismenniy-jbiu-2d2s-indiana.html</t>
  </si>
  <si>
    <t xml:space="preserve">http://redlight.com.ua/cat/modulnaya-mebel/shkaf/shkaf-szf2d2s-koen-(mdf).html</t>
  </si>
  <si>
    <t xml:space="preserve">http://redlight.com.ua/cat/modulnaya-mebel/komod/vayt-komod-4s-90.html</t>
  </si>
  <si>
    <t xml:space="preserve">http://redlight.com.ua/cat/prihozhie/sovremennye/nepo-prihozhaya-rrk-.html</t>
  </si>
  <si>
    <t xml:space="preserve">http://redlight.com.ua/cat/mebel-dlja-gostinnoj/stenki/stenka-alyaska.html</t>
  </si>
  <si>
    <t xml:space="preserve">http://redlight.com.ua/cat/mebel-dlja-gostinnoj/stenki/stenka-kvatro.html</t>
  </si>
  <si>
    <t xml:space="preserve">http://redlight.com.ua/cat/modulnaya-mebel/shkaf/liberti-shkaf-szf3d.html</t>
  </si>
  <si>
    <t xml:space="preserve">https://zapadmebel.com.ua/</t>
  </si>
  <si>
    <t xml:space="preserve">Стоимость доставки по Киеву и Киевской области:
При сумме заказа до 1000 грн – 200 грн (до подъезда);
При сумме заказа от 1000 до 5000 грн – 150 грн (до подъезда);
При сумме заказа от 5000 грн – бесплатно (до подъезда);Если Вы проживаете не в Киеве или Киевской области, заказанная Вами мебель может быть доставлена в любую точку Украины с помощью транспортных компаний, таких как Новая Почта, Деливери, Интайм, Мист Экспресс или любой другой компанией, которая будет удобная для Вас. Для того что-бы узнать точную суму доставки обращатся к мененджеру.</t>
  </si>
  <si>
    <t xml:space="preserve">https://zapadmebel.com.ua/mebel-brw/tumba-s205-rtv2d2s-4-15-atsteka-001/</t>
  </si>
  <si>
    <t xml:space="preserve">https://zapadmebel.com.ua/mebel-brw/indiana-stol-pismennyj-jbiu2d2s/</t>
  </si>
  <si>
    <t xml:space="preserve">https://zapadmebel.com.ua/mebel-gerbor/shkaf-szf2d2s-koen-mdf-014/</t>
  </si>
  <si>
    <t xml:space="preserve">https://zapadmebel.com.ua/mebel-gerbor/vajt-komod-4s-90/</t>
  </si>
  <si>
    <t xml:space="preserve">https://zapadmebel.com.ua/mebel-gerbor/prihozhaya-ppk-nepo/</t>
  </si>
  <si>
    <t xml:space="preserve">https://zapadmebel.com.ua/mebel-brw/gostinaya-alyaska/</t>
  </si>
  <si>
    <t xml:space="preserve">https://zapadmebel.com.ua/stenki-gostinye/stenka-kvatro/</t>
  </si>
  <si>
    <t xml:space="preserve">https://zapadmebel.com.ua/shkafy/liberti-shkaf-3d/</t>
  </si>
  <si>
    <t xml:space="preserve">https://meblihit.com.ua/</t>
  </si>
  <si>
    <t xml:space="preserve">Доставка до подъезда по г. Львов - 250грн, Доставка по области - 15грн/км согласно графику поставок, подробнее в менеджеров, Доставка по области и другие города нашим транспортом, рассчитывается по тарифу 15,00 грн. - 1 километр. (Рассчитывается в обе стороны, например Львов - Трускавец: 100 км = 1500 грн.)
Самовывоз товара по адресу: г. Львов, ул. Кукурудзяна, 2
Доставка Акционного товара: по Львову 250 грн.
Стоимость доставки мебели из нашего магазина в другие города Украины - согласно расценкам курьерских служб.  Условия бесплатной доставки по Украине:    
На товаре должна быть метка "Бесплатная доставка по Украине" 
Доставка производится на склад куръерской службы в Вашем городе, доставка до подъезда оплачивается отдельно.
Если доставка происходит наложенным платежом, возврат средств оплачивает покупатель в размере 20 грн + 2% от суммы заказа, поэтому рекомендуем оплатить всю сумму полностью перед отправкой.   
Некоторые комплексные заказы в зависимости от сумы отправляются бесплатно, информацию уточнять у менеджера.</t>
  </si>
  <si>
    <t xml:space="preserve">https://meblihit.com.ua/catalog/tumby_dlya_tekhniki/tumba_rtv2d2s_4_15/</t>
  </si>
  <si>
    <t xml:space="preserve">https://meblihit.com.ua/catalog/desks/modulna_sistema_nd_ana_st_l_pismoviy_jbiu_2s2d_140/</t>
  </si>
  <si>
    <t xml:space="preserve">https://meblihit.com.ua/catalog/modular_system_of_absence_mdf/modular_system_of_absence_mdf_cupboard_hanging_wardrobe_szf_2d2s/</t>
  </si>
  <si>
    <t xml:space="preserve">https://meblihit.com.ua/catalog/chests_of_drawers/modulnaya_systema_vayt_white_008_komod_4s_90/</t>
  </si>
  <si>
    <t xml:space="preserve">https://meblihit.com.ua/catalog/priho_ii_suites/modular_system_nepo_nepo_hallway_ppk/</t>
  </si>
  <si>
    <t xml:space="preserve">https://meblihit.com.ua/catalog/living_rooms/gostynaya_alyaska_alyaska/</t>
  </si>
  <si>
    <t xml:space="preserve">https://meblihit.com.ua/catalog/living_rooms/quatro_room/</t>
  </si>
  <si>
    <t xml:space="preserve">https://meblihit.com.ua/catalog/cabinets_trekhdvernye/bedroom_liberty_liberty_wardrobe_3d/</t>
  </si>
  <si>
    <t xml:space="preserve">https://stuloff.com.ua/tumba_rtv_2d2s_4_15_azteka_beluy?search=%D0%B0%D1%86%D1%82%D0%B5%D0%BA%D0%B0&amp;category_id=0</t>
  </si>
  <si>
    <t xml:space="preserve">https://prom.ua/p573765214-peredpokij-nepo-ppk.html, https://prom.ua/p824583219-prihozha-dzerkalom-peredpokij.html</t>
  </si>
  <si>
    <t xml:space="preserve">1 727, 1 808</t>
  </si>
  <si>
    <t xml:space="preserve">https://prom.ua/p691214251-gostinnaya-barato-gerbor.html, https://prom.ua/p561346148-vitalnya-kvatro.html</t>
  </si>
  <si>
    <t xml:space="preserve">2 798</t>
  </si>
  <si>
    <t xml:space="preserve">https://prom.ua/p938957293-liberti-shkaf.html</t>
  </si>
  <si>
    <t xml:space="preserve">8 694</t>
  </si>
  <si>
    <t xml:space="preserve">9 159</t>
  </si>
  <si>
    <t xml:space="preserve">5 178</t>
  </si>
  <si>
    <t xml:space="preserve">Зсилка на товар</t>
  </si>
  <si>
    <t xml:space="preserve">Київ : Стоимость доставки мебели по Киеву: Зависит от расстояния от склада, по тарифам службы доставки.
Стоимость доставки мебели за пределы Киева: по тарифам службы доставки.
Стоимость заноса/подъема в квартиру: Зависит от габаритов, тяжести, количества элементов и этажа  от 50 грн.</t>
  </si>
  <si>
    <t xml:space="preserve">Доставка в межах Львова до під’їзду чи будинку - безкоштовна, якщо сума замовлення більше 10000грн.
Доставка меблів вартістю до 10000грн  складає 160грн в межах Львова.
Доставка за межі Львова оплачується додатково в розмірі 7грн за 1км.</t>
  </si>
  <si>
    <t xml:space="preserve">https://mebli-bristol.com.ua/nepo-peredpokij-ppk-gerbor-9712.html</t>
  </si>
  <si>
    <t xml:space="preserve">Доставка по Киеву и Днепру (до подъезда) БЕСПЛАТНО при сумме заказа более 10000 грн. 
При сумме заказа менее 5000 грн, стоимость доставки - 250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5000 грн. - бесплатно до Кольцевой дороги + 20 грн. / км до подъезда. 
При сумме заказа менее 5000 грн. - 200 грн. до Кольцевой дороги + 20 грн. / км до подъезда.
Доставка мебели осуществляется до подъезда, занос мебели - это дополнительная услуга, оплачивается отдельно.</t>
  </si>
  <si>
    <t xml:space="preserve">http://gerbor.kiev.ua/mebelnye-sistemy/mebel-indiana-kanjon-brw/indiana-kanjon-stol-pismennyy-jbiu2d2s140-brv/</t>
  </si>
  <si>
    <t xml:space="preserve">http://gerbor.kiev.ua/mebelnye-sistemy/mebel-koen-gerbor/koen-shkaf-szf2d2s-gerbor/</t>
  </si>
  <si>
    <t xml:space="preserve">http://gerbor.kiev.ua/mebelnye-sistemy/mebel-quatro-gerbor/quatro-gostinaya-gerbor/</t>
  </si>
  <si>
    <t xml:space="preserve">Доставка мебели по Киеву и Днепру
Стоимость доставки мебели зависит от суммы заказа:
- cумма заказа более &gt; 5000 грн. - доставка до подъезда БЕСПЛАТНО;
- cумма заказа менее &lt; 5000 грн. - доставка до подъезда - 200 грн.;
- cумма заказа менее &lt; 1000 грн. - доставка до подъезда - 250 грн.
Доставка по области (Киевской и Днепропетровской) + дополнительно 20 грн / 1 км от кольцевой.</t>
  </si>
  <si>
    <t xml:space="preserve">http://www.brwland.com.ua/product/gostinaja-aljaska-brv-ukraina/</t>
  </si>
  <si>
    <t xml:space="preserve">http://www.brwland.com.ua/product/kvatro-gerbor/</t>
  </si>
  <si>
    <t xml:space="preserve">Доставка по Украине:
Доставка по Украине производится службами доставки в любой город.
Товары могут доставляться следующими службами доставки: "Нова Пошта", "Интайм", "Деливери", "Ночной Экспресс", "Мост Экспресс" и "Сат"
Для этого Вы получаете от нас счет-фактуру на выбранный товар и согласно нее оплачиваете покупку в любом отделении банка. После поступления на наш счёт денег, мы отправляем товар в Ваш город через службу доставки и сообщаем Вам дату, время прибытия и номер декларации на груз.
Услуги всех транспортных компаний оплачивает клиент в момент получения товара в своем городе. Для получения товара в отделении службы доставки Вашего города при себе необходимо иметь паспорт и знать номер декларации на груз.</t>
  </si>
  <si>
    <t xml:space="preserve">http://gerbor.dp.ua/index.php?route=product/product&amp;product_id=3138&amp;search=%D0%B0%D1%86%D1%82%D0%B5%D0%BA%D0%B0&amp;description=true&amp;sub_category=1&amp;page=2</t>
  </si>
  <si>
    <t xml:space="preserve">http://gerbor.dp.ua/index.php?route=product/product&amp;product_id=1725&amp;search=%D0%B8%D0%BD%D0%B4%D0%B8%D0%B0%D0%BD%D0%B0&amp;description=true&amp;sub_category=1</t>
  </si>
  <si>
    <t xml:space="preserve">http://gerbor.dp.ua/index.php?route=product/product&amp;product_id=3812&amp;search=%D0%BA%D0%BE%D0%B5%D0%BD+%D0%BC%D0%B4%D1%84&amp;description=true&amp;sub_category=1</t>
  </si>
  <si>
    <t xml:space="preserve">http://gerbor.dp.ua/index.php?route=product/product&amp;product_id=3085&amp;search=%D0%B2%D0%B0%D0%B9%D1%82&amp;description=true</t>
  </si>
  <si>
    <t xml:space="preserve">http://gerbor.dp.ua/index.php?route=product/product&amp;product_id=3473&amp;search=%D0%BD%D0%B5%D0%BF%D0%BE&amp;description=true&amp;page=2</t>
  </si>
  <si>
    <t xml:space="preserve">http://gerbor.dp.ua/index.php?route=product/product&amp;product_id=3031&amp;search=%D0%B0%D0%BB%D1%8F%D1%81%D0%BA%D0%B0&amp;description=true</t>
  </si>
  <si>
    <t xml:space="preserve">http://gerbor.dp.ua/index.php?route=product/product&amp;product_id=2040&amp;search=%D0%BA%D0%B2%D0%B0%D1%82%D1%80%D0%BE&amp;description=true</t>
  </si>
  <si>
    <t xml:space="preserve">http://gerbor.dp.ua/index.php?route=product/product&amp;product_id=3851&amp;search=%D0%BB%D0%B8%D0%B1%D0%B5%D1%80%D1%82%D0%B8&amp;description=true</t>
  </si>
  <si>
    <t xml:space="preserve">Доставка мебели осуществляется по всей территории Украины.
Варианты доставки:
1) Доставка по г. Харькову:
- при заказе на сумму от 8000 грн. – доставка бесплатная (до подъезда);
- при заказе на сумму до 8000 грн. – 200 грн. (до подъезда).
Стоимость подъема мебели на этаж просчитывается индивидуально в зависимости от условий подъема. 
2) Доставка в другие города Украины осуществляется транспортными компаниями (на отделение или по адресу). Стоимость данной услуги просчитывается по тарифам автоперевозчика. 
3) Самовывоз с нашего склада.</t>
  </si>
  <si>
    <t xml:space="preserve">https://vashamebel.in.ua/tumba-tv-brv-atsteka-rtv2d2s415/p12722</t>
  </si>
  <si>
    <t xml:space="preserve">https://vashamebel.in.ua/stol-pismennyij-brv-indiana-jbiu-2d2s/p916</t>
  </si>
  <si>
    <t xml:space="preserve">https://vashamebel.in.ua/shkaf-gerbor-koen-szf2d2s/p2181</t>
  </si>
  <si>
    <t xml:space="preserve">https://vashamebel.in.ua/komod-gerbor-vajt-4s-90/p10774</t>
  </si>
  <si>
    <t xml:space="preserve">https://vashamebel.in.ua/prihozhaya-gerbor-nepo-ppk/p12249</t>
  </si>
  <si>
    <t xml:space="preserve">https://vashamebel.in.ua/gostinaya-brv-alyaska/p4420</t>
  </si>
  <si>
    <t xml:space="preserve">https://vashamebel.in.ua/stenka-gerbor-kvatro/p2359</t>
  </si>
  <si>
    <t xml:space="preserve">Стоимость доставки мебели по Киеву
По Киеву доставка 200 грн в зависимости от габаритов мебели  (до подъезда) 
Если возле товара указано БЕСПЛАТНАЯ ДОСТАВКА она осуществляется при заказе от 3000 грн 
Стоимость доставки мебели по Киевской области:
Борисполь – 350 грн
Боярка – 250 грн
Фастов - 300 грн
Бровары  – 300 грн
Буча – 250 грн
Бородянка - 350 грн
Васильков  – 300 грн
Вишневое – 200 грн
Ирпень  – 200 грн
Крюковщина – 200 грн
Обухов - 400 грн
Украинка - 300 грн 
Белая Церковь - 250 грн 
Для остальных городов Киевской области доставка составляет 12 грн/км от КПП в две стороны
Доставка по Житомирской трассе – 250 грн (Киев-Житомир)
А также доставка нашим курьером осуществляется в такие города:
Винница – 600 грн (адресная доставка)
Житомир – 100 грн (адресная доставка)
Луцк – 250 грн (адресная доставка)
Львов – 300 грн (адресная доставка)
Одесса 7-й километр – 100-500 грн (в зависимости от габаритов)
Новоград-Волынский (Житомирская обл.) – 250 грн (адресная доставка) 
Ровно – 250 грн (адресная доставка)
Червоноград (Львовская обл.) – 250 грн (адресная доставка)</t>
  </si>
  <si>
    <t xml:space="preserve">При заказе мебели от фабрики Гербор и БРВ  на сумму 10 000 и больше
Київ :Если сумма заказа не превышает 6000 грн доставка от 150 -200грн,
Если сумма заказа превышает 6000 грн то доставка по городу Киеву осуществляется бесплатно.
</t>
  </si>
  <si>
    <t xml:space="preserve">БЕЗПЛАТНА ДОСТАВКА НА ТОВАРИ ДО 10К, наприклад на Аляску</t>
  </si>
  <si>
    <t xml:space="preserve">Если мебель есть в наличии
Доставка мебели осуществляется в течении 1-5 рабочих дней с момента подтверждения заказа. 
Если мебели нет в наличии или она изготавливается на заказ
Если Вашу мебель изготавливают на заказ, или Ваш заказ настолько индивидуален, что такой мебели нет на складе, срок
доставки составит от 2 до 6 недель. Доставка в пределах Киева
Доставка по Киеву происходит до подъезда и осуществляется собственным транспортом интернет-магазина мебели МебельОк
или курьерской службой.
Бесплатная доставка
Бесплатная доставка осуществляется при стоимости заказа выше 10 000 грн 
Мелкогабаритный товар        79 грн.
Например постельное, столик для ноутбука, подушка или другой товар, который не требует доставки грузовой машиной 
Крупногабаритный товар        299 грн.
Например мебель, матрасы и другие габаритные грузы 
Доставка по Киеву после 18:00        +100 грн к обычной стоимости доставки 
Экпресс доставка по Киеву        +250 грн к обычной стоимости доставки
Экспресс доставка возможна только при наличии товара на нашем складе или в выставочном зале магазина, срок доставка
в течении 48 часов</t>
  </si>
  <si>
    <t xml:space="preserve">https://www.mebelok.com/stol-pismennyy-jbiu-2d2s-140/</t>
  </si>
  <si>
    <t xml:space="preserve">Условия доставки по Киеву
Для Киева и Киевской области оплата по факту доставки.
Данные условия не распространяются на мебель в описании которой указана 10% предоплата, а также при сумме заказа более 10 000 грн.!!!
Вся мебель доставляется в разобранном виде в плоских упаковках. Сроки доставки могут быть разными, в зависимости от наличия товара на складе они могут составлять от 1-го до 3-х дней. Время доставки предварительно согласовывается с заказчиком.
Стоимость доставки мебели по Киеву
• При сумме заказа свыше 10000 грн - бесплатно (до подъезда);
• При сумме заказа до 5000 грн - 100 грн. (до подъезда);
Стоимость доставки мебели по Киевской области
• Васильков и район - бесплатно;
• Калиновка - бесплатно;
• Боярка -180 грн;
• Вишневое -180 грн;
• Крюковшина -180 грн;
• Обухов -300 грн;
• Украинка -300 грн;
• Бровары-230 грн;
• Борисполь-230 грн;
• Ирпень-230 грн;
• Буча-230 грн.</t>
  </si>
  <si>
    <t xml:space="preserve">Строк доставки за наявності товару на складі становить 1-3 робочих дні (не включаючи день сплати), за відсутності:
- 1-4 тижні;
- 4-8 тижнів для товарів ТМ "Benelux", "М-меблі", "Лером".</t>
  </si>
  <si>
    <t xml:space="preserve">https://moyamebel.com.ua/ua/products/prihozhaya-nepo</t>
  </si>
  <si>
    <t xml:space="preserve">https://moyamebel.com.ua/ua/products/gostinaya-kvatro</t>
  </si>
  <si>
    <t xml:space="preserve">Гербор , БРВ по Харькову бесплатно от 10000 грн , менее 10000 грн - 320 грн </t>
  </si>
  <si>
    <t xml:space="preserve">https://mebel-soyuz.com.ua/10995/</t>
  </si>
  <si>
    <t xml:space="preserve">- доставка до подъезда многоквартирного дома;
- доставка к воротам частного дома;
- доставка в офис до подъезда или входа в здание;
- доставка в ближайшее отделение «Новой почты»;</t>
  </si>
  <si>
    <t xml:space="preserve">https://sofino.ua/brw-ukraina-stol-pismennyjj-jbiu2d2s140-indiana/g-40899</t>
  </si>
  <si>
    <t xml:space="preserve">https://sofino.ua/gerbor-shkaf-szf2d2s-koen-mdf-venge-magija-shtroks-temnyjj/g-19372</t>
  </si>
  <si>
    <t xml:space="preserve">https://sofino.ua/gerbor-komod-4s-90-vajjt/g-95203</t>
  </si>
  <si>
    <t xml:space="preserve">https://sofino.ua/gerbor-prikhozhaja-ppk-nepo/g-287089</t>
  </si>
  <si>
    <t xml:space="preserve">https://sofino.ua/brw-ukraina-stenka-aljaska-belyjj-gljanec/g-454107</t>
  </si>
  <si>
    <t xml:space="preserve">https://sofino.ua/gerbor-stenka-s-podsvetkojj-kvatro/g-18955</t>
  </si>
  <si>
    <t xml:space="preserve">https://sofino.ua/brw-ukraina-shkaf-3d-liberti-dub-sonoma-belyjj-gljanec/g-95147</t>
  </si>
  <si>
    <t xml:space="preserve">http://www.brw-gerbor.od.ua/</t>
  </si>
  <si>
    <t xml:space="preserve">Доставка:
Доставка мебели осуществляется по городу Одесса и области.Стоимость доставки до подьезда по Одессе-250 грн, за пределы города  оговаривается при оформлении заказа.</t>
  </si>
  <si>
    <r>
      <rPr>
        <b val="true"/>
        <sz val="10"/>
        <color rgb="FFFFFFFF"/>
        <rFont val="Tahoma, Helvetica, sans-serif"/>
        <family val="0"/>
        <charset val="1"/>
      </rPr>
      <t xml:space="preserve">-</t>
    </r>
    <r>
      <rPr>
        <b val="true"/>
        <sz val="10"/>
        <color rgb="FF000000"/>
        <rFont val="Tahoma, Helvetica, sans-serif"/>
        <family val="0"/>
        <charset val="1"/>
      </rPr>
      <t xml:space="preserve">-</t>
    </r>
  </si>
  <si>
    <t xml:space="preserve">http://brw-gerbor.od.ua/index.php?route=product/product&amp;filter_name=%D0%B2%D0%B0%D0%B9%D1%82&amp;product_id=3155</t>
  </si>
  <si>
    <t xml:space="preserve">http://brw-gerbor.od.ua/index.php?route=product/product&amp;filter_name=%D0%BD%D0%B5%D0%BF%D0%BE&amp;page=2&amp;product_id=3266</t>
  </si>
  <si>
    <t xml:space="preserve">http://brw-gerbor.od.ua/index.php?route=product/product&amp;filter_name=%D0%B0%D0%BB%D1%8F%D1%81%D0%BA%D0%B0&amp;product_id=4574</t>
  </si>
  <si>
    <t xml:space="preserve">http://brw-gerbor.od.ua/index.php?route=product/product&amp;filter_name=%D0%BA%D0%B2%D0%B0%D1%82%D1%80%D0%BE&amp;product_id=116</t>
  </si>
  <si>
    <t xml:space="preserve">http://brw-gerbor.od.ua/index.php?route=product/product&amp;filter_name=%D0%BB%D0%B8%D0%B1%D0%B5%D1%80%D1%82%D0%B8&amp;product_id=2703</t>
  </si>
  <si>
    <t xml:space="preserve">---
</t>
  </si>
  <si>
    <t xml:space="preserve">http://furniture.zp.ua/</t>
  </si>
  <si>
    <t xml:space="preserve">Доставка товара по Запорожью осуществляется БЕСПЛАТНО, если сумма вашего заказа превышает 3000 гривен. В бесплатную доставку входит подъем товара лифтом или занос до пятого этажа включительно. При подъеме товара вручную выше пятого этажа взымается доплата, размер которой вы можете уточнить у наших менеджеров ( в зависимости от габаритов товара и его веса).
При заказе на сумму до 3000 стоимость доставки составляет 100-150 гривен в зависимости от количества товара, габаритов и веса. Кроме того, вы также можете забрать товар из нашего магазина самовывозом.</t>
  </si>
  <si>
    <t xml:space="preserve">http://furniture.zp.ua/gerbor-xolding/gostinnie/modulnie-nabori/5562-gostinaya-atsteka.html?search_query=acteka&amp;results=2</t>
  </si>
  <si>
    <t xml:space="preserve">http://furniture.zp.ua/gerbor-xolding/detskie/3184-stol-pismenniie-jbiu-2d2s-140-indiana.html?search_query=indiana&amp;results=24</t>
  </si>
  <si>
    <t xml:space="preserve">http://furniture.zp.ua/gerbor-xolding/prixojie/modulnie-sistemi/6017-prihozhaya-nepo-ppk.html?search_query=nepo&amp;results=151</t>
  </si>
  <si>
    <t xml:space="preserve">http://furniture.zp.ua/gerbor-xolding/gostinnie/modulnie-nabori/6155-gostinaya-alyaska.html?search_query=alyaska&amp;results=3</t>
  </si>
  <si>
    <t xml:space="preserve">http://furniture.zp.ua/gerbor-xolding/gostinnie/1467-kvatro.html?search_query=kvatro&amp;results=4</t>
  </si>
  <si>
    <t xml:space="preserve">http://furniture.zp.ua/gerbor-xolding/spalni/modulnie-sistemi/5565-spalnya-liberti.html?search_query=liberti&amp;results=2</t>
  </si>
  <si>
    <t xml:space="preserve">ДОСТАВКА ТА ЗБИРАННЯ
Меблі ТМ «BRW» призначені для самостійного збирання. В той же час компанія надає послугу по професійному збиранню меблів за додаткову плату. Вартість послуг збирання меблів залежить від кількості одиниць товару та рівня складності.
Тарифи на транспортні послуги з доставки:
- м. Київ,  м. Одеса – 300 грн. по місту та 16 грн./за 1 км за межами міста;
- м. Запоріжжя, м. Кременчук – 200 грн. по місту та 15 грн./за 1 км за межами міста;
- м. Миколаїв, м.Хмельницький – 200 грн. по місту та 14 грн./за 1 км за межами міста;
- м. Черкаси – 200 грн., (Південно-західний район - 125 грн.), 14 грн./за 1 км за межами міста;
- м. Кривий Ріг  – згідно з додатком в салоні-магазині Кривий Ріг;
- для усіх інших міст, де розташовані салон-магазини – 250 грн. по місту та 15 грн./за 1 км за межами міста.
Передбачена можливість доставки меблів транспортом компанії за рахунок клієнта. Також, можливий само вивіз меблів зі складів компанії.</t>
  </si>
  <si>
    <t xml:space="preserve">https://www.brw-kiev.com.ua/catalog/mebel/azteca-shafka_pid_tv-rtv2d2s_4_15-000004821.html</t>
  </si>
  <si>
    <t xml:space="preserve">https://www.brw-kiev.com.ua/catalog/mebel/koen-shafa-szf2d2s-000003944.html</t>
  </si>
  <si>
    <t xml:space="preserve">https://www.brw-kiev.com.ua/catalog/mebel/spalnya/vayt-komod-kom4s_90-000008377.html</t>
  </si>
  <si>
    <t xml:space="preserve">https://www.brw-kiev.com.ua/catalog/mebel/spalnya/liberty-shafa-szf_3d-000006341.html</t>
  </si>
  <si>
    <t xml:space="preserve">https://brw-lviv.com.ua/</t>
  </si>
  <si>
    <t xml:space="preserve">Доставка меблів українського виробництва відбувається протягом 5-7днів при наявності на складі.
Доставка меблів польського виробництва 14-18 днів під замовлення
Доставка меблів по м. Львові безкоштовно до під`їзду/ D інші міста такими службами доставки, як Нова Пошта та Інтайм. Можливий самовивіз зі складів компанії. Доставка за межі Львова транспортом компанії оплачується додатково в розмірі 7 грн за 1 км.</t>
  </si>
  <si>
    <t xml:space="preserve">https://brw-lviv.com.ua/product/atsteky-tumba-tv-rtv2d2s-4-15-brv-ukrayina</t>
  </si>
  <si>
    <t xml:space="preserve">https://brw-lviv.com.ua/product/indiana-kanjon-stil-pysmovyj-jbiu-2d2s-140-brv-ukrayina</t>
  </si>
  <si>
    <t xml:space="preserve">https://brw-lviv.com.ua/product/koen-mdf-shafa-szf-2d2s-gerbor</t>
  </si>
  <si>
    <t xml:space="preserve">https://brw-lviv.com.ua/product/vajt-komod-4s-90-gerbor</t>
  </si>
  <si>
    <t xml:space="preserve">https://brw-lviv.com.ua/product/nepo-peredpokij-ppk-gerbor</t>
  </si>
  <si>
    <t xml:space="preserve">https://brw-lviv.com.ua/product/vitalnya-alyaska-brv-ukrayina-2</t>
  </si>
  <si>
    <t xml:space="preserve">https://brw-lviv.com.ua/product/vitalnya-kvatro-gerbor</t>
  </si>
  <si>
    <t xml:space="preserve">https://brw-lviv.com.ua/product/lyberty-shafa-szf3d-brv-ukrayina</t>
  </si>
  <si>
    <t xml:space="preserve">http://beruvse.com/</t>
  </si>
  <si>
    <t xml:space="preserve">Доставка по другим городам и областям Украины осуществляется курьерскими службами (возможна 100% предоплата товара или оплата задатка в 20% от суммы, а остальную часть Вы вносите наложенным платежом через выбранную курьерскую службу):
Стоимость оплаты доставки  зависит от веса груза, например:
-       Доставка кухни весом в 200 кг по маршруту Ровно – Днепр составит 650 грн
-       Доставка тумбы РТВ весом в 20 кг по маршруту Ровно – Днепр составит 160 грн</t>
  </si>
  <si>
    <t xml:space="preserve">http://beruvse.com/product/azteca-rtv2d2s415-tumba-tv-brw/</t>
  </si>
  <si>
    <t xml:space="preserve">http://beruvse.com/product/nepo-prihozhaja-ppk/</t>
  </si>
  <si>
    <t xml:space="preserve">http://beruvse.com/product/stenka-kvatro/</t>
  </si>
  <si>
    <t xml:space="preserve">Стоимость доставки по Украине:
Сумма заказа, грн.        Стоимость доставки, грн.
&gt;  Более 10000       БЕСПЛАТНО от завода до Новой Почты        + услуги Новой Почтой
&lt; 1000        200 от завода до Новой Почты
Стоимость доставки мебели в регионы рассчитывается Новой Почтой перед отправкой груза. Услуги перевозчика оплачиваются отдельно, в отделении Новой Почты. Київ: Сумма заказа, грн.        Стоимость доставки, грн.
по Киеву до подъезда        за пределами города
&gt; 5000        БЕСПЛАТНО        + 20 грн./км
1000 - 5000        250
&lt; 1000        3000
</t>
  </si>
  <si>
    <t xml:space="preserve">https://brw.kiev.ua/mebel-brw-ukraina/azteca/tumba-tv-rtv2d2s-azteca-brv/</t>
  </si>
  <si>
    <t xml:space="preserve">https://brw.kiev.ua/mebel-brw-ukraina/indiana-kanjon/stol-pismennyy-jbiu2d2s140-indiana-brv-kanjon/</t>
  </si>
  <si>
    <t xml:space="preserve">https://brw.kiev.ua/mebel-gerbor/koen/shkaf-szf2d2s-koen-gerbor/</t>
  </si>
  <si>
    <t xml:space="preserve">https://brw.kiev.ua/mebel-gerbor/white/komod-4s90-white-gerbor/</t>
  </si>
  <si>
    <t xml:space="preserve">https://brw.kiev.ua/mebel-gerbor/nepo/prikhozhaya-ppk-nepo-gerbor/</t>
  </si>
  <si>
    <t xml:space="preserve">https://brw.kiev.ua/mebel-brw-ukraina/alaska/stenka-alaska-brv/</t>
  </si>
  <si>
    <t xml:space="preserve">https://brw.kiev.ua/mebel-gerbor/quatro/stenka-quatro-gerbor/</t>
  </si>
  <si>
    <t xml:space="preserve">https://brw.kiev.ua/mebel-brw-ukraina/liberti/shkaf-szf3d-liberti-brv/</t>
  </si>
  <si>
    <t xml:space="preserve">Стоимость доставки по Киеву составляет 50-100 грн. 
Стоимость доставки по Киевской области - 150-200грн.  
Занос мебели в квартиру оплачивается дополнительно - от 30 до 100 грн.</t>
  </si>
  <si>
    <t xml:space="preserve">У нас самые низкие цены и мы не закладываем стоимость доставки в цену товара.
Стоимость доставки: по тарифам перевозчиков.
В любом случае стоимость доставки будет приемлемой.
Например:
Доставка матраса размером 160x200 по Киеву всего 100 грн.</t>
  </si>
  <si>
    <t xml:space="preserve">https://mebelstyle.net/tumby-pod-tv/tumba-pod-tv-brw-ukraina-azteca-rtv2d2s415-82546.html</t>
  </si>
  <si>
    <t xml:space="preserve">https://mebelstyle.net/komody/komod-gerbor-vajt-4s90-83449.html</t>
  </si>
  <si>
    <t xml:space="preserve">https://mebelstyle.net/prikhozhie/prikhozhaja-gerbor-nepo-ppk-83649.html</t>
  </si>
  <si>
    <t xml:space="preserve">https://mebelstyle.net/gostinye/gostinaja-gerbor-kvatro-venge-56219.html</t>
  </si>
  <si>
    <t xml:space="preserve">Самовивіз. Машина до підїзду. Поїздом через багажне відділення. </t>
  </si>
  <si>
    <t xml:space="preserve">https://lvivmebli.com/13319/</t>
  </si>
  <si>
    <t xml:space="preserve">https://lvivmebli.com/5039/</t>
  </si>
  <si>
    <t xml:space="preserve">https://lvivmebli.com/20467/</t>
  </si>
  <si>
    <t xml:space="preserve">https://lvivmebli.com/20985/</t>
  </si>
  <si>
    <t xml:space="preserve">https://lvivmebli.com/20532/</t>
  </si>
  <si>
    <t xml:space="preserve">https://lvivmebli.com/20571/</t>
  </si>
  <si>
    <t xml:space="preserve">http://centrmebliv.com.ua/modulni-mebli/brw-azteca/mebli-brw-brv-azteca-tumba-rtv2d2s?keyword=%D0%B0%D1%86%D1%82%D0%B5%D0%BA%D0%B0</t>
  </si>
  <si>
    <t xml:space="preserve">http://centrmebliv.com.ua/modulni-mebli/gerbor-koen-mdf/gerbor/brw-koen-mdf-shafa-sf-2d2s</t>
  </si>
  <si>
    <t xml:space="preserve">http://centrmebliv.com.ua/modulni-mebli/gerbor-vayt/mebli-gerbor-gerbor-vayt-komod-4s-90</t>
  </si>
  <si>
    <t xml:space="preserve">http://centrmebliv.com.ua/modulni-mebli/gerbor-nepo/mebli-gerbor-gerbor-nepo-pryhozha-rrk</t>
  </si>
  <si>
    <t xml:space="preserve">http://centrmebliv.com.ua/mebli-dlya-vitalni/stinky/mebli-gerbor-gerbor-kvatro</t>
  </si>
  <si>
    <t xml:space="preserve">безкоштовна доставка</t>
  </si>
  <si>
    <t xml:space="preserve">https://letromebel.com.ua/p566111870-tumba-rtv2d2s415-atsteka.html</t>
  </si>
  <si>
    <t xml:space="preserve">https://letromebel.com.ua/p565553911-komod-4s90-vajt.html</t>
  </si>
  <si>
    <t xml:space="preserve">https://letromebel.com.ua/p441285622-prihozhaya-ppk-nepo.html</t>
  </si>
  <si>
    <t xml:space="preserve">https://letromebel.com.ua/p436378844-stenka-kvatro-venge.html</t>
  </si>
  <si>
    <t xml:space="preserve">https://letromebel.com.ua/p567125880-shkaf-szf3d-liberti.html</t>
  </si>
  <si>
    <t xml:space="preserve">7 252</t>
  </si>
  <si>
    <t xml:space="preserve">Комод Коэн Коен МДФ KOM4S</t>
  </si>
  <si>
    <t xml:space="preserve">Шкаф Вайт White 2D</t>
  </si>
  <si>
    <t xml:space="preserve">РЕКОМЕНДОВАНІ ЦІНИ 26/02</t>
  </si>
  <si>
    <t xml:space="preserve">Київ : Стоимость доставки мебели по Киеву: Зависит от расстояния от склада, в пределах 100-200 грн.
Стоимость доставки мебели за пределы Киева: 150-300грн до КП + 5 грн/1 км до подъезда
Стоимость заноса/подъема в квартиру: Зависит от габаритов, тяжести, количества элементов и этажа  от 50 грн.</t>
  </si>
  <si>
    <t xml:space="preserve">2 971</t>
  </si>
  <si>
    <t xml:space="preserve">3 452 </t>
  </si>
  <si>
    <t xml:space="preserve">3 109 </t>
  </si>
  <si>
    <t xml:space="preserve">4 350</t>
  </si>
  <si>
    <t xml:space="preserve">4 695</t>
  </si>
  <si>
    <t xml:space="preserve">4 557</t>
  </si>
  <si>
    <t xml:space="preserve">6 281</t>
  </si>
  <si>
    <t xml:space="preserve">1 608</t>
  </si>
  <si>
    <t xml:space="preserve">6 426</t>
  </si>
  <si>
    <t xml:space="preserve">2 620</t>
  </si>
  <si>
    <t xml:space="preserve">7 730</t>
  </si>
  <si>
    <t xml:space="preserve">3 109</t>
  </si>
  <si>
    <t xml:space="preserve">4 557 </t>
  </si>
  <si>
    <t xml:space="preserve">Доставка по Киеву и Днепру (до подъезда) БЕСПЛАТНО при сумме заказа более 5000 грн. 
При сумме заказа менее 5000 грн, стоимость доставки - 200 грн. 
Доставка осуществляется до подъезда, занос мебели оплачивается отдельно.
Стоимость доставки по Киевской и Днепропетровской области:
При сумме заказа более 5000 грн. - бесплатно до Кольцевой дороги + 20 грн. / км до подъезда. 
При сумме заказа менее 5000 грн. - 200 грн. до Кольцевой дороги + 20 грн. / км до подъезда.
Доставка мебели осуществляется до подъезда, занос мебели - это дополнительная услуга, оплачивается отдельно.</t>
  </si>
  <si>
    <t xml:space="preserve">3 294</t>
  </si>
  <si>
    <t xml:space="preserve">3 735</t>
  </si>
  <si>
    <t xml:space="preserve">3 420</t>
  </si>
  <si>
    <t xml:space="preserve">4 785</t>
  </si>
  <si>
    <t xml:space="preserve">3 268</t>
  </si>
  <si>
    <t xml:space="preserve">5 165</t>
  </si>
  <si>
    <t xml:space="preserve">5 013 </t>
  </si>
  <si>
    <t xml:space="preserve">6 909</t>
  </si>
  <si>
    <t xml:space="preserve">1 769</t>
  </si>
  <si>
    <t xml:space="preserve">7 225</t>
  </si>
  <si>
    <t xml:space="preserve">8 638</t>
  </si>
  <si>
    <t xml:space="preserve">3 127</t>
  </si>
  <si>
    <t xml:space="preserve">3 633</t>
  </si>
  <si>
    <t xml:space="preserve">3 272</t>
  </si>
  <si>
    <t xml:space="preserve">4 796</t>
  </si>
  <si>
    <t xml:space="preserve">6 611</t>
  </si>
  <si>
    <t xml:space="preserve">1 692</t>
  </si>
  <si>
    <t xml:space="preserve">6 231</t>
  </si>
  <si>
    <t xml:space="preserve">2 757 </t>
  </si>
  <si>
    <t xml:space="preserve">3 452</t>
  </si>
  <si>
    <t xml:space="preserve">4 350 </t>
  </si>
  <si>
    <t xml:space="preserve">3 222</t>
  </si>
  <si>
    <t xml:space="preserve">5 565</t>
  </si>
  <si>
    <t xml:space="preserve">4 906</t>
  </si>
  <si>
    <t xml:space="preserve">6 808</t>
  </si>
  <si>
    <t xml:space="preserve">1 808</t>
  </si>
  <si>
    <t xml:space="preserve">2 840</t>
  </si>
  <si>
    <t xml:space="preserve">3 797</t>
  </si>
  <si>
    <t xml:space="preserve">3 149</t>
  </si>
  <si>
    <t xml:space="preserve">4 977</t>
  </si>
  <si>
    <t xml:space="preserve">4 830</t>
  </si>
  <si>
    <t xml:space="preserve">6 658</t>
  </si>
  <si>
    <t xml:space="preserve">1 704</t>
  </si>
  <si>
    <t xml:space="preserve">7 069</t>
  </si>
  <si>
    <t xml:space="preserve">2 777</t>
  </si>
  <si>
    <t xml:space="preserve">8 503</t>
  </si>
  <si>
    <t xml:space="preserve">Если мебель есть в наличии
Доставка мебели осуществляется в течении 1-5 рабочих дней с момента подтверждения заказа. 
Если мебели нет в наличии или она изготавливается на заказ
Если Вашу мебель изготавливают на заказ, или Ваш заказ настолько индивидуален, что такой мебели нет на складе, срок
доставки составит от 2 до 6 недель. Доставка в пределах Киева
Доставка по Киеву происходит до подъезда и осуществляется собственным транспортом интернет-магазина мебели МебельОк
или курьерской службой.
Бесплатная доставка
Бесплатная доставка осуществляется при стоимости заказа выше 10 000 грн 
Мелкогабаритный товар	59 грн.
Например постельное, столик для ноутбука, подушка или другой товар, который не требует доставки грузовой машиной 
Крупногабаритный товар	199 грн.
Например мебель, матрасы и другие габаритные грузы 
Доставка по Киеву после 18:00	+100 грн к обычной стоимости доставки 
Экпресс доставка по Киеву	+250 грн к обычной стоимости доставки
Экспресс доставка возможна только при наличии товара на нашем складе или в выставочном зале магазина, срок доставка
в течении 48 часов</t>
  </si>
  <si>
    <t xml:space="preserve">Условия доставки по Киеву
Для Киева и Киевской области оплата по факту доставки.
Данные условия не распространяются на мебель в описании которой указана 10% предоплата, а также при сумме заказа более 10 000 грн.!!!
Вся мебель доставляется в разобранном виде в плоских упаковках. Сроки доставки могут быть разными, в зависимости от наличия товара на складе они могут составлять от 1-го до 3-х дней. Время доставки предварительно согласовывается с заказчиком.
Стоимость доставки мебели по Киеву
• При сумме заказа свыше 10000 грн - бесплатно (до подъезда);
• При сумме заказа до 5000 грн - 100 грн. (до подъезда);
Стоимость доставки мебели по Киевской области
• Васильков и район - бесплатно;
• Калиновка - бесплатно;
• Боярка -130 грн;
• Вишневое -130 грн;
• Крюковшина -130 грн;
• Обухов -250 грн;
• Украинка -250 грн;
• Бровары-180 грн;
• Борисполь-180 грн;
• Ирпень-180 грн;
• Буча-180 грн.</t>
  </si>
  <si>
    <t xml:space="preserve">3 442</t>
  </si>
  <si>
    <t xml:space="preserve">4 979</t>
  </si>
  <si>
    <t xml:space="preserve">5 053</t>
  </si>
  <si>
    <t xml:space="preserve">1 559</t>
  </si>
  <si>
    <t xml:space="preserve">2 628</t>
  </si>
  <si>
    <t xml:space="preserve">3 426</t>
  </si>
  <si>
    <t xml:space="preserve">3 884</t>
  </si>
  <si>
    <t xml:space="preserve">3 580</t>
  </si>
  <si>
    <t xml:space="preserve">3 351</t>
  </si>
  <si>
    <t xml:space="preserve">5 255</t>
  </si>
  <si>
    <t xml:space="preserve">5 102</t>
  </si>
  <si>
    <t xml:space="preserve">7 080</t>
  </si>
  <si>
    <t xml:space="preserve">1 903</t>
  </si>
  <si>
    <t xml:space="preserve">2 989</t>
  </si>
  <si>
    <t xml:space="preserve">8 984</t>
  </si>
  <si>
    <t xml:space="preserve">3 110</t>
  </si>
  <si>
    <t xml:space="preserve">6 425</t>
  </si>
  <si>
    <t xml:space="preserve">ДОСТАВКА ТА ЗБИРАННЯ
Меблі ТМ «BRW» призначені для самостійного збирання. В той же час компанія надає послугу по професійному збиранню меблів за додаткову плату. Вартість послуг збирання меблів залежить від кількості одиниць товару та рівня складності.
Тарифи на транспортні послуги з доставки:
- м. Київ,  м. Одеса – 210 грн. по місту та 13 грн./за 1 км за межами міста;
- м. Миколаїв, м. Черкаси, м.Хмельницький – 120 грн. по місту та 11 грн./за 1 км за межами міста;
- для усіх інших міст, де розташовані салон-магазини – 160 грн. по місту та 12 грн./за 1 км за межами міста.
Передбачена можливість доставки меблів транспортом компанії за рахунок клієнта. Також, можливий само вивіз меблів зі складів компанії.</t>
  </si>
  <si>
    <t xml:space="preserve">3 479</t>
  </si>
  <si>
    <t xml:space="preserve">3 939</t>
  </si>
  <si>
    <t xml:space="preserve">1 909</t>
  </si>
  <si>
    <t xml:space="preserve">6 919</t>
  </si>
  <si>
    <t xml:space="preserve">2 691</t>
  </si>
  <si>
    <t xml:space="preserve">4 058</t>
  </si>
  <si>
    <t xml:space="preserve">Стоимость доставки по Украине:
Сумма заказа, грн.	Стоимость доставки, грн.
&gt; 5000	БЕСПЛАТНО от завода до Новой Почты	+ услуги Новой Почтой
1000 - 5000	150 от завода до Новой Почты
&lt; 1000	200 от завода до Новой Почты
Стоимость доставки мебели в регионы рассчитывается Новой Почтой перед отправкой груза. Услуги перевозчика оплачиваются отдельно, в отделении Новой Почты. Київ: Сумма заказа, грн.	Стоимость доставки, грн.
по Киеву до подъезда	за пределами города
&gt; 5000	БЕСПЛАТНО	+ 20 грн./км
1000 - 5000	150
&lt; 1000	200
</t>
  </si>
  <si>
    <t xml:space="preserve">3 268 </t>
  </si>
  <si>
    <t xml:space="preserve">3 797 </t>
  </si>
  <si>
    <t xml:space="preserve">3 420 </t>
  </si>
  <si>
    <t xml:space="preserve">4 785 </t>
  </si>
  <si>
    <t xml:space="preserve">1 769 </t>
  </si>
  <si>
    <t xml:space="preserve">Доставка по Киеву бесплатная до парадного (при заказе от 3000 грн. без учета акционных позиций, и если в товаре не указана конкретная стоимость доставки);
Доставка по области + 12 грн./км (от КП).
Доставка товаров по Киеву с 10:00 до 18:00
Вечерняя доставка после 18:00 плюс 100 грн.</t>
  </si>
  <si>
    <t xml:space="preserve">3 467</t>
  </si>
  <si>
    <t xml:space="preserve">3 931</t>
  </si>
  <si>
    <t xml:space="preserve">4 578</t>
  </si>
  <si>
    <t xml:space="preserve">5 164</t>
  </si>
  <si>
    <t xml:space="preserve">7 166</t>
  </si>
  <si>
    <t xml:space="preserve">8 136</t>
  </si>
  <si>
    <t xml:space="preserve">https://mebel-soyuz.com.ua/13769/</t>
  </si>
  <si>
    <t xml:space="preserve">https://mebel-soyuz.com.ua/8676/</t>
  </si>
  <si>
    <t xml:space="preserve">https://mebel-soyuz.com.ua/3180/</t>
  </si>
  <si>
    <t xml:space="preserve">https://mebel-soyuz.com.ua/6202//</t>
  </si>
  <si>
    <t xml:space="preserve">https://mebel-soyuz.com.ua/8926/</t>
  </si>
  <si>
    <t xml:space="preserve">https://mebel-soyuz.com.ua/stenky/gerbor/kvatro//</t>
  </si>
  <si>
    <t xml:space="preserve">https://mebel-soyuz.com.ua/7243/</t>
  </si>
  <si>
    <t xml:space="preserve">7 225 </t>
  </si>
  <si>
    <t xml:space="preserve">8 638 </t>
  </si>
  <si>
    <t xml:space="preserve">3 623</t>
  </si>
  <si>
    <t xml:space="preserve">2 990</t>
  </si>
  <si>
    <t xml:space="preserve">1 875</t>
  </si>
  <si>
    <t xml:space="preserve">2 833</t>
  </si>
  <si>
    <t xml:space="preserve">1 811</t>
  </si>
  <si>
    <t xml:space="preserve">2 849</t>
  </si>
  <si>
    <t xml:space="preserve">3 294 </t>
  </si>
  <si>
    <t xml:space="preserve">3 735 </t>
  </si>
  <si>
    <t xml:space="preserve">5 241</t>
  </si>
  <si>
    <t xml:space="preserve">9 092</t>
  </si>
  <si>
    <t xml:space="preserve">3 360</t>
  </si>
  <si>
    <t xml:space="preserve">3 810</t>
  </si>
  <si>
    <t xml:space="preserve">3 511</t>
  </si>
  <si>
    <t xml:space="preserve">5 079</t>
  </si>
  <si>
    <t xml:space="preserve">3 286</t>
  </si>
  <si>
    <t xml:space="preserve">5 154</t>
  </si>
  <si>
    <t xml:space="preserve">5 004</t>
  </si>
  <si>
    <t xml:space="preserve">6 944</t>
  </si>
  <si>
    <t xml:space="preserve">1 844</t>
  </si>
  <si>
    <t xml:space="preserve">7 370</t>
  </si>
  <si>
    <t xml:space="preserve">3 629</t>
  </si>
  <si>
    <t xml:space="preserve">5 249</t>
  </si>
  <si>
    <t xml:space="preserve">7 729</t>
  </si>
  <si>
    <t xml:space="preserve">Рейтинг по гугл адвордс</t>
  </si>
  <si>
    <t xml:space="preserve">similar web</t>
  </si>
  <si>
    <t xml:space="preserve">Достака</t>
  </si>
  <si>
    <t xml:space="preserve">Чи мають оффлайн</t>
  </si>
  <si>
    <t xml:space="preserve">BRWmania</t>
  </si>
  <si>
    <t xml:space="preserve">36k</t>
  </si>
  <si>
    <t xml:space="preserve">gerbor.kiev.ua</t>
  </si>
  <si>
    <t xml:space="preserve">нема</t>
  </si>
  <si>
    <t xml:space="preserve">мають 1 магазин в Києві</t>
  </si>
  <si>
    <t xml:space="preserve">abcmebli.com.ua</t>
  </si>
  <si>
    <t xml:space="preserve">Доставка Новою Поштою від 4000 безкоштовно, а так комод 4с -200грн на відділення (можуть вже відправити з Києва)</t>
  </si>
  <si>
    <t xml:space="preserve">немають</t>
  </si>
  <si>
    <t xml:space="preserve">redlight.com.ua</t>
  </si>
  <si>
    <t xml:space="preserve">доставка по тарифах НП (можуть вже відправити з Києва)</t>
  </si>
  <si>
    <t xml:space="preserve">dybok.com.ua</t>
  </si>
  <si>
    <t xml:space="preserve">320к</t>
  </si>
  <si>
    <t xml:space="preserve">Безкоштовна доставка на відділення НП, на адрес 200.  (чекати 10-14 робочих днів відправка з Рівного)</t>
  </si>
  <si>
    <t xml:space="preserve">мають</t>
  </si>
  <si>
    <t xml:space="preserve">mebel-online.com.ua</t>
  </si>
  <si>
    <t xml:space="preserve">Розраховується і добавляєть до вартості меблів практично по тарифах НП</t>
  </si>
  <si>
    <t xml:space="preserve">amado.in.ua</t>
  </si>
  <si>
    <t xml:space="preserve">По тарифах НП Відправка з Києва вже, хоча на сайті пише Одеса</t>
  </si>
  <si>
    <t xml:space="preserve">maxidom.com.ua</t>
  </si>
  <si>
    <t xml:space="preserve">по тарифах НП + 100грн, від 10000 доставка безкоштовна</t>
  </si>
  <si>
    <t xml:space="preserve">promebli.ua</t>
  </si>
  <si>
    <t xml:space="preserve">36к</t>
  </si>
  <si>
    <t xml:space="preserve">по тарифах НП від 10000 доставка безкоштовна</t>
  </si>
  <si>
    <t xml:space="preserve">mebline.com.ua</t>
  </si>
  <si>
    <t xml:space="preserve">34к</t>
  </si>
  <si>
    <t xml:space="preserve">все по тарифах нової пошти відправляють з києва</t>
  </si>
  <si>
    <t xml:space="preserve">мають шоу-рум з взірцями</t>
  </si>
  <si>
    <t xml:space="preserve">sofino.ua</t>
  </si>
  <si>
    <t xml:space="preserve">380k</t>
  </si>
  <si>
    <t xml:space="preserve">Прораховують доставку, практично по тарифах НП Відправляють з дніпра</t>
  </si>
  <si>
    <t xml:space="preserve">amado.com.ua</t>
  </si>
  <si>
    <t xml:space="preserve">те саме що amado.in.ua</t>
  </si>
  <si>
    <t xml:space="preserve">komod-bc.com.ua</t>
  </si>
  <si>
    <t xml:space="preserve">по тарифах нп, від 10000 безкоштовно (відпрака в найближчий четвер з Києва)</t>
  </si>
  <si>
    <t xml:space="preserve">є один магазин в білій церкві</t>
  </si>
  <si>
    <t xml:space="preserve">taburetka.ua</t>
  </si>
  <si>
    <t xml:space="preserve">490к</t>
  </si>
  <si>
    <t xml:space="preserve">відправляє містекспресом по тарифах</t>
  </si>
  <si>
    <t xml:space="preserve">мають 4 магазини київ і київська обл.</t>
  </si>
  <si>
    <t xml:space="preserve">shurup.net.ua</t>
  </si>
  <si>
    <t xml:space="preserve">120к</t>
  </si>
  <si>
    <t xml:space="preserve">по тарифах нп якщо є на складі то вже можуть відправити з Києва</t>
  </si>
  <si>
    <t xml:space="preserve">не мають</t>
  </si>
  <si>
    <t xml:space="preserve">mebelok.com</t>
  </si>
  <si>
    <t xml:space="preserve">380к</t>
  </si>
  <si>
    <t xml:space="preserve">Безкоштовна доставка містекспресом на відділення адресна 299, Новою Поштою по тарифах відправка з Києва</t>
  </si>
  <si>
    <t xml:space="preserve">мають 3 магазини оффлайн в Києві</t>
  </si>
  <si>
    <t xml:space="preserve">до 5000 платна, більше 5000-10000 безкоштовна на відділення на адрес 160грн, більше 10000 безкоштовна відправка зі Львова</t>
  </si>
  <si>
    <t xml:space="preserve">мають 4 магазини у львовы</t>
  </si>
</sst>
</file>

<file path=xl/styles.xml><?xml version="1.0" encoding="utf-8"?>
<styleSheet xmlns="http://schemas.openxmlformats.org/spreadsheetml/2006/main">
  <numFmts count="3">
    <numFmt numFmtId="164" formatCode="General"/>
    <numFmt numFmtId="165" formatCode="General"/>
    <numFmt numFmtId="166" formatCode="0.00%"/>
  </numFmts>
  <fonts count="93">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color rgb="FF000000"/>
      <name val="Calibri"/>
      <family val="0"/>
      <charset val="1"/>
    </font>
    <font>
      <b val="true"/>
      <u val="single"/>
      <sz val="11"/>
      <color rgb="FF000000"/>
      <name val="Helvetica Neue"/>
      <family val="0"/>
      <charset val="1"/>
    </font>
    <font>
      <b val="true"/>
      <u val="single"/>
      <sz val="12"/>
      <color rgb="FF000000"/>
      <name val="Helvetica Neue"/>
      <family val="0"/>
      <charset val="1"/>
    </font>
    <font>
      <b val="true"/>
      <sz val="11"/>
      <color rgb="FFFF0000"/>
      <name val="Calibri"/>
      <family val="0"/>
      <charset val="1"/>
    </font>
    <font>
      <b val="true"/>
      <sz val="14"/>
      <color rgb="FFFF0000"/>
      <name val="Helvetica Neue"/>
      <family val="0"/>
      <charset val="1"/>
    </font>
    <font>
      <b val="true"/>
      <sz val="14"/>
      <color rgb="FFFF6554"/>
      <name val="Helvetica Neue"/>
      <family val="0"/>
      <charset val="1"/>
    </font>
    <font>
      <u val="single"/>
      <sz val="11"/>
      <color rgb="FF0000FF"/>
      <name val="Cambria"/>
      <family val="0"/>
      <charset val="1"/>
    </font>
    <font>
      <u val="single"/>
      <sz val="14"/>
      <color rgb="FF0000FF"/>
      <name val="Helvetica Neue"/>
      <family val="0"/>
      <charset val="1"/>
    </font>
    <font>
      <u val="single"/>
      <sz val="14"/>
      <color rgb="FF1155CC"/>
      <name val="Helvetica Neue"/>
      <family val="0"/>
      <charset val="1"/>
    </font>
    <font>
      <u val="single"/>
      <sz val="11"/>
      <color rgb="FF1155CC"/>
      <name val="Cambria"/>
      <family val="0"/>
      <charset val="1"/>
    </font>
    <font>
      <strike val="true"/>
      <u val="single"/>
      <sz val="11"/>
      <color rgb="FF0000FF"/>
      <name val="Cambria"/>
      <family val="0"/>
      <charset val="1"/>
    </font>
    <font>
      <u val="single"/>
      <sz val="11"/>
      <color rgb="FF1155CC"/>
      <name val="Arial"/>
      <family val="0"/>
      <charset val="1"/>
    </font>
    <font>
      <strike val="true"/>
      <u val="single"/>
      <sz val="11"/>
      <color rgb="FF1155CC"/>
      <name val="Arial"/>
      <family val="0"/>
      <charset val="1"/>
    </font>
    <font>
      <u val="single"/>
      <sz val="11"/>
      <color rgb="FF0000FF"/>
      <name val="Arial"/>
      <family val="0"/>
      <charset val="1"/>
    </font>
    <font>
      <strike val="true"/>
      <sz val="11"/>
      <color rgb="FF000000"/>
      <name val="Calibri"/>
      <family val="0"/>
      <charset val="1"/>
    </font>
    <font>
      <strike val="true"/>
      <u val="single"/>
      <sz val="11"/>
      <color rgb="FF0000FF"/>
      <name val="Arial"/>
      <family val="0"/>
      <charset val="1"/>
    </font>
    <font>
      <sz val="11"/>
      <color rgb="FF000000"/>
      <name val="Calibri"/>
      <family val="0"/>
      <charset val="1"/>
    </font>
    <font>
      <strike val="true"/>
      <u val="single"/>
      <sz val="11"/>
      <color rgb="FF1155CC"/>
      <name val="Cambria"/>
      <family val="0"/>
      <charset val="1"/>
    </font>
    <font>
      <u val="single"/>
      <sz val="11"/>
      <color rgb="FF0000FF"/>
      <name val="Calibri"/>
      <family val="0"/>
      <charset val="1"/>
    </font>
    <font>
      <u val="single"/>
      <sz val="11"/>
      <color rgb="FF1155CC"/>
      <name val="Calibri"/>
      <family val="0"/>
      <charset val="1"/>
    </font>
    <font>
      <u val="single"/>
      <sz val="11"/>
      <color rgb="FF000000"/>
      <name val="Calibri"/>
      <family val="0"/>
      <charset val="1"/>
    </font>
    <font>
      <strike val="true"/>
      <u val="single"/>
      <sz val="11"/>
      <color rgb="FF0000FF"/>
      <name val="Calibri"/>
      <family val="0"/>
      <charset val="1"/>
    </font>
    <font>
      <strike val="true"/>
      <u val="single"/>
      <sz val="11"/>
      <color rgb="FF1155CC"/>
      <name val="Calibri"/>
      <family val="0"/>
      <charset val="1"/>
    </font>
    <font>
      <u val="single"/>
      <sz val="11"/>
      <color rgb="FF4A86E8"/>
      <name val="Calibri"/>
      <family val="0"/>
      <charset val="1"/>
    </font>
    <font>
      <sz val="11"/>
      <color rgb="FFFF0000"/>
      <name val="Calibri"/>
      <family val="0"/>
      <charset val="1"/>
    </font>
    <font>
      <strike val="true"/>
      <u val="single"/>
      <sz val="11"/>
      <color rgb="FF000000"/>
      <name val="Calibri"/>
      <family val="0"/>
      <charset val="1"/>
    </font>
    <font>
      <u val="single"/>
      <sz val="11"/>
      <color rgb="FF4A86E8"/>
      <name val="Cambria"/>
      <family val="0"/>
      <charset val="1"/>
    </font>
    <font>
      <strike val="true"/>
      <u val="single"/>
      <sz val="11"/>
      <color rgb="FF000000"/>
      <name val="Cambria"/>
      <family val="0"/>
      <charset val="1"/>
    </font>
    <font>
      <sz val="11"/>
      <color rgb="FF000000"/>
      <name val="Arial"/>
      <family val="0"/>
      <charset val="1"/>
    </font>
    <font>
      <u val="single"/>
      <sz val="11"/>
      <color rgb="FF000000"/>
      <name val="Cambria"/>
      <family val="0"/>
      <charset val="1"/>
    </font>
    <font>
      <b val="true"/>
      <sz val="11"/>
      <color rgb="FFFFFFFF"/>
      <name val="Calibri"/>
      <family val="0"/>
      <charset val="1"/>
    </font>
    <font>
      <b val="true"/>
      <sz val="9"/>
      <color rgb="FFFF0000"/>
      <name val="Verdana, Arial, Helvetica, sans-serif"/>
      <family val="0"/>
      <charset val="1"/>
    </font>
    <font>
      <sz val="9"/>
      <color rgb="FF000000"/>
      <name val="Verdana, Arial, Helvetica, sans-serif"/>
      <family val="0"/>
      <charset val="1"/>
    </font>
    <font>
      <sz val="9"/>
      <color rgb="FF0000FF"/>
      <name val="Verdana, Arial, Helvetica, sans-serif"/>
      <family val="0"/>
      <charset val="1"/>
    </font>
    <font>
      <sz val="9"/>
      <color rgb="FF3C78D8"/>
      <name val="Verdana, Arial, Helvetica, sans-serif"/>
      <family val="0"/>
      <charset val="1"/>
    </font>
    <font>
      <sz val="9"/>
      <color rgb="FF6AA84F"/>
      <name val="Verdana, Arial, Helvetica, sans-serif"/>
      <family val="0"/>
      <charset val="1"/>
    </font>
    <font>
      <b val="true"/>
      <sz val="9"/>
      <color rgb="FF6AA84F"/>
      <name val="Verdana, Arial, Helvetica, sans-serif"/>
      <family val="0"/>
      <charset val="1"/>
    </font>
    <font>
      <sz val="11"/>
      <color rgb="FF6AA84F"/>
      <name val="calibri"/>
      <family val="0"/>
      <charset val="1"/>
    </font>
    <font>
      <b val="true"/>
      <sz val="11"/>
      <color rgb="FF6AA84F"/>
      <name val="calibri"/>
      <family val="0"/>
      <charset val="1"/>
    </font>
    <font>
      <sz val="11"/>
      <color rgb="FF3C78D8"/>
      <name val="calibri"/>
      <family val="0"/>
      <charset val="1"/>
    </font>
    <font>
      <sz val="11"/>
      <color rgb="FF0000FF"/>
      <name val="calibri"/>
      <family val="0"/>
      <charset val="1"/>
    </font>
    <font>
      <sz val="11"/>
      <color rgb="FF000000"/>
      <name val="calibri"/>
      <family val="0"/>
      <charset val="1"/>
    </font>
    <font>
      <strike val="true"/>
      <sz val="11"/>
      <color rgb="FF3C78D8"/>
      <name val="calibri"/>
      <family val="0"/>
      <charset val="1"/>
    </font>
    <font>
      <strike val="true"/>
      <sz val="11"/>
      <color rgb="FF000000"/>
      <name val="calibri"/>
      <family val="0"/>
      <charset val="1"/>
    </font>
    <font>
      <sz val="11"/>
      <color rgb="FF4A86E8"/>
      <name val="Calibri"/>
      <family val="0"/>
      <charset val="1"/>
    </font>
    <font>
      <strike val="true"/>
      <sz val="11"/>
      <color rgb="FF000000"/>
      <name val="Arial, sans-serif"/>
      <family val="0"/>
      <charset val="1"/>
    </font>
    <font>
      <sz val="11"/>
      <color rgb="FF3C78D8"/>
      <name val="Arial, sans-serif"/>
      <family val="0"/>
      <charset val="1"/>
    </font>
    <font>
      <sz val="11"/>
      <color rgb="FF000000"/>
      <name val="Arial, sans-serif"/>
      <family val="0"/>
      <charset val="1"/>
    </font>
    <font>
      <sz val="11"/>
      <color rgb="FF3C78D8"/>
      <name val="Calibri"/>
      <family val="0"/>
      <charset val="1"/>
    </font>
    <font>
      <b val="true"/>
      <sz val="12"/>
      <color rgb="FFFF0000"/>
      <name val="Calibri"/>
      <family val="0"/>
      <charset val="1"/>
    </font>
    <font>
      <u val="single"/>
      <sz val="11"/>
      <color rgb="FFFF0000"/>
      <name val="Cambria"/>
      <family val="0"/>
      <charset val="1"/>
    </font>
    <font>
      <u val="single"/>
      <sz val="11"/>
      <color rgb="FFE20000"/>
      <name val="Cambria"/>
      <family val="0"/>
      <charset val="1"/>
    </font>
    <font>
      <sz val="9"/>
      <color rgb="FF000000"/>
      <name val="Verdana"/>
      <family val="0"/>
      <charset val="1"/>
    </font>
    <font>
      <sz val="11"/>
      <color rgb="FFFF0000"/>
      <name val="calibri"/>
      <family val="0"/>
      <charset val="1"/>
    </font>
    <font>
      <sz val="11"/>
      <color rgb="FF1155CC"/>
      <name val="Calibri"/>
      <family val="0"/>
      <charset val="1"/>
    </font>
    <font>
      <b val="true"/>
      <sz val="12"/>
      <color rgb="FF000000"/>
      <name val="Helvetica Neue"/>
      <family val="0"/>
      <charset val="1"/>
    </font>
    <font>
      <sz val="14"/>
      <color rgb="FF000000"/>
      <name val="Helvetica Neue"/>
      <family val="0"/>
      <charset val="1"/>
    </font>
    <font>
      <sz val="11"/>
      <color rgb="FF000000"/>
      <name val="Roboto"/>
      <family val="0"/>
      <charset val="1"/>
    </font>
    <font>
      <sz val="17"/>
      <color rgb="FFF57122"/>
      <name val="Roboto"/>
      <family val="0"/>
      <charset val="1"/>
    </font>
    <font>
      <sz val="17"/>
      <color rgb="FFF57122"/>
      <name val="Docs-roboto"/>
      <family val="0"/>
      <charset val="1"/>
    </font>
    <font>
      <sz val="18"/>
      <color rgb="FF000000"/>
      <name val="Calibri"/>
      <family val="0"/>
      <charset val="1"/>
    </font>
    <font>
      <sz val="17"/>
      <color rgb="FF000000"/>
      <name val="Roboto"/>
      <family val="0"/>
      <charset val="1"/>
    </font>
    <font>
      <sz val="18"/>
      <color rgb="FF000000"/>
      <name val="&quot;pt sans&quot;"/>
      <family val="0"/>
      <charset val="1"/>
    </font>
    <font>
      <b val="true"/>
      <sz val="18"/>
      <color rgb="FF555555"/>
      <name val="&quot;pt sans&quot;"/>
      <family val="0"/>
      <charset val="1"/>
    </font>
    <font>
      <b val="true"/>
      <sz val="14"/>
      <color rgb="FF555555"/>
      <name val="&quot;pt sans&quot;"/>
      <family val="0"/>
      <charset val="1"/>
    </font>
    <font>
      <sz val="18"/>
      <color rgb="FF555555"/>
      <name val="&quot;pt sans&quot;"/>
      <family val="0"/>
      <charset val="1"/>
    </font>
    <font>
      <b val="true"/>
      <sz val="15"/>
      <color rgb="FF000000"/>
      <name val="Arial"/>
      <family val="0"/>
      <charset val="1"/>
    </font>
    <font>
      <b val="true"/>
      <sz val="27"/>
      <color rgb="FF333333"/>
      <name val="Opensans"/>
      <family val="0"/>
      <charset val="1"/>
    </font>
    <font>
      <b val="true"/>
      <sz val="18"/>
      <color rgb="FF000000"/>
      <name val="Opensans"/>
      <family val="0"/>
      <charset val="1"/>
    </font>
    <font>
      <b val="true"/>
      <sz val="18"/>
      <color rgb="FF333333"/>
      <name val="Opensans"/>
      <family val="0"/>
      <charset val="1"/>
    </font>
    <font>
      <b val="true"/>
      <sz val="18"/>
      <color rgb="FF333333"/>
      <name val="Arial"/>
      <family val="0"/>
      <charset val="1"/>
    </font>
    <font>
      <b val="true"/>
      <sz val="21"/>
      <color rgb="FFFF9900"/>
      <name val="Roboto"/>
      <family val="0"/>
      <charset val="1"/>
    </font>
    <font>
      <sz val="18"/>
      <color rgb="FFE20000"/>
      <name val="Open_sansbold"/>
      <family val="0"/>
      <charset val="1"/>
    </font>
    <font>
      <b val="true"/>
      <sz val="21"/>
      <color rgb="FFFFFF00"/>
      <name val="Roboto"/>
      <family val="0"/>
      <charset val="1"/>
    </font>
    <font>
      <b val="true"/>
      <sz val="21"/>
      <color rgb="FFF1433F"/>
      <name val="Verdana"/>
      <family val="0"/>
      <charset val="1"/>
    </font>
    <font>
      <b val="true"/>
      <sz val="18"/>
      <color rgb="FF666666"/>
      <name val="&quot;open sans&quot;"/>
      <family val="0"/>
      <charset val="1"/>
    </font>
    <font>
      <b val="true"/>
      <sz val="27"/>
      <color rgb="FF666666"/>
      <name val="Arial"/>
      <family val="0"/>
      <charset val="1"/>
    </font>
    <font>
      <b val="true"/>
      <sz val="18"/>
      <color rgb="FF666666"/>
      <name val="Arial"/>
      <family val="0"/>
      <charset val="1"/>
    </font>
    <font>
      <sz val="18"/>
      <color rgb="FFFFFF00"/>
      <name val="Arial"/>
      <family val="0"/>
      <charset val="1"/>
    </font>
    <font>
      <b val="true"/>
      <sz val="23"/>
      <color rgb="FFF1433F"/>
      <name val="Verdana"/>
      <family val="0"/>
      <charset val="1"/>
    </font>
    <font>
      <b val="true"/>
      <sz val="27"/>
      <color rgb="FF666666"/>
      <name val="&quot;open sans&quot;"/>
      <family val="0"/>
      <charset val="1"/>
    </font>
    <font>
      <b val="true"/>
      <sz val="9"/>
      <color rgb="FF000000"/>
      <name val="Tahoma"/>
      <family val="0"/>
      <charset val="1"/>
    </font>
    <font>
      <b val="true"/>
      <sz val="10"/>
      <color rgb="FFFFFFFF"/>
      <name val="Tahoma, Helvetica, sans-serif"/>
      <family val="0"/>
      <charset val="1"/>
    </font>
    <font>
      <b val="true"/>
      <sz val="10"/>
      <color rgb="FF000000"/>
      <name val="Tahoma, Helvetica, sans-serif"/>
      <family val="0"/>
      <charset val="1"/>
    </font>
    <font>
      <b val="true"/>
      <sz val="14"/>
      <color rgb="FFFFFFFF"/>
      <name val="Tahoma"/>
      <family val="0"/>
      <charset val="1"/>
    </font>
    <font>
      <b val="true"/>
      <sz val="14"/>
      <color rgb="FF000000"/>
      <name val="Tahoma"/>
      <family val="0"/>
      <charset val="1"/>
    </font>
    <font>
      <sz val="9"/>
      <color rgb="FF202124"/>
      <name val="Roboto"/>
      <family val="0"/>
      <charset val="1"/>
    </font>
    <font>
      <b val="true"/>
      <sz val="9"/>
      <color rgb="FF202124"/>
      <name val="Roboto"/>
      <family val="0"/>
      <charset val="1"/>
    </font>
    <font>
      <u val="single"/>
      <sz val="9"/>
      <color rgb="FF202124"/>
      <name val="Roboto"/>
      <family val="0"/>
      <charset val="1"/>
    </font>
  </fonts>
  <fills count="27">
    <fill>
      <patternFill patternType="none"/>
    </fill>
    <fill>
      <patternFill patternType="gray125"/>
    </fill>
    <fill>
      <patternFill patternType="solid">
        <fgColor rgb="FFCFE2F3"/>
        <bgColor rgb="FFC9DAF8"/>
      </patternFill>
    </fill>
    <fill>
      <patternFill patternType="solid">
        <fgColor rgb="FFB6D7A8"/>
        <bgColor rgb="FFB7E1CD"/>
      </patternFill>
    </fill>
    <fill>
      <patternFill patternType="solid">
        <fgColor rgb="FFC9DAF8"/>
        <bgColor rgb="FFCFE2F3"/>
      </patternFill>
    </fill>
    <fill>
      <patternFill patternType="solid">
        <fgColor rgb="FFFFFFFF"/>
        <bgColor rgb="FFF7F7F7"/>
      </patternFill>
    </fill>
    <fill>
      <patternFill patternType="solid">
        <fgColor rgb="FFFFE599"/>
        <bgColor rgb="FFD9D9D9"/>
      </patternFill>
    </fill>
    <fill>
      <patternFill patternType="solid">
        <fgColor rgb="FF00FF00"/>
        <bgColor rgb="FF33CCCC"/>
      </patternFill>
    </fill>
    <fill>
      <patternFill patternType="solid">
        <fgColor rgb="FFFF0000"/>
        <bgColor rgb="FFFF0E0E"/>
      </patternFill>
    </fill>
    <fill>
      <patternFill patternType="solid">
        <fgColor rgb="FFB7B7B7"/>
        <bgColor rgb="FFB4A7D6"/>
      </patternFill>
    </fill>
    <fill>
      <patternFill patternType="solid">
        <fgColor rgb="FF6AA84F"/>
        <bgColor rgb="FF979083"/>
      </patternFill>
    </fill>
    <fill>
      <patternFill patternType="solid">
        <fgColor rgb="FFEA9999"/>
        <bgColor rgb="FFB4A7D6"/>
      </patternFill>
    </fill>
    <fill>
      <patternFill patternType="solid">
        <fgColor rgb="FFFFFF00"/>
        <bgColor rgb="FFFFE599"/>
      </patternFill>
    </fill>
    <fill>
      <patternFill patternType="solid">
        <fgColor rgb="FFD9D2E9"/>
        <bgColor rgb="FFD9D9D9"/>
      </patternFill>
    </fill>
    <fill>
      <patternFill patternType="solid">
        <fgColor rgb="FF9900FF"/>
        <bgColor rgb="FF800080"/>
      </patternFill>
    </fill>
    <fill>
      <patternFill patternType="solid">
        <fgColor rgb="FFFF6554"/>
        <bgColor rgb="FFF57122"/>
      </patternFill>
    </fill>
    <fill>
      <patternFill patternType="solid">
        <fgColor rgb="FFF3F3F3"/>
        <bgColor rgb="FFF6F6F6"/>
      </patternFill>
    </fill>
    <fill>
      <patternFill patternType="solid">
        <fgColor rgb="FF999999"/>
        <bgColor rgb="FF979083"/>
      </patternFill>
    </fill>
    <fill>
      <patternFill patternType="solid">
        <fgColor rgb="FFD9D9D9"/>
        <bgColor rgb="FFD9D2E9"/>
      </patternFill>
    </fill>
    <fill>
      <patternFill patternType="solid">
        <fgColor rgb="FFCCCCCC"/>
        <bgColor rgb="FFD9D2E9"/>
      </patternFill>
    </fill>
    <fill>
      <patternFill patternType="solid">
        <fgColor rgb="FFB7E1CD"/>
        <bgColor rgb="FFB6D7A8"/>
      </patternFill>
    </fill>
    <fill>
      <patternFill patternType="solid">
        <fgColor rgb="FFF7F7F7"/>
        <bgColor rgb="FFF6F6F6"/>
      </patternFill>
    </fill>
    <fill>
      <patternFill patternType="solid">
        <fgColor rgb="FFF6F6F6"/>
        <bgColor rgb="FFF7F7F7"/>
      </patternFill>
    </fill>
    <fill>
      <patternFill patternType="solid">
        <fgColor rgb="FF0000FF"/>
        <bgColor rgb="FF0000FF"/>
      </patternFill>
    </fill>
    <fill>
      <patternFill patternType="solid">
        <fgColor rgb="FF979083"/>
        <bgColor rgb="FF999999"/>
      </patternFill>
    </fill>
    <fill>
      <patternFill patternType="solid">
        <fgColor rgb="FFFF0E0E"/>
        <bgColor rgb="FFFF0000"/>
      </patternFill>
    </fill>
    <fill>
      <patternFill patternType="solid">
        <fgColor rgb="FFB4A7D6"/>
        <bgColor rgb="FFB7B7B7"/>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center" vertical="bottom" textRotation="0" wrapText="true" indent="0" shrinkToFit="false"/>
      <protection locked="true" hidden="false"/>
    </xf>
    <xf numFmtId="164" fontId="6" fillId="4" borderId="0" xfId="0" applyFont="true" applyBorder="false" applyAlignment="true" applyProtection="false">
      <alignment horizontal="center" vertical="bottom" textRotation="0" wrapText="true" indent="0" shrinkToFit="false"/>
      <protection locked="true" hidden="false"/>
    </xf>
    <xf numFmtId="164" fontId="4" fillId="4" borderId="0" xfId="0" applyFont="true" applyBorder="false" applyAlignment="true" applyProtection="false">
      <alignment horizontal="center"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8" fillId="6" borderId="0" xfId="0" applyFont="true" applyBorder="false" applyAlignment="true" applyProtection="false">
      <alignment horizontal="center" vertical="center" textRotation="0" wrapText="false" indent="0" shrinkToFit="false"/>
      <protection locked="true" hidden="false"/>
    </xf>
    <xf numFmtId="164" fontId="9" fillId="5"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center" vertical="center" textRotation="0" wrapText="true" indent="0" shrinkToFit="false"/>
      <protection locked="true" hidden="false"/>
    </xf>
    <xf numFmtId="164" fontId="11" fillId="5" borderId="1" xfId="0" applyFont="true" applyBorder="true" applyAlignment="true" applyProtection="false">
      <alignment horizontal="center" vertical="center" textRotation="0" wrapText="false" indent="0" shrinkToFit="false"/>
      <protection locked="true" hidden="false"/>
    </xf>
    <xf numFmtId="164" fontId="12" fillId="5" borderId="1" xfId="0" applyFont="true" applyBorder="true" applyAlignment="true" applyProtection="false">
      <alignment horizontal="center" vertical="center" textRotation="0" wrapText="false" indent="0" shrinkToFit="false"/>
      <protection locked="true" hidden="false"/>
    </xf>
    <xf numFmtId="164" fontId="13" fillId="5" borderId="1" xfId="0" applyFont="tru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3" fillId="5" borderId="1" xfId="0" applyFont="true" applyBorder="true" applyAlignment="true" applyProtection="false">
      <alignment horizontal="center" vertical="center" textRotation="0" wrapText="true" indent="0" shrinkToFit="false"/>
      <protection locked="true" hidden="false"/>
    </xf>
    <xf numFmtId="164" fontId="10" fillId="5" borderId="1" xfId="0" applyFont="true" applyBorder="true" applyAlignment="true" applyProtection="false">
      <alignment horizontal="center" vertical="center" textRotation="0" wrapText="false" indent="0" shrinkToFit="false"/>
      <protection locked="true" hidden="false"/>
    </xf>
    <xf numFmtId="164" fontId="14" fillId="5" borderId="1" xfId="0" applyFont="true" applyBorder="true" applyAlignment="true" applyProtection="false">
      <alignment horizontal="center" vertical="center" textRotation="0" wrapText="false" indent="0" shrinkToFit="false"/>
      <protection locked="true" hidden="false"/>
    </xf>
    <xf numFmtId="164" fontId="15" fillId="7" borderId="1" xfId="0" applyFont="true" applyBorder="true" applyAlignment="true" applyProtection="false">
      <alignment horizontal="general" vertical="bottom" textRotation="0" wrapText="false" indent="0" shrinkToFit="false"/>
      <protection locked="true" hidden="false"/>
    </xf>
    <xf numFmtId="165" fontId="13" fillId="5" borderId="1" xfId="0" applyFont="true" applyBorder="true" applyAlignment="true" applyProtection="false">
      <alignment horizontal="center" vertical="center" textRotation="0" wrapText="false" indent="0" shrinkToFit="false"/>
      <protection locked="true" hidden="false"/>
    </xf>
    <xf numFmtId="165" fontId="15" fillId="0" borderId="1" xfId="0" applyFont="true" applyBorder="true" applyAlignment="true" applyProtection="false">
      <alignment horizontal="center" vertical="center" textRotation="0" wrapText="false" indent="0" shrinkToFit="false"/>
      <protection locked="true" hidden="false"/>
    </xf>
    <xf numFmtId="165" fontId="15" fillId="5" borderId="1" xfId="0" applyFont="true" applyBorder="true" applyAlignment="true" applyProtection="false">
      <alignment horizontal="center" vertical="center" textRotation="0" wrapText="false" indent="0" shrinkToFit="false"/>
      <protection locked="true" hidden="false"/>
    </xf>
    <xf numFmtId="165" fontId="15" fillId="8" borderId="1" xfId="0" applyFont="true" applyBorder="true" applyAlignment="true" applyProtection="false">
      <alignment horizontal="center" vertical="center" textRotation="0" wrapText="false" indent="0" shrinkToFit="false"/>
      <protection locked="true" hidden="false"/>
    </xf>
    <xf numFmtId="164" fontId="13" fillId="7" borderId="1" xfId="0" applyFont="true" applyBorder="true" applyAlignment="false" applyProtection="false">
      <alignment horizontal="general" vertical="bottom" textRotation="0" wrapText="false" indent="0" shrinkToFit="false"/>
      <protection locked="true" hidden="false"/>
    </xf>
    <xf numFmtId="165" fontId="10" fillId="8" borderId="1" xfId="0" applyFont="true" applyBorder="true" applyAlignment="true" applyProtection="false">
      <alignment horizontal="center" vertical="center" textRotation="0" wrapText="false" indent="0" shrinkToFit="false"/>
      <protection locked="true" hidden="false"/>
    </xf>
    <xf numFmtId="164" fontId="10" fillId="7" borderId="1" xfId="0" applyFont="true" applyBorder="true" applyAlignment="false" applyProtection="false">
      <alignment horizontal="general" vertical="bottom" textRotation="0" wrapText="false" indent="0" shrinkToFit="false"/>
      <protection locked="true" hidden="false"/>
    </xf>
    <xf numFmtId="165" fontId="13" fillId="0" borderId="1" xfId="0" applyFont="true" applyBorder="true" applyAlignment="true" applyProtection="false">
      <alignment horizontal="center" vertical="center" textRotation="0" wrapText="true" indent="0" shrinkToFit="false"/>
      <protection locked="true" hidden="false"/>
    </xf>
    <xf numFmtId="165" fontId="13" fillId="0" borderId="1" xfId="0" applyFont="true" applyBorder="true" applyAlignment="true" applyProtection="false">
      <alignment horizontal="center" vertical="center" textRotation="0" wrapText="false" indent="0" shrinkToFit="false"/>
      <protection locked="true" hidden="false"/>
    </xf>
    <xf numFmtId="165" fontId="15" fillId="9" borderId="1" xfId="0" applyFont="tru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center" textRotation="0" wrapText="false" indent="0" shrinkToFit="false"/>
      <protection locked="true" hidden="false"/>
    </xf>
    <xf numFmtId="165" fontId="13" fillId="8" borderId="1" xfId="0" applyFont="true" applyBorder="true" applyAlignment="true" applyProtection="false">
      <alignment horizontal="center" vertical="center" textRotation="0" wrapText="true" indent="0" shrinkToFit="false"/>
      <protection locked="true" hidden="false"/>
    </xf>
    <xf numFmtId="165" fontId="13" fillId="8" borderId="1" xfId="0" applyFont="tru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center" textRotation="0" wrapText="true" indent="0" shrinkToFit="false"/>
      <protection locked="true" hidden="false"/>
    </xf>
    <xf numFmtId="165" fontId="14" fillId="9" borderId="1" xfId="0" applyFont="true" applyBorder="true" applyAlignment="true" applyProtection="false">
      <alignment horizontal="center" vertical="center" textRotation="0" wrapText="false" indent="0" shrinkToFit="false"/>
      <protection locked="true" hidden="false"/>
    </xf>
    <xf numFmtId="165" fontId="10" fillId="8" borderId="1" xfId="0" applyFont="true" applyBorder="true" applyAlignment="true" applyProtection="false">
      <alignment horizontal="center" vertical="center" textRotation="0" wrapText="true" indent="0" shrinkToFit="false"/>
      <protection locked="true" hidden="false"/>
    </xf>
    <xf numFmtId="165" fontId="16" fillId="0" borderId="1" xfId="0" applyFont="true" applyBorder="true" applyAlignment="true" applyProtection="false">
      <alignment horizontal="center" vertical="center" textRotation="0" wrapText="false" indent="0" shrinkToFit="false"/>
      <protection locked="true" hidden="false"/>
    </xf>
    <xf numFmtId="165" fontId="17" fillId="0" borderId="1" xfId="0" applyFont="true" applyBorder="true" applyAlignment="true" applyProtection="false">
      <alignment horizontal="center" vertical="center" textRotation="0" wrapText="false" indent="0" shrinkToFit="false"/>
      <protection locked="true" hidden="false"/>
    </xf>
    <xf numFmtId="165" fontId="15" fillId="8" borderId="1" xfId="0" applyFont="true" applyBorder="true" applyAlignment="true" applyProtection="false">
      <alignment horizontal="center" vertical="center" textRotation="0" wrapText="true" indent="0" shrinkToFit="false"/>
      <protection locked="true" hidden="false"/>
    </xf>
    <xf numFmtId="165" fontId="15" fillId="0" borderId="1" xfId="0" applyFont="true" applyBorder="true" applyAlignment="true" applyProtection="false">
      <alignment horizontal="center"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7" borderId="2" xfId="0" applyFont="true" applyBorder="true" applyAlignment="true" applyProtection="false">
      <alignment horizontal="general" vertical="bottom" textRotation="0" wrapText="false" indent="0" shrinkToFit="false"/>
      <protection locked="true" hidden="false"/>
    </xf>
    <xf numFmtId="165" fontId="17" fillId="8" borderId="1" xfId="0" applyFont="true" applyBorder="true" applyAlignment="true" applyProtection="false">
      <alignment horizontal="center" vertical="center" textRotation="0" wrapText="false" indent="0" shrinkToFit="false"/>
      <protection locked="true" hidden="false"/>
    </xf>
    <xf numFmtId="165" fontId="19" fillId="0" borderId="1" xfId="0" applyFont="true" applyBorder="true" applyAlignment="true" applyProtection="false">
      <alignment horizontal="center" vertical="center" textRotation="0" wrapText="false" indent="0" shrinkToFit="false"/>
      <protection locked="true" hidden="false"/>
    </xf>
    <xf numFmtId="164" fontId="13" fillId="5" borderId="1" xfId="0" applyFont="true" applyBorder="true" applyAlignment="false" applyProtection="false">
      <alignment horizontal="general" vertical="bottom" textRotation="0" wrapText="false" indent="0" shrinkToFit="false"/>
      <protection locked="true" hidden="false"/>
    </xf>
    <xf numFmtId="164" fontId="20" fillId="5" borderId="1" xfId="0" applyFont="true" applyBorder="true" applyAlignment="true" applyProtection="false">
      <alignment horizontal="center" vertical="center" textRotation="0" wrapText="false" indent="0" shrinkToFit="false"/>
      <protection locked="true" hidden="false"/>
    </xf>
    <xf numFmtId="164" fontId="21" fillId="5" borderId="1" xfId="0" applyFont="true" applyBorder="true" applyAlignment="true" applyProtection="false">
      <alignment horizontal="center" vertical="center" textRotation="0" wrapText="false" indent="0" shrinkToFit="false"/>
      <protection locked="true" hidden="false"/>
    </xf>
    <xf numFmtId="164" fontId="22" fillId="5" borderId="1" xfId="0" applyFont="true" applyBorder="true" applyAlignment="true" applyProtection="false">
      <alignment horizontal="general" vertical="bottom" textRotation="0" wrapText="false" indent="0" shrinkToFit="false"/>
      <protection locked="true" hidden="false"/>
    </xf>
    <xf numFmtId="164" fontId="20" fillId="5" borderId="3" xfId="0" applyFont="true" applyBorder="true" applyAlignment="false" applyProtection="false">
      <alignment horizontal="general" vertical="bottom" textRotation="0" wrapText="false" indent="0" shrinkToFit="false"/>
      <protection locked="true" hidden="false"/>
    </xf>
    <xf numFmtId="164" fontId="22" fillId="5" borderId="3" xfId="0" applyFont="true" applyBorder="true" applyAlignment="true" applyProtection="false">
      <alignment horizontal="center" vertical="bottom" textRotation="0" wrapText="false" indent="0" shrinkToFit="false"/>
      <protection locked="true" hidden="false"/>
    </xf>
    <xf numFmtId="164" fontId="23" fillId="5" borderId="3" xfId="0" applyFont="true" applyBorder="true" applyAlignment="true" applyProtection="false">
      <alignment horizontal="center" vertical="bottom" textRotation="0" wrapText="false" indent="0" shrinkToFit="false"/>
      <protection locked="true" hidden="false"/>
    </xf>
    <xf numFmtId="164" fontId="24" fillId="5" borderId="3" xfId="0" applyFont="true" applyBorder="true" applyAlignment="true" applyProtection="false">
      <alignment horizontal="center" vertical="bottom" textRotation="0" wrapText="false" indent="0" shrinkToFit="false"/>
      <protection locked="true" hidden="false"/>
    </xf>
    <xf numFmtId="164" fontId="20" fillId="5" borderId="0" xfId="0" applyFont="true" applyBorder="false" applyAlignment="true" applyProtection="false">
      <alignment horizontal="general" vertical="bottom" textRotation="0" wrapText="false" indent="0" shrinkToFit="false"/>
      <protection locked="true" hidden="false"/>
    </xf>
    <xf numFmtId="164" fontId="23" fillId="5" borderId="3" xfId="0" applyFont="true" applyBorder="true" applyAlignment="true" applyProtection="false">
      <alignment horizontal="center" vertical="bottom" textRotation="0" wrapText="true" indent="0" shrinkToFit="false"/>
      <protection locked="true" hidden="false"/>
    </xf>
    <xf numFmtId="164" fontId="15" fillId="5" borderId="3" xfId="0" applyFont="true" applyBorder="true" applyAlignment="true" applyProtection="false">
      <alignment horizontal="center" vertical="bottom" textRotation="0" wrapText="false" indent="0" shrinkToFit="false"/>
      <protection locked="true" hidden="false"/>
    </xf>
    <xf numFmtId="164" fontId="25" fillId="5" borderId="3" xfId="0" applyFont="true" applyBorder="true" applyAlignment="true" applyProtection="false">
      <alignment horizontal="center"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22" fillId="5" borderId="3" xfId="0" applyFont="true" applyBorder="true" applyAlignment="true" applyProtection="false">
      <alignment horizontal="center" vertical="bottom" textRotation="0" wrapText="true" indent="0" shrinkToFit="false"/>
      <protection locked="true" hidden="false"/>
    </xf>
    <xf numFmtId="164" fontId="26" fillId="5" borderId="3" xfId="0" applyFont="true" applyBorder="true" applyAlignment="true" applyProtection="false">
      <alignment horizontal="center" vertical="bottom" textRotation="0" wrapText="false" indent="0" shrinkToFit="false"/>
      <protection locked="true" hidden="false"/>
    </xf>
    <xf numFmtId="164" fontId="27" fillId="5" borderId="3" xfId="0" applyFont="true" applyBorder="true" applyAlignment="true" applyProtection="false">
      <alignment horizontal="center" vertical="bottom" textRotation="0" wrapText="true" indent="0" shrinkToFit="false"/>
      <protection locked="true" hidden="false"/>
    </xf>
    <xf numFmtId="164" fontId="17" fillId="5" borderId="2" xfId="0" applyFont="true" applyBorder="true" applyAlignment="true" applyProtection="false">
      <alignment horizontal="general" vertical="bottom" textRotation="0" wrapText="false" indent="0" shrinkToFit="false"/>
      <protection locked="true" hidden="false"/>
    </xf>
    <xf numFmtId="164" fontId="21" fillId="5" borderId="1" xfId="0" applyFont="true" applyBorder="true" applyAlignment="true" applyProtection="false">
      <alignment horizontal="center" vertical="center" textRotation="0" wrapText="true" indent="0" shrinkToFit="false"/>
      <protection locked="true" hidden="false"/>
    </xf>
    <xf numFmtId="164" fontId="16" fillId="5" borderId="1" xfId="0" applyFont="true" applyBorder="true" applyAlignment="true" applyProtection="false">
      <alignment horizontal="center" vertical="center" textRotation="0" wrapText="false" indent="0" shrinkToFit="false"/>
      <protection locked="true" hidden="false"/>
    </xf>
    <xf numFmtId="164" fontId="17" fillId="5" borderId="1" xfId="0" applyFont="true" applyBorder="true" applyAlignment="true" applyProtection="false">
      <alignment horizontal="center" vertical="center" textRotation="0" wrapText="false" indent="0" shrinkToFit="false"/>
      <protection locked="true" hidden="false"/>
    </xf>
    <xf numFmtId="164" fontId="19" fillId="5" borderId="1" xfId="0" applyFont="true" applyBorder="true" applyAlignment="true" applyProtection="false">
      <alignment horizontal="center" vertical="center" textRotation="0" wrapText="false" indent="0" shrinkToFit="false"/>
      <protection locked="true" hidden="false"/>
    </xf>
    <xf numFmtId="164" fontId="24" fillId="5" borderId="1" xfId="0" applyFont="true" applyBorder="true" applyAlignment="true" applyProtection="false">
      <alignment horizontal="center" vertical="center" textRotation="0" wrapText="false" indent="0" shrinkToFit="false"/>
      <protection locked="true" hidden="false"/>
    </xf>
    <xf numFmtId="164" fontId="22" fillId="5" borderId="3" xfId="0" applyFont="true" applyBorder="true" applyAlignment="true" applyProtection="false">
      <alignment horizontal="general" vertical="bottom" textRotation="0" wrapText="false" indent="0" shrinkToFit="false"/>
      <protection locked="true" hidden="false"/>
    </xf>
    <xf numFmtId="164" fontId="17" fillId="5" borderId="3" xfId="0" applyFont="true" applyBorder="true" applyAlignment="true" applyProtection="false">
      <alignment horizontal="center" vertical="bottom" textRotation="0" wrapText="false" indent="0" shrinkToFit="false"/>
      <protection locked="true" hidden="false"/>
    </xf>
    <xf numFmtId="164" fontId="23" fillId="5" borderId="1" xfId="0" applyFont="true" applyBorder="true" applyAlignment="true" applyProtection="false">
      <alignment horizontal="general" vertical="bottom" textRotation="0" wrapText="false" indent="0" shrinkToFit="false"/>
      <protection locked="true" hidden="false"/>
    </xf>
    <xf numFmtId="164" fontId="10" fillId="5" borderId="1" xfId="0" applyFont="true" applyBorder="true" applyAlignment="true" applyProtection="false">
      <alignment horizontal="center" vertical="center" textRotation="0" wrapText="true" indent="0" shrinkToFit="false"/>
      <protection locked="true" hidden="false"/>
    </xf>
    <xf numFmtId="164" fontId="28" fillId="5" borderId="1" xfId="0" applyFont="true" applyBorder="true" applyAlignment="true" applyProtection="false">
      <alignment horizontal="center" vertical="center" textRotation="0" wrapText="false" indent="0" shrinkToFit="false"/>
      <protection locked="true" hidden="false"/>
    </xf>
    <xf numFmtId="164" fontId="20" fillId="5"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center" vertical="center" textRotation="0" wrapText="tru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5" fontId="10" fillId="9" borderId="1" xfId="0" applyFont="true" applyBorder="true" applyAlignment="true" applyProtection="false">
      <alignment horizontal="center" vertical="center" textRotation="0" wrapText="true" indent="0" shrinkToFit="false"/>
      <protection locked="true" hidden="false"/>
    </xf>
    <xf numFmtId="165" fontId="10" fillId="9" borderId="1" xfId="0" applyFont="true" applyBorder="true" applyAlignment="true" applyProtection="false">
      <alignment horizontal="center" vertical="center" textRotation="0" wrapText="false" indent="0" shrinkToFit="false"/>
      <protection locked="true" hidden="false"/>
    </xf>
    <xf numFmtId="164" fontId="13" fillId="9" borderId="1" xfId="0" applyFont="true" applyBorder="true" applyAlignment="true" applyProtection="false">
      <alignment horizontal="center" vertical="center" textRotation="0" wrapText="false" indent="0" shrinkToFit="false"/>
      <protection locked="true" hidden="false"/>
    </xf>
    <xf numFmtId="164" fontId="13" fillId="2" borderId="0" xfId="0" applyFont="true" applyBorder="false" applyAlignment="false" applyProtection="false">
      <alignment horizontal="general" vertical="bottom" textRotation="0" wrapText="false" indent="0" shrinkToFit="false"/>
      <protection locked="true" hidden="false"/>
    </xf>
    <xf numFmtId="164" fontId="21" fillId="9" borderId="1" xfId="0" applyFont="true" applyBorder="true" applyAlignment="true" applyProtection="false">
      <alignment horizontal="center" vertical="center" textRotation="0" wrapText="false" indent="0" shrinkToFit="false"/>
      <protection locked="true" hidden="false"/>
    </xf>
    <xf numFmtId="164" fontId="13" fillId="8"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29" fillId="0" borderId="1" xfId="0" applyFont="true" applyBorder="true" applyAlignment="true" applyProtection="false">
      <alignment horizontal="center" vertical="center" textRotation="0" wrapText="false" indent="0" shrinkToFit="false"/>
      <protection locked="true" hidden="false"/>
    </xf>
    <xf numFmtId="164" fontId="26" fillId="0" borderId="1" xfId="0" applyFont="true" applyBorder="true" applyAlignment="true" applyProtection="false">
      <alignment horizontal="center" vertical="center" textRotation="0" wrapText="false" indent="0" shrinkToFit="false"/>
      <protection locked="true" hidden="false"/>
    </xf>
    <xf numFmtId="164" fontId="24" fillId="0" borderId="1" xfId="0" applyFont="true" applyBorder="true" applyAlignment="true" applyProtection="false">
      <alignment horizontal="center" vertical="center" textRotation="0" wrapText="false" indent="0" shrinkToFit="false"/>
      <protection locked="true" hidden="false"/>
    </xf>
    <xf numFmtId="165" fontId="14" fillId="0" borderId="1" xfId="0" applyFont="true" applyBorder="true" applyAlignment="true" applyProtection="false">
      <alignment horizontal="center" vertical="center" textRotation="0" wrapText="false" indent="0" shrinkToFit="false"/>
      <protection locked="true" hidden="false"/>
    </xf>
    <xf numFmtId="165" fontId="21" fillId="0" borderId="1" xfId="0" applyFont="true" applyBorder="true" applyAlignment="true" applyProtection="false">
      <alignment horizontal="center" vertical="center" textRotation="0" wrapText="false" indent="0" shrinkToFit="false"/>
      <protection locked="true" hidden="false"/>
    </xf>
    <xf numFmtId="165" fontId="30" fillId="0" borderId="1" xfId="0" applyFont="true" applyBorder="true" applyAlignment="true" applyProtection="false">
      <alignment horizontal="center" vertical="center" textRotation="0" wrapText="true" indent="0" shrinkToFit="false"/>
      <protection locked="true" hidden="false"/>
    </xf>
    <xf numFmtId="165" fontId="20" fillId="0" borderId="1" xfId="0" applyFont="true" applyBorder="true" applyAlignment="true" applyProtection="false">
      <alignment horizontal="center" vertical="center" textRotation="0" wrapText="true" indent="0" shrinkToFit="false"/>
      <protection locked="true" hidden="false"/>
    </xf>
    <xf numFmtId="164" fontId="28"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5" fontId="14" fillId="9" borderId="1" xfId="0" applyFont="true" applyBorder="true" applyAlignment="true" applyProtection="false">
      <alignment horizontal="center" vertical="center" textRotation="0" wrapText="true" indent="0" shrinkToFit="false"/>
      <protection locked="true" hidden="false"/>
    </xf>
    <xf numFmtId="165" fontId="31" fillId="9" borderId="1" xfId="0" applyFont="true" applyBorder="true" applyAlignment="true" applyProtection="false">
      <alignment horizontal="center" vertical="center" textRotation="0" wrapText="false" indent="0" shrinkToFit="false"/>
      <protection locked="true" hidden="false"/>
    </xf>
    <xf numFmtId="164" fontId="13" fillId="8" borderId="1" xfId="0" applyFont="true" applyBorder="true" applyAlignment="true" applyProtection="false">
      <alignment horizontal="center" vertical="center" textRotation="0" wrapText="true" indent="0" shrinkToFit="false"/>
      <protection locked="true" hidden="false"/>
    </xf>
    <xf numFmtId="165" fontId="21" fillId="9" borderId="1" xfId="0" applyFont="true" applyBorder="true" applyAlignment="true" applyProtection="false">
      <alignment horizontal="center" vertical="center" textRotation="0" wrapText="false" indent="0" shrinkToFit="false"/>
      <protection locked="true" hidden="false"/>
    </xf>
    <xf numFmtId="164" fontId="10" fillId="2" borderId="0" xfId="0" applyFont="true" applyBorder="false" applyAlignment="false" applyProtection="false">
      <alignment horizontal="general" vertical="bottom" textRotation="0" wrapText="false" indent="0" shrinkToFit="false"/>
      <protection locked="true" hidden="false"/>
    </xf>
    <xf numFmtId="164" fontId="17" fillId="2" borderId="2" xfId="0" applyFont="true" applyBorder="true" applyAlignment="true" applyProtection="false">
      <alignment horizontal="general" vertical="bottom" textRotation="0" wrapText="fals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true" applyProtection="false">
      <alignment horizontal="center" vertical="center" textRotation="0" wrapText="false" indent="0" shrinkToFit="false"/>
      <protection locked="true" hidden="false"/>
    </xf>
    <xf numFmtId="165" fontId="19" fillId="9" borderId="1" xfId="0" applyFont="true" applyBorder="true" applyAlignment="true" applyProtection="false">
      <alignment horizontal="center" vertical="center" textRotation="0" wrapText="false" indent="0" shrinkToFit="false"/>
      <protection locked="true" hidden="false"/>
    </xf>
    <xf numFmtId="164" fontId="15" fillId="0" borderId="1" xfId="0" applyFont="true" applyBorder="true" applyAlignment="true" applyProtection="false">
      <alignment horizontal="center" vertical="center" textRotation="0" wrapText="fals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20" fillId="10" borderId="0" xfId="0" applyFont="true" applyBorder="false" applyAlignment="false" applyProtection="false">
      <alignment horizontal="general" vertical="bottom" textRotation="0" wrapText="false" indent="0" shrinkToFit="false"/>
      <protection locked="true" hidden="false"/>
    </xf>
    <xf numFmtId="164" fontId="20" fillId="10" borderId="0" xfId="0" applyFont="true" applyBorder="false" applyAlignment="true" applyProtection="false">
      <alignment horizontal="center" vertical="bottom" textRotation="0" wrapText="true" indent="0" shrinkToFit="false"/>
      <protection locked="true" hidden="false"/>
    </xf>
    <xf numFmtId="164" fontId="20" fillId="10" borderId="0" xfId="0" applyFont="true" applyBorder="false" applyAlignment="true" applyProtection="false">
      <alignment horizontal="center" vertical="bottom" textRotation="0" wrapText="false" indent="0" shrinkToFit="false"/>
      <protection locked="true" hidden="false"/>
    </xf>
    <xf numFmtId="164" fontId="15" fillId="8" borderId="1" xfId="0" applyFont="true" applyBorder="true" applyAlignment="true" applyProtection="false">
      <alignment horizontal="center" vertical="center" textRotation="0" wrapText="false" indent="0" shrinkToFit="false"/>
      <protection locked="true" hidden="false"/>
    </xf>
    <xf numFmtId="164" fontId="20"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5" fontId="10" fillId="8" borderId="1" xfId="0" applyFont="true" applyBorder="true" applyAlignment="true" applyProtection="false">
      <alignment horizontal="center" vertical="bottom" textRotation="0" wrapText="true" indent="0" shrinkToFit="false"/>
      <protection locked="true" hidden="false"/>
    </xf>
    <xf numFmtId="165" fontId="10" fillId="0" borderId="1" xfId="0" applyFont="true" applyBorder="true" applyAlignment="true" applyProtection="false">
      <alignment horizontal="center" vertical="bottom" textRotation="0" wrapText="true" indent="0" shrinkToFit="false"/>
      <protection locked="true" hidden="false"/>
    </xf>
    <xf numFmtId="164" fontId="5" fillId="11" borderId="0" xfId="0" applyFont="true" applyBorder="false" applyAlignment="true" applyProtection="false">
      <alignment horizontal="center" vertical="bottom" textRotation="0" wrapText="true" indent="0" shrinkToFit="false"/>
      <protection locked="true" hidden="false"/>
    </xf>
    <xf numFmtId="164" fontId="6" fillId="3" borderId="0" xfId="0" applyFont="true" applyBorder="fals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true" indent="0" shrinkToFit="false"/>
      <protection locked="true" hidden="false"/>
    </xf>
    <xf numFmtId="164" fontId="10" fillId="10" borderId="1" xfId="0" applyFont="true" applyBorder="true" applyAlignment="false" applyProtection="false">
      <alignment horizontal="general" vertical="bottom" textRotation="0" wrapText="false" indent="0" shrinkToFit="false"/>
      <protection locked="true" hidden="false"/>
    </xf>
    <xf numFmtId="165" fontId="33" fillId="9" borderId="1" xfId="0" applyFont="true" applyBorder="true" applyAlignment="true" applyProtection="false">
      <alignment horizontal="center" vertical="center" textRotation="0" wrapText="false" indent="0" shrinkToFit="false"/>
      <protection locked="true" hidden="false"/>
    </xf>
    <xf numFmtId="164" fontId="13" fillId="12" borderId="1" xfId="0" applyFont="true" applyBorder="true" applyAlignment="false" applyProtection="false">
      <alignment horizontal="general" vertical="bottom" textRotation="0" wrapText="false" indent="0" shrinkToFit="false"/>
      <protection locked="true" hidden="false"/>
    </xf>
    <xf numFmtId="165" fontId="12" fillId="0" borderId="1" xfId="0" applyFont="true" applyBorder="true" applyAlignment="true" applyProtection="false">
      <alignment horizontal="center" vertical="center" textRotation="0" wrapText="false" indent="0" shrinkToFit="false"/>
      <protection locked="true" hidden="false"/>
    </xf>
    <xf numFmtId="165" fontId="33"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2" borderId="0" xfId="0" applyFont="true" applyBorder="false" applyAlignment="true" applyProtection="false">
      <alignment horizontal="center" vertical="bottom" textRotation="0" wrapText="true" indent="0" shrinkToFit="false"/>
      <protection locked="true" hidden="false"/>
    </xf>
    <xf numFmtId="165" fontId="14" fillId="8"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5" fontId="10" fillId="13" borderId="1" xfId="0" applyFont="true" applyBorder="true" applyAlignment="true" applyProtection="false">
      <alignment horizontal="center" vertical="center" textRotation="0" wrapText="false" indent="0" shrinkToFit="false"/>
      <protection locked="true" hidden="false"/>
    </xf>
    <xf numFmtId="165" fontId="30" fillId="8" borderId="1" xfId="0" applyFont="true" applyBorder="true" applyAlignment="true" applyProtection="false">
      <alignment horizontal="center" vertical="center" textRotation="0" wrapText="true" indent="0" shrinkToFit="false"/>
      <protection locked="true" hidden="false"/>
    </xf>
    <xf numFmtId="165" fontId="14" fillId="0" borderId="1" xfId="0" applyFont="true" applyBorder="true" applyAlignment="true" applyProtection="false">
      <alignment horizontal="center" vertical="center" textRotation="0" wrapText="true" indent="0" shrinkToFit="false"/>
      <protection locked="true" hidden="false"/>
    </xf>
    <xf numFmtId="164" fontId="34" fillId="14" borderId="0" xfId="0" applyFont="true" applyBorder="false" applyAlignment="false" applyProtection="false">
      <alignment horizontal="general" vertical="bottom" textRotation="0" wrapText="false" indent="0" shrinkToFit="false"/>
      <protection locked="true" hidden="false"/>
    </xf>
    <xf numFmtId="164" fontId="20" fillId="14" borderId="0" xfId="0" applyFont="true" applyBorder="false" applyAlignment="true" applyProtection="false">
      <alignment horizontal="general" vertical="bottom" textRotation="0" wrapText="true" indent="0" shrinkToFit="false"/>
      <protection locked="true" hidden="false"/>
    </xf>
    <xf numFmtId="164" fontId="20" fillId="14" borderId="0" xfId="0" applyFont="true" applyBorder="false" applyAlignment="true" applyProtection="false">
      <alignment horizontal="center"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13" fillId="0" borderId="4" xfId="0" applyFont="true" applyBorder="true" applyAlignment="true" applyProtection="false">
      <alignment horizontal="left" vertical="bottom" textRotation="0" wrapText="true" indent="0" shrinkToFit="false"/>
      <protection locked="true" hidden="false"/>
    </xf>
    <xf numFmtId="164" fontId="13" fillId="0" borderId="5" xfId="0" applyFont="true" applyBorder="true" applyAlignment="true" applyProtection="false">
      <alignment horizontal="left" vertical="bottom" textRotation="0" wrapText="true" indent="0" shrinkToFit="false"/>
      <protection locked="true" hidden="false"/>
    </xf>
    <xf numFmtId="164" fontId="23" fillId="0" borderId="4" xfId="0" applyFont="true" applyBorder="true" applyAlignment="true" applyProtection="false">
      <alignment horizontal="left" vertical="bottom" textRotation="0" wrapText="true" indent="0" shrinkToFit="false"/>
      <protection locked="true" hidden="false"/>
    </xf>
    <xf numFmtId="165" fontId="21" fillId="0" borderId="1" xfId="0" applyFont="true" applyBorder="true" applyAlignment="true" applyProtection="false">
      <alignment horizontal="center" vertical="center" textRotation="0" wrapText="true" indent="0" shrinkToFit="false"/>
      <protection locked="true" hidden="false"/>
    </xf>
    <xf numFmtId="164" fontId="8" fillId="5"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1" xfId="0" applyFont="true" applyBorder="true" applyAlignment="tru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41" fillId="0" borderId="1" xfId="0" applyFont="true" applyBorder="true" applyAlignment="true" applyProtection="false">
      <alignment horizontal="left" vertical="top" textRotation="0" wrapText="true" indent="0" shrinkToFit="false"/>
      <protection locked="true" hidden="false"/>
    </xf>
    <xf numFmtId="164" fontId="45" fillId="0" borderId="1" xfId="0" applyFont="true" applyBorder="true" applyAlignment="true" applyProtection="false">
      <alignment horizontal="general" vertical="top" textRotation="0" wrapText="true" indent="0" shrinkToFit="false"/>
      <protection locked="true" hidden="false"/>
    </xf>
    <xf numFmtId="164" fontId="42" fillId="0" borderId="0" xfId="0" applyFont="true" applyBorder="false" applyAlignment="true" applyProtection="false">
      <alignment horizontal="general" vertical="bottom" textRotation="0" wrapText="true" indent="0" shrinkToFit="false"/>
      <protection locked="true" hidden="false"/>
    </xf>
    <xf numFmtId="164" fontId="13" fillId="15" borderId="1" xfId="0" applyFont="true" applyBorder="true" applyAlignment="true" applyProtection="false">
      <alignment horizontal="center" vertical="center" textRotation="0" wrapText="false" indent="0" shrinkToFit="false"/>
      <protection locked="true" hidden="false"/>
    </xf>
    <xf numFmtId="165" fontId="10" fillId="15" borderId="1" xfId="0" applyFont="true" applyBorder="true" applyAlignment="true" applyProtection="false">
      <alignment horizontal="center" vertical="center" textRotation="0" wrapText="false" indent="0" shrinkToFit="false"/>
      <protection locked="true" hidden="false"/>
    </xf>
    <xf numFmtId="164" fontId="41" fillId="0" borderId="1" xfId="0" applyFont="true" applyBorder="true" applyAlignment="true" applyProtection="false">
      <alignment horizontal="general" vertical="top" textRotation="0" wrapText="true" indent="0" shrinkToFit="false"/>
      <protection locked="true" hidden="false"/>
    </xf>
    <xf numFmtId="165" fontId="13" fillId="15" borderId="1" xfId="0" applyFont="true" applyBorder="true" applyAlignment="true" applyProtection="false">
      <alignment horizontal="center" vertical="center" textRotation="0" wrapText="false" indent="0" shrinkToFit="false"/>
      <protection locked="true" hidden="false"/>
    </xf>
    <xf numFmtId="164" fontId="47"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48"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general" vertical="bottom" textRotation="0" wrapText="true" indent="0" shrinkToFit="false"/>
      <protection locked="true" hidden="false"/>
    </xf>
    <xf numFmtId="165" fontId="33" fillId="8" borderId="1" xfId="0" applyFont="true" applyBorder="true" applyAlignment="true" applyProtection="false">
      <alignment horizontal="center" vertical="center" textRotation="0" wrapText="false" indent="0" shrinkToFit="false"/>
      <protection locked="true" hidden="false"/>
    </xf>
    <xf numFmtId="164" fontId="49" fillId="0" borderId="2" xfId="0" applyFont="true" applyBorder="true" applyAlignment="true" applyProtection="false">
      <alignment horizontal="general" vertical="bottom" textRotation="0" wrapText="true" indent="0" shrinkToFit="false"/>
      <protection locked="true" hidden="false"/>
    </xf>
    <xf numFmtId="164" fontId="51" fillId="0" borderId="2" xfId="0" applyFont="true" applyBorder="true" applyAlignment="true" applyProtection="false">
      <alignment horizontal="general" vertical="bottom" textRotation="0" wrapText="true" indent="0" shrinkToFit="false"/>
      <protection locked="true" hidden="false"/>
    </xf>
    <xf numFmtId="165" fontId="17" fillId="15" borderId="1" xfId="0" applyFont="true" applyBorder="true" applyAlignment="true" applyProtection="false">
      <alignment horizontal="center" vertical="center" textRotation="0" wrapText="false" indent="0" shrinkToFit="false"/>
      <protection locked="true" hidden="false"/>
    </xf>
    <xf numFmtId="164" fontId="45"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5" fontId="14" fillId="6" borderId="1" xfId="0" applyFont="true" applyBorder="true" applyAlignment="true" applyProtection="false">
      <alignment horizontal="center" vertical="center" textRotation="0" wrapText="false" indent="0" shrinkToFit="false"/>
      <protection locked="true" hidden="false"/>
    </xf>
    <xf numFmtId="165" fontId="10" fillId="6" borderId="1" xfId="0" applyFont="true" applyBorder="true" applyAlignment="true" applyProtection="false">
      <alignment horizontal="center" vertical="center" textRotation="0" wrapText="false" indent="0" shrinkToFit="false"/>
      <protection locked="true" hidden="false"/>
    </xf>
    <xf numFmtId="164" fontId="13" fillId="16" borderId="1"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general" vertical="bottom" textRotation="0" wrapText="false" indent="0" shrinkToFit="false"/>
      <protection locked="true" hidden="false"/>
    </xf>
    <xf numFmtId="164" fontId="35" fillId="5"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center" vertical="bottom" textRotation="0" wrapText="false" indent="0" shrinkToFit="false"/>
      <protection locked="true" hidden="false"/>
    </xf>
    <xf numFmtId="164" fontId="9" fillId="5" borderId="0" xfId="0" applyFont="true" applyBorder="false" applyAlignment="true" applyProtection="false">
      <alignment horizontal="center" vertical="bottom" textRotation="0" wrapText="false" indent="0" shrinkToFit="false"/>
      <protection locked="true" hidden="false"/>
    </xf>
    <xf numFmtId="165" fontId="11" fillId="0" borderId="1" xfId="0" applyFont="true" applyBorder="true" applyAlignment="true" applyProtection="false">
      <alignment horizontal="center" vertical="bottom" textRotation="0" wrapText="false" indent="0" shrinkToFit="false"/>
      <protection locked="true" hidden="false"/>
    </xf>
    <xf numFmtId="165" fontId="10" fillId="0" borderId="1" xfId="0" applyFont="true" applyBorder="true" applyAlignment="true" applyProtection="false">
      <alignment horizontal="center" vertical="bottom" textRotation="0" wrapText="false" indent="0" shrinkToFit="false"/>
      <protection locked="true" hidden="false"/>
    </xf>
    <xf numFmtId="165" fontId="13" fillId="0" borderId="1" xfId="0" applyFont="true" applyBorder="true" applyAlignment="true" applyProtection="false">
      <alignment horizontal="center" vertical="bottom" textRotation="0" wrapText="false" indent="0" shrinkToFit="false"/>
      <protection locked="true" hidden="false"/>
    </xf>
    <xf numFmtId="165" fontId="14" fillId="0" borderId="1" xfId="0" applyFont="true" applyBorder="true" applyAlignment="true" applyProtection="false">
      <alignment horizontal="center" vertical="bottom" textRotation="0" wrapText="false" indent="0" shrinkToFit="false"/>
      <protection locked="true" hidden="false"/>
    </xf>
    <xf numFmtId="165" fontId="10" fillId="17" borderId="1" xfId="0" applyFont="true" applyBorder="tru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5" fontId="13" fillId="0" borderId="0" xfId="0" applyFont="true" applyBorder="false" applyAlignment="true" applyProtection="false">
      <alignment horizontal="center" vertical="bottom" textRotation="0" wrapText="false" indent="0" shrinkToFit="false"/>
      <protection locked="true" hidden="false"/>
    </xf>
    <xf numFmtId="165" fontId="14" fillId="0" borderId="0" xfId="0" applyFont="true" applyBorder="false" applyAlignment="true" applyProtection="false">
      <alignment horizontal="center" vertical="bottom" textRotation="0" wrapText="false" indent="0" shrinkToFit="false"/>
      <protection locked="true" hidden="false"/>
    </xf>
    <xf numFmtId="165" fontId="10" fillId="17" borderId="0" xfId="0" applyFont="true" applyBorder="false" applyAlignment="true" applyProtection="false">
      <alignment horizontal="center" vertical="bottom" textRotation="0" wrapText="fals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21" fillId="0" borderId="1" xfId="0" applyFont="true" applyBorder="true" applyAlignment="true" applyProtection="false">
      <alignment horizontal="center" vertical="bottom" textRotation="0" wrapText="false" indent="0" shrinkToFit="false"/>
      <protection locked="true" hidden="false"/>
    </xf>
    <xf numFmtId="165" fontId="13" fillId="17" borderId="1" xfId="0" applyFont="true" applyBorder="true" applyAlignment="true" applyProtection="false">
      <alignment horizontal="center" vertical="bottom" textRotation="0" wrapText="false" indent="0" shrinkToFit="false"/>
      <protection locked="true" hidden="false"/>
    </xf>
    <xf numFmtId="165" fontId="13" fillId="5" borderId="1" xfId="0" applyFont="true" applyBorder="true" applyAlignment="true" applyProtection="false">
      <alignment horizontal="center" vertical="bottom" textRotation="0" wrapText="false" indent="0" shrinkToFit="false"/>
      <protection locked="true" hidden="false"/>
    </xf>
    <xf numFmtId="164" fontId="20" fillId="0"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28" fillId="0" borderId="1"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5" fontId="21" fillId="5" borderId="1" xfId="0" applyFont="true" applyBorder="true" applyAlignment="true" applyProtection="false">
      <alignment horizontal="center" vertical="bottom" textRotation="0" wrapText="false" indent="0" shrinkToFit="false"/>
      <protection locked="true" hidden="false"/>
    </xf>
    <xf numFmtId="165" fontId="17" fillId="17" borderId="2" xfId="0" applyFont="true" applyBorder="true" applyAlignment="true" applyProtection="false">
      <alignment horizontal="center" vertical="bottom" textRotation="0" wrapText="false" indent="0" shrinkToFit="false"/>
      <protection locked="true" hidden="false"/>
    </xf>
    <xf numFmtId="165" fontId="17" fillId="0" borderId="2" xfId="0" applyFont="true" applyBorder="true" applyAlignment="true" applyProtection="false">
      <alignment horizontal="center" vertical="bottom" textRotation="0" wrapText="false" indent="0" shrinkToFit="false"/>
      <protection locked="true" hidden="false"/>
    </xf>
    <xf numFmtId="164" fontId="32" fillId="0" borderId="2" xfId="0" applyFont="true" applyBorder="true" applyAlignment="true" applyProtection="false">
      <alignment horizontal="center" vertical="bottom" textRotation="0" wrapText="false" indent="0" shrinkToFit="false"/>
      <protection locked="true" hidden="false"/>
    </xf>
    <xf numFmtId="165" fontId="19" fillId="0" borderId="2" xfId="0" applyFont="true" applyBorder="true" applyAlignment="true" applyProtection="false">
      <alignment horizontal="center" vertical="bottom" textRotation="0" wrapText="false" indent="0" shrinkToFit="false"/>
      <protection locked="true" hidden="false"/>
    </xf>
    <xf numFmtId="164" fontId="53" fillId="2" borderId="0" xfId="0" applyFont="true" applyBorder="false" applyAlignment="fals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0" xfId="0" applyFont="true" applyBorder="false" applyAlignment="true" applyProtection="false">
      <alignment horizontal="general" vertical="bottom" textRotation="0" wrapText="true" indent="0" shrinkToFit="false"/>
      <protection locked="true" hidden="false"/>
    </xf>
    <xf numFmtId="165" fontId="10" fillId="9" borderId="0" xfId="0" applyFont="true" applyBorder="false" applyAlignment="true" applyProtection="false">
      <alignment horizontal="center" vertical="bottom" textRotation="0" wrapText="false" indent="0" shrinkToFit="false"/>
      <protection locked="true" hidden="false"/>
    </xf>
    <xf numFmtId="165" fontId="54" fillId="9" borderId="0" xfId="0" applyFont="true" applyBorder="fals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5" fontId="54" fillId="9" borderId="1" xfId="0" applyFont="true" applyBorder="true" applyAlignment="true" applyProtection="false">
      <alignment horizontal="center" vertical="bottom" textRotation="0" wrapText="false" indent="0" shrinkToFit="false"/>
      <protection locked="true" hidden="false"/>
    </xf>
    <xf numFmtId="165" fontId="55" fillId="9" borderId="1" xfId="0" applyFont="true" applyBorder="true" applyAlignment="true" applyProtection="false">
      <alignment horizontal="center" vertical="bottom" textRotation="0" wrapText="false" indent="0" shrinkToFit="false"/>
      <protection locked="true" hidden="false"/>
    </xf>
    <xf numFmtId="164" fontId="56" fillId="5" borderId="0" xfId="0" applyFont="true" applyBorder="false" applyAlignment="true" applyProtection="false">
      <alignment horizontal="general" vertical="bottom"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32" fillId="0" borderId="2" xfId="0" applyFont="true" applyBorder="true" applyAlignment="true" applyProtection="false">
      <alignment horizontal="general" vertical="bottom" textRotation="0" wrapText="false" indent="0" shrinkToFit="false"/>
      <protection locked="true" hidden="false"/>
    </xf>
    <xf numFmtId="164" fontId="57" fillId="0" borderId="1" xfId="0" applyFont="true" applyBorder="true" applyAlignment="true" applyProtection="false">
      <alignment horizontal="general" vertical="top"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4" fontId="58" fillId="0" borderId="1" xfId="0" applyFont="true" applyBorder="true" applyAlignment="true" applyProtection="false">
      <alignment horizontal="center" vertical="bottom" textRotation="0" wrapText="false" indent="0" shrinkToFit="false"/>
      <protection locked="true" hidden="false"/>
    </xf>
    <xf numFmtId="165" fontId="54" fillId="0" borderId="1" xfId="0" applyFont="true" applyBorder="true" applyAlignment="true" applyProtection="false">
      <alignment horizontal="center" vertical="bottom" textRotation="0" wrapText="false" indent="0" shrinkToFit="false"/>
      <protection locked="true" hidden="false"/>
    </xf>
    <xf numFmtId="165" fontId="54" fillId="18" borderId="1" xfId="0" applyFont="true" applyBorder="true" applyAlignment="true" applyProtection="false">
      <alignment horizontal="center" vertical="bottom" textRotation="0" wrapText="false" indent="0" shrinkToFit="false"/>
      <protection locked="true" hidden="false"/>
    </xf>
    <xf numFmtId="165" fontId="54" fillId="19" borderId="1" xfId="0" applyFont="true" applyBorder="true" applyAlignment="true" applyProtection="false">
      <alignment horizontal="center" vertical="bottom" textRotation="0" wrapText="false" indent="0" shrinkToFit="false"/>
      <protection locked="true" hidden="false"/>
    </xf>
    <xf numFmtId="166" fontId="4" fillId="20" borderId="0" xfId="0" applyFont="true" applyBorder="false" applyAlignment="true" applyProtection="false">
      <alignment horizontal="center" vertical="bottom" textRotation="0" wrapText="false" indent="0" shrinkToFit="false"/>
      <protection locked="true" hidden="false"/>
    </xf>
    <xf numFmtId="164" fontId="4" fillId="20" borderId="0" xfId="0" applyFont="true" applyBorder="false" applyAlignment="true" applyProtection="false">
      <alignment horizontal="center" vertical="bottom" textRotation="0" wrapText="false" indent="0" shrinkToFit="false"/>
      <protection locked="true" hidden="false"/>
    </xf>
    <xf numFmtId="164" fontId="5" fillId="20" borderId="0" xfId="0" applyFont="true" applyBorder="false" applyAlignment="true" applyProtection="false">
      <alignment horizontal="center" vertical="bottom" textRotation="0" wrapText="true" indent="0" shrinkToFit="false"/>
      <protection locked="true" hidden="false"/>
    </xf>
    <xf numFmtId="164" fontId="6" fillId="20" borderId="0" xfId="0" applyFont="true" applyBorder="fals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59" fillId="20" borderId="0" xfId="0" applyFont="true" applyBorder="false" applyAlignment="true" applyProtection="false">
      <alignment horizontal="center" vertical="bottom" textRotation="0" wrapText="true" indent="0" shrinkToFit="false"/>
      <protection locked="true" hidden="false"/>
    </xf>
    <xf numFmtId="164" fontId="4" fillId="20" borderId="0" xfId="0" applyFont="true" applyBorder="false" applyAlignment="true" applyProtection="false">
      <alignment horizontal="center" vertical="bottom" textRotation="0" wrapText="true" indent="0" shrinkToFit="false"/>
      <protection locked="true" hidden="false"/>
    </xf>
    <xf numFmtId="164" fontId="53" fillId="20" borderId="0" xfId="0" applyFont="true" applyBorder="false" applyAlignment="false" applyProtection="false">
      <alignment horizontal="general" vertical="bottom" textRotation="0" wrapText="false" indent="0" shrinkToFit="false"/>
      <protection locked="true" hidden="false"/>
    </xf>
    <xf numFmtId="164" fontId="8" fillId="2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2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10" fillId="20" borderId="1" xfId="0" applyFont="true" applyBorder="true" applyAlignment="false" applyProtection="false">
      <alignment horizontal="general" vertical="bottom" textRotation="0" wrapText="false" indent="0" shrinkToFit="false"/>
      <protection locked="true" hidden="false"/>
    </xf>
    <xf numFmtId="164" fontId="11" fillId="20" borderId="1" xfId="0" applyFont="true" applyBorder="true" applyAlignment="true" applyProtection="false">
      <alignment horizontal="center" vertical="bottom" textRotation="0" wrapText="false" indent="0" shrinkToFit="false"/>
      <protection locked="true" hidden="false"/>
    </xf>
    <xf numFmtId="164" fontId="60" fillId="2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60" fillId="0" borderId="1" xfId="0" applyFont="true" applyBorder="true" applyAlignment="true" applyProtection="false">
      <alignment horizontal="center" vertical="bottom" textRotation="0" wrapText="false" indent="0" shrinkToFit="false"/>
      <protection locked="true" hidden="false"/>
    </xf>
    <xf numFmtId="164" fontId="28" fillId="20" borderId="1" xfId="0" applyFont="true" applyBorder="true" applyAlignment="false" applyProtection="false">
      <alignment horizontal="general" vertical="bottom" textRotation="0" wrapText="false" indent="0" shrinkToFit="false"/>
      <protection locked="true" hidden="false"/>
    </xf>
    <xf numFmtId="164" fontId="20" fillId="20" borderId="1" xfId="0" applyFont="true" applyBorder="true" applyAlignment="true" applyProtection="false">
      <alignment horizontal="center" vertical="bottom" textRotation="0" wrapText="true" indent="0" shrinkToFit="false"/>
      <protection locked="true" hidden="false"/>
    </xf>
    <xf numFmtId="164" fontId="20" fillId="5" borderId="1" xfId="0" applyFont="true" applyBorder="true" applyAlignment="true" applyProtection="false">
      <alignment horizontal="center" vertical="bottom" textRotation="0" wrapText="false" indent="0" shrinkToFit="false"/>
      <protection locked="true" hidden="false"/>
    </xf>
    <xf numFmtId="164" fontId="20" fillId="20" borderId="1" xfId="0" applyFont="true" applyBorder="true" applyAlignment="true" applyProtection="false">
      <alignment horizontal="center" vertical="bottom" textRotation="0" wrapText="false" indent="0" shrinkToFit="false"/>
      <protection locked="true" hidden="false"/>
    </xf>
    <xf numFmtId="164" fontId="61" fillId="21" borderId="0" xfId="0" applyFont="true" applyBorder="false" applyAlignment="true" applyProtection="false">
      <alignment horizontal="left" vertical="bottom" textRotation="0" wrapText="true" indent="0" shrinkToFit="false"/>
      <protection locked="true" hidden="false"/>
    </xf>
    <xf numFmtId="164" fontId="10" fillId="20" borderId="1" xfId="0" applyFont="true" applyBorder="true" applyAlignment="true" applyProtection="false">
      <alignment horizontal="center" vertical="bottom" textRotation="0" wrapText="false" indent="0" shrinkToFit="false"/>
      <protection locked="true" hidden="false"/>
    </xf>
    <xf numFmtId="164" fontId="62" fillId="5" borderId="0" xfId="0" applyFont="true" applyBorder="false" applyAlignment="true" applyProtection="false">
      <alignment horizontal="left" vertical="bottom" textRotation="0" wrapText="false" indent="0" shrinkToFit="false"/>
      <protection locked="true" hidden="false"/>
    </xf>
    <xf numFmtId="164" fontId="63" fillId="20" borderId="0" xfId="0" applyFont="true" applyBorder="false" applyAlignment="true" applyProtection="false">
      <alignment horizontal="left" vertical="bottom" textRotation="0" wrapText="false" indent="0" shrinkToFit="false"/>
      <protection locked="true" hidden="false"/>
    </xf>
    <xf numFmtId="164" fontId="10" fillId="2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65" fillId="7" borderId="0" xfId="0" applyFont="true" applyBorder="false" applyAlignment="true" applyProtection="false">
      <alignment horizontal="left" vertical="bottom" textRotation="0" wrapText="false" indent="0" shrinkToFit="false"/>
      <protection locked="true" hidden="false"/>
    </xf>
    <xf numFmtId="164" fontId="66" fillId="7" borderId="0" xfId="0" applyFont="true" applyBorder="false" applyAlignment="false" applyProtection="false">
      <alignment horizontal="general" vertical="bottom" textRotation="0" wrapText="false" indent="0" shrinkToFit="false"/>
      <protection locked="true" hidden="false"/>
    </xf>
    <xf numFmtId="164" fontId="67" fillId="7" borderId="0" xfId="0" applyFont="true" applyBorder="false" applyAlignment="false" applyProtection="false">
      <alignment horizontal="general" vertical="bottom" textRotation="0" wrapText="false" indent="0" shrinkToFit="false"/>
      <protection locked="true" hidden="false"/>
    </xf>
    <xf numFmtId="164" fontId="68" fillId="7" borderId="0" xfId="0" applyFont="true" applyBorder="false" applyAlignment="false" applyProtection="false">
      <alignment horizontal="general" vertical="bottom" textRotation="0" wrapText="false" indent="0" shrinkToFit="false"/>
      <protection locked="true" hidden="false"/>
    </xf>
    <xf numFmtId="164" fontId="69" fillId="7" borderId="0" xfId="0" applyFont="true" applyBorder="false" applyAlignment="false" applyProtection="false">
      <alignment horizontal="general" vertical="bottom" textRotation="0" wrapText="false" indent="0" shrinkToFit="false"/>
      <protection locked="true" hidden="false"/>
    </xf>
    <xf numFmtId="164" fontId="70" fillId="7" borderId="0" xfId="0" applyFont="true" applyBorder="false" applyAlignment="true" applyProtection="false">
      <alignment horizontal="left" vertical="bottom" textRotation="0" wrapText="false" indent="0" shrinkToFit="false"/>
      <protection locked="true" hidden="false"/>
    </xf>
    <xf numFmtId="164" fontId="20" fillId="20" borderId="0" xfId="0" applyFont="true" applyBorder="false" applyAlignment="false" applyProtection="false">
      <alignment horizontal="general" vertical="bottom" textRotation="0" wrapText="false" indent="0" shrinkToFit="false"/>
      <protection locked="true" hidden="false"/>
    </xf>
    <xf numFmtId="164" fontId="71" fillId="5" borderId="0" xfId="0" applyFont="true" applyBorder="false" applyAlignment="false" applyProtection="false">
      <alignment horizontal="general" vertical="bottom" textRotation="0" wrapText="false" indent="0" shrinkToFit="false"/>
      <protection locked="true" hidden="false"/>
    </xf>
    <xf numFmtId="164" fontId="64" fillId="8" borderId="1" xfId="0" applyFont="true" applyBorder="true" applyAlignment="true" applyProtection="false">
      <alignment horizontal="center" vertical="bottom" textRotation="0" wrapText="false" indent="0" shrinkToFit="false"/>
      <protection locked="true" hidden="false"/>
    </xf>
    <xf numFmtId="164" fontId="72" fillId="8" borderId="0" xfId="0" applyFont="true" applyBorder="false" applyAlignment="false" applyProtection="false">
      <alignment horizontal="general" vertical="bottom" textRotation="0" wrapText="false" indent="0" shrinkToFit="false"/>
      <protection locked="true" hidden="false"/>
    </xf>
    <xf numFmtId="164" fontId="73" fillId="8" borderId="0" xfId="0" applyFont="true" applyBorder="false" applyAlignment="false" applyProtection="false">
      <alignment horizontal="general" vertical="bottom" textRotation="0" wrapText="false" indent="0" shrinkToFit="false"/>
      <protection locked="true" hidden="false"/>
    </xf>
    <xf numFmtId="164" fontId="74" fillId="8" borderId="0" xfId="0" applyFont="true" applyBorder="false" applyAlignment="false" applyProtection="false">
      <alignment horizontal="general" vertical="bottom" textRotation="0" wrapText="false" indent="0" shrinkToFit="false"/>
      <protection locked="true" hidden="false"/>
    </xf>
    <xf numFmtId="164" fontId="75" fillId="22" borderId="0" xfId="0" applyFont="true" applyBorder="false" applyAlignment="true" applyProtection="false">
      <alignment horizontal="left" vertical="bottom" textRotation="0" wrapText="false" indent="0" shrinkToFit="false"/>
      <protection locked="true" hidden="false"/>
    </xf>
    <xf numFmtId="164" fontId="75" fillId="5" borderId="0" xfId="0" applyFont="true" applyBorder="false" applyAlignment="true" applyProtection="false">
      <alignment horizontal="left" vertical="bottom" textRotation="0" wrapText="false" indent="0" shrinkToFit="false"/>
      <protection locked="true" hidden="false"/>
    </xf>
    <xf numFmtId="164" fontId="28" fillId="12" borderId="1" xfId="0" applyFont="true" applyBorder="true" applyAlignment="false" applyProtection="false">
      <alignment horizontal="general" vertical="bottom" textRotation="0" wrapText="false" indent="0" shrinkToFit="false"/>
      <protection locked="true" hidden="false"/>
    </xf>
    <xf numFmtId="164" fontId="20" fillId="12" borderId="1" xfId="0" applyFont="true" applyBorder="true" applyAlignment="true" applyProtection="false">
      <alignment horizontal="general"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4" fontId="20" fillId="12" borderId="0" xfId="0" applyFont="true" applyBorder="false" applyAlignment="false" applyProtection="false">
      <alignment horizontal="general" vertical="bottom" textRotation="0" wrapText="false" indent="0" shrinkToFit="false"/>
      <protection locked="true" hidden="false"/>
    </xf>
    <xf numFmtId="164" fontId="76" fillId="7" borderId="0" xfId="0" applyFont="true" applyBorder="false" applyAlignment="false" applyProtection="false">
      <alignment horizontal="general" vertical="bottom" textRotation="0" wrapText="false" indent="0" shrinkToFit="false"/>
      <protection locked="true" hidden="false"/>
    </xf>
    <xf numFmtId="164" fontId="77" fillId="23" borderId="0" xfId="0" applyFont="true" applyBorder="false" applyAlignment="true" applyProtection="false">
      <alignment horizontal="left" vertical="bottom" textRotation="0" wrapText="false" indent="0" shrinkToFit="false"/>
      <protection locked="true" hidden="false"/>
    </xf>
    <xf numFmtId="164" fontId="78" fillId="7" borderId="0" xfId="0" applyFont="true" applyBorder="false" applyAlignment="true" applyProtection="false">
      <alignment horizontal="left" vertical="bottom" textRotation="0" wrapText="false" indent="0" shrinkToFit="false"/>
      <protection locked="true" hidden="false"/>
    </xf>
    <xf numFmtId="164" fontId="79" fillId="7" borderId="0" xfId="0" applyFont="true" applyBorder="false" applyAlignment="false" applyProtection="false">
      <alignment horizontal="general" vertical="bottom" textRotation="0" wrapText="false" indent="0" shrinkToFit="false"/>
      <protection locked="true" hidden="false"/>
    </xf>
    <xf numFmtId="164" fontId="80" fillId="7" borderId="0" xfId="0" applyFont="true" applyBorder="false" applyAlignment="false" applyProtection="false">
      <alignment horizontal="general" vertical="bottom" textRotation="0" wrapText="false" indent="0" shrinkToFit="false"/>
      <protection locked="true" hidden="false"/>
    </xf>
    <xf numFmtId="164" fontId="81" fillId="7"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false" applyAlignment="true" applyProtection="false">
      <alignment horizontal="center" vertical="bottom" textRotation="0" wrapText="false" indent="0" shrinkToFit="false"/>
      <protection locked="true" hidden="false"/>
    </xf>
    <xf numFmtId="164" fontId="82" fillId="23" borderId="0" xfId="0" applyFont="true" applyBorder="false" applyAlignment="false" applyProtection="false">
      <alignment horizontal="general" vertical="bottom" textRotation="0" wrapText="false" indent="0" shrinkToFit="false"/>
      <protection locked="true" hidden="false"/>
    </xf>
    <xf numFmtId="164" fontId="83" fillId="7" borderId="0" xfId="0" applyFont="true" applyBorder="false" applyAlignment="true" applyProtection="false">
      <alignment horizontal="left" vertical="bottom" textRotation="0" wrapText="false" indent="0" shrinkToFit="false"/>
      <protection locked="true" hidden="false"/>
    </xf>
    <xf numFmtId="164" fontId="84" fillId="7" borderId="0" xfId="0" applyFont="true" applyBorder="false" applyAlignment="false" applyProtection="false">
      <alignment horizontal="general" vertical="bottom" textRotation="0" wrapText="false" indent="0" shrinkToFit="false"/>
      <protection locked="true" hidden="false"/>
    </xf>
    <xf numFmtId="166" fontId="4" fillId="2" borderId="0" xfId="0" applyFont="tru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4" fontId="60" fillId="2" borderId="1" xfId="0" applyFont="true" applyBorder="true" applyAlignment="true" applyProtection="false">
      <alignment horizontal="center"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20" fillId="2" borderId="1" xfId="0" applyFont="true" applyBorder="true" applyAlignment="true" applyProtection="false">
      <alignment horizontal="center" vertical="bottom" textRotation="0" wrapText="false" indent="0" shrinkToFit="false"/>
      <protection locked="true" hidden="false"/>
    </xf>
    <xf numFmtId="164" fontId="10" fillId="5" borderId="1" xfId="0" applyFont="true" applyBorder="true" applyAlignment="true" applyProtection="false">
      <alignment horizontal="center" vertical="bottom" textRotation="0" wrapText="false" indent="0" shrinkToFit="false"/>
      <protection locked="true" hidden="false"/>
    </xf>
    <xf numFmtId="164" fontId="20" fillId="16" borderId="1" xfId="0" applyFont="true" applyBorder="true" applyAlignment="true" applyProtection="false">
      <alignment horizontal="center" vertical="bottom" textRotation="0" wrapText="false" indent="0" shrinkToFit="false"/>
      <protection locked="true" hidden="false"/>
    </xf>
    <xf numFmtId="164" fontId="85" fillId="0" borderId="1" xfId="0" applyFont="true" applyBorder="true" applyAlignment="true" applyProtection="false">
      <alignment horizontal="center" vertical="bottom" textRotation="0" wrapText="false" indent="0" shrinkToFit="false"/>
      <protection locked="true" hidden="false"/>
    </xf>
    <xf numFmtId="164" fontId="86" fillId="0" borderId="1" xfId="0" applyFont="true" applyBorder="true" applyAlignment="true" applyProtection="false">
      <alignment horizontal="center" vertical="bottom" textRotation="0" wrapText="false" indent="0" shrinkToFit="false"/>
      <protection locked="true" hidden="false"/>
    </xf>
    <xf numFmtId="164" fontId="20" fillId="2" borderId="1" xfId="0" applyFont="true" applyBorder="true" applyAlignment="false" applyProtection="false">
      <alignment horizontal="general" vertical="bottom" textRotation="0" wrapText="false" indent="0" shrinkToFit="false"/>
      <protection locked="true" hidden="false"/>
    </xf>
    <xf numFmtId="164" fontId="20" fillId="8"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false" applyProtection="false">
      <alignment horizontal="general" vertical="bottom" textRotation="0" wrapText="false" indent="0" shrinkToFit="false"/>
      <protection locked="true" hidden="false"/>
    </xf>
    <xf numFmtId="164" fontId="20" fillId="8" borderId="1" xfId="0" applyFont="true" applyBorder="true" applyAlignment="true" applyProtection="false">
      <alignment horizontal="center" vertical="bottom" textRotation="0" wrapText="true" indent="0" shrinkToFit="false"/>
      <protection locked="true" hidden="false"/>
    </xf>
    <xf numFmtId="164" fontId="88" fillId="24" borderId="1" xfId="0" applyFont="true" applyBorder="true" applyAlignment="true" applyProtection="false">
      <alignment horizontal="center" vertical="bottom" textRotation="0" wrapText="false" indent="0" shrinkToFit="false"/>
      <protection locked="true" hidden="false"/>
    </xf>
    <xf numFmtId="164" fontId="20" fillId="25" borderId="1" xfId="0" applyFont="true" applyBorder="true" applyAlignment="true" applyProtection="false">
      <alignment horizontal="center" vertical="bottom" textRotation="0" wrapText="false" indent="0" shrinkToFit="false"/>
      <protection locked="true" hidden="false"/>
    </xf>
    <xf numFmtId="164" fontId="20" fillId="5" borderId="1" xfId="0" applyFont="true" applyBorder="true" applyAlignment="true" applyProtection="false">
      <alignment horizontal="center" vertical="bottom" textRotation="0" wrapText="true" indent="0" shrinkToFit="false"/>
      <protection locked="true" hidden="false"/>
    </xf>
    <xf numFmtId="164" fontId="89" fillId="5" borderId="1" xfId="0" applyFont="true" applyBorder="true" applyAlignment="true" applyProtection="false">
      <alignment horizontal="center" vertical="bottom" textRotation="0" wrapText="false" indent="0" shrinkToFit="false"/>
      <protection locked="true" hidden="false"/>
    </xf>
    <xf numFmtId="164" fontId="90" fillId="0" borderId="0" xfId="0" applyFont="true" applyBorder="false" applyAlignment="false" applyProtection="false">
      <alignment horizontal="general" vertical="bottom" textRotation="0" wrapText="false" indent="0" shrinkToFit="false"/>
      <protection locked="true" hidden="false"/>
    </xf>
    <xf numFmtId="164" fontId="91" fillId="26" borderId="0" xfId="0" applyFont="true" applyBorder="false" applyAlignment="false" applyProtection="false">
      <alignment horizontal="general" vertical="bottom" textRotation="0" wrapText="false" indent="0" shrinkToFit="false"/>
      <protection locked="true" hidden="false"/>
    </xf>
    <xf numFmtId="164" fontId="4" fillId="26"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false" applyProtection="false">
      <alignment horizontal="general" vertical="bottom" textRotation="0" wrapText="false" indent="0" shrinkToFit="false"/>
      <protection locked="true" hidden="false"/>
    </xf>
    <xf numFmtId="164" fontId="92" fillId="0" borderId="0" xfId="0" applyFont="true" applyBorder="false" applyAlignment="true" applyProtection="false">
      <alignment horizontal="general" vertical="bottom" textRotation="0" wrapText="false" indent="0" shrinkToFit="false"/>
      <protection locked="true" hidden="false"/>
    </xf>
    <xf numFmtId="164" fontId="92"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E20000"/>
      <rgbColor rgb="FF008000"/>
      <rgbColor rgb="FF000080"/>
      <rgbColor rgb="FF808000"/>
      <rgbColor rgb="FF9900FF"/>
      <rgbColor rgb="FF008080"/>
      <rgbColor rgb="FFB7B7B7"/>
      <rgbColor rgb="FF979083"/>
      <rgbColor rgb="FF4A86E8"/>
      <rgbColor rgb="FFF1433F"/>
      <rgbColor rgb="FFF7F7F7"/>
      <rgbColor rgb="FFCFE2F3"/>
      <rgbColor rgb="FF660066"/>
      <rgbColor rgb="FFFF6554"/>
      <rgbColor rgb="FF1155CC"/>
      <rgbColor rgb="FFC9DAF8"/>
      <rgbColor rgb="FF000080"/>
      <rgbColor rgb="FFFF00FF"/>
      <rgbColor rgb="FFD9D2E9"/>
      <rgbColor rgb="FF00FFFF"/>
      <rgbColor rgb="FF800080"/>
      <rgbColor rgb="FF800000"/>
      <rgbColor rgb="FF008080"/>
      <rgbColor rgb="FF0000FF"/>
      <rgbColor rgb="FF00CCFF"/>
      <rgbColor rgb="FFF3F3F3"/>
      <rgbColor rgb="FFB7E1CD"/>
      <rgbColor rgb="FFF6F6F6"/>
      <rgbColor rgb="FFCCCCCC"/>
      <rgbColor rgb="FFEA9999"/>
      <rgbColor rgb="FFB4A7D6"/>
      <rgbColor rgb="FFFFE599"/>
      <rgbColor rgb="FF3C78D8"/>
      <rgbColor rgb="FF33CCCC"/>
      <rgbColor rgb="FFB6D7A8"/>
      <rgbColor rgb="FFD9D9D9"/>
      <rgbColor rgb="FFFF9900"/>
      <rgbColor rgb="FFF57122"/>
      <rgbColor rgb="FF666666"/>
      <rgbColor rgb="FF999999"/>
      <rgbColor rgb="FF003366"/>
      <rgbColor rgb="FF6AA84F"/>
      <rgbColor rgb="FF003300"/>
      <rgbColor rgb="FF202124"/>
      <rgbColor rgb="FFFF0E0E"/>
      <rgbColor rgb="FF993366"/>
      <rgbColor rgb="FF555555"/>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gerbor.kiev.ua/" TargetMode="External"/><Relationship Id="rId7" Type="http://schemas.openxmlformats.org/officeDocument/2006/relationships/hyperlink" Target="http://www.brwland.com.ua/" TargetMode="External"/><Relationship Id="rId8" Type="http://schemas.openxmlformats.org/officeDocument/2006/relationships/hyperlink" Target="https://vashamebel.in.ua/" TargetMode="External"/><Relationship Id="rId9" Type="http://schemas.openxmlformats.org/officeDocument/2006/relationships/hyperlink" Target="http://mebel-mebel.com.ua/" TargetMode="External"/><Relationship Id="rId10" Type="http://schemas.openxmlformats.org/officeDocument/2006/relationships/hyperlink" Target="http://abcmebli.com.ua/" TargetMode="External"/><Relationship Id="rId11" Type="http://schemas.openxmlformats.org/officeDocument/2006/relationships/hyperlink" Target="https://gerbor.mebelok.com/" TargetMode="External"/><Relationship Id="rId12" Type="http://schemas.openxmlformats.org/officeDocument/2006/relationships/hyperlink" Target="http://maxmebel.com.ua/" TargetMode="External"/><Relationship Id="rId13" Type="http://schemas.openxmlformats.org/officeDocument/2006/relationships/hyperlink" Target="https://moyamebel.com.ua/ua" TargetMode="External"/><Relationship Id="rId14" Type="http://schemas.openxmlformats.org/officeDocument/2006/relationships/hyperlink" Target="https://brw.kiev.ua/" TargetMode="External"/><Relationship Id="rId15" Type="http://schemas.openxmlformats.org/officeDocument/2006/relationships/hyperlink" Target="https://shurup.net.ua/" TargetMode="External"/><Relationship Id="rId16" Type="http://schemas.openxmlformats.org/officeDocument/2006/relationships/hyperlink" Target="https://mebel-online.com.ua/"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s://brwmania.com.ua/gostinaja/komplekty-gostinyh/stinka-kvatro-venge-magia/" TargetMode="External"/><Relationship Id="rId9" Type="http://schemas.openxmlformats.org/officeDocument/2006/relationships/hyperlink" Target="https://brwmania.com.ua/gostinaja/modulnye-gostinye/sistema-vusher-vusher/010-vusher-komod-kom-1w2d2s/"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redlight.com.ua/" TargetMode="External"/><Relationship Id="rId12" Type="http://schemas.openxmlformats.org/officeDocument/2006/relationships/hyperlink" Target="https://mebli-bristol.com.ua/" TargetMode="External"/><Relationship Id="rId13" Type="http://schemas.openxmlformats.org/officeDocument/2006/relationships/hyperlink" Target="https://mebli-bristol.com.ua/alisa-tumba-rtv-2s2k-gerbor.html" TargetMode="External"/><Relationship Id="rId14" Type="http://schemas.openxmlformats.org/officeDocument/2006/relationships/hyperlink" Target="http://gerbor.kiev.ua/" TargetMode="External"/><Relationship Id="rId15" Type="http://schemas.openxmlformats.org/officeDocument/2006/relationships/hyperlink" Target="https://gerbor.kiev.ua/mebelnye-sistemy/mebel-alisa-gerbor/alisa-tumba-tv-rtv2s2k-gerbor/" TargetMode="External"/><Relationship Id="rId16" Type="http://schemas.openxmlformats.org/officeDocument/2006/relationships/hyperlink" Target="http://www.brwland.com.ua/" TargetMode="External"/><Relationship Id="rId17" Type="http://schemas.openxmlformats.org/officeDocument/2006/relationships/hyperlink" Target="https://brwland.com.ua/product/alisa-tumba-tv-rtv2s2k-gerbor/" TargetMode="External"/><Relationship Id="rId18" Type="http://schemas.openxmlformats.org/officeDocument/2006/relationships/hyperlink" Target="http://gerbor.dp.ua/" TargetMode="External"/><Relationship Id="rId19" Type="http://schemas.openxmlformats.org/officeDocument/2006/relationships/hyperlink" Target="https://www.dybok.com.ua/" TargetMode="External"/><Relationship Id="rId20" Type="http://schemas.openxmlformats.org/officeDocument/2006/relationships/hyperlink" Target="https://www.dybok.com.ua/ru/product/detail/35870" TargetMode="External"/><Relationship Id="rId21" Type="http://schemas.openxmlformats.org/officeDocument/2006/relationships/hyperlink" Target="https://www.dybok.com.ua/ru/product/detail/55516" TargetMode="External"/><Relationship Id="rId22" Type="http://schemas.openxmlformats.org/officeDocument/2006/relationships/hyperlink" Target="https://www.dybok.com.ua/ru/product/detail/4291" TargetMode="External"/><Relationship Id="rId23" Type="http://schemas.openxmlformats.org/officeDocument/2006/relationships/hyperlink" Target="https://www.dybok.com.ua/ru/product/detail/9798" TargetMode="External"/><Relationship Id="rId24" Type="http://schemas.openxmlformats.org/officeDocument/2006/relationships/hyperlink" Target="https://www.dybok.com.ua/ru/product/detail/35840" TargetMode="External"/><Relationship Id="rId25" Type="http://schemas.openxmlformats.org/officeDocument/2006/relationships/hyperlink" Target="https://www.dybok.com.ua/ru/product/detail/261" TargetMode="External"/><Relationship Id="rId26" Type="http://schemas.openxmlformats.org/officeDocument/2006/relationships/hyperlink" Target="https://www.dybok.com.ua/ru/product/detail/18085" TargetMode="External"/><Relationship Id="rId27" Type="http://schemas.openxmlformats.org/officeDocument/2006/relationships/hyperlink" Target="https://www.dybok.com.ua/ru/product/detail/50410" TargetMode="External"/><Relationship Id="rId28" Type="http://schemas.openxmlformats.org/officeDocument/2006/relationships/hyperlink" Target="https://www.dybok.com.ua/ua/product/detail/80992" TargetMode="External"/><Relationship Id="rId29" Type="http://schemas.openxmlformats.org/officeDocument/2006/relationships/hyperlink" Target="https://vashamebel.in.ua/" TargetMode="External"/><Relationship Id="rId30" Type="http://schemas.openxmlformats.org/officeDocument/2006/relationships/hyperlink" Target="https://vashamebel.in.ua/stol-pismennyij-kaspian-ii-biu1d1s-120/p488" TargetMode="External"/><Relationship Id="rId31" Type="http://schemas.openxmlformats.org/officeDocument/2006/relationships/hyperlink" Target="http://mebel-mebel.com.ua/" TargetMode="External"/><Relationship Id="rId32" Type="http://schemas.openxmlformats.org/officeDocument/2006/relationships/hyperlink" Target="https://mebel-mebel.com.ua/eshop/dom-stenki-dlia-gostinoi/gostinaya_alyaska-id50834.html" TargetMode="External"/><Relationship Id="rId33" Type="http://schemas.openxmlformats.org/officeDocument/2006/relationships/hyperlink" Target="http://abcmebli.com.ua/" TargetMode="External"/><Relationship Id="rId34" Type="http://schemas.openxmlformats.org/officeDocument/2006/relationships/hyperlink" Target="https://gerbor.mebelok.com/" TargetMode="External"/><Relationship Id="rId35" Type="http://schemas.openxmlformats.org/officeDocument/2006/relationships/hyperlink" Target="http://maxmebel.com.ua/" TargetMode="External"/><Relationship Id="rId36" Type="http://schemas.openxmlformats.org/officeDocument/2006/relationships/hyperlink" Target="https://moyamebel.com.ua/ua" TargetMode="External"/><Relationship Id="rId37" Type="http://schemas.openxmlformats.org/officeDocument/2006/relationships/hyperlink" Target="https://mebel-soyuz.com.ua/" TargetMode="External"/><Relationship Id="rId38" Type="http://schemas.openxmlformats.org/officeDocument/2006/relationships/hyperlink" Target="https://sofino.ua/" TargetMode="External"/><Relationship Id="rId39" Type="http://schemas.openxmlformats.org/officeDocument/2006/relationships/hyperlink" Target="https://www.brw-kiev.com.ua/" TargetMode="External"/><Relationship Id="rId40" Type="http://schemas.openxmlformats.org/officeDocument/2006/relationships/hyperlink" Target="https://brw.kiev.ua/" TargetMode="External"/><Relationship Id="rId41" Type="http://schemas.openxmlformats.org/officeDocument/2006/relationships/hyperlink" Target="http://brw.com.ua/" TargetMode="External"/><Relationship Id="rId42" Type="http://schemas.openxmlformats.org/officeDocument/2006/relationships/hyperlink" Target="https://mebelstyle.net/" TargetMode="External"/><Relationship Id="rId43" Type="http://schemas.openxmlformats.org/officeDocument/2006/relationships/hyperlink" Target="https://lvivmebli.com/" TargetMode="External"/><Relationship Id="rId44" Type="http://schemas.openxmlformats.org/officeDocument/2006/relationships/hyperlink" Target="http://centrmebliv.com.ua/" TargetMode="External"/><Relationship Id="rId45" Type="http://schemas.openxmlformats.org/officeDocument/2006/relationships/hyperlink" Target="https://letromebel.com.ua/" TargetMode="External"/><Relationship Id="rId46" Type="http://schemas.openxmlformats.org/officeDocument/2006/relationships/hyperlink" Target="https://shurup.net.ua/" TargetMode="External"/><Relationship Id="rId47" Type="http://schemas.openxmlformats.org/officeDocument/2006/relationships/hyperlink" Target="https://www.taburetka.ua/" TargetMode="External"/><Relationship Id="rId48" Type="http://schemas.openxmlformats.org/officeDocument/2006/relationships/hyperlink" Target="http://www.maxidom.com.ua/" TargetMode="External"/><Relationship Id="rId49" Type="http://schemas.openxmlformats.org/officeDocument/2006/relationships/hyperlink" Target="https://mebel-online.com.ua/" TargetMode="External"/><Relationship Id="rId50" Type="http://schemas.openxmlformats.org/officeDocument/2006/relationships/hyperlink" Target="https://mebelnuy.com.ua/" TargetMode="External"/><Relationship Id="rId51" Type="http://schemas.openxmlformats.org/officeDocument/2006/relationships/hyperlink" Target="https://amado.com.ua/" TargetMode="External"/><Relationship Id="rId52" Type="http://schemas.openxmlformats.org/officeDocument/2006/relationships/hyperlink" Target="https://prom.ua/p1167879150-tumba-pod-rtv.html?" TargetMode="External"/><Relationship Id="rId53" Type="http://schemas.openxmlformats.org/officeDocument/2006/relationships/hyperlink" Target="https://prom.ua/p983011265-komod-kom-811.html?" TargetMode="External"/><Relationship Id="rId54" Type="http://schemas.openxmlformats.org/officeDocument/2006/relationships/hyperlink" Target="https://prom.ua/p544656153-komod-jkom-4s80.html?" TargetMode="External"/><Relationship Id="rId55" Type="http://schemas.openxmlformats.org/officeDocument/2006/relationships/hyperlink" Target="https://prom.ua/p781599812-indiana-kanon-stol.html?" TargetMode="External"/><Relationship Id="rId56" Type="http://schemas.openxmlformats.org/officeDocument/2006/relationships/hyperlink" Target="https://prom.ua/p54713987-komod-kom-4s90.html?" TargetMode="External"/><Relationship Id="rId57" Type="http://schemas.openxmlformats.org/officeDocument/2006/relationships/hyperlink" Target="https://prom.ua/p544657658-shkaf-platyanoj-szf3d2s.html?" TargetMode="External"/><Relationship Id="rId58" Type="http://schemas.openxmlformats.org/officeDocument/2006/relationships/hyperlink" Target="https://prom.ua/p46283355-komod-sonata-sonata.html?" TargetMode="External"/><Relationship Id="rId59" Type="http://schemas.openxmlformats.org/officeDocument/2006/relationships/hyperlink" Target="https://prom.ua/p54675546-stol-pismennyj-biu.html?" TargetMode="External"/><Relationship Id="rId60" Type="http://schemas.openxmlformats.org/officeDocument/2006/relationships/hyperlink" Target="https://prom.ua/p239247927-prihozhaya-ppk-nepo.html?" TargetMode="External"/><Relationship Id="rId61" Type="http://schemas.openxmlformats.org/officeDocument/2006/relationships/hyperlink" Target="https://prom.ua/p542591704-gostinaya-alyaska-alaska.html?&amp;primelead=MC43NA" TargetMode="External"/><Relationship Id="rId62" Type="http://schemas.openxmlformats.org/officeDocument/2006/relationships/hyperlink" Target="https://prom.ua/p24569524-gostinaya-kvatro-gerbor.html?" TargetMode="External"/><Relationship Id="rId63" Type="http://schemas.openxmlformats.org/officeDocument/2006/relationships/hyperlink" Target="https://prom.ua/p553476998-bufet-kom1w2d2s915-gerbor.html?" TargetMode="External"/><Relationship Id="rId64" Type="http://schemas.openxmlformats.org/officeDocument/2006/relationships/hyperlink" Target="https://prom.ua/p1248775724-komod-brv-german.html?" TargetMode="External"/><Relationship Id="rId65" Type="http://schemas.openxmlformats.org/officeDocument/2006/relationships/hyperlink" Target="https://prom.ua/p1274217210-tumba-rtv2s2k-alisa.html?" TargetMode="External"/><Relationship Id="rId66" Type="http://schemas.openxmlformats.org/officeDocument/2006/relationships/hyperlink" Target="https://prom.ua/p181257399-tumba-pod-rtv.html?" TargetMode="External"/><Relationship Id="rId67" Type="http://schemas.openxmlformats.org/officeDocument/2006/relationships/hyperlink" Target="https://prom.ua/p1280431425-komod-kom4s811-atsteka.html?" TargetMode="External"/><Relationship Id="rId68" Type="http://schemas.openxmlformats.org/officeDocument/2006/relationships/hyperlink" Target="https://prom.ua/p781599816-indiana-kanon-komod.html?" TargetMode="External"/><Relationship Id="rId69" Type="http://schemas.openxmlformats.org/officeDocument/2006/relationships/hyperlink" Target="https://prom.ua/p1046920683-stol-pismennyj-indiana.html?" TargetMode="External"/><Relationship Id="rId70" Type="http://schemas.openxmlformats.org/officeDocument/2006/relationships/hyperlink" Target="https://prom.ua/p553477017-dzhuli-komod-kom4s90.html?" TargetMode="External"/><Relationship Id="rId71" Type="http://schemas.openxmlformats.org/officeDocument/2006/relationships/hyperlink" Target="https://prom.ua/p664294628-shkaf-szf-3d2s.html?" TargetMode="External"/><Relationship Id="rId72" Type="http://schemas.openxmlformats.org/officeDocument/2006/relationships/hyperlink" Target="https://prom.ua/p1211287637-komod-gerbor-sonata.html?" TargetMode="External"/><Relationship Id="rId73" Type="http://schemas.openxmlformats.org/officeDocument/2006/relationships/hyperlink" Target="https://prom.ua/p360359972-stol-pismennyj-biu.html" TargetMode="External"/><Relationship Id="rId74" Type="http://schemas.openxmlformats.org/officeDocument/2006/relationships/hyperlink" Target="https://prom.ua/p542943976-prihozhaya-ppk-nepo.html?" TargetMode="External"/><Relationship Id="rId75" Type="http://schemas.openxmlformats.org/officeDocument/2006/relationships/hyperlink" Target="https://prom.ua/p1248753565-gostinaya-gerbor-kvatro.html?" TargetMode="External"/><Relationship Id="rId76" Type="http://schemas.openxmlformats.org/officeDocument/2006/relationships/hyperlink" Target="https://prom.ua/p106094960-komod-vusher-kom.html?" TargetMode="External"/><Relationship Id="rId77" Type="http://schemas.openxmlformats.org/officeDocument/2006/relationships/hyperlink" Target="https://prom.ua/p777526967-german-komod-kom3s912.html?" TargetMode="External"/><Relationship Id="rId78" Type="http://schemas.openxmlformats.org/officeDocument/2006/relationships/hyperlink" Target="https://prom.ua/p1334713993-tumba-pod-rtv2s2k.html?" TargetMode="External"/><Relationship Id="rId79" Type="http://schemas.openxmlformats.org/officeDocument/2006/relationships/hyperlink" Target="https://prom.ua/p886021256-tumba-pod-atsteka.html?" TargetMode="External"/><Relationship Id="rId80" Type="http://schemas.openxmlformats.org/officeDocument/2006/relationships/hyperlink" Target="https://prom.ua/p1125567115-komod-azteca-kom4s811.html?" TargetMode="External"/><Relationship Id="rId81" Type="http://schemas.openxmlformats.org/officeDocument/2006/relationships/hyperlink" Target="https://prom.ua/p1046925343-komod-indiana-jkom4s80.html?" TargetMode="External"/><Relationship Id="rId82" Type="http://schemas.openxmlformats.org/officeDocument/2006/relationships/hyperlink" Target="https://prom.ua/p544656149-stol-pismennyj-jbiu.html?" TargetMode="External"/><Relationship Id="rId83" Type="http://schemas.openxmlformats.org/officeDocument/2006/relationships/hyperlink" Target="https://prom.ua/p1248752651-komod-brv-dzhuli.html?" TargetMode="External"/><Relationship Id="rId84" Type="http://schemas.openxmlformats.org/officeDocument/2006/relationships/hyperlink" Target="https://prom.ua/p644944451-porto-shkaf-szf3d2s.html?" TargetMode="External"/><Relationship Id="rId85" Type="http://schemas.openxmlformats.org/officeDocument/2006/relationships/hyperlink" Target="https://prom.ua/p1288425504-komod-gerbor-sonata.html?" TargetMode="External"/><Relationship Id="rId86" Type="http://schemas.openxmlformats.org/officeDocument/2006/relationships/hyperlink" Target="https://prom.ua/p553476454-nepo-prihozhaya-ppk.html?" TargetMode="External"/><Relationship Id="rId87" Type="http://schemas.openxmlformats.org/officeDocument/2006/relationships/hyperlink" Target="https://prom.ua/p12120301-gostinaya-kvatro-venge.html" TargetMode="External"/><Relationship Id="rId88" Type="http://schemas.openxmlformats.org/officeDocument/2006/relationships/hyperlink" Target="https://prom.ua/p83295231-komod-kom-1w2d2s.html" TargetMode="External"/><Relationship Id="rId89" Type="http://schemas.openxmlformats.org/officeDocument/2006/relationships/hyperlink" Target="https://prom.ua/p847003898-german-komod-kom3s912.html?" TargetMode="External"/><Relationship Id="rId90" Type="http://schemas.openxmlformats.org/officeDocument/2006/relationships/hyperlink" Target="https://prom.ua/p1248803640-tumba-gerbor-alisa.html?" TargetMode="External"/><Relationship Id="rId91" Type="http://schemas.openxmlformats.org/officeDocument/2006/relationships/hyperlink" Target="https://prom.ua/p1214419043-tumba-pod-atsteka.html?" TargetMode="External"/><Relationship Id="rId92" Type="http://schemas.openxmlformats.org/officeDocument/2006/relationships/hyperlink" Target="https://prom.ua/p1215683017-komod-atsteka-kom4s811.html?" TargetMode="External"/><Relationship Id="rId93" Type="http://schemas.openxmlformats.org/officeDocument/2006/relationships/hyperlink" Target="https://prom.ua/p1183266470-komod-jkom-indiana.html" TargetMode="External"/><Relationship Id="rId94" Type="http://schemas.openxmlformats.org/officeDocument/2006/relationships/hyperlink" Target="https://prom.ua/p1183292769-stol-pismennyj-jbiu.html" TargetMode="External"/><Relationship Id="rId95" Type="http://schemas.openxmlformats.org/officeDocument/2006/relationships/hyperlink" Target="https://prom.ua/p1045568873-komod-dzhuli-kom4s90.html?" TargetMode="External"/><Relationship Id="rId96" Type="http://schemas.openxmlformats.org/officeDocument/2006/relationships/hyperlink" Target="https://prom.ua/p1037803293-shkaf-platyanoj-szf.html" TargetMode="External"/><Relationship Id="rId97" Type="http://schemas.openxmlformats.org/officeDocument/2006/relationships/hyperlink" Target="https://prom.ua/p1334931386-komod-gerbor-sonata.html?" TargetMode="External"/><Relationship Id="rId98" Type="http://schemas.openxmlformats.org/officeDocument/2006/relationships/hyperlink" Target="https://prom.ua/p223321231-prihozhaya-ppk-nepo.html?" TargetMode="External"/><Relationship Id="rId99" Type="http://schemas.openxmlformats.org/officeDocument/2006/relationships/hyperlink" Target="https://prom.ua/p18612661-gostinaya-kvatro.html" TargetMode="External"/><Relationship Id="rId100" Type="http://schemas.openxmlformats.org/officeDocument/2006/relationships/hyperlink" Target="https://prom.ua/p1209395741-komod-vusher-kom1w2d2s.html" TargetMode="External"/><Relationship Id="rId101" Type="http://schemas.openxmlformats.org/officeDocument/2006/relationships/hyperlink" Target="https://prom.ua/p1045115919-komod-german-kom3s912.html?" TargetMode="External"/><Relationship Id="rId102" Type="http://schemas.openxmlformats.org/officeDocument/2006/relationships/hyperlink" Target="https://prom.ua/p1248803641-tumba-gerbor-alisa.html?" TargetMode="External"/><Relationship Id="rId103" Type="http://schemas.openxmlformats.org/officeDocument/2006/relationships/hyperlink" Target="https://prom.ua/p1325973811-tumba-brv-atsteka.html?&amp;primelead=MC43OA" TargetMode="External"/><Relationship Id="rId104" Type="http://schemas.openxmlformats.org/officeDocument/2006/relationships/hyperlink" Target="https://prom.ua/p1248752621-komod-brv-atsteka.html?" TargetMode="External"/><Relationship Id="rId105" Type="http://schemas.openxmlformats.org/officeDocument/2006/relationships/hyperlink" Target="https://prom.ua/p372189619-stol-pismennyj-jbiu2d2s140.html" TargetMode="External"/><Relationship Id="rId106" Type="http://schemas.openxmlformats.org/officeDocument/2006/relationships/hyperlink" Target="https://prom.ua/p1209396495-komod-kom4s90-dzhuli.html" TargetMode="External"/><Relationship Id="rId107" Type="http://schemas.openxmlformats.org/officeDocument/2006/relationships/hyperlink" Target="https://prom.ua/p663109577-shkaf-platyanoj-szf3d2s.html" TargetMode="External"/><Relationship Id="rId108" Type="http://schemas.openxmlformats.org/officeDocument/2006/relationships/hyperlink" Target="https://prom.ua/p553479263-komod-gerbor-sonata.html?" TargetMode="External"/><Relationship Id="rId109" Type="http://schemas.openxmlformats.org/officeDocument/2006/relationships/hyperlink" Target="https://prom.ua/p890543855-prihozhaya-ppk-nepo.html?" TargetMode="External"/><Relationship Id="rId110" Type="http://schemas.openxmlformats.org/officeDocument/2006/relationships/hyperlink" Target="https://prom.ua/p512224979-gostinaya-kvatro.html" TargetMode="External"/><Relationship Id="rId111" Type="http://schemas.openxmlformats.org/officeDocument/2006/relationships/hyperlink" Target="https://prom.ua/p1206351035-komod-german-kom3s912.html?" TargetMode="External"/><Relationship Id="rId112" Type="http://schemas.openxmlformats.org/officeDocument/2006/relationships/hyperlink" Target="https://prom.ua/p1220143520-tumba-pod-televizor.html"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redlight.com.ua/" TargetMode="External"/><Relationship Id="rId9" Type="http://schemas.openxmlformats.org/officeDocument/2006/relationships/hyperlink" Target="https://mebli-bristol.com.ua/" TargetMode="External"/><Relationship Id="rId10" Type="http://schemas.openxmlformats.org/officeDocument/2006/relationships/hyperlink" Target="http://gerbor.kiev.ua/" TargetMode="External"/><Relationship Id="rId11" Type="http://schemas.openxmlformats.org/officeDocument/2006/relationships/hyperlink" Target="http://www.brwland.com.ua/" TargetMode="External"/><Relationship Id="rId12" Type="http://schemas.openxmlformats.org/officeDocument/2006/relationships/hyperlink" Target="http://gerbor.dp.ua/" TargetMode="External"/><Relationship Id="rId13" Type="http://schemas.openxmlformats.org/officeDocument/2006/relationships/hyperlink" Target="https://www.dybok.com.ua/" TargetMode="External"/><Relationship Id="rId14" Type="http://schemas.openxmlformats.org/officeDocument/2006/relationships/hyperlink" Target="https://www.dybok.com.ua/ru/product/detail/35870" TargetMode="External"/><Relationship Id="rId15" Type="http://schemas.openxmlformats.org/officeDocument/2006/relationships/hyperlink" Target="https://www.dybok.com.ua/ru/product/detail/55516" TargetMode="External"/><Relationship Id="rId16" Type="http://schemas.openxmlformats.org/officeDocument/2006/relationships/hyperlink" Target="https://www.dybok.com.ua/ru/product/detail/4291" TargetMode="External"/><Relationship Id="rId17" Type="http://schemas.openxmlformats.org/officeDocument/2006/relationships/hyperlink" Target="https://www.dybok.com.ua/ru/product/detail/9798" TargetMode="External"/><Relationship Id="rId18" Type="http://schemas.openxmlformats.org/officeDocument/2006/relationships/hyperlink" Target="https://www.dybok.com.ua/ru/product/detail/35840" TargetMode="External"/><Relationship Id="rId19" Type="http://schemas.openxmlformats.org/officeDocument/2006/relationships/hyperlink" Target="https://www.dybok.com.ua/ru/product/detail/261" TargetMode="External"/><Relationship Id="rId20" Type="http://schemas.openxmlformats.org/officeDocument/2006/relationships/hyperlink" Target="https://www.dybok.com.ua/ru/product/detail/18085" TargetMode="External"/><Relationship Id="rId21" Type="http://schemas.openxmlformats.org/officeDocument/2006/relationships/hyperlink" Target="https://www.dybok.com.ua/ru/product/detail/50410" TargetMode="External"/><Relationship Id="rId22" Type="http://schemas.openxmlformats.org/officeDocument/2006/relationships/hyperlink" Target="https://vashamebel.in.ua/" TargetMode="External"/><Relationship Id="rId23" Type="http://schemas.openxmlformats.org/officeDocument/2006/relationships/hyperlink" Target="https://vashamebel.in.ua/stol-pismennyij-kaspian-ii-biu1d1s-120/p488" TargetMode="External"/><Relationship Id="rId24" Type="http://schemas.openxmlformats.org/officeDocument/2006/relationships/hyperlink" Target="http://mebel-mebel.com.ua/" TargetMode="External"/><Relationship Id="rId25" Type="http://schemas.openxmlformats.org/officeDocument/2006/relationships/hyperlink" Target="https://mebel-mebel.com.ua/eshop/dom-stenki-dlia-gostinoi/gostinaya_alyaska-id50834.html" TargetMode="External"/><Relationship Id="rId26" Type="http://schemas.openxmlformats.org/officeDocument/2006/relationships/hyperlink" Target="http://abcmebli.com.ua/" TargetMode="External"/><Relationship Id="rId27" Type="http://schemas.openxmlformats.org/officeDocument/2006/relationships/hyperlink" Target="https://gerbor.mebelok.com/" TargetMode="External"/><Relationship Id="rId28" Type="http://schemas.openxmlformats.org/officeDocument/2006/relationships/hyperlink" Target="http://maxmebel.com.ua/" TargetMode="External"/><Relationship Id="rId29" Type="http://schemas.openxmlformats.org/officeDocument/2006/relationships/hyperlink" Target="https://moyamebel.com.ua/ua" TargetMode="External"/><Relationship Id="rId30" Type="http://schemas.openxmlformats.org/officeDocument/2006/relationships/hyperlink" Target="https://mebel-soyuz.com.ua/" TargetMode="External"/><Relationship Id="rId31" Type="http://schemas.openxmlformats.org/officeDocument/2006/relationships/hyperlink" Target="https://sofino.ua/" TargetMode="External"/><Relationship Id="rId32" Type="http://schemas.openxmlformats.org/officeDocument/2006/relationships/hyperlink" Target="https://www.brw-kiev.com.ua/" TargetMode="External"/><Relationship Id="rId33" Type="http://schemas.openxmlformats.org/officeDocument/2006/relationships/hyperlink" Target="https://brw.kiev.ua/" TargetMode="External"/><Relationship Id="rId34" Type="http://schemas.openxmlformats.org/officeDocument/2006/relationships/hyperlink" Target="http://brw.com.ua/" TargetMode="External"/><Relationship Id="rId35" Type="http://schemas.openxmlformats.org/officeDocument/2006/relationships/hyperlink" Target="https://mebelstyle.net/" TargetMode="External"/><Relationship Id="rId36" Type="http://schemas.openxmlformats.org/officeDocument/2006/relationships/hyperlink" Target="https://lvivmebli.com/" TargetMode="External"/><Relationship Id="rId37" Type="http://schemas.openxmlformats.org/officeDocument/2006/relationships/hyperlink" Target="http://centrmebliv.com.ua/" TargetMode="External"/><Relationship Id="rId38" Type="http://schemas.openxmlformats.org/officeDocument/2006/relationships/hyperlink" Target="https://letromebel.com.ua/" TargetMode="External"/><Relationship Id="rId39" Type="http://schemas.openxmlformats.org/officeDocument/2006/relationships/hyperlink" Target="https://shurup.net.ua/" TargetMode="External"/><Relationship Id="rId40" Type="http://schemas.openxmlformats.org/officeDocument/2006/relationships/hyperlink" Target="https://www.taburetka.ua/" TargetMode="External"/><Relationship Id="rId41" Type="http://schemas.openxmlformats.org/officeDocument/2006/relationships/hyperlink" Target="http://www.maxidom.com.ua/" TargetMode="External"/><Relationship Id="rId42" Type="http://schemas.openxmlformats.org/officeDocument/2006/relationships/hyperlink" Target="https://mebel-online.com.ua/" TargetMode="External"/><Relationship Id="rId43" Type="http://schemas.openxmlformats.org/officeDocument/2006/relationships/hyperlink" Target="https://mebelnuy.com.u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redlight.com.ua/" TargetMode="External"/><Relationship Id="rId9" Type="http://schemas.openxmlformats.org/officeDocument/2006/relationships/hyperlink" Target="https://mebli-bristol.com.ua/" TargetMode="External"/><Relationship Id="rId10" Type="http://schemas.openxmlformats.org/officeDocument/2006/relationships/hyperlink" Target="http://gerbor.kiev.ua/" TargetMode="External"/><Relationship Id="rId11" Type="http://schemas.openxmlformats.org/officeDocument/2006/relationships/hyperlink" Target="http://www.brwland.com.ua/" TargetMode="External"/><Relationship Id="rId12" Type="http://schemas.openxmlformats.org/officeDocument/2006/relationships/hyperlink" Target="http://gerbor.dp.ua/" TargetMode="External"/><Relationship Id="rId13" Type="http://schemas.openxmlformats.org/officeDocument/2006/relationships/hyperlink" Target="https://www.dybok.com.ua/" TargetMode="External"/><Relationship Id="rId14" Type="http://schemas.openxmlformats.org/officeDocument/2006/relationships/hyperlink" Target="https://www.dybok.com.ua/ru/product/detail/35870" TargetMode="External"/><Relationship Id="rId15" Type="http://schemas.openxmlformats.org/officeDocument/2006/relationships/hyperlink" Target="https://www.dybok.com.ua/ru/product/detail/55516" TargetMode="External"/><Relationship Id="rId16" Type="http://schemas.openxmlformats.org/officeDocument/2006/relationships/hyperlink" Target="https://www.dybok.com.ua/ru/product/detail/4291" TargetMode="External"/><Relationship Id="rId17" Type="http://schemas.openxmlformats.org/officeDocument/2006/relationships/hyperlink" Target="https://www.dybok.com.ua/ru/product/detail/9798" TargetMode="External"/><Relationship Id="rId18" Type="http://schemas.openxmlformats.org/officeDocument/2006/relationships/hyperlink" Target="https://www.dybok.com.ua/ru/product/detail/35840" TargetMode="External"/><Relationship Id="rId19" Type="http://schemas.openxmlformats.org/officeDocument/2006/relationships/hyperlink" Target="https://www.dybok.com.ua/ru/product/detail/261" TargetMode="External"/><Relationship Id="rId20" Type="http://schemas.openxmlformats.org/officeDocument/2006/relationships/hyperlink" Target="https://www.dybok.com.ua/ru/product/detail/18085" TargetMode="External"/><Relationship Id="rId21" Type="http://schemas.openxmlformats.org/officeDocument/2006/relationships/hyperlink" Target="https://www.dybok.com.ua/ru/product/detail/50410" TargetMode="External"/><Relationship Id="rId22" Type="http://schemas.openxmlformats.org/officeDocument/2006/relationships/hyperlink" Target="https://vashamebel.in.ua/" TargetMode="External"/><Relationship Id="rId23" Type="http://schemas.openxmlformats.org/officeDocument/2006/relationships/hyperlink" Target="https://vashamebel.in.ua/stol-pismennyij-kaspian-ii-biu1d1s-120/p488" TargetMode="External"/><Relationship Id="rId24" Type="http://schemas.openxmlformats.org/officeDocument/2006/relationships/hyperlink" Target="http://mebel-mebel.com.ua/" TargetMode="External"/><Relationship Id="rId25" Type="http://schemas.openxmlformats.org/officeDocument/2006/relationships/hyperlink" Target="https://mebel-mebel.com.ua/eshop/dom-stenki-dlia-gostinoi/gostinaya_alyaska-id50834.html" TargetMode="External"/><Relationship Id="rId26" Type="http://schemas.openxmlformats.org/officeDocument/2006/relationships/hyperlink" Target="http://abcmebli.com.ua/" TargetMode="External"/><Relationship Id="rId27" Type="http://schemas.openxmlformats.org/officeDocument/2006/relationships/hyperlink" Target="https://gerbor.mebelok.com/" TargetMode="External"/><Relationship Id="rId28" Type="http://schemas.openxmlformats.org/officeDocument/2006/relationships/hyperlink" Target="http://maxmebel.com.ua/" TargetMode="External"/><Relationship Id="rId29" Type="http://schemas.openxmlformats.org/officeDocument/2006/relationships/hyperlink" Target="https://moyamebel.com.ua/ua" TargetMode="External"/><Relationship Id="rId30" Type="http://schemas.openxmlformats.org/officeDocument/2006/relationships/hyperlink" Target="https://mebel-soyuz.com.ua/" TargetMode="External"/><Relationship Id="rId31" Type="http://schemas.openxmlformats.org/officeDocument/2006/relationships/hyperlink" Target="https://sofino.ua/" TargetMode="External"/><Relationship Id="rId32" Type="http://schemas.openxmlformats.org/officeDocument/2006/relationships/hyperlink" Target="https://www.brw-kiev.com.ua/" TargetMode="External"/><Relationship Id="rId33" Type="http://schemas.openxmlformats.org/officeDocument/2006/relationships/hyperlink" Target="https://brw.kiev.ua/" TargetMode="External"/><Relationship Id="rId34" Type="http://schemas.openxmlformats.org/officeDocument/2006/relationships/hyperlink" Target="http://brw.com.ua/" TargetMode="External"/><Relationship Id="rId35" Type="http://schemas.openxmlformats.org/officeDocument/2006/relationships/hyperlink" Target="https://mebelstyle.net/" TargetMode="External"/><Relationship Id="rId36" Type="http://schemas.openxmlformats.org/officeDocument/2006/relationships/hyperlink" Target="https://lvivmebli.com/" TargetMode="External"/><Relationship Id="rId37" Type="http://schemas.openxmlformats.org/officeDocument/2006/relationships/hyperlink" Target="http://centrmebliv.com.ua/" TargetMode="External"/><Relationship Id="rId38" Type="http://schemas.openxmlformats.org/officeDocument/2006/relationships/hyperlink" Target="https://letromebel.com.ua/" TargetMode="External"/><Relationship Id="rId39" Type="http://schemas.openxmlformats.org/officeDocument/2006/relationships/hyperlink" Target="https://shurup.net.ua/" TargetMode="External"/><Relationship Id="rId40" Type="http://schemas.openxmlformats.org/officeDocument/2006/relationships/hyperlink" Target="https://www.taburetka.ua/" TargetMode="External"/><Relationship Id="rId41" Type="http://schemas.openxmlformats.org/officeDocument/2006/relationships/hyperlink" Target="http://www.maxidom.com.ua/" TargetMode="External"/><Relationship Id="rId42" Type="http://schemas.openxmlformats.org/officeDocument/2006/relationships/hyperlink" Target="https://mebel-online.com.ua/"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redlight.com.ua/" TargetMode="External"/><Relationship Id="rId9" Type="http://schemas.openxmlformats.org/officeDocument/2006/relationships/hyperlink" Target="https://mebli-bristol.com.ua/" TargetMode="External"/><Relationship Id="rId10" Type="http://schemas.openxmlformats.org/officeDocument/2006/relationships/hyperlink" Target="http://gerbor.kiev.ua/" TargetMode="External"/><Relationship Id="rId11" Type="http://schemas.openxmlformats.org/officeDocument/2006/relationships/hyperlink" Target="http://www.brwland.com.ua/" TargetMode="External"/><Relationship Id="rId12" Type="http://schemas.openxmlformats.org/officeDocument/2006/relationships/hyperlink" Target="http://gerbor.dp.ua/" TargetMode="External"/><Relationship Id="rId13" Type="http://schemas.openxmlformats.org/officeDocument/2006/relationships/hyperlink" Target="https://www.dybok.com.ua/" TargetMode="External"/><Relationship Id="rId14" Type="http://schemas.openxmlformats.org/officeDocument/2006/relationships/hyperlink" Target="https://www.dybok.com.ua/ru/product/detail/35870" TargetMode="External"/><Relationship Id="rId15" Type="http://schemas.openxmlformats.org/officeDocument/2006/relationships/hyperlink" Target="https://www.dybok.com.ua/ru/product/detail/55516" TargetMode="External"/><Relationship Id="rId16" Type="http://schemas.openxmlformats.org/officeDocument/2006/relationships/hyperlink" Target="https://www.dybok.com.ua/ru/product/detail/4291" TargetMode="External"/><Relationship Id="rId17" Type="http://schemas.openxmlformats.org/officeDocument/2006/relationships/hyperlink" Target="https://www.dybok.com.ua/ru/product/detail/9798" TargetMode="External"/><Relationship Id="rId18" Type="http://schemas.openxmlformats.org/officeDocument/2006/relationships/hyperlink" Target="https://www.dybok.com.ua/ru/product/detail/35840" TargetMode="External"/><Relationship Id="rId19" Type="http://schemas.openxmlformats.org/officeDocument/2006/relationships/hyperlink" Target="https://www.dybok.com.ua/ru/product/detail/261" TargetMode="External"/><Relationship Id="rId20" Type="http://schemas.openxmlformats.org/officeDocument/2006/relationships/hyperlink" Target="https://www.dybok.com.ua/ru/product/detail/18085" TargetMode="External"/><Relationship Id="rId21" Type="http://schemas.openxmlformats.org/officeDocument/2006/relationships/hyperlink" Target="https://www.dybok.com.ua/ru/product/detail/50410" TargetMode="External"/><Relationship Id="rId22" Type="http://schemas.openxmlformats.org/officeDocument/2006/relationships/hyperlink" Target="https://vashamebel.in.ua/" TargetMode="External"/><Relationship Id="rId23" Type="http://schemas.openxmlformats.org/officeDocument/2006/relationships/hyperlink" Target="https://vashamebel.in.ua/stol-pismennyij-kaspian-ii-biu1d1s-120/p488" TargetMode="External"/><Relationship Id="rId24" Type="http://schemas.openxmlformats.org/officeDocument/2006/relationships/hyperlink" Target="http://mebel-mebel.com.ua/" TargetMode="External"/><Relationship Id="rId25" Type="http://schemas.openxmlformats.org/officeDocument/2006/relationships/hyperlink" Target="https://mebel-mebel.com.ua/eshop/dom-stenki-dlia-gostinoi/gostinaya_alyaska-id50834.html" TargetMode="External"/><Relationship Id="rId26" Type="http://schemas.openxmlformats.org/officeDocument/2006/relationships/hyperlink" Target="http://abcmebli.com.ua/" TargetMode="External"/><Relationship Id="rId27" Type="http://schemas.openxmlformats.org/officeDocument/2006/relationships/hyperlink" Target="https://gerbor.mebelok.com/" TargetMode="External"/><Relationship Id="rId28" Type="http://schemas.openxmlformats.org/officeDocument/2006/relationships/hyperlink" Target="http://maxmebel.com.ua/" TargetMode="External"/><Relationship Id="rId29" Type="http://schemas.openxmlformats.org/officeDocument/2006/relationships/hyperlink" Target="https://moyamebel.com.ua/ua" TargetMode="External"/><Relationship Id="rId30" Type="http://schemas.openxmlformats.org/officeDocument/2006/relationships/hyperlink" Target="https://mebel-soyuz.com.ua/" TargetMode="External"/><Relationship Id="rId31" Type="http://schemas.openxmlformats.org/officeDocument/2006/relationships/hyperlink" Target="https://sofino.ua/" TargetMode="External"/><Relationship Id="rId32" Type="http://schemas.openxmlformats.org/officeDocument/2006/relationships/hyperlink" Target="https://www.brw-kiev.com.ua/" TargetMode="External"/><Relationship Id="rId33" Type="http://schemas.openxmlformats.org/officeDocument/2006/relationships/hyperlink" Target="https://brw.kiev.ua/" TargetMode="External"/><Relationship Id="rId34" Type="http://schemas.openxmlformats.org/officeDocument/2006/relationships/hyperlink" Target="http://brw.com.ua/" TargetMode="External"/><Relationship Id="rId35" Type="http://schemas.openxmlformats.org/officeDocument/2006/relationships/hyperlink" Target="https://mebelstyle.net/" TargetMode="External"/><Relationship Id="rId36" Type="http://schemas.openxmlformats.org/officeDocument/2006/relationships/hyperlink" Target="https://lvivmebli.com/" TargetMode="External"/><Relationship Id="rId37" Type="http://schemas.openxmlformats.org/officeDocument/2006/relationships/hyperlink" Target="http://centrmebliv.com.ua/" TargetMode="External"/><Relationship Id="rId38" Type="http://schemas.openxmlformats.org/officeDocument/2006/relationships/hyperlink" Target="https://letromebel.com.ua/" TargetMode="External"/><Relationship Id="rId39" Type="http://schemas.openxmlformats.org/officeDocument/2006/relationships/hyperlink" Target="https://shurup.net.ua/" TargetMode="External"/><Relationship Id="rId40" Type="http://schemas.openxmlformats.org/officeDocument/2006/relationships/hyperlink" Target="https://www.taburetka.ua/" TargetMode="External"/><Relationship Id="rId41" Type="http://schemas.openxmlformats.org/officeDocument/2006/relationships/hyperlink" Target="http://www.maxidom.com.ua/" TargetMode="External"/><Relationship Id="rId42" Type="http://schemas.openxmlformats.org/officeDocument/2006/relationships/hyperlink" Target="https://mebel-online.com.ua/" TargetMode="External"/><Relationship Id="rId43" Type="http://schemas.openxmlformats.org/officeDocument/2006/relationships/hyperlink" Target="https://maxmebel.com.u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s://www.brw-kiev.com.ua/" TargetMode="External"/><Relationship Id="rId22" Type="http://schemas.openxmlformats.org/officeDocument/2006/relationships/hyperlink" Target="https://brw.kiev.ua/" TargetMode="External"/><Relationship Id="rId23" Type="http://schemas.openxmlformats.org/officeDocument/2006/relationships/hyperlink" Target="http://brw.com.ua/" TargetMode="External"/><Relationship Id="rId24" Type="http://schemas.openxmlformats.org/officeDocument/2006/relationships/hyperlink" Target="https://mebelstyle.net/" TargetMode="External"/><Relationship Id="rId25" Type="http://schemas.openxmlformats.org/officeDocument/2006/relationships/hyperlink" Target="https://lvivmebli.com/" TargetMode="External"/><Relationship Id="rId26" Type="http://schemas.openxmlformats.org/officeDocument/2006/relationships/hyperlink" Target="http://centrmebliv.com.ua/" TargetMode="External"/><Relationship Id="rId27" Type="http://schemas.openxmlformats.org/officeDocument/2006/relationships/hyperlink" Target="https://letromebel.com.ua/" TargetMode="External"/><Relationship Id="rId28" Type="http://schemas.openxmlformats.org/officeDocument/2006/relationships/hyperlink" Target="https://shurup.net.ua/" TargetMode="External"/><Relationship Id="rId29" Type="http://schemas.openxmlformats.org/officeDocument/2006/relationships/hyperlink" Target="https://www.taburetka.ua/" TargetMode="External"/><Relationship Id="rId30" Type="http://schemas.openxmlformats.org/officeDocument/2006/relationships/hyperlink" Target="http://www.maxidom.com.ua/" TargetMode="External"/><Relationship Id="rId31" Type="http://schemas.openxmlformats.org/officeDocument/2006/relationships/hyperlink" Target="https://mebel-online.com.ua/" TargetMode="External"/><Relationship Id="rId32" Type="http://schemas.openxmlformats.org/officeDocument/2006/relationships/hyperlink" Target="https://maxmebel.com.ua/"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s://www.brw-kiev.com.ua/" TargetMode="External"/><Relationship Id="rId22" Type="http://schemas.openxmlformats.org/officeDocument/2006/relationships/hyperlink" Target="https://brw.kiev.ua/" TargetMode="External"/><Relationship Id="rId23" Type="http://schemas.openxmlformats.org/officeDocument/2006/relationships/hyperlink" Target="http://brw.com.ua/" TargetMode="External"/><Relationship Id="rId24" Type="http://schemas.openxmlformats.org/officeDocument/2006/relationships/hyperlink" Target="https://mebelstyle.net/" TargetMode="External"/><Relationship Id="rId25" Type="http://schemas.openxmlformats.org/officeDocument/2006/relationships/hyperlink" Target="https://lvivmebli.com/" TargetMode="External"/><Relationship Id="rId26" Type="http://schemas.openxmlformats.org/officeDocument/2006/relationships/hyperlink" Target="http://centrmebliv.com.ua/" TargetMode="External"/><Relationship Id="rId27" Type="http://schemas.openxmlformats.org/officeDocument/2006/relationships/hyperlink" Target="https://letromebel.com.ua/" TargetMode="External"/><Relationship Id="rId28" Type="http://schemas.openxmlformats.org/officeDocument/2006/relationships/hyperlink" Target="https://shurup.net.ua/" TargetMode="External"/><Relationship Id="rId29" Type="http://schemas.openxmlformats.org/officeDocument/2006/relationships/hyperlink" Target="https://www.taburetka.ua/" TargetMode="External"/><Relationship Id="rId30" Type="http://schemas.openxmlformats.org/officeDocument/2006/relationships/hyperlink" Target="http://www.maxidom.com.ua/" TargetMode="External"/><Relationship Id="rId31" Type="http://schemas.openxmlformats.org/officeDocument/2006/relationships/hyperlink" Target="https://mebel-online.com.ua/" TargetMode="External"/><Relationship Id="rId32" Type="http://schemas.openxmlformats.org/officeDocument/2006/relationships/hyperlink" Target="https://maxmebel.com.ua/"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s://www.brw-kiev.com.ua/" TargetMode="External"/><Relationship Id="rId22" Type="http://schemas.openxmlformats.org/officeDocument/2006/relationships/hyperlink" Target="https://brw.kiev.ua/" TargetMode="External"/><Relationship Id="rId23" Type="http://schemas.openxmlformats.org/officeDocument/2006/relationships/hyperlink" Target="http://brw.com.ua/" TargetMode="External"/><Relationship Id="rId24" Type="http://schemas.openxmlformats.org/officeDocument/2006/relationships/hyperlink" Target="https://mebelstyle.net/" TargetMode="External"/><Relationship Id="rId25" Type="http://schemas.openxmlformats.org/officeDocument/2006/relationships/hyperlink" Target="https://lvivmebli.com/" TargetMode="External"/><Relationship Id="rId26" Type="http://schemas.openxmlformats.org/officeDocument/2006/relationships/hyperlink" Target="http://centrmebliv.com.ua/" TargetMode="External"/><Relationship Id="rId27" Type="http://schemas.openxmlformats.org/officeDocument/2006/relationships/hyperlink" Target="https://letromebel.com.ua/" TargetMode="External"/><Relationship Id="rId28" Type="http://schemas.openxmlformats.org/officeDocument/2006/relationships/hyperlink" Target="https://shurup.net.ua/" TargetMode="External"/><Relationship Id="rId29" Type="http://schemas.openxmlformats.org/officeDocument/2006/relationships/hyperlink" Target="https://www.taburetka.ua/" TargetMode="External"/><Relationship Id="rId30" Type="http://schemas.openxmlformats.org/officeDocument/2006/relationships/hyperlink" Target="http://www.maxidom.com.ua/" TargetMode="External"/><Relationship Id="rId31" Type="http://schemas.openxmlformats.org/officeDocument/2006/relationships/hyperlink" Target="https://mebel-online.com.ua/" TargetMode="External"/><Relationship Id="rId32" Type="http://schemas.openxmlformats.org/officeDocument/2006/relationships/hyperlink" Target="https://maxmebel.com.ua/"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s://www.brw-kiev.com.ua/" TargetMode="External"/><Relationship Id="rId22" Type="http://schemas.openxmlformats.org/officeDocument/2006/relationships/hyperlink" Target="https://brw.kiev.ua/" TargetMode="External"/><Relationship Id="rId23" Type="http://schemas.openxmlformats.org/officeDocument/2006/relationships/hyperlink" Target="http://brw.com.ua/" TargetMode="External"/><Relationship Id="rId24" Type="http://schemas.openxmlformats.org/officeDocument/2006/relationships/hyperlink" Target="https://mebelstyle.net/" TargetMode="External"/><Relationship Id="rId25" Type="http://schemas.openxmlformats.org/officeDocument/2006/relationships/hyperlink" Target="https://lvivmebli.com/" TargetMode="External"/><Relationship Id="rId26" Type="http://schemas.openxmlformats.org/officeDocument/2006/relationships/hyperlink" Target="http://centrmebliv.com.ua/" TargetMode="External"/><Relationship Id="rId27" Type="http://schemas.openxmlformats.org/officeDocument/2006/relationships/hyperlink" Target="https://letromebel.com.ua/" TargetMode="External"/><Relationship Id="rId28" Type="http://schemas.openxmlformats.org/officeDocument/2006/relationships/hyperlink" Target="https://shurup.net.ua/" TargetMode="External"/><Relationship Id="rId29" Type="http://schemas.openxmlformats.org/officeDocument/2006/relationships/hyperlink" Target="https://www.taburetka.ua/" TargetMode="External"/><Relationship Id="rId30" Type="http://schemas.openxmlformats.org/officeDocument/2006/relationships/hyperlink" Target="http://www.maxidom.com.ua/" TargetMode="External"/><Relationship Id="rId31" Type="http://schemas.openxmlformats.org/officeDocument/2006/relationships/hyperlink" Target="https://mebel-online.com.ua/" TargetMode="External"/><Relationship Id="rId32" Type="http://schemas.openxmlformats.org/officeDocument/2006/relationships/hyperlink" Target="https://maxmebel.com.ua/"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s://www.brw-kiev.com.ua/" TargetMode="External"/><Relationship Id="rId22" Type="http://schemas.openxmlformats.org/officeDocument/2006/relationships/hyperlink" Target="https://brw.kiev.ua/" TargetMode="External"/><Relationship Id="rId23" Type="http://schemas.openxmlformats.org/officeDocument/2006/relationships/hyperlink" Target="http://brw.com.ua/" TargetMode="External"/><Relationship Id="rId24" Type="http://schemas.openxmlformats.org/officeDocument/2006/relationships/hyperlink" Target="https://mebelstyle.net/" TargetMode="External"/><Relationship Id="rId25" Type="http://schemas.openxmlformats.org/officeDocument/2006/relationships/hyperlink" Target="https://lvivmebli.com/" TargetMode="External"/><Relationship Id="rId26" Type="http://schemas.openxmlformats.org/officeDocument/2006/relationships/hyperlink" Target="http://centrmebliv.com.ua/" TargetMode="External"/><Relationship Id="rId27" Type="http://schemas.openxmlformats.org/officeDocument/2006/relationships/hyperlink" Target="https://letromebel.com.ua/" TargetMode="External"/><Relationship Id="rId28" Type="http://schemas.openxmlformats.org/officeDocument/2006/relationships/hyperlink" Target="https://shurup.net.ua/" TargetMode="External"/><Relationship Id="rId29" Type="http://schemas.openxmlformats.org/officeDocument/2006/relationships/hyperlink" Target="https://www.taburetka.ua/" TargetMode="External"/><Relationship Id="rId30" Type="http://schemas.openxmlformats.org/officeDocument/2006/relationships/hyperlink" Target="http://www.maxidom.com.ua/" TargetMode="External"/><Relationship Id="rId31" Type="http://schemas.openxmlformats.org/officeDocument/2006/relationships/hyperlink" Target="https://mebel-online.com.ua/" TargetMode="External"/><Relationship Id="rId32" Type="http://schemas.openxmlformats.org/officeDocument/2006/relationships/hyperlink" Target="https://maxmebel.com.ua/"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gerbor.mebli-smerichka.com.ua/" TargetMode="External"/><Relationship Id="rId22" Type="http://schemas.openxmlformats.org/officeDocument/2006/relationships/hyperlink" Target="https://www.brw-kiev.com.ua/" TargetMode="External"/><Relationship Id="rId23" Type="http://schemas.openxmlformats.org/officeDocument/2006/relationships/hyperlink" Target="https://brw.kiev.ua/" TargetMode="External"/><Relationship Id="rId24" Type="http://schemas.openxmlformats.org/officeDocument/2006/relationships/hyperlink" Target="http://brw.com.ua/" TargetMode="External"/><Relationship Id="rId25" Type="http://schemas.openxmlformats.org/officeDocument/2006/relationships/hyperlink" Target="https://mebelstyle.net/" TargetMode="External"/><Relationship Id="rId26" Type="http://schemas.openxmlformats.org/officeDocument/2006/relationships/hyperlink" Target="https://lvivmebli.com/" TargetMode="External"/><Relationship Id="rId27" Type="http://schemas.openxmlformats.org/officeDocument/2006/relationships/hyperlink" Target="http://centrmebliv.com.ua/" TargetMode="External"/><Relationship Id="rId28" Type="http://schemas.openxmlformats.org/officeDocument/2006/relationships/hyperlink" Target="https://letromebel.com.ua/" TargetMode="External"/><Relationship Id="rId29" Type="http://schemas.openxmlformats.org/officeDocument/2006/relationships/hyperlink" Target="https://shurup.net.ua/" TargetMode="External"/><Relationship Id="rId30" Type="http://schemas.openxmlformats.org/officeDocument/2006/relationships/hyperlink" Target="https://www.taburetka.ua/" TargetMode="External"/><Relationship Id="rId31" Type="http://schemas.openxmlformats.org/officeDocument/2006/relationships/hyperlink" Target="http://www.maxidom.com.ua/" TargetMode="External"/><Relationship Id="rId32" Type="http://schemas.openxmlformats.org/officeDocument/2006/relationships/hyperlink" Target="https://mebel-online.com.ua/" TargetMode="External"/><Relationship Id="rId33" Type="http://schemas.openxmlformats.org/officeDocument/2006/relationships/hyperlink" Target="https://maxmebel.com.ua/" TargetMode="External"/>
</Relationships>
</file>

<file path=xl/worksheets/_rels/sheet2.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komplekty-gostinyh/stinka-kvatro-venge-magia/" TargetMode="External"/><Relationship Id="rId8" Type="http://schemas.openxmlformats.org/officeDocument/2006/relationships/hyperlink" Target="https://brwmania.com.ua/gostinaja/modulnye-gostinye/sistema-vusher-vusher/010-vusher-komod-kom-1w2d2s/" TargetMode="External"/><Relationship Id="rId9" Type="http://schemas.openxmlformats.org/officeDocument/2006/relationships/hyperlink" Target="https://brwmania.com.ua/gostinaja/modulnye-gostinye/sistema-german/komod-brw-german-kom3s-9-12-dub-stirling/"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s://brwmania.com.ua/gostinaja/modulnye-gostinye/sistema_koen_mdf/008-koen-mdf-komod-kom4s/" TargetMode="External"/><Relationship Id="rId12" Type="http://schemas.openxmlformats.org/officeDocument/2006/relationships/hyperlink" Target="http://redlight.com.ua/" TargetMode="External"/><Relationship Id="rId13" Type="http://schemas.openxmlformats.org/officeDocument/2006/relationships/hyperlink" Target="http://redlight.com.ua/stenki/item-stenka-kvatro" TargetMode="External"/><Relationship Id="rId14" Type="http://schemas.openxmlformats.org/officeDocument/2006/relationships/hyperlink" Target="https://redlight.com.ua/komod/item-tumba-kom-1w2d2s-9-15-vusher" TargetMode="External"/><Relationship Id="rId15" Type="http://schemas.openxmlformats.org/officeDocument/2006/relationships/hyperlink" Target="https://redlight.com.ua/komod/item-german-komod-kom-3s-9-12" TargetMode="External"/><Relationship Id="rId16" Type="http://schemas.openxmlformats.org/officeDocument/2006/relationships/hyperlink" Target="https://redlight.com.ua/tv-stands/item-alisa-tumba-rtv2s2k" TargetMode="External"/><Relationship Id="rId17" Type="http://schemas.openxmlformats.org/officeDocument/2006/relationships/hyperlink" Target="https://redlight.com.ua/komod/item-komod-kom4s-koen-(mdf)-" TargetMode="External"/><Relationship Id="rId18" Type="http://schemas.openxmlformats.org/officeDocument/2006/relationships/hyperlink" Target="https://mebli-bristol.com.ua/" TargetMode="External"/><Relationship Id="rId19" Type="http://schemas.openxmlformats.org/officeDocument/2006/relationships/hyperlink" Target="https://mebli-bristol.com.ua/kvatro-gerbor.html" TargetMode="External"/><Relationship Id="rId20" Type="http://schemas.openxmlformats.org/officeDocument/2006/relationships/hyperlink" Target="https://mebli-bristol.com.ua/vusher-komod-kom-1w-2d2s-gerbor.html" TargetMode="External"/><Relationship Id="rId21" Type="http://schemas.openxmlformats.org/officeDocument/2006/relationships/hyperlink" Target="https://mebli-bristol.com.ua/german-komod-kom-3s-9-12-brv-ukraina.html" TargetMode="External"/><Relationship Id="rId22" Type="http://schemas.openxmlformats.org/officeDocument/2006/relationships/hyperlink" Target="https://mebli-bristol.com.ua/alisa-tumba-rtv-2s2k-gerbor.html" TargetMode="External"/><Relationship Id="rId23" Type="http://schemas.openxmlformats.org/officeDocument/2006/relationships/hyperlink" Target="https://mebli-bristol.com.ua/koen-komod-kom-4s-mdf-gerbor.html" TargetMode="External"/><Relationship Id="rId24" Type="http://schemas.openxmlformats.org/officeDocument/2006/relationships/hyperlink" Target="http://gerbor.kiev.ua/" TargetMode="External"/><Relationship Id="rId25" Type="http://schemas.openxmlformats.org/officeDocument/2006/relationships/hyperlink" Target="https://gerbor.kiev.ua/mebelnye-sistemy/mebel-vusher-gerbor/vusher-komod-kom1w2d2s-gerbor/" TargetMode="External"/><Relationship Id="rId26" Type="http://schemas.openxmlformats.org/officeDocument/2006/relationships/hyperlink" Target="https://gerbor.kiev.ua/mebel-brv-ukraina/mebel-german-brw/german-komod-kom3s-brv/" TargetMode="External"/><Relationship Id="rId27" Type="http://schemas.openxmlformats.org/officeDocument/2006/relationships/hyperlink" Target="https://gerbor.kiev.ua/mebelnye-sistemy/mebel-alisa-gerbor/alisa-tumba-tv-rtv2s2k-gerbor/" TargetMode="External"/><Relationship Id="rId28" Type="http://schemas.openxmlformats.org/officeDocument/2006/relationships/hyperlink" Target="https://gerbor.kiev.ua/mebelnye-sistemy/mebel-koen-gerbor/koen-komod-kom4s-gerbor/" TargetMode="External"/><Relationship Id="rId29" Type="http://schemas.openxmlformats.org/officeDocument/2006/relationships/hyperlink" Target="http://www.brwland.com.ua/" TargetMode="External"/><Relationship Id="rId30" Type="http://schemas.openxmlformats.org/officeDocument/2006/relationships/hyperlink" Target="http://www.brwland.com.ua/product/vusher-bufet-kom1w2d2s915-gerbor/" TargetMode="External"/><Relationship Id="rId31" Type="http://schemas.openxmlformats.org/officeDocument/2006/relationships/hyperlink" Target="https://brwland.com.ua/product/german-komod-kom3s912-brv-ukraina/" TargetMode="External"/><Relationship Id="rId32" Type="http://schemas.openxmlformats.org/officeDocument/2006/relationships/hyperlink" Target="https://brwland.com.ua/product/alisa-tumba-tv-rtv2s2k-gerbor/" TargetMode="External"/><Relationship Id="rId33" Type="http://schemas.openxmlformats.org/officeDocument/2006/relationships/hyperlink" Target="https://brwland.com.ua/product/koen-kom4s-komod-gerbor/" TargetMode="External"/><Relationship Id="rId34" Type="http://schemas.openxmlformats.org/officeDocument/2006/relationships/hyperlink" Target="http://gerbor.dp.ua/" TargetMode="External"/><Relationship Id="rId35" Type="http://schemas.openxmlformats.org/officeDocument/2006/relationships/hyperlink" Target="http://gerbor.dp.ua/index.php?route=product/product&amp;product_id=4257" TargetMode="External"/><Relationship Id="rId36" Type="http://schemas.openxmlformats.org/officeDocument/2006/relationships/hyperlink" Target="https://www.dybok.com.ua/" TargetMode="External"/><Relationship Id="rId37" Type="http://schemas.openxmlformats.org/officeDocument/2006/relationships/hyperlink" Target="https://www.dybok.com.ua/ru/product/detail/55516" TargetMode="External"/><Relationship Id="rId38" Type="http://schemas.openxmlformats.org/officeDocument/2006/relationships/hyperlink" Target="https://www.dybok.com.ua/ru/product/detail/18085" TargetMode="External"/><Relationship Id="rId39" Type="http://schemas.openxmlformats.org/officeDocument/2006/relationships/hyperlink" Target="https://www.dybok.com.ua/ru/product/detail/6077" TargetMode="External"/><Relationship Id="rId40" Type="http://schemas.openxmlformats.org/officeDocument/2006/relationships/hyperlink" Target="https://www.dybok.com.ua/ru/product/detail/7086" TargetMode="External"/><Relationship Id="rId41" Type="http://schemas.openxmlformats.org/officeDocument/2006/relationships/hyperlink" Target="https://www.dybok.com.ua/ua/product/detail/80992" TargetMode="External"/><Relationship Id="rId42" Type="http://schemas.openxmlformats.org/officeDocument/2006/relationships/hyperlink" Target="https://www.dybok.com.ua/ua/product/detail/76092" TargetMode="External"/><Relationship Id="rId43" Type="http://schemas.openxmlformats.org/officeDocument/2006/relationships/hyperlink" Target="https://vashamebel.in.ua/" TargetMode="External"/><Relationship Id="rId44" Type="http://schemas.openxmlformats.org/officeDocument/2006/relationships/hyperlink" Target="https://vashamebel.in.ua/stol-pismennyij-kaspian-ii-biu1d1s-120/p488" TargetMode="External"/><Relationship Id="rId45" Type="http://schemas.openxmlformats.org/officeDocument/2006/relationships/hyperlink" Target="https://vashamebel.in.ua/stenka-gerbor-kvatro/p2359" TargetMode="External"/><Relationship Id="rId46" Type="http://schemas.openxmlformats.org/officeDocument/2006/relationships/hyperlink" Target="https://vashamebel.in.ua/komod-gerbor-vusher-kom1w2d2s/p4762" TargetMode="External"/><Relationship Id="rId47" Type="http://schemas.openxmlformats.org/officeDocument/2006/relationships/hyperlink" Target="https://vashamebel.in.ua/komod-brv-german-kom3s912/p16187" TargetMode="External"/><Relationship Id="rId48" Type="http://schemas.openxmlformats.org/officeDocument/2006/relationships/hyperlink" Target="https://vashamebel.in.ua/tumba-tv-gerbor-alisa-rtv2s2k/p16540" TargetMode="External"/><Relationship Id="rId49" Type="http://schemas.openxmlformats.org/officeDocument/2006/relationships/hyperlink" Target="https://vashamebel.in.ua/komod-gerbor-koen-kom4s/p2171" TargetMode="External"/><Relationship Id="rId50" Type="http://schemas.openxmlformats.org/officeDocument/2006/relationships/hyperlink" Target="http://mebel-mebel.com.ua/" TargetMode="External"/><Relationship Id="rId51" Type="http://schemas.openxmlformats.org/officeDocument/2006/relationships/hyperlink" Target="https://mebel-mebel.com.ua/eshop/dom-stenki-dlia-gostinoi/gostinaya_kvatro-id152.html" TargetMode="External"/><Relationship Id="rId52" Type="http://schemas.openxmlformats.org/officeDocument/2006/relationships/hyperlink" Target="https://mebel-mebel.com.ua/eshop/dom-komody/komod_kom_1w2d2s_vusher-id560.html" TargetMode="External"/><Relationship Id="rId53" Type="http://schemas.openxmlformats.org/officeDocument/2006/relationships/hyperlink" Target="https://mebel-mebel.com.ua/eshop/dom-komody/komod_kom3s_9_12_german_brv_ukraina-id60297.html" TargetMode="External"/><Relationship Id="rId54" Type="http://schemas.openxmlformats.org/officeDocument/2006/relationships/hyperlink" Target="https://mebel-mebel.com.ua/eshop/dom-tumby-dlia-tv/tumba_rtv_2s2k_alisa_gerbor-id60350.html" TargetMode="External"/><Relationship Id="rId55" Type="http://schemas.openxmlformats.org/officeDocument/2006/relationships/hyperlink" Target="https://mebel-mebel.com.ua/eshop/dom-komody/komod_kom_4s_mdf_8_koen-id921.html" TargetMode="External"/><Relationship Id="rId56" Type="http://schemas.openxmlformats.org/officeDocument/2006/relationships/hyperlink" Target="http://abcmebli.com.ua/" TargetMode="External"/><Relationship Id="rId57" Type="http://schemas.openxmlformats.org/officeDocument/2006/relationships/hyperlink" Target="https://gerbor.mebelok.com/" TargetMode="External"/><Relationship Id="rId58" Type="http://schemas.openxmlformats.org/officeDocument/2006/relationships/hyperlink" Target="https://www.mebelok.com/gostinaya-kvatro" TargetMode="External"/><Relationship Id="rId59" Type="http://schemas.openxmlformats.org/officeDocument/2006/relationships/hyperlink" Target="https://www.mebelok.com/komod-kom-1w2d2s-vusher/" TargetMode="External"/><Relationship Id="rId60" Type="http://schemas.openxmlformats.org/officeDocument/2006/relationships/hyperlink" Target="https://www.mebelok.com/komod-kom3s-9-12/" TargetMode="External"/><Relationship Id="rId61" Type="http://schemas.openxmlformats.org/officeDocument/2006/relationships/hyperlink" Target="https://www.mebelok.com/tumba-tv-rtv2s2k-alisa/" TargetMode="External"/><Relationship Id="rId62" Type="http://schemas.openxmlformats.org/officeDocument/2006/relationships/hyperlink" Target="https://www.mebelok.com/koen-komod-kom4s-mdf/" TargetMode="External"/><Relationship Id="rId63" Type="http://schemas.openxmlformats.org/officeDocument/2006/relationships/hyperlink" Target="http://maxmebel.com.ua/" TargetMode="External"/><Relationship Id="rId64" Type="http://schemas.openxmlformats.org/officeDocument/2006/relationships/hyperlink" Target="https://maxmebel.com.ua/stenka_kvatro" TargetMode="External"/><Relationship Id="rId65" Type="http://schemas.openxmlformats.org/officeDocument/2006/relationships/hyperlink" Target="https://maxmebel.com.ua/vusher_komod_kom_1w2d2s" TargetMode="External"/><Relationship Id="rId66" Type="http://schemas.openxmlformats.org/officeDocument/2006/relationships/hyperlink" Target="https://maxmebel.com.ua/koen_komod_kom4s-mdf" TargetMode="External"/><Relationship Id="rId67" Type="http://schemas.openxmlformats.org/officeDocument/2006/relationships/hyperlink" Target="https://moyamebel.com.ua/ua" TargetMode="External"/><Relationship Id="rId68" Type="http://schemas.openxmlformats.org/officeDocument/2006/relationships/hyperlink" Target="https://moyamebel.com.ua/ua/products/gostinaya-kvatro" TargetMode="External"/><Relationship Id="rId69" Type="http://schemas.openxmlformats.org/officeDocument/2006/relationships/hyperlink" Target="https://moyamebel.com.ua/ua/products/komod-1w2d2s-vusher" TargetMode="External"/><Relationship Id="rId70" Type="http://schemas.openxmlformats.org/officeDocument/2006/relationships/hyperlink" Target="https://mebel-soyuz.com.ua/" TargetMode="External"/><Relationship Id="rId71" Type="http://schemas.openxmlformats.org/officeDocument/2006/relationships/hyperlink" Target="https://sofino.ua/" TargetMode="External"/><Relationship Id="rId72" Type="http://schemas.openxmlformats.org/officeDocument/2006/relationships/hyperlink" Target="https://sofino.ua/gerbor-stenka-s-podsvetkojj-kvatro/g-18955" TargetMode="External"/><Relationship Id="rId73" Type="http://schemas.openxmlformats.org/officeDocument/2006/relationships/hyperlink" Target="https://sofino.ua/gerbor-bufet-kom1w2d2s-s-podsvetkojj-vusher/g-176785" TargetMode="External"/><Relationship Id="rId74" Type="http://schemas.openxmlformats.org/officeDocument/2006/relationships/hyperlink" Target="https://www.brw-kiev.com.ua/" TargetMode="External"/><Relationship Id="rId75" Type="http://schemas.openxmlformats.org/officeDocument/2006/relationships/hyperlink" Target="https://www.brw-kiev.com.ua/catalog/mebel/gostinaya/koen-komod-kom4s-000003956.html" TargetMode="External"/><Relationship Id="rId76" Type="http://schemas.openxmlformats.org/officeDocument/2006/relationships/hyperlink" Target="https://brw.kiev.ua/" TargetMode="External"/><Relationship Id="rId77" Type="http://schemas.openxmlformats.org/officeDocument/2006/relationships/hyperlink" Target="https://brw.kiev.ua/mebel-brw-ukraina/azteca/tumba-tv-rtv2d2s-azteca-brv/" TargetMode="External"/><Relationship Id="rId78" Type="http://schemas.openxmlformats.org/officeDocument/2006/relationships/hyperlink" Target="https://brw.kiev.ua/mebel-brw-ukraina/azteca/komod-kom4s-azteca-brv/" TargetMode="External"/><Relationship Id="rId79" Type="http://schemas.openxmlformats.org/officeDocument/2006/relationships/hyperlink" Target="https://brw.kiev.ua/mebel-brw-ukraina/indiana-kanjon/komod-jkom4s80-indiana-brv-kanjon/" TargetMode="External"/><Relationship Id="rId80" Type="http://schemas.openxmlformats.org/officeDocument/2006/relationships/hyperlink" Target="https://brw.kiev.ua/mebel-brw-ukraina/indiana-shutter/stol-pismennyy-jbiu2d2s140-indiana-brv-shutter/" TargetMode="External"/><Relationship Id="rId81" Type="http://schemas.openxmlformats.org/officeDocument/2006/relationships/hyperlink" Target="https://brw.kiev.ua/mebel-brw-ukraina/july/komod-kom4s90-july-brv/" TargetMode="External"/><Relationship Id="rId82" Type="http://schemas.openxmlformats.org/officeDocument/2006/relationships/hyperlink" Target="https://brw.kiev.ua/mebel-gerbor/vusher/komod-kom1w2d2s-vusher-gerbor/" TargetMode="External"/><Relationship Id="rId83" Type="http://schemas.openxmlformats.org/officeDocument/2006/relationships/hyperlink" Target="https://brw.kiev.ua/mebel-brw-ukraina/german/komod-kom3s-german-brv/" TargetMode="External"/><Relationship Id="rId84" Type="http://schemas.openxmlformats.org/officeDocument/2006/relationships/hyperlink" Target="https://brw.kiev.ua/mebel-gerbor/alisa/tumba-tv-rtv2s2k-alisa-gerbor/" TargetMode="External"/><Relationship Id="rId85" Type="http://schemas.openxmlformats.org/officeDocument/2006/relationships/hyperlink" Target="https://brw.kiev.ua/mebel-gerbor/koen/komod-kom4s-koen-gerbor/" TargetMode="External"/><Relationship Id="rId86" Type="http://schemas.openxmlformats.org/officeDocument/2006/relationships/hyperlink" Target="https://lvivmebli.com/" TargetMode="External"/><Relationship Id="rId87" Type="http://schemas.openxmlformats.org/officeDocument/2006/relationships/hyperlink" Target="http://centrmebliv.com.ua/" TargetMode="External"/><Relationship Id="rId88" Type="http://schemas.openxmlformats.org/officeDocument/2006/relationships/hyperlink" Target="https://letromebel.com.ua/" TargetMode="External"/><Relationship Id="rId89" Type="http://schemas.openxmlformats.org/officeDocument/2006/relationships/hyperlink" Target="https://letromebel.com.ua/p566111870-tumba-rtv2d2s415-atsteka.html" TargetMode="External"/><Relationship Id="rId90" Type="http://schemas.openxmlformats.org/officeDocument/2006/relationships/hyperlink" Target="https://letromebel.com.ua/p566126810-komod-kom4s811-atsteka.html" TargetMode="External"/><Relationship Id="rId91" Type="http://schemas.openxmlformats.org/officeDocument/2006/relationships/hyperlink" Target="https://letromebel.com.ua/p566921861-komod-jkom4s80-indiana.html" TargetMode="External"/><Relationship Id="rId92" Type="http://schemas.openxmlformats.org/officeDocument/2006/relationships/hyperlink" Target="https://letromebel.com.ua/p566921329-stol-pismennyj-jbiu2d2s140.html" TargetMode="External"/><Relationship Id="rId93" Type="http://schemas.openxmlformats.org/officeDocument/2006/relationships/hyperlink" Target="https://letromebel.com.ua/p445989920-komod-kom-dzhuli.html" TargetMode="External"/><Relationship Id="rId94" Type="http://schemas.openxmlformats.org/officeDocument/2006/relationships/hyperlink" Target="https://letromebel.com.ua/p332640892-bufet-kom1w2d2s-vusher.html" TargetMode="External"/><Relationship Id="rId95" Type="http://schemas.openxmlformats.org/officeDocument/2006/relationships/hyperlink" Target="https://letromebel.com.ua/ua/p920135181-komod-german-kom3s912.html" TargetMode="External"/><Relationship Id="rId96" Type="http://schemas.openxmlformats.org/officeDocument/2006/relationships/hyperlink" Target="https://letromebel.com.ua/ua/p1053586927-tumba-alisa-rtv2s2k.html" TargetMode="External"/><Relationship Id="rId97" Type="http://schemas.openxmlformats.org/officeDocument/2006/relationships/hyperlink" Target="https://letromebel.com.ua/site_search/page_2?search_term=&#1082;&#1086;&#1077;&#1085;+&#1084;&#1076;&#1092;" TargetMode="External"/><Relationship Id="rId98" Type="http://schemas.openxmlformats.org/officeDocument/2006/relationships/hyperlink" Target="https://shurup.net.ua/" TargetMode="External"/><Relationship Id="rId99" Type="http://schemas.openxmlformats.org/officeDocument/2006/relationships/hyperlink" Target="https://shurup.net.ua/azteca-acteka-tumba-rtv2d2s415.p17205" TargetMode="External"/><Relationship Id="rId100" Type="http://schemas.openxmlformats.org/officeDocument/2006/relationships/hyperlink" Target="https://shurup.net.ua/azteca-acteka-komod-kom4s811.p17200" TargetMode="External"/><Relationship Id="rId101" Type="http://schemas.openxmlformats.org/officeDocument/2006/relationships/hyperlink" Target="https://shurup.net.ua/komod-jkom-4s80-indiana-sosna-kanon.p9412" TargetMode="External"/><Relationship Id="rId102" Type="http://schemas.openxmlformats.org/officeDocument/2006/relationships/hyperlink" Target="https://shurup.net.ua/stol-pismennyj-jbiu-2d2s-140-indiana-dub-shutter.p5488" TargetMode="External"/><Relationship Id="rId103" Type="http://schemas.openxmlformats.org/officeDocument/2006/relationships/hyperlink" Target="https://shurup.net.ua/komod-kom-4s-90-dzhuli.p7011" TargetMode="External"/><Relationship Id="rId104" Type="http://schemas.openxmlformats.org/officeDocument/2006/relationships/hyperlink" Target="https://shurup.net.ua/komod-kom1w2d2s-9-15-vusher.p1953" TargetMode="External"/><Relationship Id="rId105" Type="http://schemas.openxmlformats.org/officeDocument/2006/relationships/hyperlink" Target="https://www.taburetka.ua/" TargetMode="External"/><Relationship Id="rId106" Type="http://schemas.openxmlformats.org/officeDocument/2006/relationships/hyperlink" Target="https://www.taburetka.ua/gostinye-600/gostinaya-kvatro-2834" TargetMode="External"/><Relationship Id="rId107" Type="http://schemas.openxmlformats.org/officeDocument/2006/relationships/hyperlink" Target="https://www.taburetka.ua/komody-i-tumby-35/komod-kom1w2d2s-vusher-2974" TargetMode="External"/><Relationship Id="rId108" Type="http://schemas.openxmlformats.org/officeDocument/2006/relationships/hyperlink" Target="http://www.maxidom.com.ua/" TargetMode="External"/><Relationship Id="rId109" Type="http://schemas.openxmlformats.org/officeDocument/2006/relationships/hyperlink" Target="http://www.maxidom.com.ua/tumba-rtv-atsteka-2d2s415.html?search_string=%D2%F3%EC%E1%E0+%D0%D2%C2+%C0%F6%F2%E5%EA%E0+2D2S%2F4%2F15" TargetMode="External"/><Relationship Id="rId110" Type="http://schemas.openxmlformats.org/officeDocument/2006/relationships/hyperlink" Target="http://www.maxidom.com.ua/komod-atsteka-kom4s811.html?search_string=%CA%EE%EC%EE%E4+%C0%F6%F2%E5%EA%E0+KOM4S%2F8%2F11" TargetMode="External"/><Relationship Id="rId111" Type="http://schemas.openxmlformats.org/officeDocument/2006/relationships/hyperlink" Target="http://www.maxidom.com.ua/komod_indiana_jkom4s80.html?search_string=%CA%EE%EC%EE%E4+%C8%ED%E4%E8%E0%ED%E0+JKOM4s%2F80" TargetMode="External"/><Relationship Id="rId112" Type="http://schemas.openxmlformats.org/officeDocument/2006/relationships/hyperlink" Target="http://www.maxidom.com.ua/stol_pismenniy_indiana_jbiu2d2s.html?search_string=%D1%F2%EE%EB+%EF%E8%F1%FC%EC%E5%ED%ED%FB%E9+%C8%ED%E4%E8%E0%ED%E0+JBIU2d2s" TargetMode="External"/><Relationship Id="rId113" Type="http://schemas.openxmlformats.org/officeDocument/2006/relationships/hyperlink" Target="http://www.maxidom.com.ua/komod-kom4s90-dzhuli.html?search_string=%CA%EE%EC%EE%E4+KOM4S%2F90+%C4%E6%F3%EB%E8" TargetMode="External"/><Relationship Id="rId114" Type="http://schemas.openxmlformats.org/officeDocument/2006/relationships/hyperlink" Target="https://mebel-online.com.ua/" TargetMode="External"/><Relationship Id="rId115" Type="http://schemas.openxmlformats.org/officeDocument/2006/relationships/hyperlink" Target="https://mebel-online.com.ua/tymba-rtv2d2s-4-15-azteca?filter_name=azteca" TargetMode="External"/><Relationship Id="rId116" Type="http://schemas.openxmlformats.org/officeDocument/2006/relationships/hyperlink" Target="https://mebel-online.com.ua/komod-kom4s-8-11-azteca?filter_name=azteca" TargetMode="External"/><Relationship Id="rId117" Type="http://schemas.openxmlformats.org/officeDocument/2006/relationships/hyperlink" Target="https://mebel-online.com.ua/p5228-komod_jkom_4s_80_indiana_brw?filter_name=&#1080;&#1085;&#1076;&#1080;&#1072;&#1085;&#1072;" TargetMode="External"/><Relationship Id="rId118" Type="http://schemas.openxmlformats.org/officeDocument/2006/relationships/hyperlink" Target="https://mebel-online.com.ua/p5223-stol_pismenniy_jbiu_2d2s_140_indiana_brw?filter_name=&#1080;&#1085;&#1076;&#1080;&#1072;&#1085;&#1072;" TargetMode="External"/><Relationship Id="rId119" Type="http://schemas.openxmlformats.org/officeDocument/2006/relationships/hyperlink" Target="https://mebel-online.com.ua/komod-kom4s-90-july?filter_name=july" TargetMode="External"/><Relationship Id="rId120" Type="http://schemas.openxmlformats.org/officeDocument/2006/relationships/hyperlink" Target="https://mebelnuy.com.ua/" TargetMode="External"/><Relationship Id="rId121" Type="http://schemas.openxmlformats.org/officeDocument/2006/relationships/hyperlink" Target="https://mebelnuy.com.ua/tumba-pod-tv-rtv2d2s-4-15-acteka-brv?search=&#1058;&#1042;%20&#1040;&#1094;&#1090;&#1077;&#1082;&#1072;%20RTV2D2S&amp;description=true" TargetMode="External"/><Relationship Id="rId122" Type="http://schemas.openxmlformats.org/officeDocument/2006/relationships/hyperlink" Target="https://mebelnuy.com.ua/komod-kom4s-8-11-acteka-brv?search=&#1040;&#1094;&#1090;&#1077;&#1082;&#1072;%20KOM4S%2F8%2F11&amp;description=true" TargetMode="External"/><Relationship Id="rId123" Type="http://schemas.openxmlformats.org/officeDocument/2006/relationships/hyperlink" Target="https://mebelnuy.com.ua/komod-jkom-4s-80-indiana-brv?search=&#1048;&#1085;&#1076;&#1080;&#1072;&#1085;&#1072;%20JKOM_4s&amp;description=true" TargetMode="External"/><Relationship Id="rId124" Type="http://schemas.openxmlformats.org/officeDocument/2006/relationships/hyperlink" Target="https://mebelnuy.com.ua/stol-pismennyj-jbiu-2d2s-140-indiana-brv?search=&#1048;&#1085;&#1076;&#1080;&#1072;&#1085;&#1072;%20JBIU_2d2s_140&amp;description=true" TargetMode="External"/><Relationship Id="rId125" Type="http://schemas.openxmlformats.org/officeDocument/2006/relationships/hyperlink" Target="https://mebelnuy.com.ua/komod-kom4s-90-dzhuli-brv?search=&#1044;&#1046;&#1059;&#1051;&#1048;%20KOM4S%2F90&amp;description=true" TargetMode="External"/><Relationship Id="rId126" Type="http://schemas.openxmlformats.org/officeDocument/2006/relationships/hyperlink" Target="https://mebelnuy.com.ua/gostinaya-gerbor-kvatro-venge-magiya?search=&#1082;&#1074;&#1072;&#1090;&#1088;&#1086;&amp;description=true" TargetMode="External"/><Relationship Id="rId127" Type="http://schemas.openxmlformats.org/officeDocument/2006/relationships/hyperlink" Target="https://mebelnuy.com.ua/komod-gerbor-vusher-kom-1w2d2s?search=&#1042;&#1091;&#1096;&#1077;&#1088;%20KOM%201W2D2S&amp;description=true" TargetMode="External"/><Relationship Id="rId128" Type="http://schemas.openxmlformats.org/officeDocument/2006/relationships/hyperlink" Target="https://mebelnuy.com.ua/komod-german-115-brv?search=&#1043;&#1045;&#1056;&#1052;&#1040;&#1053;&amp;description=true" TargetMode="External"/><Relationship Id="rId129" Type="http://schemas.openxmlformats.org/officeDocument/2006/relationships/hyperlink" Target="https://mebelnuy.com.ua/tumba-gerbor-alisa-rtv2s2k?search=&#1072;&#1083;&#1080;&#1089;&#1072;&amp;description=true" TargetMode="External"/><Relationship Id="rId130" Type="http://schemas.openxmlformats.org/officeDocument/2006/relationships/hyperlink" Target="https://mebelnuy.com.ua/komod-gerbor-koen-kom4s-mdf?search=&#1082;&#1086;&#1077;&#1085;%20&#1084;&#1076;&#1092;&amp;description=true" TargetMode="External"/><Relationship Id="rId131" Type="http://schemas.openxmlformats.org/officeDocument/2006/relationships/hyperlink" Target="https://amado.com.ua/" TargetMode="External"/><Relationship Id="rId132" Type="http://schemas.openxmlformats.org/officeDocument/2006/relationships/hyperlink" Target="https://amado.com.ua/gostinaya/komody-i-tumby-v-gostinuyu/acteka-tumba-rtv2d2s-4-15-brw" TargetMode="External"/><Relationship Id="rId133" Type="http://schemas.openxmlformats.org/officeDocument/2006/relationships/hyperlink" Target="https://amado.com.ua/gostinaya/komody-i-tumby-v-gostinuyu/acteka-komod-kom4s-8-11-brw" TargetMode="External"/><Relationship Id="rId134" Type="http://schemas.openxmlformats.org/officeDocument/2006/relationships/hyperlink" Target="https://amado.com.ua/detskaya/komody-i-tumby-dlya-detskoj/indiana-komod-jkom-4s-80-sosna-kanon-brw" TargetMode="External"/><Relationship Id="rId135" Type="http://schemas.openxmlformats.org/officeDocument/2006/relationships/hyperlink" Target="https://amado.com.ua/detskaya/stoly-i-nadstrojki/indiana-stol-pismennyj-jbiu-2d2s-140-sosna-kanon-brw" TargetMode="External"/><Relationship Id="rId136" Type="http://schemas.openxmlformats.org/officeDocument/2006/relationships/hyperlink" Target="https://amado.com.ua/gostinaya/komody-i-tumby-v-gostinuyu/dzhuli-komod-kom4s-90-brw"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gerbor.mebli-smerichka.com.ua/" TargetMode="External"/><Relationship Id="rId22" Type="http://schemas.openxmlformats.org/officeDocument/2006/relationships/hyperlink" Target="https://www.brw-kiev.com.ua/" TargetMode="External"/><Relationship Id="rId23" Type="http://schemas.openxmlformats.org/officeDocument/2006/relationships/hyperlink" Target="https://brw.kiev.ua/" TargetMode="External"/><Relationship Id="rId24" Type="http://schemas.openxmlformats.org/officeDocument/2006/relationships/hyperlink" Target="http://brw.com.ua/" TargetMode="External"/><Relationship Id="rId25" Type="http://schemas.openxmlformats.org/officeDocument/2006/relationships/hyperlink" Target="https://mebelstyle.net/" TargetMode="External"/><Relationship Id="rId26" Type="http://schemas.openxmlformats.org/officeDocument/2006/relationships/hyperlink" Target="https://lvivmebli.com/" TargetMode="External"/><Relationship Id="rId27" Type="http://schemas.openxmlformats.org/officeDocument/2006/relationships/hyperlink" Target="http://centrmebliv.com.ua/" TargetMode="External"/><Relationship Id="rId28" Type="http://schemas.openxmlformats.org/officeDocument/2006/relationships/hyperlink" Target="https://letromebel.com.ua/" TargetMode="External"/><Relationship Id="rId29" Type="http://schemas.openxmlformats.org/officeDocument/2006/relationships/hyperlink" Target="https://shurup.net.ua/" TargetMode="External"/><Relationship Id="rId30" Type="http://schemas.openxmlformats.org/officeDocument/2006/relationships/hyperlink" Target="https://www.taburetka.ua/" TargetMode="External"/><Relationship Id="rId31" Type="http://schemas.openxmlformats.org/officeDocument/2006/relationships/hyperlink" Target="http://www.maxidom.com.ua/" TargetMode="External"/><Relationship Id="rId32" Type="http://schemas.openxmlformats.org/officeDocument/2006/relationships/hyperlink" Target="https://mebel-online.com.ua/"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vashamebel.in.ua/" TargetMode="External"/><Relationship Id="rId14" Type="http://schemas.openxmlformats.org/officeDocument/2006/relationships/hyperlink" Target="http://mebel-mebel.com.ua/" TargetMode="External"/><Relationship Id="rId15" Type="http://schemas.openxmlformats.org/officeDocument/2006/relationships/hyperlink" Target="http://abcmebli.com.ua/" TargetMode="External"/><Relationship Id="rId16" Type="http://schemas.openxmlformats.org/officeDocument/2006/relationships/hyperlink" Target="https://gerbor.mebelok.com/" TargetMode="External"/><Relationship Id="rId17" Type="http://schemas.openxmlformats.org/officeDocument/2006/relationships/hyperlink" Target="http://maxmebel.com.ua/" TargetMode="External"/><Relationship Id="rId18" Type="http://schemas.openxmlformats.org/officeDocument/2006/relationships/hyperlink" Target="https://moyamebel.com.ua/ua" TargetMode="External"/><Relationship Id="rId19" Type="http://schemas.openxmlformats.org/officeDocument/2006/relationships/hyperlink" Target="https://mebel-soyuz.com.ua/" TargetMode="External"/><Relationship Id="rId20" Type="http://schemas.openxmlformats.org/officeDocument/2006/relationships/hyperlink" Target="https://sofino.ua/" TargetMode="External"/><Relationship Id="rId21" Type="http://schemas.openxmlformats.org/officeDocument/2006/relationships/hyperlink" Target="http://gerbor.mebli-smerichka.com.ua/" TargetMode="External"/><Relationship Id="rId22" Type="http://schemas.openxmlformats.org/officeDocument/2006/relationships/hyperlink" Target="https://www.brw-kiev.com.ua/" TargetMode="External"/><Relationship Id="rId23" Type="http://schemas.openxmlformats.org/officeDocument/2006/relationships/hyperlink" Target="https://brw.kiev.ua/" TargetMode="External"/><Relationship Id="rId24" Type="http://schemas.openxmlformats.org/officeDocument/2006/relationships/hyperlink" Target="http://brw.com.ua/" TargetMode="External"/><Relationship Id="rId25" Type="http://schemas.openxmlformats.org/officeDocument/2006/relationships/hyperlink" Target="https://mebelstyle.net/" TargetMode="External"/><Relationship Id="rId26" Type="http://schemas.openxmlformats.org/officeDocument/2006/relationships/hyperlink" Target="https://lvivmebli.com/" TargetMode="External"/><Relationship Id="rId27" Type="http://schemas.openxmlformats.org/officeDocument/2006/relationships/hyperlink" Target="http://centrmebliv.com.ua/" TargetMode="External"/><Relationship Id="rId28" Type="http://schemas.openxmlformats.org/officeDocument/2006/relationships/hyperlink" Target="https://letromebel.com.ua/" TargetMode="External"/><Relationship Id="rId29" Type="http://schemas.openxmlformats.org/officeDocument/2006/relationships/hyperlink" Target="https://shurup.net.ua/" TargetMode="External"/><Relationship Id="rId30" Type="http://schemas.openxmlformats.org/officeDocument/2006/relationships/hyperlink" Target="https://www.taburetka.ua/" TargetMode="External"/><Relationship Id="rId31" Type="http://schemas.openxmlformats.org/officeDocument/2006/relationships/hyperlink" Target="http://www.maxidom.com.ua/" TargetMode="External"/><Relationship Id="rId32" Type="http://schemas.openxmlformats.org/officeDocument/2006/relationships/hyperlink" Target="https://mebel-online.com.ua/"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s://brwmania.com.ua/gostinaja/modulnye-gostinye/sistema-azteka/tumba-pod-tv-acteka-rtv2d2s415/" TargetMode="External"/><Relationship Id="rId9" Type="http://schemas.openxmlformats.org/officeDocument/2006/relationships/hyperlink" Target="https://brwmania.com.ua/gostinaja/modulnye-gostinye/sistema_indiana__sosna_kanjon/indiana-sosna-kanyon-j-007-stol-pismennyy-jbiu-2d2s-140/" TargetMode="External"/><Relationship Id="rId10" Type="http://schemas.openxmlformats.org/officeDocument/2006/relationships/hyperlink" Target="https://brwmania.com.ua/gostinaja/modulnye-gostinye/sistema_koen_mdf/014-koen-mdf-shafa-szf2d2s/" TargetMode="External"/><Relationship Id="rId11" Type="http://schemas.openxmlformats.org/officeDocument/2006/relationships/hyperlink" Target="https://brwmania.com.ua/gostinaja/modulnye-gostinye/sistema_vajt/008-vayt-komod-4s-90/" TargetMode="External"/><Relationship Id="rId12" Type="http://schemas.openxmlformats.org/officeDocument/2006/relationships/hyperlink" Target="https://brwmania.com.ua/gostinaja/modulnye-gostinye/sistema_nepo/nepo-prihozha-ppk/" TargetMode="External"/><Relationship Id="rId13" Type="http://schemas.openxmlformats.org/officeDocument/2006/relationships/hyperlink" Target="https://brwmania.com.ua/gostinaja/komplekty-gostinyh/aljaska-alaska-gostinaja/" TargetMode="External"/><Relationship Id="rId14" Type="http://schemas.openxmlformats.org/officeDocument/2006/relationships/hyperlink" Target="https://brwmania.com.ua/gostinaja/komplekty-gostinyh/stinka-kvatro-venge-magia/" TargetMode="External"/><Relationship Id="rId15" Type="http://schemas.openxmlformats.org/officeDocument/2006/relationships/hyperlink" Target="https://brwmania.com.ua/spalni/modulnye-spalni/sistema-spalni-liberti/005-shkaf-3d/" TargetMode="External"/><Relationship Id="rId16" Type="http://schemas.openxmlformats.org/officeDocument/2006/relationships/hyperlink" Target="https://brwwood.com.ua/" TargetMode="External"/><Relationship Id="rId17" Type="http://schemas.openxmlformats.org/officeDocument/2006/relationships/hyperlink" Target="https://brwwood.com.ua/tumbochki-i-tumby/tumby-pod-televizor/001-atsteka-tumba-rtv2d2s-4-15-tumba-pod-televizor" TargetMode="External"/><Relationship Id="rId18" Type="http://schemas.openxmlformats.org/officeDocument/2006/relationships/hyperlink" Target="https://brwwood.com.ua/stoly/pismennye-stoly/stol-pismennyj-brw-indiana-sosna-kanjon-jbiu-2d2s-140" TargetMode="External"/><Relationship Id="rId19" Type="http://schemas.openxmlformats.org/officeDocument/2006/relationships/hyperlink" Target="https://brwwood.com.ua/shkafy-i-xranenie/dvuxdvernye-shkafy/shkaf-gerbor-koen-mdf-szf2d2s" TargetMode="External"/><Relationship Id="rId20" Type="http://schemas.openxmlformats.org/officeDocument/2006/relationships/hyperlink" Target="https://brwwood.com.ua/komody/komod-gerbor-vajt-4s-90" TargetMode="External"/><Relationship Id="rId21" Type="http://schemas.openxmlformats.org/officeDocument/2006/relationships/hyperlink" Target="https://brwwood.com.ua/mebel-dlja-prixozhej/komplekty-prixozhyx/prixozhaja-gerbor-nepo-ppk" TargetMode="External"/><Relationship Id="rId22" Type="http://schemas.openxmlformats.org/officeDocument/2006/relationships/hyperlink" Target="https://brwwood.com.ua/mebel-dlja-gostinoj/komplekty-stenok-v-gostnnuju/gostinaja-aljaska-brw" TargetMode="External"/><Relationship Id="rId23" Type="http://schemas.openxmlformats.org/officeDocument/2006/relationships/hyperlink" Target="https://brwwood.com.ua/mebel-dlja-gostinoj/komplekty-stenok-v-gostnnuju/gostinaja-kvatro-gerbor" TargetMode="External"/><Relationship Id="rId24" Type="http://schemas.openxmlformats.org/officeDocument/2006/relationships/hyperlink" Target="https://brwwood.com.ua/shkafy-i-xranenie/trexdvernye-shkafy/shkaf-brw-liberti-3d" TargetMode="External"/><Relationship Id="rId25" Type="http://schemas.openxmlformats.org/officeDocument/2006/relationships/hyperlink" Target="https://mebli-bristol.com.ua/" TargetMode="External"/><Relationship Id="rId26" Type="http://schemas.openxmlformats.org/officeDocument/2006/relationships/hyperlink" Target="https://mebli-bristol.com.ua/acteka-tumba-rtv-2d2s-4-15-brv-ukraina.html" TargetMode="External"/><Relationship Id="rId27" Type="http://schemas.openxmlformats.org/officeDocument/2006/relationships/hyperlink" Target="https://mebli-bristol.com.ua/indiana-stil-pis-movij-jbiu-2d2s-140-sosna-kan-jon-brv-ukraina.html" TargetMode="External"/><Relationship Id="rId28" Type="http://schemas.openxmlformats.org/officeDocument/2006/relationships/hyperlink" Target="https://mebli-bristol.com.ua/koen-shafa-szf-2d2s-mdf-gerbor.html" TargetMode="External"/><Relationship Id="rId29" Type="http://schemas.openxmlformats.org/officeDocument/2006/relationships/hyperlink" Target="https://mebli-bristol.com.ua/vajt-komod-4s-90-gerbor.html" TargetMode="External"/><Relationship Id="rId30" Type="http://schemas.openxmlformats.org/officeDocument/2006/relationships/hyperlink" Target="https://mebli-bristol.com.ua/nepo-peredpokij-ppk-gerbor-9728.html" TargetMode="External"/><Relationship Id="rId31" Type="http://schemas.openxmlformats.org/officeDocument/2006/relationships/hyperlink" Target="https://mebli-bristol.com.ua/aljaska-brv-ukraina.html" TargetMode="External"/><Relationship Id="rId32" Type="http://schemas.openxmlformats.org/officeDocument/2006/relationships/hyperlink" Target="https://mebli-bristol.com.ua/kvatro-gerbor.html" TargetMode="External"/><Relationship Id="rId33" Type="http://schemas.openxmlformats.org/officeDocument/2006/relationships/hyperlink" Target="https://mebli-bristol.com.ua/liberti-shafa-szf-3d-brv-ukraina.html" TargetMode="External"/><Relationship Id="rId34" Type="http://schemas.openxmlformats.org/officeDocument/2006/relationships/hyperlink" Target="https://stuloff.com.ua/index.php?route=common/home" TargetMode="External"/><Relationship Id="rId35" Type="http://schemas.openxmlformats.org/officeDocument/2006/relationships/hyperlink" Target="https://stuloff.com.ua/stol_pism_jbiu_2d2s_140_indiana_kanjon-?search=&#1080;&#1085;&#1076;&#1080;&#1072;&#1085;&#1072;&amp;category_id=0&amp;page=3" TargetMode="External"/><Relationship Id="rId36" Type="http://schemas.openxmlformats.org/officeDocument/2006/relationships/hyperlink" Target="https://stuloff.com.ua/chkaf_szf_2d2s_koen_mdf?search=&#1082;&#1086;&#1077;&#1085;&amp;category_id=0&amp;page=3" TargetMode="External"/><Relationship Id="rId37" Type="http://schemas.openxmlformats.org/officeDocument/2006/relationships/hyperlink" Target="https://stuloff.com.ua/komod_4s_90_white?search=&#1074;&#1072;&#1081;&#1090;&amp;category_id=0" TargetMode="External"/><Relationship Id="rId38" Type="http://schemas.openxmlformats.org/officeDocument/2006/relationships/hyperlink" Target="https://stuloff.com.ua/prichozay_ppk_nepo?search=&#1085;&#1077;&#1087;&#1086;&amp;category_id=0" TargetMode="External"/><Relationship Id="rId39" Type="http://schemas.openxmlformats.org/officeDocument/2006/relationships/hyperlink" Target="https://stuloff.com.ua/gostinaya_alyaska_brw?search=&#1072;&#1083;&#1103;&#1089;&#1082;&#1072;&amp;category_id=0" TargetMode="External"/><Relationship Id="rId40" Type="http://schemas.openxmlformats.org/officeDocument/2006/relationships/hyperlink" Target="https://stuloff.com.ua/gostinay_kvatro_gerbor_venge?search=&#1082;&#1074;&#1072;&#1090;&#1088;&#1086;&amp;category_id=0" TargetMode="External"/><Relationship Id="rId41" Type="http://schemas.openxmlformats.org/officeDocument/2006/relationships/hyperlink" Target="https://stuloff.com.ua/chkaf_3d_liberti?search=&#1083;&#1080;&#1073;&#1077;&#1088;&#1090;&#1080;&amp;category_id=0" TargetMode="External"/><Relationship Id="rId42" Type="http://schemas.openxmlformats.org/officeDocument/2006/relationships/hyperlink" Target="https://www.mebelvdom.ua/" TargetMode="External"/><Relationship Id="rId43" Type="http://schemas.openxmlformats.org/officeDocument/2006/relationships/hyperlink" Target="https://www.mebelvdom.ua/product/tumba-tv-rtv2d2s-4-15-acteka-brv" TargetMode="External"/><Relationship Id="rId44" Type="http://schemas.openxmlformats.org/officeDocument/2006/relationships/hyperlink" Target="https://www.mebelvdom.ua/product/stol-pismennyj-jbiu2d2s-140-indiana-kanon-brv" TargetMode="External"/><Relationship Id="rId45" Type="http://schemas.openxmlformats.org/officeDocument/2006/relationships/hyperlink" Target="https://www.mebelvdom.ua/product/komod-4s-90-vajt-gerbor" TargetMode="External"/><Relationship Id="rId46" Type="http://schemas.openxmlformats.org/officeDocument/2006/relationships/hyperlink" Target="https://www.mebelvdom.ua/product/prihozhaya-ppk-nepo-gerbor" TargetMode="External"/><Relationship Id="rId47" Type="http://schemas.openxmlformats.org/officeDocument/2006/relationships/hyperlink" Target="https://www.mebelvdom.ua/product/gostinaya-alyaska-brv" TargetMode="External"/><Relationship Id="rId48" Type="http://schemas.openxmlformats.org/officeDocument/2006/relationships/hyperlink" Target="https://www.mebelvdom.ua/product/shkaf-szf3d-liberti-brv" TargetMode="External"/><Relationship Id="rId49" Type="http://schemas.openxmlformats.org/officeDocument/2006/relationships/hyperlink" Target="http://abcmebli.com.ua/" TargetMode="External"/><Relationship Id="rId50" Type="http://schemas.openxmlformats.org/officeDocument/2006/relationships/hyperlink" Target="http://abcmebli.com.ua/p14992-tumba_tv_rtv2d2s-4-15_atsteka" TargetMode="External"/><Relationship Id="rId51" Type="http://schemas.openxmlformats.org/officeDocument/2006/relationships/hyperlink" Target="http://abcmebli.com.ua/p1892-stol_pismenniy_jbiu2d2s_140_indiana" TargetMode="External"/><Relationship Id="rId52" Type="http://schemas.openxmlformats.org/officeDocument/2006/relationships/hyperlink" Target="http://abcmebli.com.ua/p15143-koen_mdf_shkaf_szf2d2s" TargetMode="External"/><Relationship Id="rId53" Type="http://schemas.openxmlformats.org/officeDocument/2006/relationships/hyperlink" Target="http://abcmebli.com.ua/p15658-komod_4s_90_vayt_gerbor" TargetMode="External"/><Relationship Id="rId54" Type="http://schemas.openxmlformats.org/officeDocument/2006/relationships/hyperlink" Target="http://abcmebli.com.ua/p15897-nepo_prihozhaya_ppk_gerbor" TargetMode="External"/><Relationship Id="rId55" Type="http://schemas.openxmlformats.org/officeDocument/2006/relationships/hyperlink" Target="http://abcmebli.com.ua/p15191-stenka_alyaska_brv" TargetMode="External"/><Relationship Id="rId56" Type="http://schemas.openxmlformats.org/officeDocument/2006/relationships/hyperlink" Target="http://abcmebli.com.ua/p2515-stenka_kvatro_gerbor" TargetMode="External"/><Relationship Id="rId57" Type="http://schemas.openxmlformats.org/officeDocument/2006/relationships/hyperlink" Target="http://abcmebli.com.ua/p15617-shkaf_szf3d_liberti_brv" TargetMode="External"/><Relationship Id="rId58" Type="http://schemas.openxmlformats.org/officeDocument/2006/relationships/hyperlink" Target="http://www.maxidom.com.ua/" TargetMode="External"/><Relationship Id="rId59" Type="http://schemas.openxmlformats.org/officeDocument/2006/relationships/hyperlink" Target="http://www.maxidom.com.ua/tumba-rtv-atsteka-2d2s415.html?search_string=%D2%F3%EC%E1%E0+%D0%D2%C2+%C0%F6%F2%E5%EA%E0+2D2S%2F4%2F15" TargetMode="External"/><Relationship Id="rId60" Type="http://schemas.openxmlformats.org/officeDocument/2006/relationships/hyperlink" Target="http://www.maxidom.com.ua/stol_pismenniy_indiana_jbiu2d2s.html?search_string=%E8%ED%E4%E8%E0%ED%E0" TargetMode="External"/><Relationship Id="rId61" Type="http://schemas.openxmlformats.org/officeDocument/2006/relationships/hyperlink" Target="http://www.maxidom.com.ua/shkaf-szf2d2s-koen-mdf.html?search_string=%D8%EA%E0%F4+SZF2D2S+%CA%EE%E5%ED+%28%CC%C4%D4%29" TargetMode="External"/><Relationship Id="rId62" Type="http://schemas.openxmlformats.org/officeDocument/2006/relationships/hyperlink" Target="http://www.maxidom.com.ua/komod-vayt-4s-90.html?search_string=%CA%EE%EC%EE%E4+%C2%E0%E9%F2+4S+90" TargetMode="External"/><Relationship Id="rId63" Type="http://schemas.openxmlformats.org/officeDocument/2006/relationships/hyperlink" Target="http://www.maxidom.com.ua/prihozhaya-nepo-ppk.html?search_string=%ED%E5%EF%EE" TargetMode="External"/><Relationship Id="rId64" Type="http://schemas.openxmlformats.org/officeDocument/2006/relationships/hyperlink" Target="http://www.maxidom.com.ua/stenka-alyaska.html?search_string=%C0%EB%FF%F1%EA%E0" TargetMode="External"/><Relationship Id="rId65" Type="http://schemas.openxmlformats.org/officeDocument/2006/relationships/hyperlink" Target="http://www.maxidom.com.ua/stenka-kvatro.html?search_string=%EA%E2%E0%F2%F0%EE" TargetMode="External"/><Relationship Id="rId66" Type="http://schemas.openxmlformats.org/officeDocument/2006/relationships/hyperlink" Target="http://www.maxidom.com.ua/shkaf-liberti-3d.html?search_string=%EB%E8%E1%E5%F0%F2%E8" TargetMode="External"/><Relationship Id="rId67" Type="http://schemas.openxmlformats.org/officeDocument/2006/relationships/hyperlink" Target="https://www.dybok.com.ua/" TargetMode="External"/><Relationship Id="rId68" Type="http://schemas.openxmlformats.org/officeDocument/2006/relationships/hyperlink" Target="https://www.dybok.com.ua/ru/product/detail/35816" TargetMode="External"/><Relationship Id="rId69" Type="http://schemas.openxmlformats.org/officeDocument/2006/relationships/hyperlink" Target="https://www.dybok.com.ua/ru/product/detail/4291" TargetMode="External"/><Relationship Id="rId70" Type="http://schemas.openxmlformats.org/officeDocument/2006/relationships/hyperlink" Target="https://www.dybok.com.ua/ru/product/detail/6363" TargetMode="External"/><Relationship Id="rId71" Type="http://schemas.openxmlformats.org/officeDocument/2006/relationships/hyperlink" Target="https://www.dybok.com.ua/ru/product/detail/12057" TargetMode="External"/><Relationship Id="rId72" Type="http://schemas.openxmlformats.org/officeDocument/2006/relationships/hyperlink" Target="https://www.dybok.com.ua/ru/product/detail/18085" TargetMode="External"/><Relationship Id="rId73" Type="http://schemas.openxmlformats.org/officeDocument/2006/relationships/hyperlink" Target="https://www.dybok.com.ua/ru/product/detail/50410" TargetMode="External"/><Relationship Id="rId74" Type="http://schemas.openxmlformats.org/officeDocument/2006/relationships/hyperlink" Target="https://www.dybok.com.ua/ru/product/detail/6077" TargetMode="External"/><Relationship Id="rId75" Type="http://schemas.openxmlformats.org/officeDocument/2006/relationships/hyperlink" Target="https://www.dybok.com.ua/ru/product/detail/31073" TargetMode="External"/><Relationship Id="rId76" Type="http://schemas.openxmlformats.org/officeDocument/2006/relationships/hyperlink" Target="http://mebmarket.com.ua/" TargetMode="External"/><Relationship Id="rId77" Type="http://schemas.openxmlformats.org/officeDocument/2006/relationships/hyperlink" Target="http://mebmarket.com.ua/gostinaya1/modulnye-sistemy-dlya-gostinnykh/acteka/rtv2d2s-acteka-detail.html" TargetMode="External"/><Relationship Id="rId78" Type="http://schemas.openxmlformats.org/officeDocument/2006/relationships/hyperlink" Target="http://mebmarket.com.ua/modulnye-sistemy/i-k/2014-04-30-13-16-35/stol-pismennyj-jbiu-2d2s-140-indiana-dub-shutter-3261-detail.html" TargetMode="External"/><Relationship Id="rId79" Type="http://schemas.openxmlformats.org/officeDocument/2006/relationships/hyperlink" Target="http://mebmarket.com.ua/gostinaya1/shkafy/shkafy/szf2d2s-koen-mdf-detail.html" TargetMode="External"/><Relationship Id="rId80" Type="http://schemas.openxmlformats.org/officeDocument/2006/relationships/hyperlink" Target="http://mebmarket.com.ua/gostinaya1/gostinye/gostinye-gerbor-i-brw/gostinaya-kvatro-venge-magiya-detail.html" TargetMode="External"/><Relationship Id="rId81" Type="http://schemas.openxmlformats.org/officeDocument/2006/relationships/hyperlink" Target="https://prom.ua/" TargetMode="External"/><Relationship Id="rId82" Type="http://schemas.openxmlformats.org/officeDocument/2006/relationships/hyperlink" Target="https://prom.ua/p942307244-atsteka-tumba-pod.html" TargetMode="External"/><Relationship Id="rId83" Type="http://schemas.openxmlformats.org/officeDocument/2006/relationships/hyperlink" Target="https://prom.ua/p855482757-stol-pismennyj-jbiu.html" TargetMode="External"/><Relationship Id="rId84" Type="http://schemas.openxmlformats.org/officeDocument/2006/relationships/hyperlink" Target="https://prom.ua/p356287589-shkaf-szf2d2s-koen.html" TargetMode="External"/><Relationship Id="rId85" Type="http://schemas.openxmlformats.org/officeDocument/2006/relationships/hyperlink" Target="https://prom.ua/p571241833-komod-vajt.html" TargetMode="External"/><Relationship Id="rId86" Type="http://schemas.openxmlformats.org/officeDocument/2006/relationships/hyperlink" Target="https://prom.ua/p589661092-stenka-alyaska-brv.html" TargetMode="External"/><Relationship Id="rId87" Type="http://schemas.openxmlformats.org/officeDocument/2006/relationships/hyperlink" Target="https://shurup.net.ua/" TargetMode="External"/><Relationship Id="rId88" Type="http://schemas.openxmlformats.org/officeDocument/2006/relationships/hyperlink" Target="https://shurup.net.ua/azteca-acteka-tumba-rtv2d2s415.p17205" TargetMode="External"/><Relationship Id="rId89" Type="http://schemas.openxmlformats.org/officeDocument/2006/relationships/hyperlink" Target="https://shurup.net.ua/stol-pismennyj-jbiu-2d2s-140-indiana-sosna-kanon.p9423" TargetMode="External"/><Relationship Id="rId90" Type="http://schemas.openxmlformats.org/officeDocument/2006/relationships/hyperlink" Target="https://shurup.net.ua/shkaf-szf2d2s-koen-mdf.p1208" TargetMode="External"/><Relationship Id="rId91" Type="http://schemas.openxmlformats.org/officeDocument/2006/relationships/hyperlink" Target="https://shurup.net.ua/komod-4s-90-vajt.p11059" TargetMode="External"/><Relationship Id="rId92" Type="http://schemas.openxmlformats.org/officeDocument/2006/relationships/hyperlink" Target="https://shurup.net.ua/prihozhaya-rrk-nepo.p13611" TargetMode="External"/><Relationship Id="rId93" Type="http://schemas.openxmlformats.org/officeDocument/2006/relationships/hyperlink" Target="https://shurup.net.ua/gostinaja-aljaska.p28551" TargetMode="External"/><Relationship Id="rId94" Type="http://schemas.openxmlformats.org/officeDocument/2006/relationships/hyperlink" Target="https://shurup.net.ua/gostinaya-kvatro-venge-magiya.p836" TargetMode="External"/><Relationship Id="rId95" Type="http://schemas.openxmlformats.org/officeDocument/2006/relationships/hyperlink" Target="https://www.brw-kiev.com.ua/" TargetMode="External"/><Relationship Id="rId96" Type="http://schemas.openxmlformats.org/officeDocument/2006/relationships/hyperlink" Target="https://www.brw-kiev.com.ua/catalog/mebel/kabinet/azteca-shafka_pid_tv-rtv2d2s_4_15-000004821.html?sphrase_id=71202" TargetMode="External"/><Relationship Id="rId97" Type="http://schemas.openxmlformats.org/officeDocument/2006/relationships/hyperlink" Target="https://www.brw-kiev.com.ua/catalog/mebel/kabinet/indiana-stil_pis_moviy-jbiu2d2s-000000254.html" TargetMode="External"/><Relationship Id="rId98" Type="http://schemas.openxmlformats.org/officeDocument/2006/relationships/hyperlink" Target="https://www.brw-kiev.com.ua/catalog/mebel/vayt-komod-kom4s_90-000008377.html" TargetMode="External"/><Relationship Id="rId99" Type="http://schemas.openxmlformats.org/officeDocument/2006/relationships/hyperlink" Target="https://www.brw-kiev.com.ua/catalog/mebel/nepo-peredpokiy-ppk-000006567.html" TargetMode="External"/><Relationship Id="rId100" Type="http://schemas.openxmlformats.org/officeDocument/2006/relationships/hyperlink" Target="https://www.brw-kiev.com.ua/catalog/mebel/stinki-vital_nya-alaska-000006901.html" TargetMode="External"/><Relationship Id="rId101" Type="http://schemas.openxmlformats.org/officeDocument/2006/relationships/hyperlink" Target="https://www.brw-kiev.com.ua/catalog/mebel/liberty-shafa-szf_3d-000006341.html" TargetMode="External"/><Relationship Id="rId102" Type="http://schemas.openxmlformats.org/officeDocument/2006/relationships/hyperlink" Target="http://www.brwland.com.ua/" TargetMode="External"/><Relationship Id="rId103" Type="http://schemas.openxmlformats.org/officeDocument/2006/relationships/hyperlink" Target="http://www.brwland.com.ua/product/azteca-tumba-tv-rtv2d2s415-brv-ukraina/" TargetMode="External"/><Relationship Id="rId104" Type="http://schemas.openxmlformats.org/officeDocument/2006/relationships/hyperlink" Target="http://www.brwland.com.ua/product/indiana-kanjon-stol-pismennyj-jbiu-2d2s140-brv-ukraina/" TargetMode="External"/><Relationship Id="rId105" Type="http://schemas.openxmlformats.org/officeDocument/2006/relationships/hyperlink" Target="http://www.brwland.com.ua/product/koen-szf-2d2s-shkaf-gerbor/" TargetMode="External"/><Relationship Id="rId106" Type="http://schemas.openxmlformats.org/officeDocument/2006/relationships/hyperlink" Target="http://www.brwland.com.ua/product/white-komod-4s90-gerbor/" TargetMode="External"/><Relationship Id="rId107" Type="http://schemas.openxmlformats.org/officeDocument/2006/relationships/hyperlink" Target="http://www.brwland.com.ua/product/nepo-prihozhaja-ppk-gerbor/" TargetMode="External"/><Relationship Id="rId108" Type="http://schemas.openxmlformats.org/officeDocument/2006/relationships/hyperlink" Target="http://www.brwland.com.ua/category/mebel-alaska-brw-ukraina/" TargetMode="External"/><Relationship Id="rId109" Type="http://schemas.openxmlformats.org/officeDocument/2006/relationships/hyperlink" Target="http://www.brwland.com.ua/product/liberti-shkaf-szf3d-brv-ukraina/" TargetMode="External"/><Relationship Id="rId110" Type="http://schemas.openxmlformats.org/officeDocument/2006/relationships/hyperlink" Target="http://gerbor.kiev.ua/" TargetMode="External"/><Relationship Id="rId111" Type="http://schemas.openxmlformats.org/officeDocument/2006/relationships/hyperlink" Target="http://gerbor.kiev.ua/mebelnye-sistemy/mebel-brw-azteca/azteca-tumba-tv-rtv2d2s-brv/" TargetMode="External"/><Relationship Id="rId112" Type="http://schemas.openxmlformats.org/officeDocument/2006/relationships/hyperlink" Target="http://gerbor.kiev.ua/mebelnye-sistemy/mebel-indiana-brw/indiana-stol-pismennyy-jbiu2d2s140-brv/" TargetMode="External"/><Relationship Id="rId113" Type="http://schemas.openxmlformats.org/officeDocument/2006/relationships/hyperlink" Target="http://gerbor.kiev.ua/mebelnye-sistemy/mebel-koen-gerbor/koen-penal-reg2d2s-gerbor/" TargetMode="External"/><Relationship Id="rId114" Type="http://schemas.openxmlformats.org/officeDocument/2006/relationships/hyperlink" Target="http://gerbor.kiev.ua/mebelnye-sistemy/mebel-white-gerbor/white-komod-4s90-gerbor/" TargetMode="External"/><Relationship Id="rId115" Type="http://schemas.openxmlformats.org/officeDocument/2006/relationships/hyperlink" Target="http://gerbor.kiev.ua/mebelnye-sistemy/mebel-nepo-gerbor/nepo-prikhozhaya-ppk-gerbor/" TargetMode="External"/><Relationship Id="rId116" Type="http://schemas.openxmlformats.org/officeDocument/2006/relationships/hyperlink" Target="http://gerbor.kiev.ua/mebelnye-sistemy/mebel-alaska-brw/alaska-gostinaya-brw/" TargetMode="External"/><Relationship Id="rId117" Type="http://schemas.openxmlformats.org/officeDocument/2006/relationships/hyperlink" Target="http://gerbor.kiev.ua/mebelnye-sistemy/mebel-liberti-brw/liberti-shkaf-szf3d-brv/" TargetMode="External"/><Relationship Id="rId118" Type="http://schemas.openxmlformats.org/officeDocument/2006/relationships/hyperlink" Target="http://maxmebel.com.ua/" TargetMode="External"/><Relationship Id="rId119" Type="http://schemas.openxmlformats.org/officeDocument/2006/relationships/hyperlink" Target="http://maxmebel.com.ua/_hh11.htm" TargetMode="External"/><Relationship Id="rId120" Type="http://schemas.openxmlformats.org/officeDocument/2006/relationships/hyperlink" Target="http://maxmebel.com.ua/pi/products_id/15620" TargetMode="External"/><Relationship Id="rId121" Type="http://schemas.openxmlformats.org/officeDocument/2006/relationships/hyperlink" Target="http://maxmebel.com.ua/pi/products_id/4909" TargetMode="External"/><Relationship Id="rId122" Type="http://schemas.openxmlformats.org/officeDocument/2006/relationships/hyperlink" Target="http://maxmebel.com.ua/pi/products_id/6503" TargetMode="External"/><Relationship Id="rId123" Type="http://schemas.openxmlformats.org/officeDocument/2006/relationships/hyperlink" Target="http://maxmebel.com.ua/pi/products_id/13019" TargetMode="External"/><Relationship Id="rId124" Type="http://schemas.openxmlformats.org/officeDocument/2006/relationships/hyperlink" Target="http://maxmebel.com.ua/pi/products_id/14792" TargetMode="External"/><Relationship Id="rId125" Type="http://schemas.openxmlformats.org/officeDocument/2006/relationships/hyperlink" Target="http://maxmebel.com.ua/pi/products_id/509" TargetMode="External"/><Relationship Id="rId126" Type="http://schemas.openxmlformats.org/officeDocument/2006/relationships/hyperlink" Target="http://maxmebel.com.ua/pi/products_id/6732" TargetMode="External"/><Relationship Id="rId127" Type="http://schemas.openxmlformats.org/officeDocument/2006/relationships/hyperlink" Target="http://maxmebel.com.ua/pi/products_id/19831" TargetMode="External"/><Relationship Id="rId128" Type="http://schemas.openxmlformats.org/officeDocument/2006/relationships/hyperlink" Target="https://promebli.ua/" TargetMode="External"/><Relationship Id="rId129" Type="http://schemas.openxmlformats.org/officeDocument/2006/relationships/hyperlink" Target="https://promebli.ua/tv-tumba-rtv2d2s-4-15-azteca-brw-belaja.html" TargetMode="External"/><Relationship Id="rId130" Type="http://schemas.openxmlformats.org/officeDocument/2006/relationships/hyperlink" Target="https://promebli.ua/jbiu2d2s.html" TargetMode="External"/><Relationship Id="rId131" Type="http://schemas.openxmlformats.org/officeDocument/2006/relationships/hyperlink" Target="https://promebli.ua/shkaf-szf2d2s-koen-mdf-gerbor.html" TargetMode="External"/><Relationship Id="rId132" Type="http://schemas.openxmlformats.org/officeDocument/2006/relationships/hyperlink" Target="https://promebli.ua/komod-4s-90-vait-gerbor.html" TargetMode="External"/><Relationship Id="rId133" Type="http://schemas.openxmlformats.org/officeDocument/2006/relationships/hyperlink" Target="https://promebli.ua/prihozhaja-ppk-nepo-gerbor.html" TargetMode="External"/><Relationship Id="rId134" Type="http://schemas.openxmlformats.org/officeDocument/2006/relationships/hyperlink" Target="https://promebli.ua/stenka-aljaska-brw.html" TargetMode="External"/><Relationship Id="rId135" Type="http://schemas.openxmlformats.org/officeDocument/2006/relationships/hyperlink" Target="https://promebli.ua/stenka-quatro--kvatro--brw.html" TargetMode="External"/><Relationship Id="rId136" Type="http://schemas.openxmlformats.org/officeDocument/2006/relationships/hyperlink" Target="https://promebli.ua/shkaf-3d-liberty-brw.html" TargetMode="External"/><Relationship Id="rId137" Type="http://schemas.openxmlformats.org/officeDocument/2006/relationships/hyperlink" Target="https://komod-bc.com.ua/" TargetMode="External"/><Relationship Id="rId138" Type="http://schemas.openxmlformats.org/officeDocument/2006/relationships/hyperlink" Target="https://komod-bc.com.ua/products/tumba-s205-rtv2d2s415-atsteka-001" TargetMode="External"/><Relationship Id="rId139" Type="http://schemas.openxmlformats.org/officeDocument/2006/relationships/hyperlink" Target="https://komod-bc.com.ua/products/stol-pismennyj-jbiu-2d2s-140-indiana-j-007" TargetMode="External"/><Relationship Id="rId140" Type="http://schemas.openxmlformats.org/officeDocument/2006/relationships/hyperlink" Target="https://komod-bc.com.ua/products/shkaf-szf-2d2s-koen-014" TargetMode="External"/><Relationship Id="rId141" Type="http://schemas.openxmlformats.org/officeDocument/2006/relationships/hyperlink" Target="https://komod-bc.com.ua/products/komod-4s-90-vajt-008" TargetMode="External"/><Relationship Id="rId142" Type="http://schemas.openxmlformats.org/officeDocument/2006/relationships/hyperlink" Target="https://komod-bc.com.ua/products/prihozhaya-rrk-nepo-019" TargetMode="External"/><Relationship Id="rId143" Type="http://schemas.openxmlformats.org/officeDocument/2006/relationships/hyperlink" Target="https://komod-bc.com.ua/products/gostinaya-alyaska" TargetMode="External"/><Relationship Id="rId144" Type="http://schemas.openxmlformats.org/officeDocument/2006/relationships/hyperlink" Target="https://komod-bc.com.ua/products/gostinaya-kvatro" TargetMode="External"/><Relationship Id="rId145" Type="http://schemas.openxmlformats.org/officeDocument/2006/relationships/hyperlink" Target="https://komod-bc.com.ua/products/shkaf-3d-liberti-005" TargetMode="External"/><Relationship Id="rId146" Type="http://schemas.openxmlformats.org/officeDocument/2006/relationships/hyperlink" Target="https://www.mebelok.com/" TargetMode="External"/><Relationship Id="rId147" Type="http://schemas.openxmlformats.org/officeDocument/2006/relationships/hyperlink" Target="https://www.mebelok.com/tymba-tv-rtv2d2s415-acteka/" TargetMode="External"/><Relationship Id="rId148" Type="http://schemas.openxmlformats.org/officeDocument/2006/relationships/hyperlink" Target="https://www.mebelok.com/stol-pismennyy-jbiu-2d2s-140/" TargetMode="External"/><Relationship Id="rId149" Type="http://schemas.openxmlformats.org/officeDocument/2006/relationships/hyperlink" Target="https://www.mebelok.com/koen-shkaf-szf2d2s-mdf/" TargetMode="External"/><Relationship Id="rId150" Type="http://schemas.openxmlformats.org/officeDocument/2006/relationships/hyperlink" Target="https://www.mebelok.com/prihojaya-ppk-nepo/" TargetMode="External"/><Relationship Id="rId151" Type="http://schemas.openxmlformats.org/officeDocument/2006/relationships/hyperlink" Target="https://www.mebelok.com/gostinaya-kvatro/" TargetMode="External"/><Relationship Id="rId152" Type="http://schemas.openxmlformats.org/officeDocument/2006/relationships/hyperlink" Target="https://www.mebelok.com/shkaf-3d-liberti/" TargetMode="External"/><Relationship Id="rId153" Type="http://schemas.openxmlformats.org/officeDocument/2006/relationships/hyperlink" Target="http://redlight.com.ua/" TargetMode="External"/><Relationship Id="rId154" Type="http://schemas.openxmlformats.org/officeDocument/2006/relationships/hyperlink" Target="http://redlight.com.ua/cat/mebel-dlja-gostinnoj/tv-stands/tumba-tv-rtv2d2s-4-15-atsteka.html" TargetMode="External"/><Relationship Id="rId155" Type="http://schemas.openxmlformats.org/officeDocument/2006/relationships/hyperlink" Target="http://redlight.com.ua/cat/stoly/pisminnye/stol-pismenniy-jbiu-2d2s-indiana.html" TargetMode="External"/><Relationship Id="rId156" Type="http://schemas.openxmlformats.org/officeDocument/2006/relationships/hyperlink" Target="http://redlight.com.ua/cat/modulnaya-mebel/shkaf/shkaf-szf2d2s-koen-(mdf).html" TargetMode="External"/><Relationship Id="rId157" Type="http://schemas.openxmlformats.org/officeDocument/2006/relationships/hyperlink" Target="http://redlight.com.ua/cat/modulnaya-mebel/komod/vayt-komod-4s-90.html" TargetMode="External"/><Relationship Id="rId158" Type="http://schemas.openxmlformats.org/officeDocument/2006/relationships/hyperlink" Target="http://redlight.com.ua/cat/prihozhie/sovremennye/nepo-prihozhaya-rrk-.html" TargetMode="External"/><Relationship Id="rId159" Type="http://schemas.openxmlformats.org/officeDocument/2006/relationships/hyperlink" Target="http://redlight.com.ua/cat/mebel-dlja-gostinnoj/stenki/stenka-alyaska.html" TargetMode="External"/><Relationship Id="rId160" Type="http://schemas.openxmlformats.org/officeDocument/2006/relationships/hyperlink" Target="http://redlight.com.ua/cat/mebel-dlja-gostinnoj/stenki/stenka-kvatro.html" TargetMode="External"/><Relationship Id="rId161" Type="http://schemas.openxmlformats.org/officeDocument/2006/relationships/hyperlink" Target="http://redlight.com.ua/cat/modulnaya-mebel/shkaf/liberti-shkaf-szf3d.html" TargetMode="External"/><Relationship Id="rId162" Type="http://schemas.openxmlformats.org/officeDocument/2006/relationships/hyperlink" Target="https://zapadmebel.com.ua/" TargetMode="External"/><Relationship Id="rId163" Type="http://schemas.openxmlformats.org/officeDocument/2006/relationships/hyperlink" Target="https://zapadmebel.com.ua/mebel-brw/tumba-s205-rtv2d2s-4-15-atsteka-001/" TargetMode="External"/><Relationship Id="rId164" Type="http://schemas.openxmlformats.org/officeDocument/2006/relationships/hyperlink" Target="https://zapadmebel.com.ua/mebel-brw/indiana-stol-pismennyj-jbiu2d2s/" TargetMode="External"/><Relationship Id="rId165" Type="http://schemas.openxmlformats.org/officeDocument/2006/relationships/hyperlink" Target="https://zapadmebel.com.ua/mebel-gerbor/shkaf-szf2d2s-koen-mdf-014/" TargetMode="External"/><Relationship Id="rId166" Type="http://schemas.openxmlformats.org/officeDocument/2006/relationships/hyperlink" Target="https://zapadmebel.com.ua/mebel-gerbor/vajt-komod-4s-90/" TargetMode="External"/><Relationship Id="rId167" Type="http://schemas.openxmlformats.org/officeDocument/2006/relationships/hyperlink" Target="https://zapadmebel.com.ua/mebel-gerbor/prihozhaya-ppk-nepo/" TargetMode="External"/><Relationship Id="rId168" Type="http://schemas.openxmlformats.org/officeDocument/2006/relationships/hyperlink" Target="https://zapadmebel.com.ua/mebel-brw/gostinaya-alyaska/" TargetMode="External"/><Relationship Id="rId169" Type="http://schemas.openxmlformats.org/officeDocument/2006/relationships/hyperlink" Target="https://zapadmebel.com.ua/stenki-gostinye/stenka-kvatro/" TargetMode="External"/><Relationship Id="rId170" Type="http://schemas.openxmlformats.org/officeDocument/2006/relationships/hyperlink" Target="https://zapadmebel.com.ua/shkafy/liberti-shkaf-3d/" TargetMode="External"/><Relationship Id="rId171" Type="http://schemas.openxmlformats.org/officeDocument/2006/relationships/hyperlink" Target="https://meblihit.com.ua/" TargetMode="External"/><Relationship Id="rId172" Type="http://schemas.openxmlformats.org/officeDocument/2006/relationships/hyperlink" Target="https://meblihit.com.ua/catalog/tumby_dlya_tekhniki/tumba_rtv2d2s_4_15/" TargetMode="External"/><Relationship Id="rId173" Type="http://schemas.openxmlformats.org/officeDocument/2006/relationships/hyperlink" Target="https://meblihit.com.ua/catalog/desks/modulna_sistema_nd_ana_st_l_pismoviy_jbiu_2s2d_140/" TargetMode="External"/><Relationship Id="rId174" Type="http://schemas.openxmlformats.org/officeDocument/2006/relationships/hyperlink" Target="https://meblihit.com.ua/catalog/modular_system_of_absence_mdf/modular_system_of_absence_mdf_cupboard_hanging_wardrobe_szf_2d2s/" TargetMode="External"/><Relationship Id="rId175" Type="http://schemas.openxmlformats.org/officeDocument/2006/relationships/hyperlink" Target="https://meblihit.com.ua/catalog/chests_of_drawers/modulnaya_systema_vayt_white_008_komod_4s_90/" TargetMode="External"/><Relationship Id="rId176" Type="http://schemas.openxmlformats.org/officeDocument/2006/relationships/hyperlink" Target="https://meblihit.com.ua/catalog/priho_ii_suites/modular_system_nepo_nepo_hallway_ppk/" TargetMode="External"/><Relationship Id="rId177" Type="http://schemas.openxmlformats.org/officeDocument/2006/relationships/hyperlink" Target="https://meblihit.com.ua/catalog/living_rooms/gostynaya_alyaska_alyaska/" TargetMode="External"/><Relationship Id="rId178" Type="http://schemas.openxmlformats.org/officeDocument/2006/relationships/hyperlink" Target="https://meblihit.com.ua/catalog/living_rooms/quatro_room/" TargetMode="External"/><Relationship Id="rId179" Type="http://schemas.openxmlformats.org/officeDocument/2006/relationships/hyperlink" Target="https://meblihit.com.ua/catalog/cabinets_trekhdvernye/bedroom_liberty_liberty_wardrobe_3d/"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s://brwmania.com.ua/gostinaja/modulnye-gostinye/sistema-azteka/tumba-pod-tv-acteka-rtv2d2s415/" TargetMode="External"/><Relationship Id="rId9" Type="http://schemas.openxmlformats.org/officeDocument/2006/relationships/hyperlink" Target="https://brwmania.com.ua/gostinaja/modulnye-gostinye/sistema_indiana__sosna_kanjon/indiana-sosna-kanyon-j-007-stol-pismennyy-jbiu-2d2s-140/" TargetMode="External"/><Relationship Id="rId10" Type="http://schemas.openxmlformats.org/officeDocument/2006/relationships/hyperlink" Target="https://brwmania.com.ua/gostinaja/modulnye-gostinye/sistema_koen_mdf/014-koen-mdf-shafa-szf2d2s/" TargetMode="External"/><Relationship Id="rId11" Type="http://schemas.openxmlformats.org/officeDocument/2006/relationships/hyperlink" Target="https://brwmania.com.ua/gostinaja/modulnye-gostinye/sistema_vajt/008-vayt-komod-4s-90/" TargetMode="External"/><Relationship Id="rId12" Type="http://schemas.openxmlformats.org/officeDocument/2006/relationships/hyperlink" Target="https://brwmania.com.ua/gostinaja/modulnye-gostinye/sistema_nepo/nepo-prihozha-ppk/" TargetMode="External"/><Relationship Id="rId13" Type="http://schemas.openxmlformats.org/officeDocument/2006/relationships/hyperlink" Target="https://brwmania.com.ua/gostinaja/komplekty-gostinyh/aljaska-alaska-gostinaja/" TargetMode="External"/><Relationship Id="rId14" Type="http://schemas.openxmlformats.org/officeDocument/2006/relationships/hyperlink" Target="https://brwmania.com.ua/gostinaja/komplekty-gostinyh/stinka-kvatro-venge-magia/" TargetMode="External"/><Relationship Id="rId15" Type="http://schemas.openxmlformats.org/officeDocument/2006/relationships/hyperlink" Target="https://brwmania.com.ua/spalni/modulnye-spalni/sistema-spalni-liberti/005-shkaf-3d/" TargetMode="External"/><Relationship Id="rId16" Type="http://schemas.openxmlformats.org/officeDocument/2006/relationships/hyperlink" Target="https://brwwood.com.ua/" TargetMode="External"/><Relationship Id="rId17" Type="http://schemas.openxmlformats.org/officeDocument/2006/relationships/hyperlink" Target="https://brwwood.com.ua/tumbochki-i-tumby/tumby-pod-televizor/001-atsteka-tumba-rtv2d2s-4-15-tumba-pod-televizor" TargetMode="External"/><Relationship Id="rId18" Type="http://schemas.openxmlformats.org/officeDocument/2006/relationships/hyperlink" Target="https://brwwood.com.ua/stoly/pismennye-stoly/stol-pismennyj-brw-indiana-sosna-kanjon-jbiu-2d2s-140" TargetMode="External"/><Relationship Id="rId19" Type="http://schemas.openxmlformats.org/officeDocument/2006/relationships/hyperlink" Target="https://brwwood.com.ua/shkafy-i-xranenie/dvuxdvernye-shkafy/shkaf-gerbor-koen-mdf-szf2d2s" TargetMode="External"/><Relationship Id="rId20" Type="http://schemas.openxmlformats.org/officeDocument/2006/relationships/hyperlink" Target="https://brwwood.com.ua/komody/komod-gerbor-vajt-4s-90" TargetMode="External"/><Relationship Id="rId21" Type="http://schemas.openxmlformats.org/officeDocument/2006/relationships/hyperlink" Target="https://brwwood.com.ua/mebel-dlja-prixozhej/komplekty-prixozhyx/prixozhaja-gerbor-nepo-ppk" TargetMode="External"/><Relationship Id="rId22" Type="http://schemas.openxmlformats.org/officeDocument/2006/relationships/hyperlink" Target="https://brwwood.com.ua/mebel-dlja-gostinoj/komplekty-stenok-v-gostnnuju/gostinaja-aljaska-brw" TargetMode="External"/><Relationship Id="rId23" Type="http://schemas.openxmlformats.org/officeDocument/2006/relationships/hyperlink" Target="https://brwwood.com.ua/mebel-dlja-gostinoj/komplekty-stenok-v-gostnnuju/gostinaja-kvatro-gerbor" TargetMode="External"/><Relationship Id="rId24" Type="http://schemas.openxmlformats.org/officeDocument/2006/relationships/hyperlink" Target="https://brwwood.com.ua/shkafy-i-xranenie/trexdvernye-shkafy/shkaf-brw-liberti-3d" TargetMode="External"/><Relationship Id="rId25" Type="http://schemas.openxmlformats.org/officeDocument/2006/relationships/hyperlink" Target="https://mebli-bristol.com.ua/" TargetMode="External"/><Relationship Id="rId26" Type="http://schemas.openxmlformats.org/officeDocument/2006/relationships/hyperlink" Target="https://mebli-bristol.com.ua/acteka-tumba-rtv-2d2s-4-15-brv-ukraina.html" TargetMode="External"/><Relationship Id="rId27" Type="http://schemas.openxmlformats.org/officeDocument/2006/relationships/hyperlink" Target="https://mebli-bristol.com.ua/indiana-stil-pis-movij-jbiu-2d2s-140-sosna-kan-jon-brv-ukraina.html" TargetMode="External"/><Relationship Id="rId28" Type="http://schemas.openxmlformats.org/officeDocument/2006/relationships/hyperlink" Target="https://mebli-bristol.com.ua/koen-shafa-szf-2d2s-mdf-gerbor.html" TargetMode="External"/><Relationship Id="rId29" Type="http://schemas.openxmlformats.org/officeDocument/2006/relationships/hyperlink" Target="https://mebli-bristol.com.ua/vajt-komod-4s-90-gerbor.html" TargetMode="External"/><Relationship Id="rId30" Type="http://schemas.openxmlformats.org/officeDocument/2006/relationships/hyperlink" Target="https://mebli-bristol.com.ua/nepo-peredpokij-ppk-gerbor-9728.html" TargetMode="External"/><Relationship Id="rId31" Type="http://schemas.openxmlformats.org/officeDocument/2006/relationships/hyperlink" Target="https://mebli-bristol.com.ua/aljaska-brv-ukraina.html" TargetMode="External"/><Relationship Id="rId32" Type="http://schemas.openxmlformats.org/officeDocument/2006/relationships/hyperlink" Target="https://mebli-bristol.com.ua/kvatro-gerbor.html" TargetMode="External"/><Relationship Id="rId33" Type="http://schemas.openxmlformats.org/officeDocument/2006/relationships/hyperlink" Target="https://mebli-bristol.com.ua/liberti-shafa-szf-3d-brv-ukraina.html" TargetMode="External"/><Relationship Id="rId34" Type="http://schemas.openxmlformats.org/officeDocument/2006/relationships/hyperlink" Target="https://stuloff.com.ua/index.php?route=common/home" TargetMode="External"/><Relationship Id="rId35" Type="http://schemas.openxmlformats.org/officeDocument/2006/relationships/hyperlink" Target="https://stuloff.com.ua/tumba_rtv_2d2s_4_15_azteka_beluy?search=&#1072;&#1094;&#1090;&#1077;&#1082;&#1072;&amp;category_id=0" TargetMode="External"/><Relationship Id="rId36" Type="http://schemas.openxmlformats.org/officeDocument/2006/relationships/hyperlink" Target="https://stuloff.com.ua/stol_pism_jbiu_2d2s_140_indiana_kanjon-?search=&#1080;&#1085;&#1076;&#1080;&#1072;&#1085;&#1072;&amp;category_id=0&amp;page=3" TargetMode="External"/><Relationship Id="rId37" Type="http://schemas.openxmlformats.org/officeDocument/2006/relationships/hyperlink" Target="https://stuloff.com.ua/chkaf_szf_2d2s_koen_mdf?search=&#1082;&#1086;&#1077;&#1085;&amp;category_id=0&amp;page=3" TargetMode="External"/><Relationship Id="rId38" Type="http://schemas.openxmlformats.org/officeDocument/2006/relationships/hyperlink" Target="https://stuloff.com.ua/komod_4s_90_white?search=&#1074;&#1072;&#1081;&#1090;&amp;category_id=0" TargetMode="External"/><Relationship Id="rId39" Type="http://schemas.openxmlformats.org/officeDocument/2006/relationships/hyperlink" Target="https://stuloff.com.ua/prichozay_ppk_nepo?search=&#1085;&#1077;&#1087;&#1086;&amp;category_id=0" TargetMode="External"/><Relationship Id="rId40" Type="http://schemas.openxmlformats.org/officeDocument/2006/relationships/hyperlink" Target="https://stuloff.com.ua/gostinaya_alyaska_brw?search=&#1072;&#1083;&#1103;&#1089;&#1082;&#1072;&amp;category_id=0" TargetMode="External"/><Relationship Id="rId41" Type="http://schemas.openxmlformats.org/officeDocument/2006/relationships/hyperlink" Target="https://stuloff.com.ua/gostinay_kvatro_gerbor_venge?search=&#1082;&#1074;&#1072;&#1090;&#1088;&#1086;&amp;category_id=0" TargetMode="External"/><Relationship Id="rId42" Type="http://schemas.openxmlformats.org/officeDocument/2006/relationships/hyperlink" Target="https://stuloff.com.ua/chkaf_3d_liberti?search=&#1083;&#1080;&#1073;&#1077;&#1088;&#1090;&#1080;&amp;category_id=0" TargetMode="External"/><Relationship Id="rId43" Type="http://schemas.openxmlformats.org/officeDocument/2006/relationships/hyperlink" Target="https://www.mebelvdom.ua/" TargetMode="External"/><Relationship Id="rId44" Type="http://schemas.openxmlformats.org/officeDocument/2006/relationships/hyperlink" Target="https://www.mebelvdom.ua/product/tumba-tv-rtv2d2s-4-15-acteka-brv" TargetMode="External"/><Relationship Id="rId45" Type="http://schemas.openxmlformats.org/officeDocument/2006/relationships/hyperlink" Target="https://www.mebelvdom.ua/product/stol-pismennyj-jbiu2d2s-140-indiana-kanon-brv" TargetMode="External"/><Relationship Id="rId46" Type="http://schemas.openxmlformats.org/officeDocument/2006/relationships/hyperlink" Target="https://www.mebelvdom.ua/product/komod-4s-90-vajt-gerbor" TargetMode="External"/><Relationship Id="rId47" Type="http://schemas.openxmlformats.org/officeDocument/2006/relationships/hyperlink" Target="https://www.mebelvdom.ua/product/prihozhaya-ppk-nepo-gerbor" TargetMode="External"/><Relationship Id="rId48" Type="http://schemas.openxmlformats.org/officeDocument/2006/relationships/hyperlink" Target="https://www.mebelvdom.ua/product/gostinaya-alyaska-brv" TargetMode="External"/><Relationship Id="rId49" Type="http://schemas.openxmlformats.org/officeDocument/2006/relationships/hyperlink" Target="https://www.mebelvdom.ua/product/shkaf-szf3d-liberti-brv" TargetMode="External"/><Relationship Id="rId50" Type="http://schemas.openxmlformats.org/officeDocument/2006/relationships/hyperlink" Target="http://abcmebli.com.ua/" TargetMode="External"/><Relationship Id="rId51" Type="http://schemas.openxmlformats.org/officeDocument/2006/relationships/hyperlink" Target="http://abcmebli.com.ua/p14992-tumba_tv_rtv2d2s-4-15_atsteka" TargetMode="External"/><Relationship Id="rId52" Type="http://schemas.openxmlformats.org/officeDocument/2006/relationships/hyperlink" Target="http://abcmebli.com.ua/p1892-stol_pismenniy_jbiu2d2s_140_indiana" TargetMode="External"/><Relationship Id="rId53" Type="http://schemas.openxmlformats.org/officeDocument/2006/relationships/hyperlink" Target="http://abcmebli.com.ua/p15143-koen_mdf_shkaf_szf2d2s" TargetMode="External"/><Relationship Id="rId54" Type="http://schemas.openxmlformats.org/officeDocument/2006/relationships/hyperlink" Target="http://abcmebli.com.ua/p15658-komod_4s_90_vayt_gerbor" TargetMode="External"/><Relationship Id="rId55" Type="http://schemas.openxmlformats.org/officeDocument/2006/relationships/hyperlink" Target="http://abcmebli.com.ua/p15897-nepo_prihozhaya_ppk_gerbor" TargetMode="External"/><Relationship Id="rId56" Type="http://schemas.openxmlformats.org/officeDocument/2006/relationships/hyperlink" Target="http://abcmebli.com.ua/p15191-stenka_alyaska_brv" TargetMode="External"/><Relationship Id="rId57" Type="http://schemas.openxmlformats.org/officeDocument/2006/relationships/hyperlink" Target="http://abcmebli.com.ua/p2515-stenka_kvatro_gerbor" TargetMode="External"/><Relationship Id="rId58" Type="http://schemas.openxmlformats.org/officeDocument/2006/relationships/hyperlink" Target="http://abcmebli.com.ua/p15617-shkaf_szf3d_liberti_brv" TargetMode="External"/><Relationship Id="rId59" Type="http://schemas.openxmlformats.org/officeDocument/2006/relationships/hyperlink" Target="http://www.maxidom.com.ua/" TargetMode="External"/><Relationship Id="rId60" Type="http://schemas.openxmlformats.org/officeDocument/2006/relationships/hyperlink" Target="http://www.maxidom.com.ua/tumba-rtv-atsteka-2d2s415.html?search_string=%D2%F3%EC%E1%E0+%D0%D2%C2+%C0%F6%F2%E5%EA%E0+2D2S%2F4%2F15" TargetMode="External"/><Relationship Id="rId61" Type="http://schemas.openxmlformats.org/officeDocument/2006/relationships/hyperlink" Target="http://www.maxidom.com.ua/stol_pismenniy_indiana_jbiu2d2s.html?search_string=%E8%ED%E4%E8%E0%ED%E0" TargetMode="External"/><Relationship Id="rId62" Type="http://schemas.openxmlformats.org/officeDocument/2006/relationships/hyperlink" Target="http://www.maxidom.com.ua/shkaf-szf2d2s-koen-mdf.html?search_string=%D8%EA%E0%F4+SZF2D2S+%CA%EE%E5%ED+%28%CC%C4%D4%29" TargetMode="External"/><Relationship Id="rId63" Type="http://schemas.openxmlformats.org/officeDocument/2006/relationships/hyperlink" Target="http://www.maxidom.com.ua/komod-vayt-4s-90.html?search_string=%CA%EE%EC%EE%E4+%C2%E0%E9%F2+4S+90" TargetMode="External"/><Relationship Id="rId64" Type="http://schemas.openxmlformats.org/officeDocument/2006/relationships/hyperlink" Target="http://www.maxidom.com.ua/prihozhaya-nepo-ppk.html?search_string=%ED%E5%EF%EE" TargetMode="External"/><Relationship Id="rId65" Type="http://schemas.openxmlformats.org/officeDocument/2006/relationships/hyperlink" Target="http://www.maxidom.com.ua/stenka-alyaska.html?search_string=%C0%EB%FF%F1%EA%E0" TargetMode="External"/><Relationship Id="rId66" Type="http://schemas.openxmlformats.org/officeDocument/2006/relationships/hyperlink" Target="http://www.maxidom.com.ua/stenka-kvatro.html?search_string=%EA%E2%E0%F2%F0%EE" TargetMode="External"/><Relationship Id="rId67" Type="http://schemas.openxmlformats.org/officeDocument/2006/relationships/hyperlink" Target="http://www.maxidom.com.ua/shkaf-liberti-3d.html?search_string=%EB%E8%E1%E5%F0%F2%E8" TargetMode="External"/><Relationship Id="rId68" Type="http://schemas.openxmlformats.org/officeDocument/2006/relationships/hyperlink" Target="https://www.dybok.com.ua/" TargetMode="External"/><Relationship Id="rId69" Type="http://schemas.openxmlformats.org/officeDocument/2006/relationships/hyperlink" Target="https://www.dybok.com.ua/ru/product/detail/35816" TargetMode="External"/><Relationship Id="rId70" Type="http://schemas.openxmlformats.org/officeDocument/2006/relationships/hyperlink" Target="https://www.dybok.com.ua/ru/product/detail/4291" TargetMode="External"/><Relationship Id="rId71" Type="http://schemas.openxmlformats.org/officeDocument/2006/relationships/hyperlink" Target="https://www.dybok.com.ua/ru/product/detail/6363" TargetMode="External"/><Relationship Id="rId72" Type="http://schemas.openxmlformats.org/officeDocument/2006/relationships/hyperlink" Target="https://www.dybok.com.ua/ru/product/detail/12057" TargetMode="External"/><Relationship Id="rId73" Type="http://schemas.openxmlformats.org/officeDocument/2006/relationships/hyperlink" Target="https://www.dybok.com.ua/ru/product/detail/18085" TargetMode="External"/><Relationship Id="rId74" Type="http://schemas.openxmlformats.org/officeDocument/2006/relationships/hyperlink" Target="https://www.dybok.com.ua/ru/product/detail/50410" TargetMode="External"/><Relationship Id="rId75" Type="http://schemas.openxmlformats.org/officeDocument/2006/relationships/hyperlink" Target="https://www.dybok.com.ua/ru/product/detail/6077" TargetMode="External"/><Relationship Id="rId76" Type="http://schemas.openxmlformats.org/officeDocument/2006/relationships/hyperlink" Target="https://www.dybok.com.ua/ru/product/detail/31073" TargetMode="External"/><Relationship Id="rId77" Type="http://schemas.openxmlformats.org/officeDocument/2006/relationships/hyperlink" Target="http://mebmarket.com.ua/" TargetMode="External"/><Relationship Id="rId78" Type="http://schemas.openxmlformats.org/officeDocument/2006/relationships/hyperlink" Target="http://mebmarket.com.ua/gostinaya1/modulnye-sistemy-dlya-gostinnykh/acteka/rtv2d2s-acteka-detail.html" TargetMode="External"/><Relationship Id="rId79" Type="http://schemas.openxmlformats.org/officeDocument/2006/relationships/hyperlink" Target="http://mebmarket.com.ua/modulnye-sistemy/i-k/2014-04-30-13-16-35/stol-pismennyj-jbiu-2d2s-140-indiana-dub-shutter-3261-detail.html" TargetMode="External"/><Relationship Id="rId80" Type="http://schemas.openxmlformats.org/officeDocument/2006/relationships/hyperlink" Target="http://mebmarket.com.ua/gostinaya1/shkafy/shkafy/szf2d2s-koen-mdf-detail.html" TargetMode="External"/><Relationship Id="rId81" Type="http://schemas.openxmlformats.org/officeDocument/2006/relationships/hyperlink" Target="http://mebmarket.com.ua/gostinaya1/gostinye/gostinye-gerbor-i-brw/gostinaya-kvatro-venge-magiya-detail.html" TargetMode="External"/><Relationship Id="rId82" Type="http://schemas.openxmlformats.org/officeDocument/2006/relationships/hyperlink" Target="https://prom.ua/" TargetMode="External"/><Relationship Id="rId83" Type="http://schemas.openxmlformats.org/officeDocument/2006/relationships/hyperlink" Target="https://prom.ua/p942307244-atsteka-tumba-pod.html" TargetMode="External"/><Relationship Id="rId84" Type="http://schemas.openxmlformats.org/officeDocument/2006/relationships/hyperlink" Target="https://prom.ua/p855482757-stol-pismennyj-jbiu.html" TargetMode="External"/><Relationship Id="rId85" Type="http://schemas.openxmlformats.org/officeDocument/2006/relationships/hyperlink" Target="https://prom.ua/p356287589-shkaf-szf2d2s-koen.html" TargetMode="External"/><Relationship Id="rId86" Type="http://schemas.openxmlformats.org/officeDocument/2006/relationships/hyperlink" Target="https://prom.ua/p571241833-komod-vajt.html" TargetMode="External"/><Relationship Id="rId87" Type="http://schemas.openxmlformats.org/officeDocument/2006/relationships/hyperlink" Target="https://prom.ua/p589661092-stenka-alyaska-brv.html" TargetMode="External"/><Relationship Id="rId88" Type="http://schemas.openxmlformats.org/officeDocument/2006/relationships/hyperlink" Target="https://prom.ua/p938957293-liberti-shkaf.html" TargetMode="External"/><Relationship Id="rId89" Type="http://schemas.openxmlformats.org/officeDocument/2006/relationships/hyperlink" Target="https://shurup.net.ua/" TargetMode="External"/><Relationship Id="rId90" Type="http://schemas.openxmlformats.org/officeDocument/2006/relationships/hyperlink" Target="https://shurup.net.ua/azteca-acteka-tumba-rtv2d2s415.p17205" TargetMode="External"/><Relationship Id="rId91" Type="http://schemas.openxmlformats.org/officeDocument/2006/relationships/hyperlink" Target="https://shurup.net.ua/stol-pismennyj-jbiu-2d2s-140-indiana-sosna-kanon.p9423" TargetMode="External"/><Relationship Id="rId92" Type="http://schemas.openxmlformats.org/officeDocument/2006/relationships/hyperlink" Target="https://shurup.net.ua/shkaf-szf2d2s-koen-mdf.p1208" TargetMode="External"/><Relationship Id="rId93" Type="http://schemas.openxmlformats.org/officeDocument/2006/relationships/hyperlink" Target="https://shurup.net.ua/komod-4s-90-vajt.p11059" TargetMode="External"/><Relationship Id="rId94" Type="http://schemas.openxmlformats.org/officeDocument/2006/relationships/hyperlink" Target="https://shurup.net.ua/prihozhaya-rrk-nepo.p13611" TargetMode="External"/><Relationship Id="rId95" Type="http://schemas.openxmlformats.org/officeDocument/2006/relationships/hyperlink" Target="https://shurup.net.ua/gostinaja-aljaska.p28551" TargetMode="External"/><Relationship Id="rId96" Type="http://schemas.openxmlformats.org/officeDocument/2006/relationships/hyperlink" Target="https://shurup.net.ua/gostinaya-kvatro-venge-magiya.p836" TargetMode="External"/><Relationship Id="rId97" Type="http://schemas.openxmlformats.org/officeDocument/2006/relationships/hyperlink" Target="https://www.brw-kiev.com.ua/" TargetMode="External"/><Relationship Id="rId98" Type="http://schemas.openxmlformats.org/officeDocument/2006/relationships/hyperlink" Target="https://www.brw-kiev.com.ua/catalog/mebel/kabinet/azteca-shafka_pid_tv-rtv2d2s_4_15-000004821.html?sphrase_id=71202" TargetMode="External"/><Relationship Id="rId99" Type="http://schemas.openxmlformats.org/officeDocument/2006/relationships/hyperlink" Target="https://www.brw-kiev.com.ua/catalog/mebel/kabinet/indiana-stil_pis_moviy-jbiu2d2s-000000254.html" TargetMode="External"/><Relationship Id="rId100" Type="http://schemas.openxmlformats.org/officeDocument/2006/relationships/hyperlink" Target="https://www.brw-kiev.com.ua/catalog/mebel/vayt-komod-kom4s_90-000008377.html" TargetMode="External"/><Relationship Id="rId101" Type="http://schemas.openxmlformats.org/officeDocument/2006/relationships/hyperlink" Target="https://www.brw-kiev.com.ua/catalog/mebel/nepo-peredpokiy-ppk-000006567.html" TargetMode="External"/><Relationship Id="rId102" Type="http://schemas.openxmlformats.org/officeDocument/2006/relationships/hyperlink" Target="https://www.brw-kiev.com.ua/catalog/mebel/stinki-vital_nya-alaska-000006901.html" TargetMode="External"/><Relationship Id="rId103" Type="http://schemas.openxmlformats.org/officeDocument/2006/relationships/hyperlink" Target="https://www.brw-kiev.com.ua/catalog/mebel/liberty-shafa-szf_3d-000006341.html" TargetMode="External"/><Relationship Id="rId104" Type="http://schemas.openxmlformats.org/officeDocument/2006/relationships/hyperlink" Target="http://www.brwland.com.ua/" TargetMode="External"/><Relationship Id="rId105" Type="http://schemas.openxmlformats.org/officeDocument/2006/relationships/hyperlink" Target="http://www.brwland.com.ua/product/azteca-tumba-tv-rtv2d2s415-brv-ukraina/" TargetMode="External"/><Relationship Id="rId106" Type="http://schemas.openxmlformats.org/officeDocument/2006/relationships/hyperlink" Target="http://www.brwland.com.ua/product/indiana-kanjon-stol-pismennyj-jbiu-2d2s140-brv-ukraina/" TargetMode="External"/><Relationship Id="rId107" Type="http://schemas.openxmlformats.org/officeDocument/2006/relationships/hyperlink" Target="http://www.brwland.com.ua/product/koen-szf-2d2s-shkaf-gerbor/" TargetMode="External"/><Relationship Id="rId108" Type="http://schemas.openxmlformats.org/officeDocument/2006/relationships/hyperlink" Target="http://www.brwland.com.ua/product/white-komod-4s90-gerbor/" TargetMode="External"/><Relationship Id="rId109" Type="http://schemas.openxmlformats.org/officeDocument/2006/relationships/hyperlink" Target="http://www.brwland.com.ua/product/nepo-prihozhaja-ppk-gerbor/" TargetMode="External"/><Relationship Id="rId110" Type="http://schemas.openxmlformats.org/officeDocument/2006/relationships/hyperlink" Target="http://www.brwland.com.ua/category/mebel-alaska-brw-ukraina/" TargetMode="External"/><Relationship Id="rId111" Type="http://schemas.openxmlformats.org/officeDocument/2006/relationships/hyperlink" Target="http://www.brwland.com.ua/product/liberti-shkaf-szf3d-brv-ukraina/" TargetMode="External"/><Relationship Id="rId112" Type="http://schemas.openxmlformats.org/officeDocument/2006/relationships/hyperlink" Target="http://gerbor.kiev.ua/" TargetMode="External"/><Relationship Id="rId113" Type="http://schemas.openxmlformats.org/officeDocument/2006/relationships/hyperlink" Target="http://gerbor.kiev.ua/mebelnye-sistemy/mebel-brw-azteca/azteca-tumba-tv-rtv2d2s-brv/" TargetMode="External"/><Relationship Id="rId114" Type="http://schemas.openxmlformats.org/officeDocument/2006/relationships/hyperlink" Target="http://gerbor.kiev.ua/mebelnye-sistemy/mebel-indiana-brw/indiana-stol-pismennyy-jbiu2d2s140-brv/" TargetMode="External"/><Relationship Id="rId115" Type="http://schemas.openxmlformats.org/officeDocument/2006/relationships/hyperlink" Target="http://gerbor.kiev.ua/mebelnye-sistemy/mebel-koen-gerbor/koen-penal-reg2d2s-gerbor/" TargetMode="External"/><Relationship Id="rId116" Type="http://schemas.openxmlformats.org/officeDocument/2006/relationships/hyperlink" Target="http://gerbor.kiev.ua/mebelnye-sistemy/mebel-white-gerbor/white-komod-4s90-gerbor/" TargetMode="External"/><Relationship Id="rId117" Type="http://schemas.openxmlformats.org/officeDocument/2006/relationships/hyperlink" Target="http://gerbor.kiev.ua/mebelnye-sistemy/mebel-nepo-gerbor/nepo-prikhozhaya-ppk-gerbor/" TargetMode="External"/><Relationship Id="rId118" Type="http://schemas.openxmlformats.org/officeDocument/2006/relationships/hyperlink" Target="http://gerbor.kiev.ua/mebelnye-sistemy/mebel-alaska-brw/alaska-gostinaya-brw/" TargetMode="External"/><Relationship Id="rId119" Type="http://schemas.openxmlformats.org/officeDocument/2006/relationships/hyperlink" Target="http://gerbor.kiev.ua/mebelnye-sistemy/mebel-liberti-brw/liberti-shkaf-szf3d-brv/" TargetMode="External"/><Relationship Id="rId120" Type="http://schemas.openxmlformats.org/officeDocument/2006/relationships/hyperlink" Target="http://maxmebel.com.ua/" TargetMode="External"/><Relationship Id="rId121" Type="http://schemas.openxmlformats.org/officeDocument/2006/relationships/hyperlink" Target="http://maxmebel.com.ua/_hh11.htm" TargetMode="External"/><Relationship Id="rId122" Type="http://schemas.openxmlformats.org/officeDocument/2006/relationships/hyperlink" Target="http://maxmebel.com.ua/pi/products_id/15620" TargetMode="External"/><Relationship Id="rId123" Type="http://schemas.openxmlformats.org/officeDocument/2006/relationships/hyperlink" Target="http://maxmebel.com.ua/pi/products_id/4909" TargetMode="External"/><Relationship Id="rId124" Type="http://schemas.openxmlformats.org/officeDocument/2006/relationships/hyperlink" Target="http://maxmebel.com.ua/pi/products_id/6503" TargetMode="External"/><Relationship Id="rId125" Type="http://schemas.openxmlformats.org/officeDocument/2006/relationships/hyperlink" Target="http://maxmebel.com.ua/pi/products_id/13019" TargetMode="External"/><Relationship Id="rId126" Type="http://schemas.openxmlformats.org/officeDocument/2006/relationships/hyperlink" Target="http://maxmebel.com.ua/pi/products_id/14792" TargetMode="External"/><Relationship Id="rId127" Type="http://schemas.openxmlformats.org/officeDocument/2006/relationships/hyperlink" Target="http://maxmebel.com.ua/pi/products_id/509" TargetMode="External"/><Relationship Id="rId128" Type="http://schemas.openxmlformats.org/officeDocument/2006/relationships/hyperlink" Target="http://maxmebel.com.ua/pi/products_id/6732" TargetMode="External"/><Relationship Id="rId129" Type="http://schemas.openxmlformats.org/officeDocument/2006/relationships/hyperlink" Target="http://maxmebel.com.ua/pi/products_id/19831" TargetMode="External"/><Relationship Id="rId130" Type="http://schemas.openxmlformats.org/officeDocument/2006/relationships/hyperlink" Target="https://promebli.ua/" TargetMode="External"/><Relationship Id="rId131" Type="http://schemas.openxmlformats.org/officeDocument/2006/relationships/hyperlink" Target="https://promebli.ua/tv-tumba-rtv2d2s-4-15-azteca-brw-belaja.html" TargetMode="External"/><Relationship Id="rId132" Type="http://schemas.openxmlformats.org/officeDocument/2006/relationships/hyperlink" Target="https://promebli.ua/jbiu2d2s.html" TargetMode="External"/><Relationship Id="rId133" Type="http://schemas.openxmlformats.org/officeDocument/2006/relationships/hyperlink" Target="https://promebli.ua/shkaf-szf2d2s-koen-mdf-gerbor.html" TargetMode="External"/><Relationship Id="rId134" Type="http://schemas.openxmlformats.org/officeDocument/2006/relationships/hyperlink" Target="https://promebli.ua/komod-4s-90-vait-gerbor.html" TargetMode="External"/><Relationship Id="rId135" Type="http://schemas.openxmlformats.org/officeDocument/2006/relationships/hyperlink" Target="https://promebli.ua/prihozhaja-ppk-nepo-gerbor.html" TargetMode="External"/><Relationship Id="rId136" Type="http://schemas.openxmlformats.org/officeDocument/2006/relationships/hyperlink" Target="https://promebli.ua/stenka-aljaska-brw.html" TargetMode="External"/><Relationship Id="rId137" Type="http://schemas.openxmlformats.org/officeDocument/2006/relationships/hyperlink" Target="https://promebli.ua/stenka-quatro--kvatro--brw.html" TargetMode="External"/><Relationship Id="rId138" Type="http://schemas.openxmlformats.org/officeDocument/2006/relationships/hyperlink" Target="https://promebli.ua/shkaf-3d-liberty-brw.html" TargetMode="External"/><Relationship Id="rId139" Type="http://schemas.openxmlformats.org/officeDocument/2006/relationships/hyperlink" Target="https://komod-bc.com.ua/" TargetMode="External"/><Relationship Id="rId140" Type="http://schemas.openxmlformats.org/officeDocument/2006/relationships/hyperlink" Target="https://komod-bc.com.ua/products/tumba-s205-rtv2d2s415-atsteka-001" TargetMode="External"/><Relationship Id="rId141" Type="http://schemas.openxmlformats.org/officeDocument/2006/relationships/hyperlink" Target="https://komod-bc.com.ua/products/stol-pismennyj-jbiu-2d2s-140-indiana-j-007" TargetMode="External"/><Relationship Id="rId142" Type="http://schemas.openxmlformats.org/officeDocument/2006/relationships/hyperlink" Target="https://komod-bc.com.ua/products/shkaf-szf-2d2s-koen-014" TargetMode="External"/><Relationship Id="rId143" Type="http://schemas.openxmlformats.org/officeDocument/2006/relationships/hyperlink" Target="https://komod-bc.com.ua/products/komod-4s-90-vajt-008" TargetMode="External"/><Relationship Id="rId144" Type="http://schemas.openxmlformats.org/officeDocument/2006/relationships/hyperlink" Target="https://komod-bc.com.ua/products/prihozhaya-rrk-nepo-019" TargetMode="External"/><Relationship Id="rId145" Type="http://schemas.openxmlformats.org/officeDocument/2006/relationships/hyperlink" Target="https://komod-bc.com.ua/products/gostinaya-alyaska" TargetMode="External"/><Relationship Id="rId146" Type="http://schemas.openxmlformats.org/officeDocument/2006/relationships/hyperlink" Target="https://komod-bc.com.ua/products/gostinaya-kvatro" TargetMode="External"/><Relationship Id="rId147" Type="http://schemas.openxmlformats.org/officeDocument/2006/relationships/hyperlink" Target="https://komod-bc.com.ua/products/shkaf-3d-liberti-005" TargetMode="External"/><Relationship Id="rId148" Type="http://schemas.openxmlformats.org/officeDocument/2006/relationships/hyperlink" Target="https://www.mebelok.com/" TargetMode="External"/><Relationship Id="rId149" Type="http://schemas.openxmlformats.org/officeDocument/2006/relationships/hyperlink" Target="https://www.mebelok.com/tymba-tv-rtv2d2s415-acteka/" TargetMode="External"/><Relationship Id="rId150" Type="http://schemas.openxmlformats.org/officeDocument/2006/relationships/hyperlink" Target="https://www.mebelok.com/stol-pismennyy-jbiu-2d2s-140/" TargetMode="External"/><Relationship Id="rId151" Type="http://schemas.openxmlformats.org/officeDocument/2006/relationships/hyperlink" Target="https://www.mebelok.com/koen-shkaf-szf2d2s-mdf/" TargetMode="External"/><Relationship Id="rId152" Type="http://schemas.openxmlformats.org/officeDocument/2006/relationships/hyperlink" Target="https://www.mebelok.com/prihojaya-ppk-nepo/" TargetMode="External"/><Relationship Id="rId153" Type="http://schemas.openxmlformats.org/officeDocument/2006/relationships/hyperlink" Target="https://www.mebelok.com/gostinaya-kvatro/" TargetMode="External"/><Relationship Id="rId154" Type="http://schemas.openxmlformats.org/officeDocument/2006/relationships/hyperlink" Target="https://www.mebelok.com/shkaf-3d-liberti/" TargetMode="External"/><Relationship Id="rId155" Type="http://schemas.openxmlformats.org/officeDocument/2006/relationships/hyperlink" Target="http://redlight.com.ua/" TargetMode="External"/><Relationship Id="rId156" Type="http://schemas.openxmlformats.org/officeDocument/2006/relationships/hyperlink" Target="http://redlight.com.ua/cat/mebel-dlja-gostinnoj/tv-stands/tumba-tv-rtv2d2s-4-15-atsteka.html" TargetMode="External"/><Relationship Id="rId157" Type="http://schemas.openxmlformats.org/officeDocument/2006/relationships/hyperlink" Target="http://redlight.com.ua/cat/stoly/pisminnye/stol-pismenniy-jbiu-2d2s-indiana.html" TargetMode="External"/><Relationship Id="rId158" Type="http://schemas.openxmlformats.org/officeDocument/2006/relationships/hyperlink" Target="http://redlight.com.ua/cat/modulnaya-mebel/shkaf/shkaf-szf2d2s-koen-(mdf).html" TargetMode="External"/><Relationship Id="rId159" Type="http://schemas.openxmlformats.org/officeDocument/2006/relationships/hyperlink" Target="http://redlight.com.ua/cat/modulnaya-mebel/komod/vayt-komod-4s-90.html" TargetMode="External"/><Relationship Id="rId160" Type="http://schemas.openxmlformats.org/officeDocument/2006/relationships/hyperlink" Target="http://redlight.com.ua/cat/prihozhie/sovremennye/nepo-prihozhaya-rrk-.html" TargetMode="External"/><Relationship Id="rId161" Type="http://schemas.openxmlformats.org/officeDocument/2006/relationships/hyperlink" Target="http://redlight.com.ua/cat/mebel-dlja-gostinnoj/stenki/stenka-alyaska.html" TargetMode="External"/><Relationship Id="rId162" Type="http://schemas.openxmlformats.org/officeDocument/2006/relationships/hyperlink" Target="http://redlight.com.ua/cat/mebel-dlja-gostinnoj/stenki/stenka-kvatro.html" TargetMode="External"/><Relationship Id="rId163" Type="http://schemas.openxmlformats.org/officeDocument/2006/relationships/hyperlink" Target="http://redlight.com.ua/cat/modulnaya-mebel/shkaf/liberti-shkaf-szf3d.html" TargetMode="External"/><Relationship Id="rId164" Type="http://schemas.openxmlformats.org/officeDocument/2006/relationships/hyperlink" Target="https://zapadmebel.com.ua/" TargetMode="External"/><Relationship Id="rId165" Type="http://schemas.openxmlformats.org/officeDocument/2006/relationships/hyperlink" Target="https://zapadmebel.com.ua/mebel-brw/tumba-s205-rtv2d2s-4-15-atsteka-001/" TargetMode="External"/><Relationship Id="rId166" Type="http://schemas.openxmlformats.org/officeDocument/2006/relationships/hyperlink" Target="https://zapadmebel.com.ua/mebel-brw/indiana-stol-pismennyj-jbiu2d2s/" TargetMode="External"/><Relationship Id="rId167" Type="http://schemas.openxmlformats.org/officeDocument/2006/relationships/hyperlink" Target="https://zapadmebel.com.ua/mebel-gerbor/shkaf-szf2d2s-koen-mdf-014/" TargetMode="External"/><Relationship Id="rId168" Type="http://schemas.openxmlformats.org/officeDocument/2006/relationships/hyperlink" Target="https://zapadmebel.com.ua/mebel-gerbor/vajt-komod-4s-90/" TargetMode="External"/><Relationship Id="rId169" Type="http://schemas.openxmlformats.org/officeDocument/2006/relationships/hyperlink" Target="https://zapadmebel.com.ua/mebel-gerbor/prihozhaya-ppk-nepo/" TargetMode="External"/><Relationship Id="rId170" Type="http://schemas.openxmlformats.org/officeDocument/2006/relationships/hyperlink" Target="https://zapadmebel.com.ua/mebel-brw/gostinaya-alyaska/" TargetMode="External"/><Relationship Id="rId171" Type="http://schemas.openxmlformats.org/officeDocument/2006/relationships/hyperlink" Target="https://zapadmebel.com.ua/stenki-gostinye/stenka-kvatro/" TargetMode="External"/><Relationship Id="rId172" Type="http://schemas.openxmlformats.org/officeDocument/2006/relationships/hyperlink" Target="https://zapadmebel.com.ua/shkafy/liberti-shkaf-3d/" TargetMode="External"/><Relationship Id="rId173" Type="http://schemas.openxmlformats.org/officeDocument/2006/relationships/hyperlink" Target="https://meblihit.com.ua/" TargetMode="External"/><Relationship Id="rId174" Type="http://schemas.openxmlformats.org/officeDocument/2006/relationships/hyperlink" Target="https://meblihit.com.ua/catalog/tumby_dlya_tekhniki/tumba_rtv2d2s_4_15/" TargetMode="External"/><Relationship Id="rId175" Type="http://schemas.openxmlformats.org/officeDocument/2006/relationships/hyperlink" Target="https://meblihit.com.ua/catalog/desks/modulna_sistema_nd_ana_st_l_pismoviy_jbiu_2s2d_140/" TargetMode="External"/><Relationship Id="rId176" Type="http://schemas.openxmlformats.org/officeDocument/2006/relationships/hyperlink" Target="https://meblihit.com.ua/catalog/modular_system_of_absence_mdf/modular_system_of_absence_mdf_cupboard_hanging_wardrobe_szf_2d2s/" TargetMode="External"/><Relationship Id="rId177" Type="http://schemas.openxmlformats.org/officeDocument/2006/relationships/hyperlink" Target="https://meblihit.com.ua/catalog/chests_of_drawers/modulnaya_systema_vayt_white_008_komod_4s_90/" TargetMode="External"/><Relationship Id="rId178" Type="http://schemas.openxmlformats.org/officeDocument/2006/relationships/hyperlink" Target="https://meblihit.com.ua/catalog/priho_ii_suites/modular_system_nepo_nepo_hallway_ppk/" TargetMode="External"/><Relationship Id="rId179" Type="http://schemas.openxmlformats.org/officeDocument/2006/relationships/hyperlink" Target="https://meblihit.com.ua/catalog/living_rooms/gostynaya_alyaska_alyaska/" TargetMode="External"/><Relationship Id="rId180" Type="http://schemas.openxmlformats.org/officeDocument/2006/relationships/hyperlink" Target="https://meblihit.com.ua/catalog/living_rooms/quatro_room/" TargetMode="External"/><Relationship Id="rId181" Type="http://schemas.openxmlformats.org/officeDocument/2006/relationships/hyperlink" Target="https://meblihit.com.ua/catalog/cabinets_trekhdvernye/bedroom_liberty_liberty_wardrobe_3d/" TargetMode="External"/>
</Relationships>
</file>

<file path=xl/worksheets/_rels/sheet24.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redlight.com.ua/" TargetMode="External"/><Relationship Id="rId9" Type="http://schemas.openxmlformats.org/officeDocument/2006/relationships/hyperlink" Target="http://redlight.com.ua/cat/mebel-dlja-gostinnoj/tv-stands/tumba-tv-rtv2d2s-4-15-atsteka.html" TargetMode="External"/><Relationship Id="rId10" Type="http://schemas.openxmlformats.org/officeDocument/2006/relationships/hyperlink" Target="http://redlight.com.ua/cat/stoly/pisminnye/stol-pismenniy-jbiu-2d2s-indiana.html" TargetMode="External"/><Relationship Id="rId11" Type="http://schemas.openxmlformats.org/officeDocument/2006/relationships/hyperlink" Target="http://redlight.com.ua/cat/modulnaya-mebel/shkaf/shkaf-szf2d2s-koen-(mdf).html" TargetMode="External"/><Relationship Id="rId12" Type="http://schemas.openxmlformats.org/officeDocument/2006/relationships/hyperlink" Target="http://redlight.com.ua/cat/modulnaya-mebel/komod/vayt-komod-4s-90.html" TargetMode="External"/><Relationship Id="rId13" Type="http://schemas.openxmlformats.org/officeDocument/2006/relationships/hyperlink" Target="http://redlight.com.ua/cat/prihozhie/sovremennye/nepo-prihozhaya-rrk-.html" TargetMode="External"/><Relationship Id="rId14" Type="http://schemas.openxmlformats.org/officeDocument/2006/relationships/hyperlink" Target="http://redlight.com.ua/cat/mebel-dlja-gostinnoj/stenki/stenka-alyaska.html" TargetMode="External"/><Relationship Id="rId15" Type="http://schemas.openxmlformats.org/officeDocument/2006/relationships/hyperlink" Target="http://redlight.com.ua/cat/mebel-dlja-gostinnoj/stenki/stenka-kvatro.html" TargetMode="External"/><Relationship Id="rId16" Type="http://schemas.openxmlformats.org/officeDocument/2006/relationships/hyperlink" Target="http://redlight.com.ua/cat/modulnaya-mebel/shkaf/liberti-shkaf-szf3d.html" TargetMode="External"/><Relationship Id="rId17" Type="http://schemas.openxmlformats.org/officeDocument/2006/relationships/hyperlink" Target="https://mebli-bristol.com.ua/" TargetMode="External"/><Relationship Id="rId18" Type="http://schemas.openxmlformats.org/officeDocument/2006/relationships/hyperlink" Target="https://mebli-bristol.com.ua/acteka-tumba-rtv-2d2s-4-15-brv-ukraina.html" TargetMode="External"/><Relationship Id="rId19" Type="http://schemas.openxmlformats.org/officeDocument/2006/relationships/hyperlink" Target="https://mebli-bristol.com.ua/indiana-stil-pis-movij-jbiu-2d2s-140-sosna-kan-jon-brv-ukraina.html" TargetMode="External"/><Relationship Id="rId20" Type="http://schemas.openxmlformats.org/officeDocument/2006/relationships/hyperlink" Target="https://mebli-bristol.com.ua/koen-shafa-szf-2d2s-mdf-gerbor.html" TargetMode="External"/><Relationship Id="rId21" Type="http://schemas.openxmlformats.org/officeDocument/2006/relationships/hyperlink" Target="https://mebli-bristol.com.ua/vajt-komod-4s-90-gerbor.html" TargetMode="External"/><Relationship Id="rId22" Type="http://schemas.openxmlformats.org/officeDocument/2006/relationships/hyperlink" Target="https://mebli-bristol.com.ua/nepo-peredpokij-ppk-gerbor-9712.html" TargetMode="External"/><Relationship Id="rId23" Type="http://schemas.openxmlformats.org/officeDocument/2006/relationships/hyperlink" Target="https://mebli-bristol.com.ua/aljaska-brv-ukraina.html" TargetMode="External"/><Relationship Id="rId24" Type="http://schemas.openxmlformats.org/officeDocument/2006/relationships/hyperlink" Target="https://mebli-bristol.com.ua/kvatro-gerbor.html" TargetMode="External"/><Relationship Id="rId25" Type="http://schemas.openxmlformats.org/officeDocument/2006/relationships/hyperlink" Target="https://mebli-bristol.com.ua/liberti-shafa-szf-3d-brv-ukraina.html" TargetMode="External"/><Relationship Id="rId26" Type="http://schemas.openxmlformats.org/officeDocument/2006/relationships/hyperlink" Target="http://gerbor.kiev.ua/" TargetMode="External"/><Relationship Id="rId27" Type="http://schemas.openxmlformats.org/officeDocument/2006/relationships/hyperlink" Target="http://gerbor.kiev.ua/mebelnye-sistemy/mebel-brw-azteca/azteca-tumba-tv-rtv2d2s-brv/" TargetMode="External"/><Relationship Id="rId28" Type="http://schemas.openxmlformats.org/officeDocument/2006/relationships/hyperlink" Target="http://gerbor.kiev.ua/mebelnye-sistemy/mebel-indiana-kanjon-brw/indiana-kanjon-stol-pismennyy-jbiu2d2s140-brv/" TargetMode="External"/><Relationship Id="rId29" Type="http://schemas.openxmlformats.org/officeDocument/2006/relationships/hyperlink" Target="http://gerbor.kiev.ua/mebelnye-sistemy/mebel-koen-gerbor/koen-shkaf-szf2d2s-gerbor/" TargetMode="External"/><Relationship Id="rId30" Type="http://schemas.openxmlformats.org/officeDocument/2006/relationships/hyperlink" Target="http://gerbor.kiev.ua/mebelnye-sistemy/mebel-white-gerbor/white-komod-4s90-gerbor/" TargetMode="External"/><Relationship Id="rId31" Type="http://schemas.openxmlformats.org/officeDocument/2006/relationships/hyperlink" Target="http://gerbor.kiev.ua/mebelnye-sistemy/mebel-nepo-gerbor/nepo-prikhozhaya-ppk-gerbor/" TargetMode="External"/><Relationship Id="rId32" Type="http://schemas.openxmlformats.org/officeDocument/2006/relationships/hyperlink" Target="http://gerbor.kiev.ua/mebelnye-sistemy/mebel-alaska-brw/alaska-gostinaya-brw/" TargetMode="External"/><Relationship Id="rId33" Type="http://schemas.openxmlformats.org/officeDocument/2006/relationships/hyperlink" Target="http://gerbor.kiev.ua/mebelnye-sistemy/mebel-quatro-gerbor/quatro-gostinaya-gerbor/" TargetMode="External"/><Relationship Id="rId34" Type="http://schemas.openxmlformats.org/officeDocument/2006/relationships/hyperlink" Target="http://gerbor.kiev.ua/mebelnye-sistemy/mebel-liberti-brw/liberti-shkaf-szf3d-brv/" TargetMode="External"/><Relationship Id="rId35" Type="http://schemas.openxmlformats.org/officeDocument/2006/relationships/hyperlink" Target="http://www.brwland.com.ua/" TargetMode="External"/><Relationship Id="rId36" Type="http://schemas.openxmlformats.org/officeDocument/2006/relationships/hyperlink" Target="http://www.brwland.com.ua/product/azteca-tumba-tv-rtv2d2s415-brv-ukraina/" TargetMode="External"/><Relationship Id="rId37" Type="http://schemas.openxmlformats.org/officeDocument/2006/relationships/hyperlink" Target="http://www.brwland.com.ua/product/indiana-kanjon-stol-pismennyj-jbiu-2d2s140-brv-ukraina/" TargetMode="External"/><Relationship Id="rId38" Type="http://schemas.openxmlformats.org/officeDocument/2006/relationships/hyperlink" Target="http://www.brwland.com.ua/product/koen-szf-2d2s-shkaf-gerbor/" TargetMode="External"/><Relationship Id="rId39" Type="http://schemas.openxmlformats.org/officeDocument/2006/relationships/hyperlink" Target="http://www.brwland.com.ua/product/white-komod-4s90-gerbor/" TargetMode="External"/><Relationship Id="rId40" Type="http://schemas.openxmlformats.org/officeDocument/2006/relationships/hyperlink" Target="http://www.brwland.com.ua/product/nepo-prihozhaja-ppk-gerbor/" TargetMode="External"/><Relationship Id="rId41" Type="http://schemas.openxmlformats.org/officeDocument/2006/relationships/hyperlink" Target="http://www.brwland.com.ua/product/gostinaja-aljaska-brv-ukraina/" TargetMode="External"/><Relationship Id="rId42" Type="http://schemas.openxmlformats.org/officeDocument/2006/relationships/hyperlink" Target="http://www.brwland.com.ua/product/kvatro-gerbor/" TargetMode="External"/><Relationship Id="rId43" Type="http://schemas.openxmlformats.org/officeDocument/2006/relationships/hyperlink" Target="http://www.brwland.com.ua/product/liberti-shkaf-szf3d-brv-ukraina/" TargetMode="External"/><Relationship Id="rId44" Type="http://schemas.openxmlformats.org/officeDocument/2006/relationships/hyperlink" Target="http://gerbor.dp.ua/" TargetMode="External"/><Relationship Id="rId45" Type="http://schemas.openxmlformats.org/officeDocument/2006/relationships/hyperlink" Target="http://gerbor.dp.ua/index.php?route=product/product&amp;product_id=3138&amp;search=&#1072;&#1094;&#1090;&#1077;&#1082;&#1072;&amp;description=true&amp;sub_category=1&amp;page=2" TargetMode="External"/><Relationship Id="rId46" Type="http://schemas.openxmlformats.org/officeDocument/2006/relationships/hyperlink" Target="http://gerbor.dp.ua/index.php?route=product/product&amp;product_id=1725&amp;search=&#1080;&#1085;&#1076;&#1080;&#1072;&#1085;&#1072;&amp;description=true&amp;sub_category=1" TargetMode="External"/><Relationship Id="rId47" Type="http://schemas.openxmlformats.org/officeDocument/2006/relationships/hyperlink" Target="http://gerbor.dp.ua/index.php?route=product/product&amp;product_id=3812&amp;search=&#1082;&#1086;&#1077;&#1085;+&#1084;&#1076;&#1092;&amp;description=true&amp;sub_category=1" TargetMode="External"/><Relationship Id="rId48" Type="http://schemas.openxmlformats.org/officeDocument/2006/relationships/hyperlink" Target="http://gerbor.dp.ua/index.php?route=product/product&amp;product_id=3085&amp;search=&#1074;&#1072;&#1081;&#1090;&amp;description=true" TargetMode="External"/><Relationship Id="rId49" Type="http://schemas.openxmlformats.org/officeDocument/2006/relationships/hyperlink" Target="http://gerbor.dp.ua/index.php?route=product/product&amp;product_id=3473&amp;search=&#1085;&#1077;&#1087;&#1086;&amp;description=true&amp;page=2" TargetMode="External"/><Relationship Id="rId50" Type="http://schemas.openxmlformats.org/officeDocument/2006/relationships/hyperlink" Target="http://gerbor.dp.ua/index.php?route=product/product&amp;product_id=3031&amp;search=&#1072;&#1083;&#1103;&#1089;&#1082;&#1072;&amp;description=true" TargetMode="External"/><Relationship Id="rId51" Type="http://schemas.openxmlformats.org/officeDocument/2006/relationships/hyperlink" Target="http://gerbor.dp.ua/index.php?route=product/product&amp;product_id=2040&amp;search=&#1082;&#1074;&#1072;&#1090;&#1088;&#1086;&amp;description=true" TargetMode="External"/><Relationship Id="rId52" Type="http://schemas.openxmlformats.org/officeDocument/2006/relationships/hyperlink" Target="http://gerbor.dp.ua/index.php?route=product/product&amp;product_id=3851&amp;search=&#1083;&#1080;&#1073;&#1077;&#1088;&#1090;&#1080;&amp;description=true" TargetMode="External"/><Relationship Id="rId53" Type="http://schemas.openxmlformats.org/officeDocument/2006/relationships/hyperlink" Target="https://vashamebel.in.ua/" TargetMode="External"/><Relationship Id="rId54" Type="http://schemas.openxmlformats.org/officeDocument/2006/relationships/hyperlink" Target="https://vashamebel.in.ua/tumba-tv-brv-atsteka-rtv2d2s415/p12722" TargetMode="External"/><Relationship Id="rId55" Type="http://schemas.openxmlformats.org/officeDocument/2006/relationships/hyperlink" Target="https://vashamebel.in.ua/stol-pismennyij-brv-indiana-jbiu-2d2s/p916" TargetMode="External"/><Relationship Id="rId56" Type="http://schemas.openxmlformats.org/officeDocument/2006/relationships/hyperlink" Target="https://vashamebel.in.ua/shkaf-gerbor-koen-szf2d2s/p2181" TargetMode="External"/><Relationship Id="rId57" Type="http://schemas.openxmlformats.org/officeDocument/2006/relationships/hyperlink" Target="https://vashamebel.in.ua/komod-gerbor-vajt-4s-90/p10774" TargetMode="External"/><Relationship Id="rId58" Type="http://schemas.openxmlformats.org/officeDocument/2006/relationships/hyperlink" Target="https://vashamebel.in.ua/prihozhaya-gerbor-nepo-ppk/p12249" TargetMode="External"/><Relationship Id="rId59" Type="http://schemas.openxmlformats.org/officeDocument/2006/relationships/hyperlink" Target="https://vashamebel.in.ua/gostinaya-brv-alyaska/p4420" TargetMode="External"/><Relationship Id="rId60" Type="http://schemas.openxmlformats.org/officeDocument/2006/relationships/hyperlink" Target="https://vashamebel.in.ua/stenka-gerbor-kvatro/p2359" TargetMode="External"/><Relationship Id="rId61" Type="http://schemas.openxmlformats.org/officeDocument/2006/relationships/hyperlink" Target="http://mebel-mebel.com.ua/" TargetMode="External"/><Relationship Id="rId62" Type="http://schemas.openxmlformats.org/officeDocument/2006/relationships/hyperlink" Target="http://abcmebli.com.ua/" TargetMode="External"/><Relationship Id="rId63" Type="http://schemas.openxmlformats.org/officeDocument/2006/relationships/hyperlink" Target="http://abcmebli.com.ua/p14992-tumba_tv_rtv2d2s-4-15_atsteka" TargetMode="External"/><Relationship Id="rId64" Type="http://schemas.openxmlformats.org/officeDocument/2006/relationships/hyperlink" Target="http://abcmebli.com.ua/p1892-stol_pismenniy_jbiu2d2s_140_indiana" TargetMode="External"/><Relationship Id="rId65" Type="http://schemas.openxmlformats.org/officeDocument/2006/relationships/hyperlink" Target="http://abcmebli.com.ua/p15143-koen_mdf_shkaf_szf2d2s" TargetMode="External"/><Relationship Id="rId66" Type="http://schemas.openxmlformats.org/officeDocument/2006/relationships/hyperlink" Target="http://abcmebli.com.ua/p15658-komod_4s_90_vayt_gerbor" TargetMode="External"/><Relationship Id="rId67" Type="http://schemas.openxmlformats.org/officeDocument/2006/relationships/hyperlink" Target="http://abcmebli.com.ua/p15897-nepo_prihozhaya_ppk_gerbor" TargetMode="External"/><Relationship Id="rId68" Type="http://schemas.openxmlformats.org/officeDocument/2006/relationships/hyperlink" Target="http://abcmebli.com.ua/p15191-stenka_alyaska_brv" TargetMode="External"/><Relationship Id="rId69" Type="http://schemas.openxmlformats.org/officeDocument/2006/relationships/hyperlink" Target="http://abcmebli.com.ua/p2515-stenka_kvatro_gerbor" TargetMode="External"/><Relationship Id="rId70" Type="http://schemas.openxmlformats.org/officeDocument/2006/relationships/hyperlink" Target="http://abcmebli.com.ua/p15617-shkaf_szf3d_liberti_brv" TargetMode="External"/><Relationship Id="rId71" Type="http://schemas.openxmlformats.org/officeDocument/2006/relationships/hyperlink" Target="https://gerbor.mebelok.com/" TargetMode="External"/><Relationship Id="rId72" Type="http://schemas.openxmlformats.org/officeDocument/2006/relationships/hyperlink" Target="https://www.mebelok.com/tymba-tv-rtv2d2s415-acteka/" TargetMode="External"/><Relationship Id="rId73" Type="http://schemas.openxmlformats.org/officeDocument/2006/relationships/hyperlink" Target="https://www.mebelok.com/stol-pismennyy-jbiu-2d2s-140/" TargetMode="External"/><Relationship Id="rId74" Type="http://schemas.openxmlformats.org/officeDocument/2006/relationships/hyperlink" Target="https://www.mebelok.com/koen-shkaf-szf2d2s-mdf/" TargetMode="External"/><Relationship Id="rId75" Type="http://schemas.openxmlformats.org/officeDocument/2006/relationships/hyperlink" Target="https://www.mebelok.com/prihojaya-ppk-nepo/" TargetMode="External"/><Relationship Id="rId76" Type="http://schemas.openxmlformats.org/officeDocument/2006/relationships/hyperlink" Target="https://www.mebelok.com/gostinaya-kvatro/" TargetMode="External"/><Relationship Id="rId77" Type="http://schemas.openxmlformats.org/officeDocument/2006/relationships/hyperlink" Target="https://www.mebelok.com/shkaf-3d-liberti/" TargetMode="External"/><Relationship Id="rId78" Type="http://schemas.openxmlformats.org/officeDocument/2006/relationships/hyperlink" Target="http://maxmebel.com.ua/" TargetMode="External"/><Relationship Id="rId79" Type="http://schemas.openxmlformats.org/officeDocument/2006/relationships/hyperlink" Target="http://maxmebel.com.ua/pi/products_id/15620" TargetMode="External"/><Relationship Id="rId80" Type="http://schemas.openxmlformats.org/officeDocument/2006/relationships/hyperlink" Target="http://maxmebel.com.ua/pi/products_id/4909" TargetMode="External"/><Relationship Id="rId81" Type="http://schemas.openxmlformats.org/officeDocument/2006/relationships/hyperlink" Target="http://maxmebel.com.ua/pi/products_id/6503" TargetMode="External"/><Relationship Id="rId82" Type="http://schemas.openxmlformats.org/officeDocument/2006/relationships/hyperlink" Target="http://maxmebel.com.ua/pi/products_id/13019" TargetMode="External"/><Relationship Id="rId83" Type="http://schemas.openxmlformats.org/officeDocument/2006/relationships/hyperlink" Target="http://maxmebel.com.ua/pi/products_id/14792" TargetMode="External"/><Relationship Id="rId84" Type="http://schemas.openxmlformats.org/officeDocument/2006/relationships/hyperlink" Target="http://maxmebel.com.ua/pi/products_id/509" TargetMode="External"/><Relationship Id="rId85" Type="http://schemas.openxmlformats.org/officeDocument/2006/relationships/hyperlink" Target="http://maxmebel.com.ua/pi/products_id/6732" TargetMode="External"/><Relationship Id="rId86" Type="http://schemas.openxmlformats.org/officeDocument/2006/relationships/hyperlink" Target="http://maxmebel.com.ua/pi/products_id/19831" TargetMode="External"/><Relationship Id="rId87" Type="http://schemas.openxmlformats.org/officeDocument/2006/relationships/hyperlink" Target="https://moyamebel.com.ua/ua" TargetMode="External"/><Relationship Id="rId88" Type="http://schemas.openxmlformats.org/officeDocument/2006/relationships/hyperlink" Target="https://moyamebel.com.ua/ua/products/prihozhaya-nepo" TargetMode="External"/><Relationship Id="rId89" Type="http://schemas.openxmlformats.org/officeDocument/2006/relationships/hyperlink" Target="https://moyamebel.com.ua/ua/products/gostinaya-kvatro" TargetMode="External"/><Relationship Id="rId90" Type="http://schemas.openxmlformats.org/officeDocument/2006/relationships/hyperlink" Target="https://mebel-soyuz.com.ua/" TargetMode="External"/><Relationship Id="rId91" Type="http://schemas.openxmlformats.org/officeDocument/2006/relationships/hyperlink" Target="https://mebel-soyuz.com.ua/10995/" TargetMode="External"/><Relationship Id="rId92" Type="http://schemas.openxmlformats.org/officeDocument/2006/relationships/hyperlink" Target="https://sofino.ua/" TargetMode="External"/><Relationship Id="rId93" Type="http://schemas.openxmlformats.org/officeDocument/2006/relationships/hyperlink" Target="https://sofino.ua/brw-ukraina-stol-pismennyjj-jbiu2d2s140-indiana/g-40899" TargetMode="External"/><Relationship Id="rId94" Type="http://schemas.openxmlformats.org/officeDocument/2006/relationships/hyperlink" Target="https://sofino.ua/gerbor-shkaf-szf2d2s-koen-mdf-venge-magija-shtroks-temnyjj/g-19372" TargetMode="External"/><Relationship Id="rId95" Type="http://schemas.openxmlformats.org/officeDocument/2006/relationships/hyperlink" Target="https://sofino.ua/gerbor-komod-4s-90-vajjt/g-95203" TargetMode="External"/><Relationship Id="rId96" Type="http://schemas.openxmlformats.org/officeDocument/2006/relationships/hyperlink" Target="https://sofino.ua/gerbor-prikhozhaja-ppk-nepo/g-287089" TargetMode="External"/><Relationship Id="rId97" Type="http://schemas.openxmlformats.org/officeDocument/2006/relationships/hyperlink" Target="https://sofino.ua/brw-ukraina-stenka-aljaska-belyjj-gljanec/g-454107" TargetMode="External"/><Relationship Id="rId98" Type="http://schemas.openxmlformats.org/officeDocument/2006/relationships/hyperlink" Target="https://sofino.ua/gerbor-stenka-s-podsvetkojj-kvatro/g-18955" TargetMode="External"/><Relationship Id="rId99" Type="http://schemas.openxmlformats.org/officeDocument/2006/relationships/hyperlink" Target="https://sofino.ua/brw-ukraina-shkaf-3d-liberti-dub-sonoma-belyjj-gljanec/g-95147" TargetMode="External"/><Relationship Id="rId100" Type="http://schemas.openxmlformats.org/officeDocument/2006/relationships/hyperlink" Target="http://www.brw-gerbor.od.ua/" TargetMode="External"/><Relationship Id="rId101" Type="http://schemas.openxmlformats.org/officeDocument/2006/relationships/hyperlink" Target="http://brw-gerbor.od.ua/index.php?route=product/product&amp;filter_name=&#1074;&#1072;&#1081;&#1090;&amp;product_id=3155" TargetMode="External"/><Relationship Id="rId102" Type="http://schemas.openxmlformats.org/officeDocument/2006/relationships/hyperlink" Target="http://brw-gerbor.od.ua/index.php?route=product/product&amp;filter_name=&#1085;&#1077;&#1087;&#1086;&amp;page=2&amp;product_id=3266" TargetMode="External"/><Relationship Id="rId103" Type="http://schemas.openxmlformats.org/officeDocument/2006/relationships/hyperlink" Target="http://brw-gerbor.od.ua/index.php?route=product/product&amp;filter_name=&#1072;&#1083;&#1103;&#1089;&#1082;&#1072;&amp;product_id=4574" TargetMode="External"/><Relationship Id="rId104" Type="http://schemas.openxmlformats.org/officeDocument/2006/relationships/hyperlink" Target="http://brw-gerbor.od.ua/index.php?route=product/product&amp;filter_name=&#1082;&#1074;&#1072;&#1090;&#1088;&#1086;&amp;product_id=116" TargetMode="External"/><Relationship Id="rId105" Type="http://schemas.openxmlformats.org/officeDocument/2006/relationships/hyperlink" Target="http://brw-gerbor.od.ua/index.php?route=product/product&amp;filter_name=&#1083;&#1080;&#1073;&#1077;&#1088;&#1090;&#1080;&amp;product_id=2703" TargetMode="External"/><Relationship Id="rId106" Type="http://schemas.openxmlformats.org/officeDocument/2006/relationships/hyperlink" Target="http://gerbor.mebli-smerichka.com.ua/" TargetMode="External"/><Relationship Id="rId107" Type="http://schemas.openxmlformats.org/officeDocument/2006/relationships/hyperlink" Target="http://furniture.zp.ua/" TargetMode="External"/><Relationship Id="rId108" Type="http://schemas.openxmlformats.org/officeDocument/2006/relationships/hyperlink" Target="http://furniture.zp.ua/gerbor-xolding/gostinnie/modulnie-nabori/5562-gostinaya-atsteka.html?search_query=acteka&amp;results=2" TargetMode="External"/><Relationship Id="rId109" Type="http://schemas.openxmlformats.org/officeDocument/2006/relationships/hyperlink" Target="http://furniture.zp.ua/gerbor-xolding/detskie/3184-stol-pismenniie-jbiu-2d2s-140-indiana.html?search_query=indiana&amp;results=24" TargetMode="External"/><Relationship Id="rId110" Type="http://schemas.openxmlformats.org/officeDocument/2006/relationships/hyperlink" Target="http://furniture.zp.ua/gerbor-xolding/prixojie/modulnie-sistemi/6017-prihozhaya-nepo-ppk.html?search_query=nepo&amp;results=151" TargetMode="External"/><Relationship Id="rId111" Type="http://schemas.openxmlformats.org/officeDocument/2006/relationships/hyperlink" Target="http://furniture.zp.ua/gerbor-xolding/gostinnie/modulnie-nabori/6155-gostinaya-alyaska.html?search_query=alyaska&amp;results=3" TargetMode="External"/><Relationship Id="rId112" Type="http://schemas.openxmlformats.org/officeDocument/2006/relationships/hyperlink" Target="http://furniture.zp.ua/gerbor-xolding/gostinnie/1467-kvatro.html?search_query=kvatro&amp;results=4" TargetMode="External"/><Relationship Id="rId113" Type="http://schemas.openxmlformats.org/officeDocument/2006/relationships/hyperlink" Target="http://furniture.zp.ua/gerbor-xolding/spalni/modulnie-sistemi/5565-spalnya-liberti.html?search_query=liberti&amp;results=2" TargetMode="External"/><Relationship Id="rId114" Type="http://schemas.openxmlformats.org/officeDocument/2006/relationships/hyperlink" Target="https://www.brw-kiev.com.ua/" TargetMode="External"/><Relationship Id="rId115" Type="http://schemas.openxmlformats.org/officeDocument/2006/relationships/hyperlink" Target="https://www.brw-kiev.com.ua/catalog/mebel/azteca-shafka_pid_tv-rtv2d2s_4_15-000004821.html" TargetMode="External"/><Relationship Id="rId116" Type="http://schemas.openxmlformats.org/officeDocument/2006/relationships/hyperlink" Target="https://www.brw-kiev.com.ua/catalog/mebel/koen-shafa-szf2d2s-000003944.html" TargetMode="External"/><Relationship Id="rId117" Type="http://schemas.openxmlformats.org/officeDocument/2006/relationships/hyperlink" Target="https://www.brw-kiev.com.ua/catalog/mebel/spalnya/vayt-komod-kom4s_90-000008377.html" TargetMode="External"/><Relationship Id="rId118" Type="http://schemas.openxmlformats.org/officeDocument/2006/relationships/hyperlink" Target="https://www.brw-kiev.com.ua/catalog/mebel/nepo-peredpokiy-ppk-000006567.html" TargetMode="External"/><Relationship Id="rId119" Type="http://schemas.openxmlformats.org/officeDocument/2006/relationships/hyperlink" Target="https://www.brw-kiev.com.ua/catalog/mebel/stinki-vital_nya-alaska-000006901.html" TargetMode="External"/><Relationship Id="rId120" Type="http://schemas.openxmlformats.org/officeDocument/2006/relationships/hyperlink" Target="https://www.brw-kiev.com.ua/catalog/mebel/spalnya/liberty-shafa-szf_3d-000006341.html" TargetMode="External"/><Relationship Id="rId121" Type="http://schemas.openxmlformats.org/officeDocument/2006/relationships/hyperlink" Target="https://brw-lviv.com.ua/" TargetMode="External"/><Relationship Id="rId122" Type="http://schemas.openxmlformats.org/officeDocument/2006/relationships/hyperlink" Target="https://brw-lviv.com.ua/product/atsteky-tumba-tv-rtv2d2s-4-15-brv-ukrayina" TargetMode="External"/><Relationship Id="rId123" Type="http://schemas.openxmlformats.org/officeDocument/2006/relationships/hyperlink" Target="https://brw-lviv.com.ua/product/indiana-kanjon-stil-pysmovyj-jbiu-2d2s-140-brv-ukrayina" TargetMode="External"/><Relationship Id="rId124" Type="http://schemas.openxmlformats.org/officeDocument/2006/relationships/hyperlink" Target="https://brw-lviv.com.ua/product/koen-mdf-shafa-szf-2d2s-gerbor" TargetMode="External"/><Relationship Id="rId125" Type="http://schemas.openxmlformats.org/officeDocument/2006/relationships/hyperlink" Target="https://brw-lviv.com.ua/product/vajt-komod-4s-90-gerbor" TargetMode="External"/><Relationship Id="rId126" Type="http://schemas.openxmlformats.org/officeDocument/2006/relationships/hyperlink" Target="https://brw-lviv.com.ua/product/nepo-peredpokij-ppk-gerbor" TargetMode="External"/><Relationship Id="rId127" Type="http://schemas.openxmlformats.org/officeDocument/2006/relationships/hyperlink" Target="https://brw-lviv.com.ua/product/vitalnya-alyaska-brv-ukrayina-2" TargetMode="External"/><Relationship Id="rId128" Type="http://schemas.openxmlformats.org/officeDocument/2006/relationships/hyperlink" Target="https://brw-lviv.com.ua/product/vitalnya-kvatro-gerbor" TargetMode="External"/><Relationship Id="rId129" Type="http://schemas.openxmlformats.org/officeDocument/2006/relationships/hyperlink" Target="https://brw-lviv.com.ua/product/lyberty-shafa-szf3d-brv-ukrayina" TargetMode="External"/><Relationship Id="rId130" Type="http://schemas.openxmlformats.org/officeDocument/2006/relationships/hyperlink" Target="http://beruvse.com/" TargetMode="External"/><Relationship Id="rId131" Type="http://schemas.openxmlformats.org/officeDocument/2006/relationships/hyperlink" Target="http://beruvse.com/product/azteca-rtv2d2s415-tumba-tv-brw/" TargetMode="External"/><Relationship Id="rId132" Type="http://schemas.openxmlformats.org/officeDocument/2006/relationships/hyperlink" Target="http://beruvse.com/product/nepo-prihozhaja-ppk/" TargetMode="External"/><Relationship Id="rId133" Type="http://schemas.openxmlformats.org/officeDocument/2006/relationships/hyperlink" Target="http://beruvse.com/product/stenka-kvatro/" TargetMode="External"/><Relationship Id="rId134" Type="http://schemas.openxmlformats.org/officeDocument/2006/relationships/hyperlink" Target="https://brw.kiev.ua/" TargetMode="External"/><Relationship Id="rId135" Type="http://schemas.openxmlformats.org/officeDocument/2006/relationships/hyperlink" Target="https://brw.kiev.ua/mebel-brw-ukraina/azteca/tumba-tv-rtv2d2s-azteca-brv/" TargetMode="External"/><Relationship Id="rId136" Type="http://schemas.openxmlformats.org/officeDocument/2006/relationships/hyperlink" Target="https://brw.kiev.ua/mebel-brw-ukraina/indiana-kanjon/stol-pismennyy-jbiu2d2s140-indiana-brv-kanjon/" TargetMode="External"/><Relationship Id="rId137" Type="http://schemas.openxmlformats.org/officeDocument/2006/relationships/hyperlink" Target="https://brw.kiev.ua/mebel-gerbor/koen/shkaf-szf2d2s-koen-gerbor/" TargetMode="External"/><Relationship Id="rId138" Type="http://schemas.openxmlformats.org/officeDocument/2006/relationships/hyperlink" Target="https://brw.kiev.ua/mebel-gerbor/white/komod-4s90-white-gerbor/" TargetMode="External"/><Relationship Id="rId139" Type="http://schemas.openxmlformats.org/officeDocument/2006/relationships/hyperlink" Target="https://brw.kiev.ua/mebel-gerbor/nepo/prikhozhaya-ppk-nepo-gerbor/" TargetMode="External"/><Relationship Id="rId140" Type="http://schemas.openxmlformats.org/officeDocument/2006/relationships/hyperlink" Target="https://brw.kiev.ua/mebel-brw-ukraina/alaska/stenka-alaska-brv/" TargetMode="External"/><Relationship Id="rId141" Type="http://schemas.openxmlformats.org/officeDocument/2006/relationships/hyperlink" Target="https://brw.kiev.ua/mebel-gerbor/quatro/stenka-quatro-gerbor/" TargetMode="External"/><Relationship Id="rId142" Type="http://schemas.openxmlformats.org/officeDocument/2006/relationships/hyperlink" Target="https://brw.kiev.ua/mebel-brw-ukraina/liberti/shkaf-szf3d-liberti-brv/" TargetMode="External"/><Relationship Id="rId143" Type="http://schemas.openxmlformats.org/officeDocument/2006/relationships/hyperlink" Target="http://brw.com.ua/" TargetMode="External"/><Relationship Id="rId144" Type="http://schemas.openxmlformats.org/officeDocument/2006/relationships/hyperlink" Target="https://mebelstyle.net/" TargetMode="External"/><Relationship Id="rId145" Type="http://schemas.openxmlformats.org/officeDocument/2006/relationships/hyperlink" Target="https://mebelstyle.net/tumby-pod-tv/tumba-pod-tv-brw-ukraina-azteca-rtv2d2s415-82546.html" TargetMode="External"/><Relationship Id="rId146" Type="http://schemas.openxmlformats.org/officeDocument/2006/relationships/hyperlink" Target="https://mebelstyle.net/komody/komod-gerbor-vajt-4s90-83449.html" TargetMode="External"/><Relationship Id="rId147" Type="http://schemas.openxmlformats.org/officeDocument/2006/relationships/hyperlink" Target="https://mebelstyle.net/prikhozhie/prikhozhaja-gerbor-nepo-ppk-83649.html" TargetMode="External"/><Relationship Id="rId148" Type="http://schemas.openxmlformats.org/officeDocument/2006/relationships/hyperlink" Target="https://mebelstyle.net/gostinye/gostinaja-gerbor-kvatro-venge-56219.html" TargetMode="External"/><Relationship Id="rId149" Type="http://schemas.openxmlformats.org/officeDocument/2006/relationships/hyperlink" Target="https://lvivmebli.com/" TargetMode="External"/><Relationship Id="rId150" Type="http://schemas.openxmlformats.org/officeDocument/2006/relationships/hyperlink" Target="https://lvivmebli.com/13319/" TargetMode="External"/><Relationship Id="rId151" Type="http://schemas.openxmlformats.org/officeDocument/2006/relationships/hyperlink" Target="https://lvivmebli.com/5039/" TargetMode="External"/><Relationship Id="rId152" Type="http://schemas.openxmlformats.org/officeDocument/2006/relationships/hyperlink" Target="https://lvivmebli.com/20467/" TargetMode="External"/><Relationship Id="rId153" Type="http://schemas.openxmlformats.org/officeDocument/2006/relationships/hyperlink" Target="https://lvivmebli.com/20985/" TargetMode="External"/><Relationship Id="rId154" Type="http://schemas.openxmlformats.org/officeDocument/2006/relationships/hyperlink" Target="https://lvivmebli.com/20532/" TargetMode="External"/><Relationship Id="rId155" Type="http://schemas.openxmlformats.org/officeDocument/2006/relationships/hyperlink" Target="https://lvivmebli.com/20571/" TargetMode="External"/><Relationship Id="rId156" Type="http://schemas.openxmlformats.org/officeDocument/2006/relationships/hyperlink" Target="http://centrmebliv.com.ua/" TargetMode="External"/><Relationship Id="rId157" Type="http://schemas.openxmlformats.org/officeDocument/2006/relationships/hyperlink" Target="http://centrmebliv.com.ua/modulni-mebli/brw-azteca/mebli-brw-brv-azteca-tumba-rtv2d2s?keyword=&#1072;&#1094;&#1090;&#1077;&#1082;&#1072;" TargetMode="External"/><Relationship Id="rId158" Type="http://schemas.openxmlformats.org/officeDocument/2006/relationships/hyperlink" Target="http://centrmebliv.com.ua/modulni-mebli/gerbor-koen-mdf/gerbor/brw-koen-mdf-shafa-sf-2d2s" TargetMode="External"/><Relationship Id="rId159" Type="http://schemas.openxmlformats.org/officeDocument/2006/relationships/hyperlink" Target="http://centrmebliv.com.ua/modulni-mebli/gerbor-vayt/mebli-gerbor-gerbor-vayt-komod-4s-90" TargetMode="External"/><Relationship Id="rId160" Type="http://schemas.openxmlformats.org/officeDocument/2006/relationships/hyperlink" Target="http://centrmebliv.com.ua/modulni-mebli/gerbor-nepo/mebli-gerbor-gerbor-nepo-pryhozha-rrk" TargetMode="External"/><Relationship Id="rId161" Type="http://schemas.openxmlformats.org/officeDocument/2006/relationships/hyperlink" Target="http://centrmebliv.com.ua/mebli-dlya-vitalni/stinky/mebli-gerbor-gerbor-kvatro" TargetMode="External"/><Relationship Id="rId162" Type="http://schemas.openxmlformats.org/officeDocument/2006/relationships/hyperlink" Target="https://letromebel.com.ua/" TargetMode="External"/><Relationship Id="rId163" Type="http://schemas.openxmlformats.org/officeDocument/2006/relationships/hyperlink" Target="https://letromebel.com.ua/p566111870-tumba-rtv2d2s415-atsteka.html" TargetMode="External"/><Relationship Id="rId164" Type="http://schemas.openxmlformats.org/officeDocument/2006/relationships/hyperlink" Target="https://letromebel.com.ua/p565553911-komod-4s90-vajt.html" TargetMode="External"/><Relationship Id="rId165" Type="http://schemas.openxmlformats.org/officeDocument/2006/relationships/hyperlink" Target="https://letromebel.com.ua/p441285622-prihozhaya-ppk-nepo.html" TargetMode="External"/><Relationship Id="rId166" Type="http://schemas.openxmlformats.org/officeDocument/2006/relationships/hyperlink" Target="https://letromebel.com.ua/p436378844-stenka-kvatro-venge.html" TargetMode="External"/><Relationship Id="rId167" Type="http://schemas.openxmlformats.org/officeDocument/2006/relationships/hyperlink" Target="https://letromebel.com.ua/p567125880-shkaf-szf3d-liberti.html"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s://brwmania.com.ua/gostinaja/modulnye-gostinye/sistema-azteka/tumba-pod-tv-acteka-rtv2d2s415/" TargetMode="External"/><Relationship Id="rId9" Type="http://schemas.openxmlformats.org/officeDocument/2006/relationships/hyperlink" Target="https://brwmania.com.ua/gostinaja/modulnye-gostinye/sistema_indiana__sosna_kanjon/indiana-sosna-kanyon-j-007-stol-pismennyy-jbiu-2d2s-140/" TargetMode="External"/><Relationship Id="rId10" Type="http://schemas.openxmlformats.org/officeDocument/2006/relationships/hyperlink" Target="https://brwmania.com.ua/gostinaja/modulnye-gostinye/sistema_koen_mdf/014-koen-mdf-shafa-szf2d2s/" TargetMode="External"/><Relationship Id="rId11" Type="http://schemas.openxmlformats.org/officeDocument/2006/relationships/hyperlink" Target="https://brwmania.com.ua/gostinaja/modulnye-gostinye/sistema_vajt/008-vayt-komod-4s-90/" TargetMode="External"/><Relationship Id="rId12" Type="http://schemas.openxmlformats.org/officeDocument/2006/relationships/hyperlink" Target="https://brwmania.com.ua/gostinaja/modulnye-gostinye/sistema_nepo/nepo-prihozha-ppk/" TargetMode="External"/><Relationship Id="rId13" Type="http://schemas.openxmlformats.org/officeDocument/2006/relationships/hyperlink" Target="https://brwmania.com.ua/gostinaja/komplekty-gostinyh/aljaska-alaska-gostinaja/" TargetMode="External"/><Relationship Id="rId14" Type="http://schemas.openxmlformats.org/officeDocument/2006/relationships/hyperlink" Target="https://brwmania.com.ua/gostinaja/komplekty-gostinyh/stinka-kvatro-venge-magia/" TargetMode="External"/><Relationship Id="rId15" Type="http://schemas.openxmlformats.org/officeDocument/2006/relationships/hyperlink" Target="https://brwmania.com.ua/spalni/modulnye-spalni/sistema-spalni-liberti/005-shkaf-3d/" TargetMode="External"/><Relationship Id="rId16" Type="http://schemas.openxmlformats.org/officeDocument/2006/relationships/hyperlink" Target="https://brwwood.com.ua/" TargetMode="External"/><Relationship Id="rId17" Type="http://schemas.openxmlformats.org/officeDocument/2006/relationships/hyperlink" Target="https://brwwood.com.ua/tumbochki-i-tumby/tumby-pod-televizor/001-atsteka-tumba-rtv2d2s-4-15-tumba-pod-televizor" TargetMode="External"/><Relationship Id="rId18" Type="http://schemas.openxmlformats.org/officeDocument/2006/relationships/hyperlink" Target="https://brwwood.com.ua/stoly/pismennye-stoly/stol-pismennyj-brw-indiana-sosna-kanjon-jbiu-2d2s-140" TargetMode="External"/><Relationship Id="rId19" Type="http://schemas.openxmlformats.org/officeDocument/2006/relationships/hyperlink" Target="https://brwwood.com.ua/shkafy-i-xranenie/dvuxdvernye-shkafy/shkaf-gerbor-koen-mdf-szf2d2s" TargetMode="External"/><Relationship Id="rId20" Type="http://schemas.openxmlformats.org/officeDocument/2006/relationships/hyperlink" Target="https://brwwood.com.ua/komody/komod-gerbor-vajt-4s-90" TargetMode="External"/><Relationship Id="rId21" Type="http://schemas.openxmlformats.org/officeDocument/2006/relationships/hyperlink" Target="https://brwwood.com.ua/mebel-dlja-prixozhej/komplekty-prixozhyx/prixozhaja-gerbor-nepo-ppk" TargetMode="External"/><Relationship Id="rId22" Type="http://schemas.openxmlformats.org/officeDocument/2006/relationships/hyperlink" Target="https://brwwood.com.ua/mebel-dlja-gostinoj/komplekty-stenok-v-gostnnuju/gostinaja-aljaska-brw" TargetMode="External"/><Relationship Id="rId23" Type="http://schemas.openxmlformats.org/officeDocument/2006/relationships/hyperlink" Target="https://brwwood.com.ua/mebel-dlja-gostinoj/komplekty-stenok-v-gostnnuju/gostinaja-kvatro-gerbor" TargetMode="External"/><Relationship Id="rId24" Type="http://schemas.openxmlformats.org/officeDocument/2006/relationships/hyperlink" Target="https://brwwood.com.ua/shkafy-i-xranenie/trexdvernye-shkafy/shkaf-brw-liberti-3d" TargetMode="External"/><Relationship Id="rId25" Type="http://schemas.openxmlformats.org/officeDocument/2006/relationships/hyperlink" Target="https://mebli-bristol.com.ua/" TargetMode="External"/><Relationship Id="rId26" Type="http://schemas.openxmlformats.org/officeDocument/2006/relationships/hyperlink" Target="https://mebli-bristol.com.ua/acteka-tumba-rtv-2d2s-4-15-brv-ukraina.html" TargetMode="External"/><Relationship Id="rId27" Type="http://schemas.openxmlformats.org/officeDocument/2006/relationships/hyperlink" Target="https://mebli-bristol.com.ua/indiana-stil-pis-movij-jbiu-2d2s-140-sosna-kan-jon-brv-ukraina.html" TargetMode="External"/><Relationship Id="rId28" Type="http://schemas.openxmlformats.org/officeDocument/2006/relationships/hyperlink" Target="https://mebli-bristol.com.ua/koen-shafa-szf-2d2s-mdf-gerbor.html" TargetMode="External"/><Relationship Id="rId29" Type="http://schemas.openxmlformats.org/officeDocument/2006/relationships/hyperlink" Target="https://mebli-bristol.com.ua/vajt-komod-4s-90-gerbor.html" TargetMode="External"/><Relationship Id="rId30" Type="http://schemas.openxmlformats.org/officeDocument/2006/relationships/hyperlink" Target="https://mebli-bristol.com.ua/nepo-peredpokij-ppk-gerbor-9728.html" TargetMode="External"/><Relationship Id="rId31" Type="http://schemas.openxmlformats.org/officeDocument/2006/relationships/hyperlink" Target="https://mebli-bristol.com.ua/aljaska-brv-ukraina.html" TargetMode="External"/><Relationship Id="rId32" Type="http://schemas.openxmlformats.org/officeDocument/2006/relationships/hyperlink" Target="https://mebli-bristol.com.ua/kvatro-gerbor.html" TargetMode="External"/><Relationship Id="rId33" Type="http://schemas.openxmlformats.org/officeDocument/2006/relationships/hyperlink" Target="https://mebli-bristol.com.ua/liberti-shafa-szf-3d-brv-ukraina.html" TargetMode="External"/><Relationship Id="rId34" Type="http://schemas.openxmlformats.org/officeDocument/2006/relationships/hyperlink" Target="https://stuloff.com.ua/index.php?route=common/home" TargetMode="External"/><Relationship Id="rId35" Type="http://schemas.openxmlformats.org/officeDocument/2006/relationships/hyperlink" Target="https://stuloff.com.ua/tumba_rtv_2d2s_4_15_azteka_beluy?search=&#1072;&#1094;&#1090;&#1077;&#1082;&#1072;&amp;category_id=0" TargetMode="External"/><Relationship Id="rId36" Type="http://schemas.openxmlformats.org/officeDocument/2006/relationships/hyperlink" Target="https://stuloff.com.ua/stol_pism_jbiu_2d2s_140_indiana_kanjon-?search=&#1080;&#1085;&#1076;&#1080;&#1072;&#1085;&#1072;&amp;category_id=0&amp;page=3" TargetMode="External"/><Relationship Id="rId37" Type="http://schemas.openxmlformats.org/officeDocument/2006/relationships/hyperlink" Target="https://stuloff.com.ua/chkaf_szf_2d2s_koen_mdf?search=&#1082;&#1086;&#1077;&#1085;&amp;category_id=0&amp;page=3" TargetMode="External"/><Relationship Id="rId38" Type="http://schemas.openxmlformats.org/officeDocument/2006/relationships/hyperlink" Target="https://stuloff.com.ua/komod_4s_90_white?search=&#1074;&#1072;&#1081;&#1090;&amp;category_id=0" TargetMode="External"/><Relationship Id="rId39" Type="http://schemas.openxmlformats.org/officeDocument/2006/relationships/hyperlink" Target="https://stuloff.com.ua/prichozay_ppk_nepo?search=&#1085;&#1077;&#1087;&#1086;&amp;category_id=0" TargetMode="External"/><Relationship Id="rId40" Type="http://schemas.openxmlformats.org/officeDocument/2006/relationships/hyperlink" Target="https://stuloff.com.ua/gostinaya_alyaska_brw?search=&#1072;&#1083;&#1103;&#1089;&#1082;&#1072;&amp;category_id=0" TargetMode="External"/><Relationship Id="rId41" Type="http://schemas.openxmlformats.org/officeDocument/2006/relationships/hyperlink" Target="https://stuloff.com.ua/gostinay_kvatro_gerbor_venge?search=&#1082;&#1074;&#1072;&#1090;&#1088;&#1086;&amp;category_id=0" TargetMode="External"/><Relationship Id="rId42" Type="http://schemas.openxmlformats.org/officeDocument/2006/relationships/hyperlink" Target="https://stuloff.com.ua/chkaf_3d_liberti?search=&#1083;&#1080;&#1073;&#1077;&#1088;&#1090;&#1080;&amp;category_id=0" TargetMode="External"/><Relationship Id="rId43" Type="http://schemas.openxmlformats.org/officeDocument/2006/relationships/hyperlink" Target="https://www.mebelvdom.ua/" TargetMode="External"/><Relationship Id="rId44" Type="http://schemas.openxmlformats.org/officeDocument/2006/relationships/hyperlink" Target="https://www.mebelvdom.ua/product/tumba-tv-rtv2d2s-4-15-acteka-brv" TargetMode="External"/><Relationship Id="rId45" Type="http://schemas.openxmlformats.org/officeDocument/2006/relationships/hyperlink" Target="https://www.mebelvdom.ua/product/stol-pismennyj-jbiu2d2s-140-indiana-kanon-brv" TargetMode="External"/><Relationship Id="rId46" Type="http://schemas.openxmlformats.org/officeDocument/2006/relationships/hyperlink" Target="https://www.mebelvdom.ua/product/komod-4s-90-vajt-gerbor" TargetMode="External"/><Relationship Id="rId47" Type="http://schemas.openxmlformats.org/officeDocument/2006/relationships/hyperlink" Target="https://www.mebelvdom.ua/product/prihozhaya-ppk-nepo-gerbor" TargetMode="External"/><Relationship Id="rId48" Type="http://schemas.openxmlformats.org/officeDocument/2006/relationships/hyperlink" Target="https://www.mebelvdom.ua/product/gostinaya-alyaska-brv" TargetMode="External"/><Relationship Id="rId49" Type="http://schemas.openxmlformats.org/officeDocument/2006/relationships/hyperlink" Target="https://www.mebelvdom.ua/product/shkaf-szf3d-liberti-brv" TargetMode="External"/><Relationship Id="rId50" Type="http://schemas.openxmlformats.org/officeDocument/2006/relationships/hyperlink" Target="http://abcmebli.com.ua/" TargetMode="External"/><Relationship Id="rId51" Type="http://schemas.openxmlformats.org/officeDocument/2006/relationships/hyperlink" Target="http://abcmebli.com.ua/p14992-tumba_tv_rtv2d2s-4-15_atsteka" TargetMode="External"/><Relationship Id="rId52" Type="http://schemas.openxmlformats.org/officeDocument/2006/relationships/hyperlink" Target="http://abcmebli.com.ua/p1892-stol_pismenniy_jbiu2d2s_140_indiana" TargetMode="External"/><Relationship Id="rId53" Type="http://schemas.openxmlformats.org/officeDocument/2006/relationships/hyperlink" Target="http://abcmebli.com.ua/p15143-koen_mdf_shkaf_szf2d2s" TargetMode="External"/><Relationship Id="rId54" Type="http://schemas.openxmlformats.org/officeDocument/2006/relationships/hyperlink" Target="http://abcmebli.com.ua/p15658-komod_4s_90_vayt_gerbor" TargetMode="External"/><Relationship Id="rId55" Type="http://schemas.openxmlformats.org/officeDocument/2006/relationships/hyperlink" Target="http://abcmebli.com.ua/p15897-nepo_prihozhaya_ppk_gerbor" TargetMode="External"/><Relationship Id="rId56" Type="http://schemas.openxmlformats.org/officeDocument/2006/relationships/hyperlink" Target="http://abcmebli.com.ua/p15191-stenka_alyaska_brv" TargetMode="External"/><Relationship Id="rId57" Type="http://schemas.openxmlformats.org/officeDocument/2006/relationships/hyperlink" Target="http://abcmebli.com.ua/p2515-stenka_kvatro_gerbor" TargetMode="External"/><Relationship Id="rId58" Type="http://schemas.openxmlformats.org/officeDocument/2006/relationships/hyperlink" Target="http://abcmebli.com.ua/p15617-shkaf_szf3d_liberti_brv" TargetMode="External"/><Relationship Id="rId59" Type="http://schemas.openxmlformats.org/officeDocument/2006/relationships/hyperlink" Target="http://www.maxidom.com.ua/" TargetMode="External"/><Relationship Id="rId60" Type="http://schemas.openxmlformats.org/officeDocument/2006/relationships/hyperlink" Target="http://www.maxidom.com.ua/tumba-rtv-atsteka-2d2s415.html?search_string=%D2%F3%EC%E1%E0+%D0%D2%C2+%C0%F6%F2%E5%EA%E0+2D2S%2F4%2F15" TargetMode="External"/><Relationship Id="rId61" Type="http://schemas.openxmlformats.org/officeDocument/2006/relationships/hyperlink" Target="http://www.maxidom.com.ua/stol_pismenniy_indiana_jbiu2d2s.html?search_string=%E8%ED%E4%E8%E0%ED%E0" TargetMode="External"/><Relationship Id="rId62" Type="http://schemas.openxmlformats.org/officeDocument/2006/relationships/hyperlink" Target="http://www.maxidom.com.ua/shkaf-szf2d2s-koen-mdf.html?search_string=%D8%EA%E0%F4+SZF2D2S+%CA%EE%E5%ED+%28%CC%C4%D4%29" TargetMode="External"/><Relationship Id="rId63" Type="http://schemas.openxmlformats.org/officeDocument/2006/relationships/hyperlink" Target="http://www.maxidom.com.ua/komod-vayt-4s-90.html?search_string=%CA%EE%EC%EE%E4+%C2%E0%E9%F2+4S+90" TargetMode="External"/><Relationship Id="rId64" Type="http://schemas.openxmlformats.org/officeDocument/2006/relationships/hyperlink" Target="http://www.maxidom.com.ua/prihozhaya-nepo-ppk.html?search_string=%ED%E5%EF%EE" TargetMode="External"/><Relationship Id="rId65" Type="http://schemas.openxmlformats.org/officeDocument/2006/relationships/hyperlink" Target="http://www.maxidom.com.ua/stenka-alyaska.html?search_string=%C0%EB%FF%F1%EA%E0" TargetMode="External"/><Relationship Id="rId66" Type="http://schemas.openxmlformats.org/officeDocument/2006/relationships/hyperlink" Target="http://www.maxidom.com.ua/stenka-kvatro.html?search_string=%EA%E2%E0%F2%F0%EE" TargetMode="External"/><Relationship Id="rId67" Type="http://schemas.openxmlformats.org/officeDocument/2006/relationships/hyperlink" Target="http://www.maxidom.com.ua/shkaf-liberti-3d.html?search_string=%EB%E8%E1%E5%F0%F2%E8" TargetMode="External"/><Relationship Id="rId68" Type="http://schemas.openxmlformats.org/officeDocument/2006/relationships/hyperlink" Target="https://www.dybok.com.ua/" TargetMode="External"/><Relationship Id="rId69" Type="http://schemas.openxmlformats.org/officeDocument/2006/relationships/hyperlink" Target="https://www.dybok.com.ua/ru/product/detail/35816" TargetMode="External"/><Relationship Id="rId70" Type="http://schemas.openxmlformats.org/officeDocument/2006/relationships/hyperlink" Target="https://www.dybok.com.ua/ru/product/detail/4291" TargetMode="External"/><Relationship Id="rId71" Type="http://schemas.openxmlformats.org/officeDocument/2006/relationships/hyperlink" Target="https://www.dybok.com.ua/ru/product/detail/6363" TargetMode="External"/><Relationship Id="rId72" Type="http://schemas.openxmlformats.org/officeDocument/2006/relationships/hyperlink" Target="https://www.dybok.com.ua/ru/product/detail/12057" TargetMode="External"/><Relationship Id="rId73" Type="http://schemas.openxmlformats.org/officeDocument/2006/relationships/hyperlink" Target="https://www.dybok.com.ua/ru/product/detail/18085" TargetMode="External"/><Relationship Id="rId74" Type="http://schemas.openxmlformats.org/officeDocument/2006/relationships/hyperlink" Target="https://www.dybok.com.ua/ru/product/detail/50410" TargetMode="External"/><Relationship Id="rId75" Type="http://schemas.openxmlformats.org/officeDocument/2006/relationships/hyperlink" Target="https://www.dybok.com.ua/ru/product/detail/6077" TargetMode="External"/><Relationship Id="rId76" Type="http://schemas.openxmlformats.org/officeDocument/2006/relationships/hyperlink" Target="https://www.dybok.com.ua/ru/product/detail/31073" TargetMode="External"/><Relationship Id="rId77" Type="http://schemas.openxmlformats.org/officeDocument/2006/relationships/hyperlink" Target="http://mebmarket.com.ua/" TargetMode="External"/><Relationship Id="rId78" Type="http://schemas.openxmlformats.org/officeDocument/2006/relationships/hyperlink" Target="http://mebmarket.com.ua/gostinaya1/modulnye-sistemy-dlya-gostinnykh/acteka/rtv2d2s-acteka-detail.html" TargetMode="External"/><Relationship Id="rId79" Type="http://schemas.openxmlformats.org/officeDocument/2006/relationships/hyperlink" Target="http://mebmarket.com.ua/modulnye-sistemy/i-k/2014-04-30-13-16-35/stol-pismennyj-jbiu-2d2s-140-indiana-dub-shutter-3261-detail.html" TargetMode="External"/><Relationship Id="rId80" Type="http://schemas.openxmlformats.org/officeDocument/2006/relationships/hyperlink" Target="http://mebmarket.com.ua/gostinaya1/shkafy/shkafy/szf2d2s-koen-mdf-detail.html" TargetMode="External"/><Relationship Id="rId81" Type="http://schemas.openxmlformats.org/officeDocument/2006/relationships/hyperlink" Target="http://mebmarket.com.ua/gostinaya1/gostinye/gostinye-gerbor-i-brw/gostinaya-kvatro-venge-magiya-detail.html" TargetMode="External"/><Relationship Id="rId82" Type="http://schemas.openxmlformats.org/officeDocument/2006/relationships/hyperlink" Target="https://prom.ua/" TargetMode="External"/><Relationship Id="rId83" Type="http://schemas.openxmlformats.org/officeDocument/2006/relationships/hyperlink" Target="https://prom.ua/p942307244-atsteka-tumba-pod.html" TargetMode="External"/><Relationship Id="rId84" Type="http://schemas.openxmlformats.org/officeDocument/2006/relationships/hyperlink" Target="https://prom.ua/p855482757-stol-pismennyj-jbiu.html" TargetMode="External"/><Relationship Id="rId85" Type="http://schemas.openxmlformats.org/officeDocument/2006/relationships/hyperlink" Target="https://prom.ua/p356287589-shkaf-szf2d2s-koen.html" TargetMode="External"/><Relationship Id="rId86" Type="http://schemas.openxmlformats.org/officeDocument/2006/relationships/hyperlink" Target="https://prom.ua/p571241833-komod-vajt.html" TargetMode="External"/><Relationship Id="rId87" Type="http://schemas.openxmlformats.org/officeDocument/2006/relationships/hyperlink" Target="https://prom.ua/p589661092-stenka-alyaska-brv.html" TargetMode="External"/><Relationship Id="rId88" Type="http://schemas.openxmlformats.org/officeDocument/2006/relationships/hyperlink" Target="https://prom.ua/p938957293-liberti-shkaf.html" TargetMode="External"/><Relationship Id="rId89" Type="http://schemas.openxmlformats.org/officeDocument/2006/relationships/hyperlink" Target="https://shurup.net.ua/" TargetMode="External"/><Relationship Id="rId90" Type="http://schemas.openxmlformats.org/officeDocument/2006/relationships/hyperlink" Target="https://shurup.net.ua/azteca-acteka-tumba-rtv2d2s415.p17205" TargetMode="External"/><Relationship Id="rId91" Type="http://schemas.openxmlformats.org/officeDocument/2006/relationships/hyperlink" Target="https://shurup.net.ua/stol-pismennyj-jbiu-2d2s-140-indiana-sosna-kanon.p9423" TargetMode="External"/><Relationship Id="rId92" Type="http://schemas.openxmlformats.org/officeDocument/2006/relationships/hyperlink" Target="https://shurup.net.ua/shkaf-szf2d2s-koen-mdf.p1208" TargetMode="External"/><Relationship Id="rId93" Type="http://schemas.openxmlformats.org/officeDocument/2006/relationships/hyperlink" Target="https://shurup.net.ua/komod-4s-90-vajt.p11059" TargetMode="External"/><Relationship Id="rId94" Type="http://schemas.openxmlformats.org/officeDocument/2006/relationships/hyperlink" Target="https://shurup.net.ua/prihozhaya-rrk-nepo.p13611" TargetMode="External"/><Relationship Id="rId95" Type="http://schemas.openxmlformats.org/officeDocument/2006/relationships/hyperlink" Target="https://shurup.net.ua/gostinaja-aljaska.p28551" TargetMode="External"/><Relationship Id="rId96" Type="http://schemas.openxmlformats.org/officeDocument/2006/relationships/hyperlink" Target="https://shurup.net.ua/gostinaya-kvatro-venge-magiya.p836" TargetMode="External"/><Relationship Id="rId97" Type="http://schemas.openxmlformats.org/officeDocument/2006/relationships/hyperlink" Target="https://www.brw-kiev.com.ua/" TargetMode="External"/><Relationship Id="rId98" Type="http://schemas.openxmlformats.org/officeDocument/2006/relationships/hyperlink" Target="https://www.brw-kiev.com.ua/catalog/mebel/kabinet/azteca-shafka_pid_tv-rtv2d2s_4_15-000004821.html?sphrase_id=71202" TargetMode="External"/><Relationship Id="rId99" Type="http://schemas.openxmlformats.org/officeDocument/2006/relationships/hyperlink" Target="https://www.brw-kiev.com.ua/catalog/mebel/kabinet/indiana-stil_pis_moviy-jbiu2d2s-000000254.html" TargetMode="External"/><Relationship Id="rId100" Type="http://schemas.openxmlformats.org/officeDocument/2006/relationships/hyperlink" Target="https://www.brw-kiev.com.ua/catalog/mebel/vayt-komod-kom4s_90-000008377.html" TargetMode="External"/><Relationship Id="rId101" Type="http://schemas.openxmlformats.org/officeDocument/2006/relationships/hyperlink" Target="https://www.brw-kiev.com.ua/catalog/mebel/nepo-peredpokiy-ppk-000006567.html" TargetMode="External"/><Relationship Id="rId102" Type="http://schemas.openxmlformats.org/officeDocument/2006/relationships/hyperlink" Target="https://www.brw-kiev.com.ua/catalog/mebel/stinki-vital_nya-alaska-000006901.html" TargetMode="External"/><Relationship Id="rId103" Type="http://schemas.openxmlformats.org/officeDocument/2006/relationships/hyperlink" Target="https://www.brw-kiev.com.ua/catalog/mebel/liberty-shafa-szf_3d-000006341.html" TargetMode="External"/><Relationship Id="rId104" Type="http://schemas.openxmlformats.org/officeDocument/2006/relationships/hyperlink" Target="http://www.brwland.com.ua/" TargetMode="External"/><Relationship Id="rId105" Type="http://schemas.openxmlformats.org/officeDocument/2006/relationships/hyperlink" Target="http://www.brwland.com.ua/product/azteca-tumba-tv-rtv2d2s415-brv-ukraina/" TargetMode="External"/><Relationship Id="rId106" Type="http://schemas.openxmlformats.org/officeDocument/2006/relationships/hyperlink" Target="http://www.brwland.com.ua/product/indiana-kanjon-stol-pismennyj-jbiu-2d2s140-brv-ukraina/" TargetMode="External"/><Relationship Id="rId107" Type="http://schemas.openxmlformats.org/officeDocument/2006/relationships/hyperlink" Target="http://www.brwland.com.ua/product/koen-szf-2d2s-shkaf-gerbor/" TargetMode="External"/><Relationship Id="rId108" Type="http://schemas.openxmlformats.org/officeDocument/2006/relationships/hyperlink" Target="http://www.brwland.com.ua/product/white-komod-4s90-gerbor/" TargetMode="External"/><Relationship Id="rId109" Type="http://schemas.openxmlformats.org/officeDocument/2006/relationships/hyperlink" Target="http://www.brwland.com.ua/product/nepo-prihozhaja-ppk-gerbor/" TargetMode="External"/><Relationship Id="rId110" Type="http://schemas.openxmlformats.org/officeDocument/2006/relationships/hyperlink" Target="http://www.brwland.com.ua/category/mebel-alaska-brw-ukraina/" TargetMode="External"/><Relationship Id="rId111" Type="http://schemas.openxmlformats.org/officeDocument/2006/relationships/hyperlink" Target="http://www.brwland.com.ua/product/liberti-shkaf-szf3d-brv-ukraina/" TargetMode="External"/><Relationship Id="rId112" Type="http://schemas.openxmlformats.org/officeDocument/2006/relationships/hyperlink" Target="http://gerbor.kiev.ua/" TargetMode="External"/><Relationship Id="rId113" Type="http://schemas.openxmlformats.org/officeDocument/2006/relationships/hyperlink" Target="http://gerbor.kiev.ua/mebelnye-sistemy/mebel-brw-azteca/azteca-tumba-tv-rtv2d2s-brv/" TargetMode="External"/><Relationship Id="rId114" Type="http://schemas.openxmlformats.org/officeDocument/2006/relationships/hyperlink" Target="http://gerbor.kiev.ua/mebelnye-sistemy/mebel-indiana-brw/indiana-stol-pismennyy-jbiu2d2s140-brv/" TargetMode="External"/><Relationship Id="rId115" Type="http://schemas.openxmlformats.org/officeDocument/2006/relationships/hyperlink" Target="http://gerbor.kiev.ua/mebelnye-sistemy/mebel-koen-gerbor/koen-penal-reg2d2s-gerbor/" TargetMode="External"/><Relationship Id="rId116" Type="http://schemas.openxmlformats.org/officeDocument/2006/relationships/hyperlink" Target="http://gerbor.kiev.ua/mebelnye-sistemy/mebel-white-gerbor/white-komod-4s90-gerbor/" TargetMode="External"/><Relationship Id="rId117" Type="http://schemas.openxmlformats.org/officeDocument/2006/relationships/hyperlink" Target="http://gerbor.kiev.ua/mebelnye-sistemy/mebel-nepo-gerbor/nepo-prikhozhaya-ppk-gerbor/" TargetMode="External"/><Relationship Id="rId118" Type="http://schemas.openxmlformats.org/officeDocument/2006/relationships/hyperlink" Target="http://gerbor.kiev.ua/mebelnye-sistemy/mebel-alaska-brw/alaska-gostinaya-brw/" TargetMode="External"/><Relationship Id="rId119" Type="http://schemas.openxmlformats.org/officeDocument/2006/relationships/hyperlink" Target="http://gerbor.kiev.ua/mebelnye-sistemy/mebel-liberti-brw/liberti-shkaf-szf3d-brv/" TargetMode="External"/><Relationship Id="rId120" Type="http://schemas.openxmlformats.org/officeDocument/2006/relationships/hyperlink" Target="http://maxmebel.com.ua/" TargetMode="External"/><Relationship Id="rId121" Type="http://schemas.openxmlformats.org/officeDocument/2006/relationships/hyperlink" Target="http://maxmebel.com.ua/pi/products_id/15620" TargetMode="External"/><Relationship Id="rId122" Type="http://schemas.openxmlformats.org/officeDocument/2006/relationships/hyperlink" Target="http://maxmebel.com.ua/pi/products_id/4909" TargetMode="External"/><Relationship Id="rId123" Type="http://schemas.openxmlformats.org/officeDocument/2006/relationships/hyperlink" Target="http://maxmebel.com.ua/pi/products_id/6503" TargetMode="External"/><Relationship Id="rId124" Type="http://schemas.openxmlformats.org/officeDocument/2006/relationships/hyperlink" Target="http://maxmebel.com.ua/pi/products_id/13019" TargetMode="External"/><Relationship Id="rId125" Type="http://schemas.openxmlformats.org/officeDocument/2006/relationships/hyperlink" Target="http://maxmebel.com.ua/pi/products_id/14792" TargetMode="External"/><Relationship Id="rId126" Type="http://schemas.openxmlformats.org/officeDocument/2006/relationships/hyperlink" Target="http://maxmebel.com.ua/pi/products_id/509" TargetMode="External"/><Relationship Id="rId127" Type="http://schemas.openxmlformats.org/officeDocument/2006/relationships/hyperlink" Target="http://maxmebel.com.ua/pi/products_id/6732" TargetMode="External"/><Relationship Id="rId128" Type="http://schemas.openxmlformats.org/officeDocument/2006/relationships/hyperlink" Target="http://maxmebel.com.ua/pi/products_id/19831" TargetMode="External"/><Relationship Id="rId129" Type="http://schemas.openxmlformats.org/officeDocument/2006/relationships/hyperlink" Target="https://promebli.ua/" TargetMode="External"/><Relationship Id="rId130" Type="http://schemas.openxmlformats.org/officeDocument/2006/relationships/hyperlink" Target="https://promebli.ua/tv-tumba-rtv2d2s-4-15-azteca-brw-belaja.html" TargetMode="External"/><Relationship Id="rId131" Type="http://schemas.openxmlformats.org/officeDocument/2006/relationships/hyperlink" Target="https://promebli.ua/jbiu2d2s.html" TargetMode="External"/><Relationship Id="rId132" Type="http://schemas.openxmlformats.org/officeDocument/2006/relationships/hyperlink" Target="https://promebli.ua/shkaf-szf2d2s-koen-mdf-gerbor.html" TargetMode="External"/><Relationship Id="rId133" Type="http://schemas.openxmlformats.org/officeDocument/2006/relationships/hyperlink" Target="https://promebli.ua/komod-4s-90-vait-gerbor.html" TargetMode="External"/><Relationship Id="rId134" Type="http://schemas.openxmlformats.org/officeDocument/2006/relationships/hyperlink" Target="https://promebli.ua/prihozhaja-ppk-nepo-gerbor.html" TargetMode="External"/><Relationship Id="rId135" Type="http://schemas.openxmlformats.org/officeDocument/2006/relationships/hyperlink" Target="https://promebli.ua/stenka-aljaska-brw.html" TargetMode="External"/><Relationship Id="rId136" Type="http://schemas.openxmlformats.org/officeDocument/2006/relationships/hyperlink" Target="https://promebli.ua/stenka-quatro--kvatro--brw.html" TargetMode="External"/><Relationship Id="rId137" Type="http://schemas.openxmlformats.org/officeDocument/2006/relationships/hyperlink" Target="https://promebli.ua/shkaf-3d-liberty-brw.html" TargetMode="External"/><Relationship Id="rId138" Type="http://schemas.openxmlformats.org/officeDocument/2006/relationships/hyperlink" Target="https://komod-bc.com.ua/" TargetMode="External"/><Relationship Id="rId139" Type="http://schemas.openxmlformats.org/officeDocument/2006/relationships/hyperlink" Target="https://komod-bc.com.ua/products/tumba-s205-rtv2d2s415-atsteka-001" TargetMode="External"/><Relationship Id="rId140" Type="http://schemas.openxmlformats.org/officeDocument/2006/relationships/hyperlink" Target="https://komod-bc.com.ua/products/stol-pismennyj-jbiu-2d2s-140-indiana-j-007" TargetMode="External"/><Relationship Id="rId141" Type="http://schemas.openxmlformats.org/officeDocument/2006/relationships/hyperlink" Target="https://komod-bc.com.ua/products/shkaf-szf-2d2s-koen-014" TargetMode="External"/><Relationship Id="rId142" Type="http://schemas.openxmlformats.org/officeDocument/2006/relationships/hyperlink" Target="https://komod-bc.com.ua/products/komod-4s-90-vajt-008" TargetMode="External"/><Relationship Id="rId143" Type="http://schemas.openxmlformats.org/officeDocument/2006/relationships/hyperlink" Target="https://komod-bc.com.ua/products/prihozhaya-rrk-nepo-019" TargetMode="External"/><Relationship Id="rId144" Type="http://schemas.openxmlformats.org/officeDocument/2006/relationships/hyperlink" Target="https://komod-bc.com.ua/products/gostinaya-alyaska" TargetMode="External"/><Relationship Id="rId145" Type="http://schemas.openxmlformats.org/officeDocument/2006/relationships/hyperlink" Target="https://komod-bc.com.ua/products/gostinaya-kvatro" TargetMode="External"/><Relationship Id="rId146" Type="http://schemas.openxmlformats.org/officeDocument/2006/relationships/hyperlink" Target="https://komod-bc.com.ua/products/shkaf-3d-liberti-005" TargetMode="External"/><Relationship Id="rId147" Type="http://schemas.openxmlformats.org/officeDocument/2006/relationships/hyperlink" Target="https://www.mebelok.com/" TargetMode="External"/><Relationship Id="rId148" Type="http://schemas.openxmlformats.org/officeDocument/2006/relationships/hyperlink" Target="https://www.mebelok.com/tymba-tv-rtv2d2s415-acteka/" TargetMode="External"/><Relationship Id="rId149" Type="http://schemas.openxmlformats.org/officeDocument/2006/relationships/hyperlink" Target="https://www.mebelok.com/stol-pismennyy-jbiu-2d2s-140/" TargetMode="External"/><Relationship Id="rId150" Type="http://schemas.openxmlformats.org/officeDocument/2006/relationships/hyperlink" Target="https://www.mebelok.com/koen-shkaf-szf2d2s-mdf/" TargetMode="External"/><Relationship Id="rId151" Type="http://schemas.openxmlformats.org/officeDocument/2006/relationships/hyperlink" Target="https://www.mebelok.com/prihojaya-ppk-nepo/" TargetMode="External"/><Relationship Id="rId152" Type="http://schemas.openxmlformats.org/officeDocument/2006/relationships/hyperlink" Target="https://www.mebelok.com/gostinaya-kvatro/" TargetMode="External"/><Relationship Id="rId153" Type="http://schemas.openxmlformats.org/officeDocument/2006/relationships/hyperlink" Target="https://www.mebelok.com/shkaf-3d-liberti/" TargetMode="External"/><Relationship Id="rId154" Type="http://schemas.openxmlformats.org/officeDocument/2006/relationships/hyperlink" Target="http://redlight.com.ua/" TargetMode="External"/><Relationship Id="rId155" Type="http://schemas.openxmlformats.org/officeDocument/2006/relationships/hyperlink" Target="http://redlight.com.ua/cat/mebel-dlja-gostinnoj/tv-stands/tumba-tv-rtv2d2s-4-15-atsteka.html" TargetMode="External"/><Relationship Id="rId156" Type="http://schemas.openxmlformats.org/officeDocument/2006/relationships/hyperlink" Target="http://redlight.com.ua/cat/stoly/pisminnye/stol-pismenniy-jbiu-2d2s-indiana.html" TargetMode="External"/><Relationship Id="rId157" Type="http://schemas.openxmlformats.org/officeDocument/2006/relationships/hyperlink" Target="http://redlight.com.ua/cat/modulnaya-mebel/shkaf/shkaf-szf2d2s-koen-(mdf).html" TargetMode="External"/><Relationship Id="rId158" Type="http://schemas.openxmlformats.org/officeDocument/2006/relationships/hyperlink" Target="http://redlight.com.ua/cat/modulnaya-mebel/komod/vayt-komod-4s-90.html" TargetMode="External"/><Relationship Id="rId159" Type="http://schemas.openxmlformats.org/officeDocument/2006/relationships/hyperlink" Target="http://redlight.com.ua/cat/prihozhie/sovremennye/nepo-prihozhaya-rrk-.html" TargetMode="External"/><Relationship Id="rId160" Type="http://schemas.openxmlformats.org/officeDocument/2006/relationships/hyperlink" Target="http://redlight.com.ua/cat/mebel-dlja-gostinnoj/stenki/stenka-alyaska.html" TargetMode="External"/><Relationship Id="rId161" Type="http://schemas.openxmlformats.org/officeDocument/2006/relationships/hyperlink" Target="http://redlight.com.ua/cat/mebel-dlja-gostinnoj/stenki/stenka-kvatro.html" TargetMode="External"/><Relationship Id="rId162" Type="http://schemas.openxmlformats.org/officeDocument/2006/relationships/hyperlink" Target="http://redlight.com.ua/cat/modulnaya-mebel/shkaf/liberti-shkaf-szf3d.html" TargetMode="External"/><Relationship Id="rId163" Type="http://schemas.openxmlformats.org/officeDocument/2006/relationships/hyperlink" Target="https://zapadmebel.com.ua/" TargetMode="External"/><Relationship Id="rId164" Type="http://schemas.openxmlformats.org/officeDocument/2006/relationships/hyperlink" Target="https://zapadmebel.com.ua/mebel-brw/tumba-s205-rtv2d2s-4-15-atsteka-001/" TargetMode="External"/><Relationship Id="rId165" Type="http://schemas.openxmlformats.org/officeDocument/2006/relationships/hyperlink" Target="https://zapadmebel.com.ua/mebel-brw/indiana-stol-pismennyj-jbiu2d2s/" TargetMode="External"/><Relationship Id="rId166" Type="http://schemas.openxmlformats.org/officeDocument/2006/relationships/hyperlink" Target="https://zapadmebel.com.ua/mebel-gerbor/shkaf-szf2d2s-koen-mdf-014/" TargetMode="External"/><Relationship Id="rId167" Type="http://schemas.openxmlformats.org/officeDocument/2006/relationships/hyperlink" Target="https://zapadmebel.com.ua/mebel-gerbor/vajt-komod-4s-90/" TargetMode="External"/><Relationship Id="rId168" Type="http://schemas.openxmlformats.org/officeDocument/2006/relationships/hyperlink" Target="https://zapadmebel.com.ua/mebel-gerbor/prihozhaya-ppk-nepo/" TargetMode="External"/><Relationship Id="rId169" Type="http://schemas.openxmlformats.org/officeDocument/2006/relationships/hyperlink" Target="https://zapadmebel.com.ua/mebel-brw/gostinaya-alyaska/" TargetMode="External"/><Relationship Id="rId170" Type="http://schemas.openxmlformats.org/officeDocument/2006/relationships/hyperlink" Target="https://zapadmebel.com.ua/stenki-gostinye/stenka-kvatro/" TargetMode="External"/><Relationship Id="rId171" Type="http://schemas.openxmlformats.org/officeDocument/2006/relationships/hyperlink" Target="https://zapadmebel.com.ua/shkafy/liberti-shkaf-3d/" TargetMode="External"/><Relationship Id="rId172" Type="http://schemas.openxmlformats.org/officeDocument/2006/relationships/hyperlink" Target="https://meblihit.com.ua/" TargetMode="External"/><Relationship Id="rId173" Type="http://schemas.openxmlformats.org/officeDocument/2006/relationships/hyperlink" Target="https://meblihit.com.ua/catalog/tumby_dlya_tekhniki/tumba_rtv2d2s_4_15/" TargetMode="External"/><Relationship Id="rId174" Type="http://schemas.openxmlformats.org/officeDocument/2006/relationships/hyperlink" Target="https://meblihit.com.ua/catalog/desks/modulna_sistema_nd_ana_st_l_pismoviy_jbiu_2s2d_140/" TargetMode="External"/><Relationship Id="rId175" Type="http://schemas.openxmlformats.org/officeDocument/2006/relationships/hyperlink" Target="https://meblihit.com.ua/catalog/modular_system_of_absence_mdf/modular_system_of_absence_mdf_cupboard_hanging_wardrobe_szf_2d2s/" TargetMode="External"/><Relationship Id="rId176" Type="http://schemas.openxmlformats.org/officeDocument/2006/relationships/hyperlink" Target="https://meblihit.com.ua/catalog/chests_of_drawers/modulnaya_systema_vayt_white_008_komod_4s_90/" TargetMode="External"/><Relationship Id="rId177" Type="http://schemas.openxmlformats.org/officeDocument/2006/relationships/hyperlink" Target="https://meblihit.com.ua/catalog/priho_ii_suites/modular_system_nepo_nepo_hallway_ppk/" TargetMode="External"/><Relationship Id="rId178" Type="http://schemas.openxmlformats.org/officeDocument/2006/relationships/hyperlink" Target="https://meblihit.com.ua/catalog/living_rooms/gostynaya_alyaska_alyaska/" TargetMode="External"/><Relationship Id="rId179" Type="http://schemas.openxmlformats.org/officeDocument/2006/relationships/hyperlink" Target="https://meblihit.com.ua/catalog/living_rooms/quatro_room/" TargetMode="External"/><Relationship Id="rId180" Type="http://schemas.openxmlformats.org/officeDocument/2006/relationships/hyperlink" Target="https://meblihit.com.ua/catalog/cabinets_trekhdvernye/bedroom_liberty_liberty_wardrobe_3d/"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modulnye-gostinye/sistema_koen_%28mdf%29/008-koen-mdf-komod-kom4s/" TargetMode="External"/><Relationship Id="rId6" Type="http://schemas.openxmlformats.org/officeDocument/2006/relationships/hyperlink" Target="http://brwmania.com.ua/gostinaja/modulnye-gostinye/sistema_koen_%28mdf%29/014-koen-mdf-shafa-szf2d2s/" TargetMode="External"/><Relationship Id="rId7" Type="http://schemas.openxmlformats.org/officeDocument/2006/relationships/hyperlink" Target="http://brwmania.com.ua/gostinaja/modulnye-gostinye/sistema_vajt/008-vayt-komod-4s-90/" TargetMode="External"/><Relationship Id="rId8" Type="http://schemas.openxmlformats.org/officeDocument/2006/relationships/hyperlink" Target="http://brwmania.com.ua/gostinaja/modulnye-gostinye/sistema_vajt/012-vayt-shafa-2d/" TargetMode="External"/><Relationship Id="rId9" Type="http://schemas.openxmlformats.org/officeDocument/2006/relationships/hyperlink" Target="http://brwmania.com.ua/gostinaja/komplekty-gostinyh/aljaska-alaska-gostinaja/" TargetMode="External"/><Relationship Id="rId10" Type="http://schemas.openxmlformats.org/officeDocument/2006/relationships/hyperlink" Target="http://brwmania.com.ua/spalni/modulnye-spalni/sistema-spalni-liberti/005-shkaf-3d/" TargetMode="External"/><Relationship Id="rId11" Type="http://schemas.openxmlformats.org/officeDocument/2006/relationships/hyperlink" Target="http://brwmania.com.ua/" TargetMode="External"/><Relationship Id="rId12" Type="http://schemas.openxmlformats.org/officeDocument/2006/relationships/hyperlink" Target="http://redlight.com.ua/" TargetMode="External"/><Relationship Id="rId13" Type="http://schemas.openxmlformats.org/officeDocument/2006/relationships/hyperlink" Target="https://mebli-bristol.com.ua/" TargetMode="External"/><Relationship Id="rId14" Type="http://schemas.openxmlformats.org/officeDocument/2006/relationships/hyperlink" Target="http://gerbor.kiev.ua/" TargetMode="External"/><Relationship Id="rId15" Type="http://schemas.openxmlformats.org/officeDocument/2006/relationships/hyperlink" Target="http://www.brwland.com.ua/" TargetMode="External"/><Relationship Id="rId16" Type="http://schemas.openxmlformats.org/officeDocument/2006/relationships/hyperlink" Target="http://gerbor.dp.ua/" TargetMode="External"/><Relationship Id="rId17" Type="http://schemas.openxmlformats.org/officeDocument/2006/relationships/hyperlink" Target="https://vashamebel.in.ua/" TargetMode="External"/><Relationship Id="rId18" Type="http://schemas.openxmlformats.org/officeDocument/2006/relationships/hyperlink" Target="http://mebel-mebel.com.ua/" TargetMode="External"/><Relationship Id="rId19" Type="http://schemas.openxmlformats.org/officeDocument/2006/relationships/hyperlink" Target="http://abcmebli.com.ua/" TargetMode="External"/><Relationship Id="rId20" Type="http://schemas.openxmlformats.org/officeDocument/2006/relationships/hyperlink" Target="https://gerbor.mebelok.com/" TargetMode="External"/><Relationship Id="rId21" Type="http://schemas.openxmlformats.org/officeDocument/2006/relationships/hyperlink" Target="http://maxmebel.com.ua/" TargetMode="External"/><Relationship Id="rId22" Type="http://schemas.openxmlformats.org/officeDocument/2006/relationships/hyperlink" Target="https://moyamebel.com.ua/ua" TargetMode="External"/><Relationship Id="rId23" Type="http://schemas.openxmlformats.org/officeDocument/2006/relationships/hyperlink" Target="https://mebel-soyuz.com.ua/" TargetMode="External"/><Relationship Id="rId24" Type="http://schemas.openxmlformats.org/officeDocument/2006/relationships/hyperlink" Target="https://sofino.ua/" TargetMode="External"/><Relationship Id="rId25" Type="http://schemas.openxmlformats.org/officeDocument/2006/relationships/hyperlink" Target="http://www.brw-gerbor.od.ua/" TargetMode="External"/><Relationship Id="rId26" Type="http://schemas.openxmlformats.org/officeDocument/2006/relationships/hyperlink" Target="http://gerbor.mebli-smerichka.com.ua/" TargetMode="External"/><Relationship Id="rId27" Type="http://schemas.openxmlformats.org/officeDocument/2006/relationships/hyperlink" Target="http://furniture.zp.ua/" TargetMode="External"/><Relationship Id="rId28" Type="http://schemas.openxmlformats.org/officeDocument/2006/relationships/hyperlink" Target="https://www.brw-kiev.com.ua/" TargetMode="External"/><Relationship Id="rId29" Type="http://schemas.openxmlformats.org/officeDocument/2006/relationships/hyperlink" Target="https://brw-lviv.com.ua/" TargetMode="External"/><Relationship Id="rId30" Type="http://schemas.openxmlformats.org/officeDocument/2006/relationships/hyperlink" Target="http://beruvse.com/" TargetMode="External"/><Relationship Id="rId31" Type="http://schemas.openxmlformats.org/officeDocument/2006/relationships/hyperlink" Target="https://brw.kiev.ua/" TargetMode="External"/><Relationship Id="rId32" Type="http://schemas.openxmlformats.org/officeDocument/2006/relationships/hyperlink" Target="http://brw.com.ua/" TargetMode="External"/><Relationship Id="rId33" Type="http://schemas.openxmlformats.org/officeDocument/2006/relationships/hyperlink" Target="https://mebelstyle.net/" TargetMode="External"/><Relationship Id="rId34" Type="http://schemas.openxmlformats.org/officeDocument/2006/relationships/hyperlink" Target="https://lvivmebli.com/" TargetMode="External"/><Relationship Id="rId35" Type="http://schemas.openxmlformats.org/officeDocument/2006/relationships/hyperlink" Target="http://centrmebliv.com.ua/" TargetMode="External"/><Relationship Id="rId36" Type="http://schemas.openxmlformats.org/officeDocument/2006/relationships/hyperlink" Target="https://letromebel.com.ua/"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redlight.com.ua/" TargetMode="External"/><Relationship Id="rId9" Type="http://schemas.openxmlformats.org/officeDocument/2006/relationships/hyperlink" Target="http://redlight.com.ua/cat/mebel-dlja-gostinnoj/tv-stands/tumba-tv-rtv2d2s-4-15-atsteka.html" TargetMode="External"/><Relationship Id="rId10" Type="http://schemas.openxmlformats.org/officeDocument/2006/relationships/hyperlink" Target="http://redlight.com.ua/cat/stoly/pisminnye/stol-pismenniy-jbiu-2d2s-indiana.html" TargetMode="External"/><Relationship Id="rId11" Type="http://schemas.openxmlformats.org/officeDocument/2006/relationships/hyperlink" Target="http://redlight.com.ua/cat/modulnaya-mebel/shkaf/shkaf-szf2d2s-koen-(mdf).html" TargetMode="External"/><Relationship Id="rId12" Type="http://schemas.openxmlformats.org/officeDocument/2006/relationships/hyperlink" Target="http://redlight.com.ua/cat/modulnaya-mebel/komod/vayt-komod-4s-90.html" TargetMode="External"/><Relationship Id="rId13" Type="http://schemas.openxmlformats.org/officeDocument/2006/relationships/hyperlink" Target="http://redlight.com.ua/cat/prihozhie/sovremennye/nepo-prihozhaya-rrk-.html" TargetMode="External"/><Relationship Id="rId14" Type="http://schemas.openxmlformats.org/officeDocument/2006/relationships/hyperlink" Target="http://redlight.com.ua/cat/mebel-dlja-gostinnoj/stenki/stenka-alyaska.html" TargetMode="External"/><Relationship Id="rId15" Type="http://schemas.openxmlformats.org/officeDocument/2006/relationships/hyperlink" Target="http://redlight.com.ua/cat/mebel-dlja-gostinnoj/stenki/stenka-kvatro.html" TargetMode="External"/><Relationship Id="rId16" Type="http://schemas.openxmlformats.org/officeDocument/2006/relationships/hyperlink" Target="http://redlight.com.ua/cat/modulnaya-mebel/shkaf/liberti-shkaf-szf3d.html" TargetMode="External"/><Relationship Id="rId17" Type="http://schemas.openxmlformats.org/officeDocument/2006/relationships/hyperlink" Target="https://mebli-bristol.com.ua/" TargetMode="External"/><Relationship Id="rId18" Type="http://schemas.openxmlformats.org/officeDocument/2006/relationships/hyperlink" Target="https://mebli-bristol.com.ua/acteka-tumba-rtv-2d2s-4-15-brv-ukraina.html" TargetMode="External"/><Relationship Id="rId19" Type="http://schemas.openxmlformats.org/officeDocument/2006/relationships/hyperlink" Target="https://mebli-bristol.com.ua/indiana-stil-pis-movij-jbiu-2d2s-140-sosna-kan-jon-brv-ukraina.html" TargetMode="External"/><Relationship Id="rId20" Type="http://schemas.openxmlformats.org/officeDocument/2006/relationships/hyperlink" Target="https://mebli-bristol.com.ua/koen-shafa-szf-2d2s-mdf-gerbor.html" TargetMode="External"/><Relationship Id="rId21" Type="http://schemas.openxmlformats.org/officeDocument/2006/relationships/hyperlink" Target="https://mebli-bristol.com.ua/vajt-komod-4s-90-gerbor.html" TargetMode="External"/><Relationship Id="rId22" Type="http://schemas.openxmlformats.org/officeDocument/2006/relationships/hyperlink" Target="https://mebli-bristol.com.ua/nepo-peredpokij-ppk-gerbor-9712.html" TargetMode="External"/><Relationship Id="rId23" Type="http://schemas.openxmlformats.org/officeDocument/2006/relationships/hyperlink" Target="https://mebli-bristol.com.ua/aljaska-brv-ukraina.html" TargetMode="External"/><Relationship Id="rId24" Type="http://schemas.openxmlformats.org/officeDocument/2006/relationships/hyperlink" Target="https://mebli-bristol.com.ua/kvatro-gerbor.html" TargetMode="External"/><Relationship Id="rId25" Type="http://schemas.openxmlformats.org/officeDocument/2006/relationships/hyperlink" Target="https://mebli-bristol.com.ua/liberti-shafa-szf-3d-brv-ukraina.html" TargetMode="External"/><Relationship Id="rId26" Type="http://schemas.openxmlformats.org/officeDocument/2006/relationships/hyperlink" Target="http://gerbor.kiev.ua/" TargetMode="External"/><Relationship Id="rId27" Type="http://schemas.openxmlformats.org/officeDocument/2006/relationships/hyperlink" Target="http://gerbor.kiev.ua/mebelnye-sistemy/mebel-brw-azteca/azteca-tumba-tv-rtv2d2s-brv/" TargetMode="External"/><Relationship Id="rId28" Type="http://schemas.openxmlformats.org/officeDocument/2006/relationships/hyperlink" Target="http://gerbor.kiev.ua/mebelnye-sistemy/mebel-indiana-kanjon-brw/indiana-kanjon-stol-pismennyy-jbiu2d2s140-brv/" TargetMode="External"/><Relationship Id="rId29" Type="http://schemas.openxmlformats.org/officeDocument/2006/relationships/hyperlink" Target="http://gerbor.kiev.ua/mebelnye-sistemy/mebel-koen-gerbor/koen-shkaf-szf2d2s-gerbor/" TargetMode="External"/><Relationship Id="rId30" Type="http://schemas.openxmlformats.org/officeDocument/2006/relationships/hyperlink" Target="http://gerbor.kiev.ua/mebelnye-sistemy/mebel-white-gerbor/white-komod-4s90-gerbor/" TargetMode="External"/><Relationship Id="rId31" Type="http://schemas.openxmlformats.org/officeDocument/2006/relationships/hyperlink" Target="http://gerbor.kiev.ua/mebelnye-sistemy/mebel-nepo-gerbor/nepo-prikhozhaya-ppk-gerbor/" TargetMode="External"/><Relationship Id="rId32" Type="http://schemas.openxmlformats.org/officeDocument/2006/relationships/hyperlink" Target="http://gerbor.kiev.ua/mebelnye-sistemy/mebel-alaska-brw/alaska-gostinaya-brw/" TargetMode="External"/><Relationship Id="rId33" Type="http://schemas.openxmlformats.org/officeDocument/2006/relationships/hyperlink" Target="http://gerbor.kiev.ua/mebelnye-sistemy/mebel-quatro-gerbor/quatro-gostinaya-gerbor/" TargetMode="External"/><Relationship Id="rId34" Type="http://schemas.openxmlformats.org/officeDocument/2006/relationships/hyperlink" Target="http://gerbor.kiev.ua/mebelnye-sistemy/mebel-liberti-brw/liberti-shkaf-szf3d-brv/" TargetMode="External"/><Relationship Id="rId35" Type="http://schemas.openxmlformats.org/officeDocument/2006/relationships/hyperlink" Target="http://www.brwland.com.ua/" TargetMode="External"/><Relationship Id="rId36" Type="http://schemas.openxmlformats.org/officeDocument/2006/relationships/hyperlink" Target="http://www.brwland.com.ua/product/azteca-tumba-tv-rtv2d2s415-brv-ukraina/" TargetMode="External"/><Relationship Id="rId37" Type="http://schemas.openxmlformats.org/officeDocument/2006/relationships/hyperlink" Target="http://www.brwland.com.ua/product/indiana-kanjon-stol-pismennyj-jbiu-2d2s140-brv-ukraina/" TargetMode="External"/><Relationship Id="rId38" Type="http://schemas.openxmlformats.org/officeDocument/2006/relationships/hyperlink" Target="http://www.brwland.com.ua/product/koen-szf-2d2s-shkaf-gerbor/" TargetMode="External"/><Relationship Id="rId39" Type="http://schemas.openxmlformats.org/officeDocument/2006/relationships/hyperlink" Target="http://www.brwland.com.ua/product/white-komod-4s90-gerbor/" TargetMode="External"/><Relationship Id="rId40" Type="http://schemas.openxmlformats.org/officeDocument/2006/relationships/hyperlink" Target="http://www.brwland.com.ua/product/nepo-prihozhaja-ppk-gerbor/" TargetMode="External"/><Relationship Id="rId41" Type="http://schemas.openxmlformats.org/officeDocument/2006/relationships/hyperlink" Target="http://www.brwland.com.ua/product/gostinaja-aljaska-brv-ukraina/" TargetMode="External"/><Relationship Id="rId42" Type="http://schemas.openxmlformats.org/officeDocument/2006/relationships/hyperlink" Target="http://www.brwland.com.ua/product/kvatro-gerbor/" TargetMode="External"/><Relationship Id="rId43" Type="http://schemas.openxmlformats.org/officeDocument/2006/relationships/hyperlink" Target="http://www.brwland.com.ua/product/liberti-shkaf-szf3d-brv-ukraina/" TargetMode="External"/><Relationship Id="rId44" Type="http://schemas.openxmlformats.org/officeDocument/2006/relationships/hyperlink" Target="http://gerbor.dp.ua/" TargetMode="External"/><Relationship Id="rId45" Type="http://schemas.openxmlformats.org/officeDocument/2006/relationships/hyperlink" Target="http://gerbor.dp.ua/index.php?route=product/product&amp;product_id=3138&amp;search=&#1072;&#1094;&#1090;&#1077;&#1082;&#1072;&amp;description=true&amp;sub_category=1&amp;page=2" TargetMode="External"/><Relationship Id="rId46" Type="http://schemas.openxmlformats.org/officeDocument/2006/relationships/hyperlink" Target="http://gerbor.dp.ua/index.php?route=product/product&amp;product_id=1725&amp;search=&#1080;&#1085;&#1076;&#1080;&#1072;&#1085;&#1072;&amp;description=true&amp;sub_category=1" TargetMode="External"/><Relationship Id="rId47" Type="http://schemas.openxmlformats.org/officeDocument/2006/relationships/hyperlink" Target="http://gerbor.dp.ua/index.php?route=product/product&amp;product_id=3812&amp;search=&#1082;&#1086;&#1077;&#1085;+&#1084;&#1076;&#1092;&amp;description=true&amp;sub_category=1" TargetMode="External"/><Relationship Id="rId48" Type="http://schemas.openxmlformats.org/officeDocument/2006/relationships/hyperlink" Target="http://gerbor.dp.ua/index.php?route=product/product&amp;product_id=3085&amp;search=&#1074;&#1072;&#1081;&#1090;&amp;description=true" TargetMode="External"/><Relationship Id="rId49" Type="http://schemas.openxmlformats.org/officeDocument/2006/relationships/hyperlink" Target="http://gerbor.dp.ua/index.php?route=product/product&amp;product_id=3473&amp;search=&#1085;&#1077;&#1087;&#1086;&amp;description=true&amp;page=2" TargetMode="External"/><Relationship Id="rId50" Type="http://schemas.openxmlformats.org/officeDocument/2006/relationships/hyperlink" Target="http://gerbor.dp.ua/index.php?route=product/product&amp;product_id=3031&amp;search=&#1072;&#1083;&#1103;&#1089;&#1082;&#1072;&amp;description=true" TargetMode="External"/><Relationship Id="rId51" Type="http://schemas.openxmlformats.org/officeDocument/2006/relationships/hyperlink" Target="http://gerbor.dp.ua/index.php?route=product/product&amp;product_id=2040&amp;search=&#1082;&#1074;&#1072;&#1090;&#1088;&#1086;&amp;description=true" TargetMode="External"/><Relationship Id="rId52" Type="http://schemas.openxmlformats.org/officeDocument/2006/relationships/hyperlink" Target="http://gerbor.dp.ua/index.php?route=product/product&amp;product_id=3851&amp;search=&#1083;&#1080;&#1073;&#1077;&#1088;&#1090;&#1080;&amp;description=true" TargetMode="External"/><Relationship Id="rId53" Type="http://schemas.openxmlformats.org/officeDocument/2006/relationships/hyperlink" Target="https://vashamebel.in.ua/" TargetMode="External"/><Relationship Id="rId54" Type="http://schemas.openxmlformats.org/officeDocument/2006/relationships/hyperlink" Target="https://vashamebel.in.ua/tumba-tv-brv-atsteka-rtv2d2s415/p12722" TargetMode="External"/><Relationship Id="rId55" Type="http://schemas.openxmlformats.org/officeDocument/2006/relationships/hyperlink" Target="https://vashamebel.in.ua/stol-pismennyij-brv-indiana-jbiu-2d2s/p916" TargetMode="External"/><Relationship Id="rId56" Type="http://schemas.openxmlformats.org/officeDocument/2006/relationships/hyperlink" Target="https://vashamebel.in.ua/shkaf-gerbor-koen-szf2d2s/p2181" TargetMode="External"/><Relationship Id="rId57" Type="http://schemas.openxmlformats.org/officeDocument/2006/relationships/hyperlink" Target="https://vashamebel.in.ua/komod-gerbor-vajt-4s-90/p10774" TargetMode="External"/><Relationship Id="rId58" Type="http://schemas.openxmlformats.org/officeDocument/2006/relationships/hyperlink" Target="https://vashamebel.in.ua/prihozhaya-gerbor-nepo-ppk/p12249" TargetMode="External"/><Relationship Id="rId59" Type="http://schemas.openxmlformats.org/officeDocument/2006/relationships/hyperlink" Target="https://vashamebel.in.ua/gostinaya-brv-alyaska/p4420" TargetMode="External"/><Relationship Id="rId60" Type="http://schemas.openxmlformats.org/officeDocument/2006/relationships/hyperlink" Target="https://vashamebel.in.ua/stenka-gerbor-kvatro/p2359" TargetMode="External"/><Relationship Id="rId61" Type="http://schemas.openxmlformats.org/officeDocument/2006/relationships/hyperlink" Target="http://mebel-mebel.com.ua/" TargetMode="External"/><Relationship Id="rId62" Type="http://schemas.openxmlformats.org/officeDocument/2006/relationships/hyperlink" Target="http://abcmebli.com.ua/" TargetMode="External"/><Relationship Id="rId63" Type="http://schemas.openxmlformats.org/officeDocument/2006/relationships/hyperlink" Target="http://abcmebli.com.ua/p14992-tumba_tv_rtv2d2s-4-15_atsteka" TargetMode="External"/><Relationship Id="rId64" Type="http://schemas.openxmlformats.org/officeDocument/2006/relationships/hyperlink" Target="http://abcmebli.com.ua/p1892-stol_pismenniy_jbiu2d2s_140_indiana" TargetMode="External"/><Relationship Id="rId65" Type="http://schemas.openxmlformats.org/officeDocument/2006/relationships/hyperlink" Target="http://abcmebli.com.ua/p15143-koen_mdf_shkaf_szf2d2s" TargetMode="External"/><Relationship Id="rId66" Type="http://schemas.openxmlformats.org/officeDocument/2006/relationships/hyperlink" Target="http://abcmebli.com.ua/p15658-komod_4s_90_vayt_gerbor" TargetMode="External"/><Relationship Id="rId67" Type="http://schemas.openxmlformats.org/officeDocument/2006/relationships/hyperlink" Target="http://abcmebli.com.ua/p15897-nepo_prihozhaya_ppk_gerbor" TargetMode="External"/><Relationship Id="rId68" Type="http://schemas.openxmlformats.org/officeDocument/2006/relationships/hyperlink" Target="http://abcmebli.com.ua/p15191-stenka_alyaska_brv" TargetMode="External"/><Relationship Id="rId69" Type="http://schemas.openxmlformats.org/officeDocument/2006/relationships/hyperlink" Target="http://abcmebli.com.ua/p2515-stenka_kvatro_gerbor" TargetMode="External"/><Relationship Id="rId70" Type="http://schemas.openxmlformats.org/officeDocument/2006/relationships/hyperlink" Target="http://abcmebli.com.ua/p15617-shkaf_szf3d_liberti_brv" TargetMode="External"/><Relationship Id="rId71" Type="http://schemas.openxmlformats.org/officeDocument/2006/relationships/hyperlink" Target="https://gerbor.mebelok.com/" TargetMode="External"/><Relationship Id="rId72" Type="http://schemas.openxmlformats.org/officeDocument/2006/relationships/hyperlink" Target="https://www.mebelok.com/tymba-tv-rtv2d2s415-acteka/" TargetMode="External"/><Relationship Id="rId73" Type="http://schemas.openxmlformats.org/officeDocument/2006/relationships/hyperlink" Target="https://www.mebelok.com/stol-pismennyy-jbiu-2d2s-140/" TargetMode="External"/><Relationship Id="rId74" Type="http://schemas.openxmlformats.org/officeDocument/2006/relationships/hyperlink" Target="https://www.mebelok.com/koen-shkaf-szf2d2s-mdf/" TargetMode="External"/><Relationship Id="rId75" Type="http://schemas.openxmlformats.org/officeDocument/2006/relationships/hyperlink" Target="https://www.mebelok.com/prihojaya-ppk-nepo/" TargetMode="External"/><Relationship Id="rId76" Type="http://schemas.openxmlformats.org/officeDocument/2006/relationships/hyperlink" Target="https://www.mebelok.com/gostinaya-kvatro/" TargetMode="External"/><Relationship Id="rId77" Type="http://schemas.openxmlformats.org/officeDocument/2006/relationships/hyperlink" Target="https://www.mebelok.com/shkaf-3d-liberti/" TargetMode="External"/><Relationship Id="rId78" Type="http://schemas.openxmlformats.org/officeDocument/2006/relationships/hyperlink" Target="http://maxmebel.com.ua/" TargetMode="External"/><Relationship Id="rId79" Type="http://schemas.openxmlformats.org/officeDocument/2006/relationships/hyperlink" Target="http://maxmebel.com.ua/pi/products_id/15620" TargetMode="External"/><Relationship Id="rId80" Type="http://schemas.openxmlformats.org/officeDocument/2006/relationships/hyperlink" Target="http://maxmebel.com.ua/pi/products_id/4909" TargetMode="External"/><Relationship Id="rId81" Type="http://schemas.openxmlformats.org/officeDocument/2006/relationships/hyperlink" Target="http://maxmebel.com.ua/pi/products_id/6503" TargetMode="External"/><Relationship Id="rId82" Type="http://schemas.openxmlformats.org/officeDocument/2006/relationships/hyperlink" Target="http://maxmebel.com.ua/pi/products_id/13019" TargetMode="External"/><Relationship Id="rId83" Type="http://schemas.openxmlformats.org/officeDocument/2006/relationships/hyperlink" Target="http://maxmebel.com.ua/pi/products_id/14792" TargetMode="External"/><Relationship Id="rId84" Type="http://schemas.openxmlformats.org/officeDocument/2006/relationships/hyperlink" Target="http://maxmebel.com.ua/pi/products_id/509" TargetMode="External"/><Relationship Id="rId85" Type="http://schemas.openxmlformats.org/officeDocument/2006/relationships/hyperlink" Target="http://maxmebel.com.ua/pi/products_id/6732" TargetMode="External"/><Relationship Id="rId86" Type="http://schemas.openxmlformats.org/officeDocument/2006/relationships/hyperlink" Target="http://maxmebel.com.ua/pi/products_id/19831" TargetMode="External"/><Relationship Id="rId87" Type="http://schemas.openxmlformats.org/officeDocument/2006/relationships/hyperlink" Target="https://moyamebel.com.ua/ua" TargetMode="External"/><Relationship Id="rId88" Type="http://schemas.openxmlformats.org/officeDocument/2006/relationships/hyperlink" Target="https://moyamebel.com.ua/ua/products/prihozhaya-nepo" TargetMode="External"/><Relationship Id="rId89" Type="http://schemas.openxmlformats.org/officeDocument/2006/relationships/hyperlink" Target="https://moyamebel.com.ua/ua/products/gostinaya-kvatro" TargetMode="External"/><Relationship Id="rId90" Type="http://schemas.openxmlformats.org/officeDocument/2006/relationships/hyperlink" Target="https://mebel-soyuz.com.ua/" TargetMode="External"/><Relationship Id="rId91" Type="http://schemas.openxmlformats.org/officeDocument/2006/relationships/hyperlink" Target="https://mebel-soyuz.com.ua/13769/" TargetMode="External"/><Relationship Id="rId92" Type="http://schemas.openxmlformats.org/officeDocument/2006/relationships/hyperlink" Target="https://mebel-soyuz.com.ua/8676/" TargetMode="External"/><Relationship Id="rId93" Type="http://schemas.openxmlformats.org/officeDocument/2006/relationships/hyperlink" Target="https://mebel-soyuz.com.ua/3180/" TargetMode="External"/><Relationship Id="rId94" Type="http://schemas.openxmlformats.org/officeDocument/2006/relationships/hyperlink" Target="https://mebel-soyuz.com.ua/6202//" TargetMode="External"/><Relationship Id="rId95" Type="http://schemas.openxmlformats.org/officeDocument/2006/relationships/hyperlink" Target="https://mebel-soyuz.com.ua/8926/" TargetMode="External"/><Relationship Id="rId96" Type="http://schemas.openxmlformats.org/officeDocument/2006/relationships/hyperlink" Target="https://mebel-soyuz.com.ua/10995/" TargetMode="External"/><Relationship Id="rId97" Type="http://schemas.openxmlformats.org/officeDocument/2006/relationships/hyperlink" Target="https://mebel-soyuz.com.ua/stenky/gerbor/kvatro//" TargetMode="External"/><Relationship Id="rId98" Type="http://schemas.openxmlformats.org/officeDocument/2006/relationships/hyperlink" Target="https://mebel-soyuz.com.ua/7243/" TargetMode="External"/><Relationship Id="rId99" Type="http://schemas.openxmlformats.org/officeDocument/2006/relationships/hyperlink" Target="https://sofino.ua/" TargetMode="External"/><Relationship Id="rId100" Type="http://schemas.openxmlformats.org/officeDocument/2006/relationships/hyperlink" Target="https://sofino.ua/brw-ukraina-stol-pismennyjj-jbiu2d2s140-indiana/g-40899" TargetMode="External"/><Relationship Id="rId101" Type="http://schemas.openxmlformats.org/officeDocument/2006/relationships/hyperlink" Target="https://sofino.ua/gerbor-shkaf-szf2d2s-koen-mdf-venge-magija-shtroks-temnyjj/g-19372" TargetMode="External"/><Relationship Id="rId102" Type="http://schemas.openxmlformats.org/officeDocument/2006/relationships/hyperlink" Target="https://sofino.ua/gerbor-komod-4s-90-vajjt/g-95203" TargetMode="External"/><Relationship Id="rId103" Type="http://schemas.openxmlformats.org/officeDocument/2006/relationships/hyperlink" Target="https://sofino.ua/gerbor-prikhozhaja-ppk-nepo/g-287089" TargetMode="External"/><Relationship Id="rId104" Type="http://schemas.openxmlformats.org/officeDocument/2006/relationships/hyperlink" Target="https://sofino.ua/brw-ukraina-stenka-aljaska-belyjj-gljanec/g-454107" TargetMode="External"/><Relationship Id="rId105" Type="http://schemas.openxmlformats.org/officeDocument/2006/relationships/hyperlink" Target="https://sofino.ua/gerbor-stenka-s-podsvetkojj-kvatro/g-18955" TargetMode="External"/><Relationship Id="rId106" Type="http://schemas.openxmlformats.org/officeDocument/2006/relationships/hyperlink" Target="https://sofino.ua/brw-ukraina-shkaf-3d-liberti-dub-sonoma-belyjj-gljanec/g-95147" TargetMode="External"/><Relationship Id="rId107" Type="http://schemas.openxmlformats.org/officeDocument/2006/relationships/hyperlink" Target="http://www.brw-gerbor.od.ua/" TargetMode="External"/><Relationship Id="rId108" Type="http://schemas.openxmlformats.org/officeDocument/2006/relationships/hyperlink" Target="http://brw-gerbor.od.ua/index.php?route=product/product&amp;filter_name=&#1074;&#1072;&#1081;&#1090;&amp;product_id=3155" TargetMode="External"/><Relationship Id="rId109" Type="http://schemas.openxmlformats.org/officeDocument/2006/relationships/hyperlink" Target="http://brw-gerbor.od.ua/index.php?route=product/product&amp;filter_name=&#1085;&#1077;&#1087;&#1086;&amp;page=2&amp;product_id=3266" TargetMode="External"/><Relationship Id="rId110" Type="http://schemas.openxmlformats.org/officeDocument/2006/relationships/hyperlink" Target="http://brw-gerbor.od.ua/index.php?route=product/product&amp;filter_name=&#1072;&#1083;&#1103;&#1089;&#1082;&#1072;&amp;product_id=4574" TargetMode="External"/><Relationship Id="rId111" Type="http://schemas.openxmlformats.org/officeDocument/2006/relationships/hyperlink" Target="http://brw-gerbor.od.ua/index.php?route=product/product&amp;filter_name=&#1082;&#1074;&#1072;&#1090;&#1088;&#1086;&amp;product_id=116" TargetMode="External"/><Relationship Id="rId112" Type="http://schemas.openxmlformats.org/officeDocument/2006/relationships/hyperlink" Target="http://brw-gerbor.od.ua/index.php?route=product/product&amp;filter_name=&#1083;&#1080;&#1073;&#1077;&#1088;&#1090;&#1080;&amp;product_id=2703" TargetMode="External"/><Relationship Id="rId113" Type="http://schemas.openxmlformats.org/officeDocument/2006/relationships/hyperlink" Target="http://gerbor.mebli-smerichka.com.ua/" TargetMode="External"/><Relationship Id="rId114" Type="http://schemas.openxmlformats.org/officeDocument/2006/relationships/hyperlink" Target="http://furniture.zp.ua/" TargetMode="External"/><Relationship Id="rId115" Type="http://schemas.openxmlformats.org/officeDocument/2006/relationships/hyperlink" Target="http://furniture.zp.ua/gerbor-xolding/gostinnie/modulnie-nabori/5562-gostinaya-atsteka.html?search_query=acteka&amp;results=2" TargetMode="External"/><Relationship Id="rId116" Type="http://schemas.openxmlformats.org/officeDocument/2006/relationships/hyperlink" Target="http://furniture.zp.ua/gerbor-xolding/detskie/3184-stol-pismenniie-jbiu-2d2s-140-indiana.html?search_query=indiana&amp;results=24" TargetMode="External"/><Relationship Id="rId117" Type="http://schemas.openxmlformats.org/officeDocument/2006/relationships/hyperlink" Target="http://furniture.zp.ua/gerbor-xolding/prixojie/modulnie-sistemi/6017-prihozhaya-nepo-ppk.html?search_query=nepo&amp;results=151" TargetMode="External"/><Relationship Id="rId118" Type="http://schemas.openxmlformats.org/officeDocument/2006/relationships/hyperlink" Target="http://furniture.zp.ua/gerbor-xolding/gostinnie/modulnie-nabori/6155-gostinaya-alyaska.html?search_query=alyaska&amp;results=3" TargetMode="External"/><Relationship Id="rId119" Type="http://schemas.openxmlformats.org/officeDocument/2006/relationships/hyperlink" Target="http://furniture.zp.ua/gerbor-xolding/gostinnie/1467-kvatro.html?search_query=kvatro&amp;results=4" TargetMode="External"/><Relationship Id="rId120" Type="http://schemas.openxmlformats.org/officeDocument/2006/relationships/hyperlink" Target="http://furniture.zp.ua/gerbor-xolding/spalni/modulnie-sistemi/5565-spalnya-liberti.html?search_query=liberti&amp;results=2" TargetMode="External"/><Relationship Id="rId121" Type="http://schemas.openxmlformats.org/officeDocument/2006/relationships/hyperlink" Target="https://www.brw-kiev.com.ua/" TargetMode="External"/><Relationship Id="rId122" Type="http://schemas.openxmlformats.org/officeDocument/2006/relationships/hyperlink" Target="https://www.brw-kiev.com.ua/catalog/mebel/azteca-shafka_pid_tv-rtv2d2s_4_15-000004821.html" TargetMode="External"/><Relationship Id="rId123" Type="http://schemas.openxmlformats.org/officeDocument/2006/relationships/hyperlink" Target="https://www.brw-kiev.com.ua/catalog/mebel/koen-shafa-szf2d2s-000003944.html" TargetMode="External"/><Relationship Id="rId124" Type="http://schemas.openxmlformats.org/officeDocument/2006/relationships/hyperlink" Target="https://www.brw-kiev.com.ua/catalog/mebel/spalnya/vayt-komod-kom4s_90-000008377.html" TargetMode="External"/><Relationship Id="rId125" Type="http://schemas.openxmlformats.org/officeDocument/2006/relationships/hyperlink" Target="https://www.brw-kiev.com.ua/catalog/mebel/nepo-peredpokiy-ppk-000006567.html" TargetMode="External"/><Relationship Id="rId126" Type="http://schemas.openxmlformats.org/officeDocument/2006/relationships/hyperlink" Target="https://www.brw-kiev.com.ua/catalog/mebel/stinki-vital_nya-alaska-000006901.html" TargetMode="External"/><Relationship Id="rId127" Type="http://schemas.openxmlformats.org/officeDocument/2006/relationships/hyperlink" Target="https://www.brw-kiev.com.ua/catalog/mebel/spalnya/liberty-shafa-szf_3d-000006341.html" TargetMode="External"/><Relationship Id="rId128" Type="http://schemas.openxmlformats.org/officeDocument/2006/relationships/hyperlink" Target="https://brw-lviv.com.ua/" TargetMode="External"/><Relationship Id="rId129" Type="http://schemas.openxmlformats.org/officeDocument/2006/relationships/hyperlink" Target="https://brw-lviv.com.ua/product/atsteky-tumba-tv-rtv2d2s-4-15-brv-ukrayina" TargetMode="External"/><Relationship Id="rId130" Type="http://schemas.openxmlformats.org/officeDocument/2006/relationships/hyperlink" Target="https://brw-lviv.com.ua/product/indiana-kanjon-stil-pysmovyj-jbiu-2d2s-140-brv-ukrayina" TargetMode="External"/><Relationship Id="rId131" Type="http://schemas.openxmlformats.org/officeDocument/2006/relationships/hyperlink" Target="https://brw-lviv.com.ua/product/koen-mdf-shafa-szf-2d2s-gerbor" TargetMode="External"/><Relationship Id="rId132" Type="http://schemas.openxmlformats.org/officeDocument/2006/relationships/hyperlink" Target="https://brw-lviv.com.ua/product/vajt-komod-4s-90-gerbor" TargetMode="External"/><Relationship Id="rId133" Type="http://schemas.openxmlformats.org/officeDocument/2006/relationships/hyperlink" Target="https://brw-lviv.com.ua/product/nepo-peredpokij-ppk-gerbor" TargetMode="External"/><Relationship Id="rId134" Type="http://schemas.openxmlformats.org/officeDocument/2006/relationships/hyperlink" Target="https://brw-lviv.com.ua/product/vitalnya-alyaska-brv-ukrayina-2" TargetMode="External"/><Relationship Id="rId135" Type="http://schemas.openxmlformats.org/officeDocument/2006/relationships/hyperlink" Target="https://brw-lviv.com.ua/product/vitalnya-kvatro-gerbor" TargetMode="External"/><Relationship Id="rId136" Type="http://schemas.openxmlformats.org/officeDocument/2006/relationships/hyperlink" Target="https://brw-lviv.com.ua/product/lyberty-shafa-szf3d-brv-ukrayina" TargetMode="External"/><Relationship Id="rId137" Type="http://schemas.openxmlformats.org/officeDocument/2006/relationships/hyperlink" Target="http://beruvse.com/" TargetMode="External"/><Relationship Id="rId138" Type="http://schemas.openxmlformats.org/officeDocument/2006/relationships/hyperlink" Target="http://beruvse.com/product/azteca-rtv2d2s415-tumba-tv-brw/" TargetMode="External"/><Relationship Id="rId139" Type="http://schemas.openxmlformats.org/officeDocument/2006/relationships/hyperlink" Target="http://beruvse.com/product/nepo-prihozhaja-ppk/" TargetMode="External"/><Relationship Id="rId140" Type="http://schemas.openxmlformats.org/officeDocument/2006/relationships/hyperlink" Target="http://beruvse.com/product/stenka-kvatro/" TargetMode="External"/><Relationship Id="rId141" Type="http://schemas.openxmlformats.org/officeDocument/2006/relationships/hyperlink" Target="https://brw.kiev.ua/" TargetMode="External"/><Relationship Id="rId142" Type="http://schemas.openxmlformats.org/officeDocument/2006/relationships/hyperlink" Target="https://brw.kiev.ua/mebel-brw-ukraina/azteca/tumba-tv-rtv2d2s-azteca-brv/" TargetMode="External"/><Relationship Id="rId143" Type="http://schemas.openxmlformats.org/officeDocument/2006/relationships/hyperlink" Target="https://brw.kiev.ua/mebel-brw-ukraina/indiana-kanjon/stol-pismennyy-jbiu2d2s140-indiana-brv-kanjon/" TargetMode="External"/><Relationship Id="rId144" Type="http://schemas.openxmlformats.org/officeDocument/2006/relationships/hyperlink" Target="https://brw.kiev.ua/mebel-gerbor/koen/shkaf-szf2d2s-koen-gerbor/" TargetMode="External"/><Relationship Id="rId145" Type="http://schemas.openxmlformats.org/officeDocument/2006/relationships/hyperlink" Target="https://brw.kiev.ua/mebel-gerbor/white/komod-4s90-white-gerbor/" TargetMode="External"/><Relationship Id="rId146" Type="http://schemas.openxmlformats.org/officeDocument/2006/relationships/hyperlink" Target="https://brw.kiev.ua/mebel-gerbor/nepo/prikhozhaya-ppk-nepo-gerbor/" TargetMode="External"/><Relationship Id="rId147" Type="http://schemas.openxmlformats.org/officeDocument/2006/relationships/hyperlink" Target="https://brw.kiev.ua/mebel-brw-ukraina/alaska/stenka-alaska-brv/" TargetMode="External"/><Relationship Id="rId148" Type="http://schemas.openxmlformats.org/officeDocument/2006/relationships/hyperlink" Target="https://brw.kiev.ua/mebel-gerbor/quatro/stenka-quatro-gerbor/" TargetMode="External"/><Relationship Id="rId149" Type="http://schemas.openxmlformats.org/officeDocument/2006/relationships/hyperlink" Target="https://brw.kiev.ua/mebel-brw-ukraina/liberti/shkaf-szf3d-liberti-brv/" TargetMode="External"/><Relationship Id="rId150" Type="http://schemas.openxmlformats.org/officeDocument/2006/relationships/hyperlink" Target="http://brw.com.ua/" TargetMode="External"/><Relationship Id="rId151" Type="http://schemas.openxmlformats.org/officeDocument/2006/relationships/hyperlink" Target="https://mebelstyle.net/" TargetMode="External"/><Relationship Id="rId152" Type="http://schemas.openxmlformats.org/officeDocument/2006/relationships/hyperlink" Target="https://mebelstyle.net/tumby-pod-tv/tumba-pod-tv-brw-ukraina-azteca-rtv2d2s415-82546.html" TargetMode="External"/><Relationship Id="rId153" Type="http://schemas.openxmlformats.org/officeDocument/2006/relationships/hyperlink" Target="https://mebelstyle.net/komody/komod-gerbor-vajt-4s90-83449.html" TargetMode="External"/><Relationship Id="rId154" Type="http://schemas.openxmlformats.org/officeDocument/2006/relationships/hyperlink" Target="https://mebelstyle.net/prikhozhie/prikhozhaja-gerbor-nepo-ppk-83649.html" TargetMode="External"/><Relationship Id="rId155" Type="http://schemas.openxmlformats.org/officeDocument/2006/relationships/hyperlink" Target="https://mebelstyle.net/gostinye/gostinaja-gerbor-kvatro-venge-56219.html" TargetMode="External"/><Relationship Id="rId156" Type="http://schemas.openxmlformats.org/officeDocument/2006/relationships/hyperlink" Target="https://lvivmebli.com/" TargetMode="External"/><Relationship Id="rId157" Type="http://schemas.openxmlformats.org/officeDocument/2006/relationships/hyperlink" Target="https://lvivmebli.com/13319/" TargetMode="External"/><Relationship Id="rId158" Type="http://schemas.openxmlformats.org/officeDocument/2006/relationships/hyperlink" Target="https://lvivmebli.com/5039/" TargetMode="External"/><Relationship Id="rId159" Type="http://schemas.openxmlformats.org/officeDocument/2006/relationships/hyperlink" Target="https://lvivmebli.com/20467/" TargetMode="External"/><Relationship Id="rId160" Type="http://schemas.openxmlformats.org/officeDocument/2006/relationships/hyperlink" Target="https://lvivmebli.com/20985/" TargetMode="External"/><Relationship Id="rId161" Type="http://schemas.openxmlformats.org/officeDocument/2006/relationships/hyperlink" Target="https://lvivmebli.com/20532/" TargetMode="External"/><Relationship Id="rId162" Type="http://schemas.openxmlformats.org/officeDocument/2006/relationships/hyperlink" Target="https://lvivmebli.com/20571/" TargetMode="External"/><Relationship Id="rId163" Type="http://schemas.openxmlformats.org/officeDocument/2006/relationships/hyperlink" Target="http://centrmebliv.com.ua/" TargetMode="External"/><Relationship Id="rId164" Type="http://schemas.openxmlformats.org/officeDocument/2006/relationships/hyperlink" Target="http://centrmebliv.com.ua/modulni-mebli/brw-azteca/mebli-brw-brv-azteca-tumba-rtv2d2s?keyword=&#1072;&#1094;&#1090;&#1077;&#1082;&#1072;" TargetMode="External"/><Relationship Id="rId165" Type="http://schemas.openxmlformats.org/officeDocument/2006/relationships/hyperlink" Target="http://centrmebliv.com.ua/modulni-mebli/gerbor-koen-mdf/gerbor/brw-koen-mdf-shafa-sf-2d2s" TargetMode="External"/><Relationship Id="rId166" Type="http://schemas.openxmlformats.org/officeDocument/2006/relationships/hyperlink" Target="http://centrmebliv.com.ua/modulni-mebli/gerbor-vayt/mebli-gerbor-gerbor-vayt-komod-4s-90" TargetMode="External"/><Relationship Id="rId167" Type="http://schemas.openxmlformats.org/officeDocument/2006/relationships/hyperlink" Target="http://centrmebliv.com.ua/modulni-mebli/gerbor-nepo/mebli-gerbor-gerbor-nepo-pryhozha-rrk" TargetMode="External"/><Relationship Id="rId168" Type="http://schemas.openxmlformats.org/officeDocument/2006/relationships/hyperlink" Target="http://centrmebliv.com.ua/mebli-dlya-vitalni/stinky/mebli-gerbor-gerbor-kvatro" TargetMode="External"/><Relationship Id="rId169" Type="http://schemas.openxmlformats.org/officeDocument/2006/relationships/hyperlink" Target="https://letromebel.com.ua/" TargetMode="External"/><Relationship Id="rId170" Type="http://schemas.openxmlformats.org/officeDocument/2006/relationships/hyperlink" Target="https://letromebel.com.ua/p566111870-tumba-rtv2d2s415-atsteka.html" TargetMode="External"/><Relationship Id="rId171" Type="http://schemas.openxmlformats.org/officeDocument/2006/relationships/hyperlink" Target="https://letromebel.com.ua/p565553911-komod-4s90-vajt.html" TargetMode="External"/><Relationship Id="rId172" Type="http://schemas.openxmlformats.org/officeDocument/2006/relationships/hyperlink" Target="https://letromebel.com.ua/p441285622-prihozhaya-ppk-nepo.html" TargetMode="External"/><Relationship Id="rId173" Type="http://schemas.openxmlformats.org/officeDocument/2006/relationships/hyperlink" Target="https://letromebel.com.ua/p436378844-stenka-kvatro-venge.html" TargetMode="External"/><Relationship Id="rId174" Type="http://schemas.openxmlformats.org/officeDocument/2006/relationships/hyperlink" Target="https://letromebel.com.ua/p567125880-shkaf-szf3d-liberti.html" TargetMode="External"/>
</Relationships>
</file>

<file path=xl/worksheets/_rels/sheet28.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_indiana__sosna_kanjon/indiana-sosna-kanyon-j-007-stol-pismennyy-jbiu-2d2s-140/" TargetMode="External"/><Relationship Id="rId3" Type="http://schemas.openxmlformats.org/officeDocument/2006/relationships/hyperlink" Target="http://brwmania.com.ua/gostinaja/modulnye-gostinye/sistema_koen_%28mdf%29/014-koen-mdf-shafa-szf2d2s/" TargetMode="External"/><Relationship Id="rId4" Type="http://schemas.openxmlformats.org/officeDocument/2006/relationships/hyperlink" Target="http://brwmania.com.ua/gostinaja/modulnye-gostinye/sistema_vajt/008-vayt-komod-4s-9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spalni/modulnye-spalni/sistema-spalni-liberti/005-shkaf-3d/" TargetMode="External"/><Relationship Id="rId7" Type="http://schemas.openxmlformats.org/officeDocument/2006/relationships/hyperlink" Target="http://brwmania.com.ua/" TargetMode="External"/><Relationship Id="rId8" Type="http://schemas.openxmlformats.org/officeDocument/2006/relationships/hyperlink" Target="http://redlight.com.ua/" TargetMode="External"/><Relationship Id="rId9" Type="http://schemas.openxmlformats.org/officeDocument/2006/relationships/hyperlink" Target="http://redlight.com.ua/cat/mebel-dlja-gostinnoj/tv-stands/tumba-tv-rtv2d2s-4-15-atsteka.html" TargetMode="External"/><Relationship Id="rId10" Type="http://schemas.openxmlformats.org/officeDocument/2006/relationships/hyperlink" Target="http://redlight.com.ua/cat/stoly/pisminnye/stol-pismenniy-jbiu-2d2s-indiana.html" TargetMode="External"/><Relationship Id="rId11" Type="http://schemas.openxmlformats.org/officeDocument/2006/relationships/hyperlink" Target="http://redlight.com.ua/cat/modulnaya-mebel/shkaf/shkaf-szf2d2s-koen-(mdf).html" TargetMode="External"/><Relationship Id="rId12" Type="http://schemas.openxmlformats.org/officeDocument/2006/relationships/hyperlink" Target="http://redlight.com.ua/cat/modulnaya-mebel/komod/vayt-komod-4s-90.html" TargetMode="External"/><Relationship Id="rId13" Type="http://schemas.openxmlformats.org/officeDocument/2006/relationships/hyperlink" Target="http://redlight.com.ua/cat/prihozhie/sovremennye/nepo-prihozhaya-rrk-.html" TargetMode="External"/><Relationship Id="rId14" Type="http://schemas.openxmlformats.org/officeDocument/2006/relationships/hyperlink" Target="http://redlight.com.ua/cat/mebel-dlja-gostinnoj/stenki/stenka-alyaska.html" TargetMode="External"/><Relationship Id="rId15" Type="http://schemas.openxmlformats.org/officeDocument/2006/relationships/hyperlink" Target="http://redlight.com.ua/cat/mebel-dlja-gostinnoj/stenki/stenka-kvatro.html" TargetMode="External"/><Relationship Id="rId16" Type="http://schemas.openxmlformats.org/officeDocument/2006/relationships/hyperlink" Target="http://redlight.com.ua/cat/modulnaya-mebel/shkaf/liberti-shkaf-szf3d.html" TargetMode="External"/><Relationship Id="rId17" Type="http://schemas.openxmlformats.org/officeDocument/2006/relationships/hyperlink" Target="https://mebli-bristol.com.ua/" TargetMode="External"/><Relationship Id="rId18" Type="http://schemas.openxmlformats.org/officeDocument/2006/relationships/hyperlink" Target="https://mebli-bristol.com.ua/acteka-tumba-rtv-2d2s-4-15-brv-ukraina.html" TargetMode="External"/><Relationship Id="rId19" Type="http://schemas.openxmlformats.org/officeDocument/2006/relationships/hyperlink" Target="https://mebli-bristol.com.ua/indiana-stil-pis-movij-jbiu-2d2s-140-sosna-kan-jon-brv-ukraina.html" TargetMode="External"/><Relationship Id="rId20" Type="http://schemas.openxmlformats.org/officeDocument/2006/relationships/hyperlink" Target="https://mebli-bristol.com.ua/koen-shafa-szf-2d2s-mdf-gerbor.html" TargetMode="External"/><Relationship Id="rId21" Type="http://schemas.openxmlformats.org/officeDocument/2006/relationships/hyperlink" Target="https://mebli-bristol.com.ua/vajt-komod-4s-90-gerbor.html" TargetMode="External"/><Relationship Id="rId22" Type="http://schemas.openxmlformats.org/officeDocument/2006/relationships/hyperlink" Target="https://mebli-bristol.com.ua/nepo-peredpokij-ppk-gerbor-9712.html" TargetMode="External"/><Relationship Id="rId23" Type="http://schemas.openxmlformats.org/officeDocument/2006/relationships/hyperlink" Target="https://mebli-bristol.com.ua/aljaska-brv-ukraina.html" TargetMode="External"/><Relationship Id="rId24" Type="http://schemas.openxmlformats.org/officeDocument/2006/relationships/hyperlink" Target="https://mebli-bristol.com.ua/kvatro-gerbor.html" TargetMode="External"/><Relationship Id="rId25" Type="http://schemas.openxmlformats.org/officeDocument/2006/relationships/hyperlink" Target="https://mebli-bristol.com.ua/liberti-shafa-szf-3d-brv-ukraina.html" TargetMode="External"/><Relationship Id="rId26" Type="http://schemas.openxmlformats.org/officeDocument/2006/relationships/hyperlink" Target="http://gerbor.kiev.ua/" TargetMode="External"/><Relationship Id="rId27" Type="http://schemas.openxmlformats.org/officeDocument/2006/relationships/hyperlink" Target="http://gerbor.kiev.ua/mebelnye-sistemy/mebel-brw-azteca/azteca-tumba-tv-rtv2d2s-brv/" TargetMode="External"/><Relationship Id="rId28" Type="http://schemas.openxmlformats.org/officeDocument/2006/relationships/hyperlink" Target="http://gerbor.kiev.ua/mebelnye-sistemy/mebel-indiana-kanjon-brw/indiana-kanjon-stol-pismennyy-jbiu2d2s140-brv/" TargetMode="External"/><Relationship Id="rId29" Type="http://schemas.openxmlformats.org/officeDocument/2006/relationships/hyperlink" Target="http://gerbor.kiev.ua/mebelnye-sistemy/mebel-koen-gerbor/koen-shkaf-szf2d2s-gerbor/" TargetMode="External"/><Relationship Id="rId30" Type="http://schemas.openxmlformats.org/officeDocument/2006/relationships/hyperlink" Target="http://gerbor.kiev.ua/mebelnye-sistemy/mebel-white-gerbor/white-komod-4s90-gerbor/" TargetMode="External"/><Relationship Id="rId31" Type="http://schemas.openxmlformats.org/officeDocument/2006/relationships/hyperlink" Target="http://gerbor.kiev.ua/mebelnye-sistemy/mebel-nepo-gerbor/nepo-prikhozhaya-ppk-gerbor/" TargetMode="External"/><Relationship Id="rId32" Type="http://schemas.openxmlformats.org/officeDocument/2006/relationships/hyperlink" Target="http://gerbor.kiev.ua/mebelnye-sistemy/mebel-alaska-brw/alaska-gostinaya-brw/" TargetMode="External"/><Relationship Id="rId33" Type="http://schemas.openxmlformats.org/officeDocument/2006/relationships/hyperlink" Target="http://gerbor.kiev.ua/mebelnye-sistemy/mebel-quatro-gerbor/quatro-gostinaya-gerbor/" TargetMode="External"/><Relationship Id="rId34" Type="http://schemas.openxmlformats.org/officeDocument/2006/relationships/hyperlink" Target="http://gerbor.kiev.ua/mebelnye-sistemy/mebel-liberti-brw/liberti-shkaf-szf3d-brv/" TargetMode="External"/><Relationship Id="rId35" Type="http://schemas.openxmlformats.org/officeDocument/2006/relationships/hyperlink" Target="http://www.brwland.com.ua/" TargetMode="External"/><Relationship Id="rId36" Type="http://schemas.openxmlformats.org/officeDocument/2006/relationships/hyperlink" Target="http://www.brwland.com.ua/product/azteca-tumba-tv-rtv2d2s415-brv-ukraina/" TargetMode="External"/><Relationship Id="rId37" Type="http://schemas.openxmlformats.org/officeDocument/2006/relationships/hyperlink" Target="http://www.brwland.com.ua/product/indiana-kanjon-stol-pismennyj-jbiu-2d2s140-brv-ukraina/" TargetMode="External"/><Relationship Id="rId38" Type="http://schemas.openxmlformats.org/officeDocument/2006/relationships/hyperlink" Target="http://www.brwland.com.ua/product/koen-szf-2d2s-shkaf-gerbor/" TargetMode="External"/><Relationship Id="rId39" Type="http://schemas.openxmlformats.org/officeDocument/2006/relationships/hyperlink" Target="http://www.brwland.com.ua/product/white-komod-4s90-gerbor/" TargetMode="External"/><Relationship Id="rId40" Type="http://schemas.openxmlformats.org/officeDocument/2006/relationships/hyperlink" Target="http://www.brwland.com.ua/product/nepo-prihozhaja-ppk-gerbor/" TargetMode="External"/><Relationship Id="rId41" Type="http://schemas.openxmlformats.org/officeDocument/2006/relationships/hyperlink" Target="http://www.brwland.com.ua/product/gostinaja-aljaska-brv-ukraina/" TargetMode="External"/><Relationship Id="rId42" Type="http://schemas.openxmlformats.org/officeDocument/2006/relationships/hyperlink" Target="http://www.brwland.com.ua/product/kvatro-gerbor/" TargetMode="External"/><Relationship Id="rId43" Type="http://schemas.openxmlformats.org/officeDocument/2006/relationships/hyperlink" Target="http://www.brwland.com.ua/product/liberti-shkaf-szf3d-brv-ukraina/" TargetMode="External"/><Relationship Id="rId44" Type="http://schemas.openxmlformats.org/officeDocument/2006/relationships/hyperlink" Target="http://gerbor.dp.ua/" TargetMode="External"/><Relationship Id="rId45" Type="http://schemas.openxmlformats.org/officeDocument/2006/relationships/hyperlink" Target="http://gerbor.dp.ua/index.php?route=product/product&amp;product_id=3138&amp;search=&#1072;&#1094;&#1090;&#1077;&#1082;&#1072;&amp;description=true&amp;sub_category=1&amp;page=2" TargetMode="External"/><Relationship Id="rId46" Type="http://schemas.openxmlformats.org/officeDocument/2006/relationships/hyperlink" Target="http://gerbor.dp.ua/index.php?route=product/product&amp;product_id=1725&amp;search=&#1080;&#1085;&#1076;&#1080;&#1072;&#1085;&#1072;&amp;description=true&amp;sub_category=1" TargetMode="External"/><Relationship Id="rId47" Type="http://schemas.openxmlformats.org/officeDocument/2006/relationships/hyperlink" Target="http://gerbor.dp.ua/index.php?route=product/product&amp;product_id=3812&amp;search=&#1082;&#1086;&#1077;&#1085;+&#1084;&#1076;&#1092;&amp;description=true&amp;sub_category=1" TargetMode="External"/><Relationship Id="rId48" Type="http://schemas.openxmlformats.org/officeDocument/2006/relationships/hyperlink" Target="http://gerbor.dp.ua/index.php?route=product/product&amp;product_id=3085&amp;search=&#1074;&#1072;&#1081;&#1090;&amp;description=true" TargetMode="External"/><Relationship Id="rId49" Type="http://schemas.openxmlformats.org/officeDocument/2006/relationships/hyperlink" Target="http://gerbor.dp.ua/index.php?route=product/product&amp;product_id=3473&amp;search=&#1085;&#1077;&#1087;&#1086;&amp;description=true&amp;page=2" TargetMode="External"/><Relationship Id="rId50" Type="http://schemas.openxmlformats.org/officeDocument/2006/relationships/hyperlink" Target="http://gerbor.dp.ua/index.php?route=product/product&amp;product_id=3031&amp;search=&#1072;&#1083;&#1103;&#1089;&#1082;&#1072;&amp;description=true" TargetMode="External"/><Relationship Id="rId51" Type="http://schemas.openxmlformats.org/officeDocument/2006/relationships/hyperlink" Target="http://gerbor.dp.ua/index.php?route=product/product&amp;product_id=2040&amp;search=&#1082;&#1074;&#1072;&#1090;&#1088;&#1086;&amp;description=true" TargetMode="External"/><Relationship Id="rId52" Type="http://schemas.openxmlformats.org/officeDocument/2006/relationships/hyperlink" Target="http://gerbor.dp.ua/index.php?route=product/product&amp;product_id=3851&amp;search=&#1083;&#1080;&#1073;&#1077;&#1088;&#1090;&#1080;&amp;description=true" TargetMode="External"/><Relationship Id="rId53" Type="http://schemas.openxmlformats.org/officeDocument/2006/relationships/hyperlink" Target="https://vashamebel.in.ua/" TargetMode="External"/><Relationship Id="rId54" Type="http://schemas.openxmlformats.org/officeDocument/2006/relationships/hyperlink" Target="https://vashamebel.in.ua/tumba-tv-brv-atsteka-rtv2d2s415/p12722" TargetMode="External"/><Relationship Id="rId55" Type="http://schemas.openxmlformats.org/officeDocument/2006/relationships/hyperlink" Target="https://vashamebel.in.ua/stol-pismennyij-brv-indiana-jbiu-2d2s/p916" TargetMode="External"/><Relationship Id="rId56" Type="http://schemas.openxmlformats.org/officeDocument/2006/relationships/hyperlink" Target="https://vashamebel.in.ua/shkaf-gerbor-koen-szf2d2s/p2181" TargetMode="External"/><Relationship Id="rId57" Type="http://schemas.openxmlformats.org/officeDocument/2006/relationships/hyperlink" Target="https://vashamebel.in.ua/komod-gerbor-vajt-4s-90/p10774" TargetMode="External"/><Relationship Id="rId58" Type="http://schemas.openxmlformats.org/officeDocument/2006/relationships/hyperlink" Target="https://vashamebel.in.ua/prihozhaya-gerbor-nepo-ppk/p12249" TargetMode="External"/><Relationship Id="rId59" Type="http://schemas.openxmlformats.org/officeDocument/2006/relationships/hyperlink" Target="https://vashamebel.in.ua/gostinaya-brv-alyaska/p4420" TargetMode="External"/><Relationship Id="rId60" Type="http://schemas.openxmlformats.org/officeDocument/2006/relationships/hyperlink" Target="https://vashamebel.in.ua/stenka-gerbor-kvatro/p2359" TargetMode="External"/><Relationship Id="rId61" Type="http://schemas.openxmlformats.org/officeDocument/2006/relationships/hyperlink" Target="http://mebel-mebel.com.ua/" TargetMode="External"/><Relationship Id="rId62" Type="http://schemas.openxmlformats.org/officeDocument/2006/relationships/hyperlink" Target="http://abcmebli.com.ua/" TargetMode="External"/><Relationship Id="rId63" Type="http://schemas.openxmlformats.org/officeDocument/2006/relationships/hyperlink" Target="http://abcmebli.com.ua/p14992-tumba_tv_rtv2d2s-4-15_atsteka" TargetMode="External"/><Relationship Id="rId64" Type="http://schemas.openxmlformats.org/officeDocument/2006/relationships/hyperlink" Target="http://abcmebli.com.ua/p1892-stol_pismenniy_jbiu2d2s_140_indiana" TargetMode="External"/><Relationship Id="rId65" Type="http://schemas.openxmlformats.org/officeDocument/2006/relationships/hyperlink" Target="http://abcmebli.com.ua/p15143-koen_mdf_shkaf_szf2d2s" TargetMode="External"/><Relationship Id="rId66" Type="http://schemas.openxmlformats.org/officeDocument/2006/relationships/hyperlink" Target="http://abcmebli.com.ua/p15658-komod_4s_90_vayt_gerbor" TargetMode="External"/><Relationship Id="rId67" Type="http://schemas.openxmlformats.org/officeDocument/2006/relationships/hyperlink" Target="http://abcmebli.com.ua/p15897-nepo_prihozhaya_ppk_gerbor" TargetMode="External"/><Relationship Id="rId68" Type="http://schemas.openxmlformats.org/officeDocument/2006/relationships/hyperlink" Target="http://abcmebli.com.ua/p15191-stenka_alyaska_brv" TargetMode="External"/><Relationship Id="rId69" Type="http://schemas.openxmlformats.org/officeDocument/2006/relationships/hyperlink" Target="http://abcmebli.com.ua/p2515-stenka_kvatro_gerbor" TargetMode="External"/><Relationship Id="rId70" Type="http://schemas.openxmlformats.org/officeDocument/2006/relationships/hyperlink" Target="http://abcmebli.com.ua/p15617-shkaf_szf3d_liberti_brv" TargetMode="External"/><Relationship Id="rId71" Type="http://schemas.openxmlformats.org/officeDocument/2006/relationships/hyperlink" Target="https://gerbor.mebelok.com/" TargetMode="External"/><Relationship Id="rId72" Type="http://schemas.openxmlformats.org/officeDocument/2006/relationships/hyperlink" Target="https://www.mebelok.com/tymba-tv-rtv2d2s415-acteka/" TargetMode="External"/><Relationship Id="rId73" Type="http://schemas.openxmlformats.org/officeDocument/2006/relationships/hyperlink" Target="https://www.mebelok.com/stol-pismennyy-jbiu-2d2s-140/" TargetMode="External"/><Relationship Id="rId74" Type="http://schemas.openxmlformats.org/officeDocument/2006/relationships/hyperlink" Target="https://www.mebelok.com/koen-shkaf-szf2d2s-mdf/" TargetMode="External"/><Relationship Id="rId75" Type="http://schemas.openxmlformats.org/officeDocument/2006/relationships/hyperlink" Target="https://www.mebelok.com/prihojaya-ppk-nepo/" TargetMode="External"/><Relationship Id="rId76" Type="http://schemas.openxmlformats.org/officeDocument/2006/relationships/hyperlink" Target="https://www.mebelok.com/gostinaya-kvatro/" TargetMode="External"/><Relationship Id="rId77" Type="http://schemas.openxmlformats.org/officeDocument/2006/relationships/hyperlink" Target="https://www.mebelok.com/shkaf-3d-liberti/" TargetMode="External"/><Relationship Id="rId78" Type="http://schemas.openxmlformats.org/officeDocument/2006/relationships/hyperlink" Target="http://maxmebel.com.ua/" TargetMode="External"/><Relationship Id="rId79" Type="http://schemas.openxmlformats.org/officeDocument/2006/relationships/hyperlink" Target="http://maxmebel.com.ua/pi/products_id/15620" TargetMode="External"/><Relationship Id="rId80" Type="http://schemas.openxmlformats.org/officeDocument/2006/relationships/hyperlink" Target="http://maxmebel.com.ua/pi/products_id/4909" TargetMode="External"/><Relationship Id="rId81" Type="http://schemas.openxmlformats.org/officeDocument/2006/relationships/hyperlink" Target="http://maxmebel.com.ua/pi/products_id/6503" TargetMode="External"/><Relationship Id="rId82" Type="http://schemas.openxmlformats.org/officeDocument/2006/relationships/hyperlink" Target="http://maxmebel.com.ua/pi/products_id/13019" TargetMode="External"/><Relationship Id="rId83" Type="http://schemas.openxmlformats.org/officeDocument/2006/relationships/hyperlink" Target="http://maxmebel.com.ua/pi/products_id/14792" TargetMode="External"/><Relationship Id="rId84" Type="http://schemas.openxmlformats.org/officeDocument/2006/relationships/hyperlink" Target="http://maxmebel.com.ua/pi/products_id/509" TargetMode="External"/><Relationship Id="rId85" Type="http://schemas.openxmlformats.org/officeDocument/2006/relationships/hyperlink" Target="http://maxmebel.com.ua/pi/products_id/6732" TargetMode="External"/><Relationship Id="rId86" Type="http://schemas.openxmlformats.org/officeDocument/2006/relationships/hyperlink" Target="http://maxmebel.com.ua/pi/products_id/19831" TargetMode="External"/><Relationship Id="rId87" Type="http://schemas.openxmlformats.org/officeDocument/2006/relationships/hyperlink" Target="https://moyamebel.com.ua/ua" TargetMode="External"/><Relationship Id="rId88" Type="http://schemas.openxmlformats.org/officeDocument/2006/relationships/hyperlink" Target="https://moyamebel.com.ua/ua/products/prihozhaya-nepo" TargetMode="External"/><Relationship Id="rId89" Type="http://schemas.openxmlformats.org/officeDocument/2006/relationships/hyperlink" Target="https://moyamebel.com.ua/ua/products/gostinaya-kvatro" TargetMode="External"/><Relationship Id="rId90" Type="http://schemas.openxmlformats.org/officeDocument/2006/relationships/hyperlink" Target="https://mebel-soyuz.com.ua/" TargetMode="External"/><Relationship Id="rId91" Type="http://schemas.openxmlformats.org/officeDocument/2006/relationships/hyperlink" Target="https://mebel-soyuz.com.ua/13769/" TargetMode="External"/><Relationship Id="rId92" Type="http://schemas.openxmlformats.org/officeDocument/2006/relationships/hyperlink" Target="https://mebel-soyuz.com.ua/8676/" TargetMode="External"/><Relationship Id="rId93" Type="http://schemas.openxmlformats.org/officeDocument/2006/relationships/hyperlink" Target="https://mebel-soyuz.com.ua/3180/" TargetMode="External"/><Relationship Id="rId94" Type="http://schemas.openxmlformats.org/officeDocument/2006/relationships/hyperlink" Target="https://mebel-soyuz.com.ua/6202//" TargetMode="External"/><Relationship Id="rId95" Type="http://schemas.openxmlformats.org/officeDocument/2006/relationships/hyperlink" Target="https://mebel-soyuz.com.ua/8926/" TargetMode="External"/><Relationship Id="rId96" Type="http://schemas.openxmlformats.org/officeDocument/2006/relationships/hyperlink" Target="https://mebel-soyuz.com.ua/10995/" TargetMode="External"/><Relationship Id="rId97" Type="http://schemas.openxmlformats.org/officeDocument/2006/relationships/hyperlink" Target="https://mebel-soyuz.com.ua/stenky/gerbor/kvatro//" TargetMode="External"/><Relationship Id="rId98" Type="http://schemas.openxmlformats.org/officeDocument/2006/relationships/hyperlink" Target="https://mebel-soyuz.com.ua/7243/" TargetMode="External"/><Relationship Id="rId99" Type="http://schemas.openxmlformats.org/officeDocument/2006/relationships/hyperlink" Target="https://sofino.ua/" TargetMode="External"/><Relationship Id="rId100" Type="http://schemas.openxmlformats.org/officeDocument/2006/relationships/hyperlink" Target="https://sofino.ua/brw-ukraina-stol-pismennyjj-jbiu2d2s140-indiana/g-40899" TargetMode="External"/><Relationship Id="rId101" Type="http://schemas.openxmlformats.org/officeDocument/2006/relationships/hyperlink" Target="https://sofino.ua/gerbor-shkaf-szf2d2s-koen-mdf-venge-magija-shtroks-temnyjj/g-19372" TargetMode="External"/><Relationship Id="rId102" Type="http://schemas.openxmlformats.org/officeDocument/2006/relationships/hyperlink" Target="https://sofino.ua/gerbor-komod-4s-90-vajjt/g-95203" TargetMode="External"/><Relationship Id="rId103" Type="http://schemas.openxmlformats.org/officeDocument/2006/relationships/hyperlink" Target="https://sofino.ua/gerbor-prikhozhaja-ppk-nepo/g-287089" TargetMode="External"/><Relationship Id="rId104" Type="http://schemas.openxmlformats.org/officeDocument/2006/relationships/hyperlink" Target="https://sofino.ua/brw-ukraina-stenka-aljaska-belyjj-gljanec/g-454107" TargetMode="External"/><Relationship Id="rId105" Type="http://schemas.openxmlformats.org/officeDocument/2006/relationships/hyperlink" Target="https://sofino.ua/gerbor-stenka-s-podsvetkojj-kvatro/g-18955" TargetMode="External"/><Relationship Id="rId106" Type="http://schemas.openxmlformats.org/officeDocument/2006/relationships/hyperlink" Target="https://sofino.ua/brw-ukraina-shkaf-3d-liberti-dub-sonoma-belyjj-gljanec/g-95147" TargetMode="External"/><Relationship Id="rId107" Type="http://schemas.openxmlformats.org/officeDocument/2006/relationships/hyperlink" Target="http://www.brw-gerbor.od.ua/" TargetMode="External"/><Relationship Id="rId108" Type="http://schemas.openxmlformats.org/officeDocument/2006/relationships/hyperlink" Target="http://brw-gerbor.od.ua/index.php?route=product/product&amp;filter_name=&#1074;&#1072;&#1081;&#1090;&amp;product_id=3155" TargetMode="External"/><Relationship Id="rId109" Type="http://schemas.openxmlformats.org/officeDocument/2006/relationships/hyperlink" Target="http://brw-gerbor.od.ua/index.php?route=product/product&amp;filter_name=&#1085;&#1077;&#1087;&#1086;&amp;page=2&amp;product_id=3266" TargetMode="External"/><Relationship Id="rId110" Type="http://schemas.openxmlformats.org/officeDocument/2006/relationships/hyperlink" Target="http://brw-gerbor.od.ua/index.php?route=product/product&amp;filter_name=&#1072;&#1083;&#1103;&#1089;&#1082;&#1072;&amp;product_id=4574" TargetMode="External"/><Relationship Id="rId111" Type="http://schemas.openxmlformats.org/officeDocument/2006/relationships/hyperlink" Target="http://brw-gerbor.od.ua/index.php?route=product/product&amp;filter_name=&#1082;&#1074;&#1072;&#1090;&#1088;&#1086;&amp;product_id=116" TargetMode="External"/><Relationship Id="rId112" Type="http://schemas.openxmlformats.org/officeDocument/2006/relationships/hyperlink" Target="http://brw-gerbor.od.ua/index.php?route=product/product&amp;filter_name=&#1083;&#1080;&#1073;&#1077;&#1088;&#1090;&#1080;&amp;product_id=2703" TargetMode="External"/><Relationship Id="rId113" Type="http://schemas.openxmlformats.org/officeDocument/2006/relationships/hyperlink" Target="http://gerbor.mebli-smerichka.com.ua/" TargetMode="External"/><Relationship Id="rId114" Type="http://schemas.openxmlformats.org/officeDocument/2006/relationships/hyperlink" Target="http://furniture.zp.ua/" TargetMode="External"/><Relationship Id="rId115" Type="http://schemas.openxmlformats.org/officeDocument/2006/relationships/hyperlink" Target="http://furniture.zp.ua/gerbor-xolding/gostinnie/modulnie-nabori/5562-gostinaya-atsteka.html?search_query=acteka&amp;results=2" TargetMode="External"/><Relationship Id="rId116" Type="http://schemas.openxmlformats.org/officeDocument/2006/relationships/hyperlink" Target="http://furniture.zp.ua/gerbor-xolding/detskie/3184-stol-pismenniie-jbiu-2d2s-140-indiana.html?search_query=indiana&amp;results=24" TargetMode="External"/><Relationship Id="rId117" Type="http://schemas.openxmlformats.org/officeDocument/2006/relationships/hyperlink" Target="http://furniture.zp.ua/gerbor-xolding/prixojie/modulnie-sistemi/6017-prihozhaya-nepo-ppk.html?search_query=nepo&amp;results=151" TargetMode="External"/><Relationship Id="rId118" Type="http://schemas.openxmlformats.org/officeDocument/2006/relationships/hyperlink" Target="http://furniture.zp.ua/gerbor-xolding/gostinnie/modulnie-nabori/6155-gostinaya-alyaska.html?search_query=alyaska&amp;results=3" TargetMode="External"/><Relationship Id="rId119" Type="http://schemas.openxmlformats.org/officeDocument/2006/relationships/hyperlink" Target="http://furniture.zp.ua/gerbor-xolding/gostinnie/1467-kvatro.html?search_query=kvatro&amp;results=4" TargetMode="External"/><Relationship Id="rId120" Type="http://schemas.openxmlformats.org/officeDocument/2006/relationships/hyperlink" Target="http://furniture.zp.ua/gerbor-xolding/spalni/modulnie-sistemi/5565-spalnya-liberti.html?search_query=liberti&amp;results=2" TargetMode="External"/><Relationship Id="rId121" Type="http://schemas.openxmlformats.org/officeDocument/2006/relationships/hyperlink" Target="https://www.brw-kiev.com.ua/" TargetMode="External"/><Relationship Id="rId122" Type="http://schemas.openxmlformats.org/officeDocument/2006/relationships/hyperlink" Target="https://www.brw-kiev.com.ua/catalog/mebel/azteca-shafka_pid_tv-rtv2d2s_4_15-000004821.html" TargetMode="External"/><Relationship Id="rId123" Type="http://schemas.openxmlformats.org/officeDocument/2006/relationships/hyperlink" Target="https://www.brw-kiev.com.ua/catalog/mebel/koen-shafa-szf2d2s-000003944.html" TargetMode="External"/><Relationship Id="rId124" Type="http://schemas.openxmlformats.org/officeDocument/2006/relationships/hyperlink" Target="https://www.brw-kiev.com.ua/catalog/mebel/spalnya/vayt-komod-kom4s_90-000008377.html" TargetMode="External"/><Relationship Id="rId125" Type="http://schemas.openxmlformats.org/officeDocument/2006/relationships/hyperlink" Target="https://www.brw-kiev.com.ua/catalog/mebel/nepo-peredpokiy-ppk-000006567.html" TargetMode="External"/><Relationship Id="rId126" Type="http://schemas.openxmlformats.org/officeDocument/2006/relationships/hyperlink" Target="https://www.brw-kiev.com.ua/catalog/mebel/stinki-vital_nya-alaska-000006901.html" TargetMode="External"/><Relationship Id="rId127" Type="http://schemas.openxmlformats.org/officeDocument/2006/relationships/hyperlink" Target="https://www.brw-kiev.com.ua/catalog/mebel/spalnya/liberty-shafa-szf_3d-000006341.html" TargetMode="External"/><Relationship Id="rId128" Type="http://schemas.openxmlformats.org/officeDocument/2006/relationships/hyperlink" Target="https://brw-lviv.com.ua/" TargetMode="External"/><Relationship Id="rId129" Type="http://schemas.openxmlformats.org/officeDocument/2006/relationships/hyperlink" Target="https://brw-lviv.com.ua/product/atsteky-tumba-tv-rtv2d2s-4-15-brv-ukrayina" TargetMode="External"/><Relationship Id="rId130" Type="http://schemas.openxmlformats.org/officeDocument/2006/relationships/hyperlink" Target="https://brw-lviv.com.ua/product/indiana-kanjon-stil-pysmovyj-jbiu-2d2s-140-brv-ukrayina" TargetMode="External"/><Relationship Id="rId131" Type="http://schemas.openxmlformats.org/officeDocument/2006/relationships/hyperlink" Target="https://brw-lviv.com.ua/product/koen-mdf-shafa-szf-2d2s-gerbor" TargetMode="External"/><Relationship Id="rId132" Type="http://schemas.openxmlformats.org/officeDocument/2006/relationships/hyperlink" Target="https://brw-lviv.com.ua/product/vajt-komod-4s-90-gerbor" TargetMode="External"/><Relationship Id="rId133" Type="http://schemas.openxmlformats.org/officeDocument/2006/relationships/hyperlink" Target="https://brw-lviv.com.ua/product/nepo-peredpokij-ppk-gerbor" TargetMode="External"/><Relationship Id="rId134" Type="http://schemas.openxmlformats.org/officeDocument/2006/relationships/hyperlink" Target="https://brw-lviv.com.ua/product/vitalnya-alyaska-brv-ukrayina-2" TargetMode="External"/><Relationship Id="rId135" Type="http://schemas.openxmlformats.org/officeDocument/2006/relationships/hyperlink" Target="https://brw-lviv.com.ua/product/vitalnya-kvatro-gerbor" TargetMode="External"/><Relationship Id="rId136" Type="http://schemas.openxmlformats.org/officeDocument/2006/relationships/hyperlink" Target="https://brw-lviv.com.ua/product/lyberty-shafa-szf3d-brv-ukrayina" TargetMode="External"/><Relationship Id="rId137" Type="http://schemas.openxmlformats.org/officeDocument/2006/relationships/hyperlink" Target="http://beruvse.com/" TargetMode="External"/><Relationship Id="rId138" Type="http://schemas.openxmlformats.org/officeDocument/2006/relationships/hyperlink" Target="http://beruvse.com/product/azteca-rtv2d2s415-tumba-tv-brw/" TargetMode="External"/><Relationship Id="rId139" Type="http://schemas.openxmlformats.org/officeDocument/2006/relationships/hyperlink" Target="http://beruvse.com/product/nepo-prihozhaja-ppk/" TargetMode="External"/><Relationship Id="rId140" Type="http://schemas.openxmlformats.org/officeDocument/2006/relationships/hyperlink" Target="http://beruvse.com/product/stenka-kvatro/" TargetMode="External"/><Relationship Id="rId141" Type="http://schemas.openxmlformats.org/officeDocument/2006/relationships/hyperlink" Target="https://brw.kiev.ua/" TargetMode="External"/><Relationship Id="rId142" Type="http://schemas.openxmlformats.org/officeDocument/2006/relationships/hyperlink" Target="https://brw.kiev.ua/mebel-brw-ukraina/azteca/tumba-tv-rtv2d2s-azteca-brv/" TargetMode="External"/><Relationship Id="rId143" Type="http://schemas.openxmlformats.org/officeDocument/2006/relationships/hyperlink" Target="https://brw.kiev.ua/mebel-brw-ukraina/indiana-kanjon/stol-pismennyy-jbiu2d2s140-indiana-brv-kanjon/" TargetMode="External"/><Relationship Id="rId144" Type="http://schemas.openxmlformats.org/officeDocument/2006/relationships/hyperlink" Target="https://brw.kiev.ua/mebel-gerbor/koen/shkaf-szf2d2s-koen-gerbor/" TargetMode="External"/><Relationship Id="rId145" Type="http://schemas.openxmlformats.org/officeDocument/2006/relationships/hyperlink" Target="https://brw.kiev.ua/mebel-gerbor/white/komod-4s90-white-gerbor/" TargetMode="External"/><Relationship Id="rId146" Type="http://schemas.openxmlformats.org/officeDocument/2006/relationships/hyperlink" Target="https://brw.kiev.ua/mebel-gerbor/nepo/prikhozhaya-ppk-nepo-gerbor/" TargetMode="External"/><Relationship Id="rId147" Type="http://schemas.openxmlformats.org/officeDocument/2006/relationships/hyperlink" Target="https://brw.kiev.ua/mebel-brw-ukraina/alaska/stenka-alaska-brv/" TargetMode="External"/><Relationship Id="rId148" Type="http://schemas.openxmlformats.org/officeDocument/2006/relationships/hyperlink" Target="https://brw.kiev.ua/mebel-gerbor/quatro/stenka-quatro-gerbor/" TargetMode="External"/><Relationship Id="rId149" Type="http://schemas.openxmlformats.org/officeDocument/2006/relationships/hyperlink" Target="https://brw.kiev.ua/mebel-brw-ukraina/liberti/shkaf-szf3d-liberti-brv/" TargetMode="External"/><Relationship Id="rId150" Type="http://schemas.openxmlformats.org/officeDocument/2006/relationships/hyperlink" Target="http://brw.com.ua/" TargetMode="External"/><Relationship Id="rId151" Type="http://schemas.openxmlformats.org/officeDocument/2006/relationships/hyperlink" Target="https://mebelstyle.net/" TargetMode="External"/><Relationship Id="rId152" Type="http://schemas.openxmlformats.org/officeDocument/2006/relationships/hyperlink" Target="https://mebelstyle.net/tumby-pod-tv/tumba-pod-tv-brw-ukraina-azteca-rtv2d2s415-82546.html" TargetMode="External"/><Relationship Id="rId153" Type="http://schemas.openxmlformats.org/officeDocument/2006/relationships/hyperlink" Target="https://mebelstyle.net/komody/komod-gerbor-vajt-4s90-83449.html" TargetMode="External"/><Relationship Id="rId154" Type="http://schemas.openxmlformats.org/officeDocument/2006/relationships/hyperlink" Target="https://mebelstyle.net/prikhozhie/prikhozhaja-gerbor-nepo-ppk-83649.html" TargetMode="External"/><Relationship Id="rId155" Type="http://schemas.openxmlformats.org/officeDocument/2006/relationships/hyperlink" Target="https://mebelstyle.net/gostinye/gostinaja-gerbor-kvatro-venge-56219.html" TargetMode="External"/><Relationship Id="rId156" Type="http://schemas.openxmlformats.org/officeDocument/2006/relationships/hyperlink" Target="https://lvivmebli.com/" TargetMode="External"/><Relationship Id="rId157" Type="http://schemas.openxmlformats.org/officeDocument/2006/relationships/hyperlink" Target="https://lvivmebli.com/13319/" TargetMode="External"/><Relationship Id="rId158" Type="http://schemas.openxmlformats.org/officeDocument/2006/relationships/hyperlink" Target="https://lvivmebli.com/5039/" TargetMode="External"/><Relationship Id="rId159" Type="http://schemas.openxmlformats.org/officeDocument/2006/relationships/hyperlink" Target="https://lvivmebli.com/20467/" TargetMode="External"/><Relationship Id="rId160" Type="http://schemas.openxmlformats.org/officeDocument/2006/relationships/hyperlink" Target="https://lvivmebli.com/20985/" TargetMode="External"/><Relationship Id="rId161" Type="http://schemas.openxmlformats.org/officeDocument/2006/relationships/hyperlink" Target="https://lvivmebli.com/20532/" TargetMode="External"/><Relationship Id="rId162" Type="http://schemas.openxmlformats.org/officeDocument/2006/relationships/hyperlink" Target="https://lvivmebli.com/20571/" TargetMode="External"/><Relationship Id="rId163" Type="http://schemas.openxmlformats.org/officeDocument/2006/relationships/hyperlink" Target="http://centrmebliv.com.ua/" TargetMode="External"/><Relationship Id="rId164" Type="http://schemas.openxmlformats.org/officeDocument/2006/relationships/hyperlink" Target="http://centrmebliv.com.ua/modulni-mebli/brw-azteca/mebli-brw-brv-azteca-tumba-rtv2d2s?keyword=&#1072;&#1094;&#1090;&#1077;&#1082;&#1072;" TargetMode="External"/><Relationship Id="rId165" Type="http://schemas.openxmlformats.org/officeDocument/2006/relationships/hyperlink" Target="http://centrmebliv.com.ua/modulni-mebli/gerbor-koen-mdf/gerbor/brw-koen-mdf-shafa-sf-2d2s" TargetMode="External"/><Relationship Id="rId166" Type="http://schemas.openxmlformats.org/officeDocument/2006/relationships/hyperlink" Target="http://centrmebliv.com.ua/modulni-mebli/gerbor-vayt/mebli-gerbor-gerbor-vayt-komod-4s-90" TargetMode="External"/><Relationship Id="rId167" Type="http://schemas.openxmlformats.org/officeDocument/2006/relationships/hyperlink" Target="http://centrmebliv.com.ua/modulni-mebli/gerbor-nepo/mebli-gerbor-gerbor-nepo-pryhozha-rrk" TargetMode="External"/><Relationship Id="rId168" Type="http://schemas.openxmlformats.org/officeDocument/2006/relationships/hyperlink" Target="http://centrmebliv.com.ua/mebli-dlya-vitalni/stinky/mebli-gerbor-gerbor-kvatro" TargetMode="External"/><Relationship Id="rId169" Type="http://schemas.openxmlformats.org/officeDocument/2006/relationships/hyperlink" Target="https://letromebel.com.ua/" TargetMode="External"/><Relationship Id="rId170" Type="http://schemas.openxmlformats.org/officeDocument/2006/relationships/hyperlink" Target="https://letromebel.com.ua/p566111870-tumba-rtv2d2s415-atsteka.html" TargetMode="External"/><Relationship Id="rId171" Type="http://schemas.openxmlformats.org/officeDocument/2006/relationships/hyperlink" Target="https://letromebel.com.ua/p565553911-komod-4s90-vajt.html" TargetMode="External"/><Relationship Id="rId172" Type="http://schemas.openxmlformats.org/officeDocument/2006/relationships/hyperlink" Target="https://letromebel.com.ua/p441285622-prihozhaya-ppk-nepo.html" TargetMode="External"/><Relationship Id="rId173" Type="http://schemas.openxmlformats.org/officeDocument/2006/relationships/hyperlink" Target="https://letromebel.com.ua/p436378844-stenka-kvatro-venge.html" TargetMode="External"/><Relationship Id="rId174" Type="http://schemas.openxmlformats.org/officeDocument/2006/relationships/hyperlink" Target="https://letromebel.com.ua/p567125880-shkaf-szf3d-liberti.html"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modulnye-gostinye/sistema_koen_%28mdf%29/008-koen-mdf-komod-kom4s/" TargetMode="External"/><Relationship Id="rId6" Type="http://schemas.openxmlformats.org/officeDocument/2006/relationships/hyperlink" Target="http://brwmania.com.ua/gostinaja/modulnye-gostinye/sistema_koen_%28mdf%29/014-koen-mdf-shafa-szf2d2s/" TargetMode="External"/><Relationship Id="rId7" Type="http://schemas.openxmlformats.org/officeDocument/2006/relationships/hyperlink" Target="http://brwmania.com.ua/gostinaja/modulnye-gostinye/sistema_vajt/008-vayt-komod-4s-90/" TargetMode="External"/><Relationship Id="rId8" Type="http://schemas.openxmlformats.org/officeDocument/2006/relationships/hyperlink" Target="http://brwmania.com.ua/gostinaja/modulnye-gostinye/sistema_vajt/012-vayt-shafa-2d/" TargetMode="External"/><Relationship Id="rId9" Type="http://schemas.openxmlformats.org/officeDocument/2006/relationships/hyperlink" Target="http://brwmania.com.ua/gostinaja/komplekty-gostinyh/aljaska-alaska-gostinaja/" TargetMode="External"/><Relationship Id="rId10" Type="http://schemas.openxmlformats.org/officeDocument/2006/relationships/hyperlink" Target="http://brwmania.com.ua/spalni/modulnye-spalni/sistema-spalni-liberti/005-shkaf-3d/" TargetMode="External"/><Relationship Id="rId11" Type="http://schemas.openxmlformats.org/officeDocument/2006/relationships/hyperlink" Target="http://brwmania.com.ua/" TargetMode="External"/><Relationship Id="rId12" Type="http://schemas.openxmlformats.org/officeDocument/2006/relationships/hyperlink" Target="http://redlight.com.ua/" TargetMode="External"/><Relationship Id="rId13" Type="http://schemas.openxmlformats.org/officeDocument/2006/relationships/hyperlink" Target="https://mebli-bristol.com.ua/" TargetMode="External"/><Relationship Id="rId14" Type="http://schemas.openxmlformats.org/officeDocument/2006/relationships/hyperlink" Target="http://gerbor.kiev.ua/" TargetMode="External"/><Relationship Id="rId15" Type="http://schemas.openxmlformats.org/officeDocument/2006/relationships/hyperlink" Target="http://www.brwland.com.ua/" TargetMode="External"/><Relationship Id="rId16" Type="http://schemas.openxmlformats.org/officeDocument/2006/relationships/hyperlink" Target="http://gerbor.dp.ua/" TargetMode="External"/><Relationship Id="rId17" Type="http://schemas.openxmlformats.org/officeDocument/2006/relationships/hyperlink" Target="https://vashamebel.in.ua/" TargetMode="External"/><Relationship Id="rId18" Type="http://schemas.openxmlformats.org/officeDocument/2006/relationships/hyperlink" Target="http://mebel-mebel.com.ua/" TargetMode="External"/><Relationship Id="rId19" Type="http://schemas.openxmlformats.org/officeDocument/2006/relationships/hyperlink" Target="http://abcmebli.com.ua/" TargetMode="External"/><Relationship Id="rId20" Type="http://schemas.openxmlformats.org/officeDocument/2006/relationships/hyperlink" Target="https://gerbor.mebelok.com/" TargetMode="External"/><Relationship Id="rId21" Type="http://schemas.openxmlformats.org/officeDocument/2006/relationships/hyperlink" Target="http://maxmebel.com.ua/" TargetMode="External"/><Relationship Id="rId22" Type="http://schemas.openxmlformats.org/officeDocument/2006/relationships/hyperlink" Target="https://moyamebel.com.ua/ua" TargetMode="External"/><Relationship Id="rId23" Type="http://schemas.openxmlformats.org/officeDocument/2006/relationships/hyperlink" Target="https://mebel-soyuz.com.ua/" TargetMode="External"/><Relationship Id="rId24" Type="http://schemas.openxmlformats.org/officeDocument/2006/relationships/hyperlink" Target="https://sofino.ua/" TargetMode="External"/><Relationship Id="rId25" Type="http://schemas.openxmlformats.org/officeDocument/2006/relationships/hyperlink" Target="http://www.brw-gerbor.od.ua/" TargetMode="External"/><Relationship Id="rId26" Type="http://schemas.openxmlformats.org/officeDocument/2006/relationships/hyperlink" Target="http://gerbor.mebli-smerichka.com.ua/" TargetMode="External"/><Relationship Id="rId27" Type="http://schemas.openxmlformats.org/officeDocument/2006/relationships/hyperlink" Target="http://furniture.zp.ua/" TargetMode="External"/><Relationship Id="rId28" Type="http://schemas.openxmlformats.org/officeDocument/2006/relationships/hyperlink" Target="https://www.brw-kiev.com.ua/" TargetMode="External"/><Relationship Id="rId29" Type="http://schemas.openxmlformats.org/officeDocument/2006/relationships/hyperlink" Target="https://brw-lviv.com.ua/" TargetMode="External"/><Relationship Id="rId30" Type="http://schemas.openxmlformats.org/officeDocument/2006/relationships/hyperlink" Target="http://beruvse.com/" TargetMode="External"/><Relationship Id="rId31" Type="http://schemas.openxmlformats.org/officeDocument/2006/relationships/hyperlink" Target="https://brw.kiev.ua/" TargetMode="External"/><Relationship Id="rId32" Type="http://schemas.openxmlformats.org/officeDocument/2006/relationships/hyperlink" Target="http://brw.com.ua/" TargetMode="External"/><Relationship Id="rId33" Type="http://schemas.openxmlformats.org/officeDocument/2006/relationships/hyperlink" Target="https://mebelstyle.net/" TargetMode="External"/><Relationship Id="rId34" Type="http://schemas.openxmlformats.org/officeDocument/2006/relationships/hyperlink" Target="https://lvivmebli.com/" TargetMode="External"/><Relationship Id="rId35" Type="http://schemas.openxmlformats.org/officeDocument/2006/relationships/hyperlink" Target="http://centrmebliv.com.ua/" TargetMode="External"/><Relationship Id="rId36" Type="http://schemas.openxmlformats.org/officeDocument/2006/relationships/hyperlink" Target="https://letromebel.com.ua/" TargetMode="External"/>
</Relationships>
</file>

<file path=xl/worksheets/_rels/sheet3.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komplekty-gostinyh/stinka-kvatro-venge-magia/" TargetMode="External"/><Relationship Id="rId8" Type="http://schemas.openxmlformats.org/officeDocument/2006/relationships/hyperlink" Target="https://brwmania.com.ua/gostinaja/modulnye-gostinye/sistema-vusher-vusher/010-vusher-komod-kom-1w2d2s/" TargetMode="External"/><Relationship Id="rId9" Type="http://schemas.openxmlformats.org/officeDocument/2006/relationships/hyperlink" Target="https://brwmania.com.ua/gostinaja/modulnye-gostinye/sistema-german/komod-brw-german-kom3s-9-12-dub-stirling/"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s://brwmania.com.ua/gostinaja/modulnye-gostinye/sistema_koen_mdf/008-koen-mdf-komod-kom4s/" TargetMode="External"/><Relationship Id="rId12" Type="http://schemas.openxmlformats.org/officeDocument/2006/relationships/hyperlink" Target="http://redlight.com.ua/" TargetMode="External"/><Relationship Id="rId13" Type="http://schemas.openxmlformats.org/officeDocument/2006/relationships/hyperlink" Target="http://redlight.com.ua/stenki/item-stenka-kvatro" TargetMode="External"/><Relationship Id="rId14" Type="http://schemas.openxmlformats.org/officeDocument/2006/relationships/hyperlink" Target="https://redlight.com.ua/komod/item-tumba-kom-1w2d2s-9-15-vusher" TargetMode="External"/><Relationship Id="rId15" Type="http://schemas.openxmlformats.org/officeDocument/2006/relationships/hyperlink" Target="https://redlight.com.ua/komod/item-german-komod-kom-3s-9-12" TargetMode="External"/><Relationship Id="rId16" Type="http://schemas.openxmlformats.org/officeDocument/2006/relationships/hyperlink" Target="https://redlight.com.ua/tv-stands/item-alisa-tumba-rtv2s2k" TargetMode="External"/><Relationship Id="rId17" Type="http://schemas.openxmlformats.org/officeDocument/2006/relationships/hyperlink" Target="https://redlight.com.ua/komod/item-komod-kom4s-koen-(mdf)-" TargetMode="External"/><Relationship Id="rId18" Type="http://schemas.openxmlformats.org/officeDocument/2006/relationships/hyperlink" Target="https://mebli-bristol.com.ua/" TargetMode="External"/><Relationship Id="rId19" Type="http://schemas.openxmlformats.org/officeDocument/2006/relationships/hyperlink" Target="https://mebli-bristol.com.ua/kvatro-gerbor.html" TargetMode="External"/><Relationship Id="rId20" Type="http://schemas.openxmlformats.org/officeDocument/2006/relationships/hyperlink" Target="https://mebli-bristol.com.ua/vusher-komod-kom-1w-2d2s-gerbor.html" TargetMode="External"/><Relationship Id="rId21" Type="http://schemas.openxmlformats.org/officeDocument/2006/relationships/hyperlink" Target="https://mebli-bristol.com.ua/german-komod-kom-3s-9-12-brv-ukraina.html" TargetMode="External"/><Relationship Id="rId22" Type="http://schemas.openxmlformats.org/officeDocument/2006/relationships/hyperlink" Target="https://mebli-bristol.com.ua/alisa-tumba-rtv-2s2k-gerbor.html" TargetMode="External"/><Relationship Id="rId23" Type="http://schemas.openxmlformats.org/officeDocument/2006/relationships/hyperlink" Target="https://mebli-bristol.com.ua/koen-komod-kom-4s-mdf-gerbor.html" TargetMode="External"/><Relationship Id="rId24" Type="http://schemas.openxmlformats.org/officeDocument/2006/relationships/hyperlink" Target="http://gerbor.kiev.ua/" TargetMode="External"/><Relationship Id="rId25" Type="http://schemas.openxmlformats.org/officeDocument/2006/relationships/hyperlink" Target="https://gerbor.kiev.ua/mebelnye-sistemy/mebel-vusher-gerbor/vusher-komod-kom1w2d2s-gerbor/" TargetMode="External"/><Relationship Id="rId26" Type="http://schemas.openxmlformats.org/officeDocument/2006/relationships/hyperlink" Target="https://gerbor.kiev.ua/mebel-brv-ukraina/mebel-german-brw/german-komod-kom3s-brv/" TargetMode="External"/><Relationship Id="rId27" Type="http://schemas.openxmlformats.org/officeDocument/2006/relationships/hyperlink" Target="https://gerbor.kiev.ua/mebelnye-sistemy/mebel-alisa-gerbor/alisa-tumba-tv-rtv2s2k-gerbor/" TargetMode="External"/><Relationship Id="rId28" Type="http://schemas.openxmlformats.org/officeDocument/2006/relationships/hyperlink" Target="https://gerbor.kiev.ua/mebelnye-sistemy/mebel-koen-gerbor/koen-komod-kom4s-gerbor/" TargetMode="External"/><Relationship Id="rId29" Type="http://schemas.openxmlformats.org/officeDocument/2006/relationships/hyperlink" Target="http://www.brwland.com.ua/" TargetMode="External"/><Relationship Id="rId30" Type="http://schemas.openxmlformats.org/officeDocument/2006/relationships/hyperlink" Target="http://www.brwland.com.ua/product/vusher-bufet-kom1w2d2s915-gerbor/" TargetMode="External"/><Relationship Id="rId31" Type="http://schemas.openxmlformats.org/officeDocument/2006/relationships/hyperlink" Target="https://brwland.com.ua/product/german-komod-kom3s912-brv-ukraina/" TargetMode="External"/><Relationship Id="rId32" Type="http://schemas.openxmlformats.org/officeDocument/2006/relationships/hyperlink" Target="https://brwland.com.ua/product/alisa-tumba-tv-rtv2s2k-gerbor/" TargetMode="External"/><Relationship Id="rId33" Type="http://schemas.openxmlformats.org/officeDocument/2006/relationships/hyperlink" Target="https://brwland.com.ua/product/koen-kom4s-komod-gerbor/" TargetMode="External"/><Relationship Id="rId34" Type="http://schemas.openxmlformats.org/officeDocument/2006/relationships/hyperlink" Target="http://gerbor.dp.ua/" TargetMode="External"/><Relationship Id="rId35" Type="http://schemas.openxmlformats.org/officeDocument/2006/relationships/hyperlink" Target="http://gerbor.dp.ua/index.php?route=product/product&amp;product_id=4257" TargetMode="External"/><Relationship Id="rId36" Type="http://schemas.openxmlformats.org/officeDocument/2006/relationships/hyperlink" Target="https://www.dybok.com.ua/" TargetMode="External"/><Relationship Id="rId37" Type="http://schemas.openxmlformats.org/officeDocument/2006/relationships/hyperlink" Target="https://www.dybok.com.ua/ru/product/detail/55516" TargetMode="External"/><Relationship Id="rId38" Type="http://schemas.openxmlformats.org/officeDocument/2006/relationships/hyperlink" Target="https://www.dybok.com.ua/ru/product/detail/18085" TargetMode="External"/><Relationship Id="rId39" Type="http://schemas.openxmlformats.org/officeDocument/2006/relationships/hyperlink" Target="https://www.dybok.com.ua/ru/product/detail/6077" TargetMode="External"/><Relationship Id="rId40" Type="http://schemas.openxmlformats.org/officeDocument/2006/relationships/hyperlink" Target="https://www.dybok.com.ua/ru/product/detail/7086" TargetMode="External"/><Relationship Id="rId41" Type="http://schemas.openxmlformats.org/officeDocument/2006/relationships/hyperlink" Target="https://www.dybok.com.ua/ua/product/detail/80992" TargetMode="External"/><Relationship Id="rId42" Type="http://schemas.openxmlformats.org/officeDocument/2006/relationships/hyperlink" Target="https://www.dybok.com.ua/ua/product/detail/76092" TargetMode="External"/><Relationship Id="rId43" Type="http://schemas.openxmlformats.org/officeDocument/2006/relationships/hyperlink" Target="https://vashamebel.in.ua/" TargetMode="External"/><Relationship Id="rId44" Type="http://schemas.openxmlformats.org/officeDocument/2006/relationships/hyperlink" Target="https://vashamebel.in.ua/stol-pismennyij-kaspian-ii-biu1d1s-120/p488" TargetMode="External"/><Relationship Id="rId45" Type="http://schemas.openxmlformats.org/officeDocument/2006/relationships/hyperlink" Target="https://vashamebel.in.ua/stenka-gerbor-kvatro/p2359" TargetMode="External"/><Relationship Id="rId46" Type="http://schemas.openxmlformats.org/officeDocument/2006/relationships/hyperlink" Target="https://vashamebel.in.ua/komod-gerbor-vusher-kom1w2d2s/p4762" TargetMode="External"/><Relationship Id="rId47" Type="http://schemas.openxmlformats.org/officeDocument/2006/relationships/hyperlink" Target="https://vashamebel.in.ua/komod-brv-german-kom3s912/p16187" TargetMode="External"/><Relationship Id="rId48" Type="http://schemas.openxmlformats.org/officeDocument/2006/relationships/hyperlink" Target="https://vashamebel.in.ua/tumba-tv-gerbor-alisa-rtv2s2k/p16540" TargetMode="External"/><Relationship Id="rId49" Type="http://schemas.openxmlformats.org/officeDocument/2006/relationships/hyperlink" Target="https://vashamebel.in.ua/komod-gerbor-koen-kom4s/p2171" TargetMode="External"/><Relationship Id="rId50" Type="http://schemas.openxmlformats.org/officeDocument/2006/relationships/hyperlink" Target="http://mebel-mebel.com.ua/" TargetMode="External"/><Relationship Id="rId51" Type="http://schemas.openxmlformats.org/officeDocument/2006/relationships/hyperlink" Target="https://mebel-mebel.com.ua/eshop/dom-stenki-dlia-gostinoi/gostinaya_kvatro-id152.html" TargetMode="External"/><Relationship Id="rId52" Type="http://schemas.openxmlformats.org/officeDocument/2006/relationships/hyperlink" Target="https://mebel-mebel.com.ua/eshop/dom-komody/komod_kom_1w2d2s_vusher-id560.html" TargetMode="External"/><Relationship Id="rId53" Type="http://schemas.openxmlformats.org/officeDocument/2006/relationships/hyperlink" Target="https://mebel-mebel.com.ua/eshop/dom-komody/komod_kom3s_9_12_german_brv_ukraina-id60297.html" TargetMode="External"/><Relationship Id="rId54" Type="http://schemas.openxmlformats.org/officeDocument/2006/relationships/hyperlink" Target="https://mebel-mebel.com.ua/eshop/dom-tumby-dlia-tv/tumba_rtv_2s2k_alisa_gerbor-id60350.html" TargetMode="External"/><Relationship Id="rId55" Type="http://schemas.openxmlformats.org/officeDocument/2006/relationships/hyperlink" Target="https://mebel-mebel.com.ua/eshop/dom-komody/komod_kom_4s_mdf_8_koen-id921.html" TargetMode="External"/><Relationship Id="rId56" Type="http://schemas.openxmlformats.org/officeDocument/2006/relationships/hyperlink" Target="http://abcmebli.com.ua/" TargetMode="External"/><Relationship Id="rId57" Type="http://schemas.openxmlformats.org/officeDocument/2006/relationships/hyperlink" Target="https://gerbor.mebelok.com/" TargetMode="External"/><Relationship Id="rId58" Type="http://schemas.openxmlformats.org/officeDocument/2006/relationships/hyperlink" Target="https://www.mebelok.com/gostinaya-kvatro" TargetMode="External"/><Relationship Id="rId59" Type="http://schemas.openxmlformats.org/officeDocument/2006/relationships/hyperlink" Target="https://www.mebelok.com/komod-kom-1w2d2s-vusher/" TargetMode="External"/><Relationship Id="rId60" Type="http://schemas.openxmlformats.org/officeDocument/2006/relationships/hyperlink" Target="https://www.mebelok.com/komod-kom3s-9-12/" TargetMode="External"/><Relationship Id="rId61" Type="http://schemas.openxmlformats.org/officeDocument/2006/relationships/hyperlink" Target="https://www.mebelok.com/tumba-tv-rtv2s2k-alisa/" TargetMode="External"/><Relationship Id="rId62" Type="http://schemas.openxmlformats.org/officeDocument/2006/relationships/hyperlink" Target="https://www.mebelok.com/koen-komod-kom4s-mdf/" TargetMode="External"/><Relationship Id="rId63" Type="http://schemas.openxmlformats.org/officeDocument/2006/relationships/hyperlink" Target="http://maxmebel.com.ua/" TargetMode="External"/><Relationship Id="rId64" Type="http://schemas.openxmlformats.org/officeDocument/2006/relationships/hyperlink" Target="https://maxmebel.com.ua/stenka_kvatro" TargetMode="External"/><Relationship Id="rId65" Type="http://schemas.openxmlformats.org/officeDocument/2006/relationships/hyperlink" Target="https://maxmebel.com.ua/vusher_komod_kom_1w2d2s" TargetMode="External"/><Relationship Id="rId66" Type="http://schemas.openxmlformats.org/officeDocument/2006/relationships/hyperlink" Target="https://maxmebel.com.ua/koen_komod_kom4s-mdf" TargetMode="External"/><Relationship Id="rId67" Type="http://schemas.openxmlformats.org/officeDocument/2006/relationships/hyperlink" Target="https://moyamebel.com.ua/ua" TargetMode="External"/><Relationship Id="rId68" Type="http://schemas.openxmlformats.org/officeDocument/2006/relationships/hyperlink" Target="https://moyamebel.com.ua/ua/products/gostinaya-kvatro" TargetMode="External"/><Relationship Id="rId69" Type="http://schemas.openxmlformats.org/officeDocument/2006/relationships/hyperlink" Target="https://moyamebel.com.ua/ua/products/komod-1w2d2s-vusher" TargetMode="External"/><Relationship Id="rId70" Type="http://schemas.openxmlformats.org/officeDocument/2006/relationships/hyperlink" Target="https://mebel-soyuz.com.ua/" TargetMode="External"/><Relationship Id="rId71" Type="http://schemas.openxmlformats.org/officeDocument/2006/relationships/hyperlink" Target="https://sofino.ua/" TargetMode="External"/><Relationship Id="rId72" Type="http://schemas.openxmlformats.org/officeDocument/2006/relationships/hyperlink" Target="https://sofino.ua/gerbor-stenka-s-podsvetkojj-kvatro/g-18955" TargetMode="External"/><Relationship Id="rId73" Type="http://schemas.openxmlformats.org/officeDocument/2006/relationships/hyperlink" Target="https://sofino.ua/gerbor-bufet-kom1w2d2s-s-podsvetkojj-vusher/g-176785" TargetMode="External"/><Relationship Id="rId74" Type="http://schemas.openxmlformats.org/officeDocument/2006/relationships/hyperlink" Target="https://www.brw-kiev.com.ua/" TargetMode="External"/><Relationship Id="rId75" Type="http://schemas.openxmlformats.org/officeDocument/2006/relationships/hyperlink" Target="https://www.brw-kiev.com.ua/catalog/mebel/gostinaya/koen-komod-kom4s-000003956.html" TargetMode="External"/><Relationship Id="rId76" Type="http://schemas.openxmlformats.org/officeDocument/2006/relationships/hyperlink" Target="https://brw.kiev.ua/" TargetMode="External"/><Relationship Id="rId77" Type="http://schemas.openxmlformats.org/officeDocument/2006/relationships/hyperlink" Target="https://brw.kiev.ua/mebel-brw-ukraina/azteca/tumba-tv-rtv2d2s-azteca-brv/" TargetMode="External"/><Relationship Id="rId78" Type="http://schemas.openxmlformats.org/officeDocument/2006/relationships/hyperlink" Target="https://brw.kiev.ua/mebel-brw-ukraina/azteca/komod-kom4s-azteca-brv/" TargetMode="External"/><Relationship Id="rId79" Type="http://schemas.openxmlformats.org/officeDocument/2006/relationships/hyperlink" Target="https://brw.kiev.ua/mebel-brw-ukraina/indiana-kanjon/komod-jkom4s80-indiana-brv-kanjon/" TargetMode="External"/><Relationship Id="rId80" Type="http://schemas.openxmlformats.org/officeDocument/2006/relationships/hyperlink" Target="https://brw.kiev.ua/mebel-brw-ukraina/indiana-shutter/stol-pismennyy-jbiu2d2s140-indiana-brv-shutter/" TargetMode="External"/><Relationship Id="rId81" Type="http://schemas.openxmlformats.org/officeDocument/2006/relationships/hyperlink" Target="https://brw.kiev.ua/mebel-brw-ukraina/july/komod-kom4s90-july-brv/" TargetMode="External"/><Relationship Id="rId82" Type="http://schemas.openxmlformats.org/officeDocument/2006/relationships/hyperlink" Target="https://brw.kiev.ua/mebel-gerbor/vusher/komod-kom1w2d2s-vusher-gerbor/" TargetMode="External"/><Relationship Id="rId83" Type="http://schemas.openxmlformats.org/officeDocument/2006/relationships/hyperlink" Target="https://brw.kiev.ua/mebel-brw-ukraina/german/komod-kom3s-german-brv/" TargetMode="External"/><Relationship Id="rId84" Type="http://schemas.openxmlformats.org/officeDocument/2006/relationships/hyperlink" Target="https://brw.kiev.ua/mebel-gerbor/alisa/tumba-tv-rtv2s2k-alisa-gerbor/" TargetMode="External"/><Relationship Id="rId85" Type="http://schemas.openxmlformats.org/officeDocument/2006/relationships/hyperlink" Target="https://brw.kiev.ua/mebel-gerbor/koen/komod-kom4s-koen-gerbor/" TargetMode="External"/><Relationship Id="rId86" Type="http://schemas.openxmlformats.org/officeDocument/2006/relationships/hyperlink" Target="https://lvivmebli.com/" TargetMode="External"/><Relationship Id="rId87" Type="http://schemas.openxmlformats.org/officeDocument/2006/relationships/hyperlink" Target="http://centrmebliv.com.ua/" TargetMode="External"/><Relationship Id="rId88" Type="http://schemas.openxmlformats.org/officeDocument/2006/relationships/hyperlink" Target="https://letromebel.com.ua/" TargetMode="External"/><Relationship Id="rId89" Type="http://schemas.openxmlformats.org/officeDocument/2006/relationships/hyperlink" Target="https://letromebel.com.ua/p566111870-tumba-rtv2d2s415-atsteka.html" TargetMode="External"/><Relationship Id="rId90" Type="http://schemas.openxmlformats.org/officeDocument/2006/relationships/hyperlink" Target="https://letromebel.com.ua/p566126810-komod-kom4s811-atsteka.html" TargetMode="External"/><Relationship Id="rId91" Type="http://schemas.openxmlformats.org/officeDocument/2006/relationships/hyperlink" Target="https://letromebel.com.ua/p566921861-komod-jkom4s80-indiana.html" TargetMode="External"/><Relationship Id="rId92" Type="http://schemas.openxmlformats.org/officeDocument/2006/relationships/hyperlink" Target="https://letromebel.com.ua/p566921329-stol-pismennyj-jbiu2d2s140.html" TargetMode="External"/><Relationship Id="rId93" Type="http://schemas.openxmlformats.org/officeDocument/2006/relationships/hyperlink" Target="https://letromebel.com.ua/p445989920-komod-kom-dzhuli.html" TargetMode="External"/><Relationship Id="rId94" Type="http://schemas.openxmlformats.org/officeDocument/2006/relationships/hyperlink" Target="https://letromebel.com.ua/p332640892-bufet-kom1w2d2s-vusher.html" TargetMode="External"/><Relationship Id="rId95" Type="http://schemas.openxmlformats.org/officeDocument/2006/relationships/hyperlink" Target="https://letromebel.com.ua/ua/p920135181-komod-german-kom3s912.html" TargetMode="External"/><Relationship Id="rId96" Type="http://schemas.openxmlformats.org/officeDocument/2006/relationships/hyperlink" Target="https://letromebel.com.ua/ua/p1053586927-tumba-alisa-rtv2s2k.html" TargetMode="External"/><Relationship Id="rId97" Type="http://schemas.openxmlformats.org/officeDocument/2006/relationships/hyperlink" Target="https://letromebel.com.ua/site_search/page_2?search_term=&#1082;&#1086;&#1077;&#1085;+&#1084;&#1076;&#1092;" TargetMode="External"/><Relationship Id="rId98" Type="http://schemas.openxmlformats.org/officeDocument/2006/relationships/hyperlink" Target="https://shurup.net.ua/" TargetMode="External"/><Relationship Id="rId99" Type="http://schemas.openxmlformats.org/officeDocument/2006/relationships/hyperlink" Target="https://shurup.net.ua/azteca-acteka-tumba-rtv2d2s415.p17205" TargetMode="External"/><Relationship Id="rId100" Type="http://schemas.openxmlformats.org/officeDocument/2006/relationships/hyperlink" Target="https://shurup.net.ua/azteca-acteka-komod-kom4s811.p17200" TargetMode="External"/><Relationship Id="rId101" Type="http://schemas.openxmlformats.org/officeDocument/2006/relationships/hyperlink" Target="https://shurup.net.ua/komod-jkom-4s80-indiana-sosna-kanon.p9412" TargetMode="External"/><Relationship Id="rId102" Type="http://schemas.openxmlformats.org/officeDocument/2006/relationships/hyperlink" Target="https://shurup.net.ua/stol-pismennyj-jbiu-2d2s-140-indiana-dub-shutter.p5488" TargetMode="External"/><Relationship Id="rId103" Type="http://schemas.openxmlformats.org/officeDocument/2006/relationships/hyperlink" Target="https://shurup.net.ua/komod-kom-4s-90-dzhuli.p7011" TargetMode="External"/><Relationship Id="rId104" Type="http://schemas.openxmlformats.org/officeDocument/2006/relationships/hyperlink" Target="https://shurup.net.ua/komod-kom1w2d2s-9-15-vusher.p1953" TargetMode="External"/><Relationship Id="rId105" Type="http://schemas.openxmlformats.org/officeDocument/2006/relationships/hyperlink" Target="https://www.taburetka.ua/" TargetMode="External"/><Relationship Id="rId106" Type="http://schemas.openxmlformats.org/officeDocument/2006/relationships/hyperlink" Target="https://www.taburetka.ua/gostinye-600/gostinaya-kvatro-2834" TargetMode="External"/><Relationship Id="rId107" Type="http://schemas.openxmlformats.org/officeDocument/2006/relationships/hyperlink" Target="https://www.taburetka.ua/komody-i-tumby-35/komod-kom1w2d2s-vusher-2974" TargetMode="External"/><Relationship Id="rId108" Type="http://schemas.openxmlformats.org/officeDocument/2006/relationships/hyperlink" Target="http://www.maxidom.com.ua/" TargetMode="External"/><Relationship Id="rId109" Type="http://schemas.openxmlformats.org/officeDocument/2006/relationships/hyperlink" Target="http://www.maxidom.com.ua/tumba-rtv-atsteka-2d2s415.html?search_string=%D2%F3%EC%E1%E0+%D0%D2%C2+%C0%F6%F2%E5%EA%E0+2D2S%2F4%2F15" TargetMode="External"/><Relationship Id="rId110" Type="http://schemas.openxmlformats.org/officeDocument/2006/relationships/hyperlink" Target="http://www.maxidom.com.ua/komod-atsteka-kom4s811.html?search_string=%CA%EE%EC%EE%E4+%C0%F6%F2%E5%EA%E0+KOM4S%2F8%2F11" TargetMode="External"/><Relationship Id="rId111" Type="http://schemas.openxmlformats.org/officeDocument/2006/relationships/hyperlink" Target="http://www.maxidom.com.ua/komod_indiana_jkom4s80.html?search_string=%CA%EE%EC%EE%E4+%C8%ED%E4%E8%E0%ED%E0+JKOM4s%2F80" TargetMode="External"/><Relationship Id="rId112" Type="http://schemas.openxmlformats.org/officeDocument/2006/relationships/hyperlink" Target="http://www.maxidom.com.ua/stol_pismenniy_indiana_jbiu2d2s.html?search_string=%D1%F2%EE%EB+%EF%E8%F1%FC%EC%E5%ED%ED%FB%E9+%C8%ED%E4%E8%E0%ED%E0+JBIU2d2s" TargetMode="External"/><Relationship Id="rId113" Type="http://schemas.openxmlformats.org/officeDocument/2006/relationships/hyperlink" Target="http://www.maxidom.com.ua/komod-kom4s90-dzhuli.html?search_string=%CA%EE%EC%EE%E4+KOM4S%2F90+%C4%E6%F3%EB%E8" TargetMode="External"/><Relationship Id="rId114" Type="http://schemas.openxmlformats.org/officeDocument/2006/relationships/hyperlink" Target="https://mebel-online.com.ua/" TargetMode="External"/><Relationship Id="rId115" Type="http://schemas.openxmlformats.org/officeDocument/2006/relationships/hyperlink" Target="https://mebel-online.com.ua/tymba-rtv2d2s-4-15-azteca?filter_name=azteca" TargetMode="External"/><Relationship Id="rId116" Type="http://schemas.openxmlformats.org/officeDocument/2006/relationships/hyperlink" Target="https://mebel-online.com.ua/komod-kom4s-8-11-azteca?filter_name=azteca" TargetMode="External"/><Relationship Id="rId117" Type="http://schemas.openxmlformats.org/officeDocument/2006/relationships/hyperlink" Target="https://mebel-online.com.ua/p5228-komod_jkom_4s_80_indiana_brw?filter_name=&#1080;&#1085;&#1076;&#1080;&#1072;&#1085;&#1072;" TargetMode="External"/><Relationship Id="rId118" Type="http://schemas.openxmlformats.org/officeDocument/2006/relationships/hyperlink" Target="https://mebel-online.com.ua/p5223-stol_pismenniy_jbiu_2d2s_140_indiana_brw?filter_name=&#1080;&#1085;&#1076;&#1080;&#1072;&#1085;&#1072;" TargetMode="External"/><Relationship Id="rId119" Type="http://schemas.openxmlformats.org/officeDocument/2006/relationships/hyperlink" Target="https://mebel-online.com.ua/komod-kom4s-90-july?filter_name=july" TargetMode="External"/><Relationship Id="rId120" Type="http://schemas.openxmlformats.org/officeDocument/2006/relationships/hyperlink" Target="https://mebelnuy.com.ua/" TargetMode="External"/><Relationship Id="rId121" Type="http://schemas.openxmlformats.org/officeDocument/2006/relationships/hyperlink" Target="https://mebelnuy.com.ua/tumba-pod-tv-rtv2d2s-4-15-acteka-brv?search=&#1058;&#1042;%20&#1040;&#1094;&#1090;&#1077;&#1082;&#1072;%20RTV2D2S&amp;description=true" TargetMode="External"/><Relationship Id="rId122" Type="http://schemas.openxmlformats.org/officeDocument/2006/relationships/hyperlink" Target="https://mebelnuy.com.ua/komod-kom4s-8-11-acteka-brv?search=&#1040;&#1094;&#1090;&#1077;&#1082;&#1072;%20KOM4S%2F8%2F11&amp;description=true" TargetMode="External"/><Relationship Id="rId123" Type="http://schemas.openxmlformats.org/officeDocument/2006/relationships/hyperlink" Target="https://mebelnuy.com.ua/komod-jkom-4s-80-indiana-brv?search=&#1048;&#1085;&#1076;&#1080;&#1072;&#1085;&#1072;%20JKOM_4s&amp;description=true" TargetMode="External"/><Relationship Id="rId124" Type="http://schemas.openxmlformats.org/officeDocument/2006/relationships/hyperlink" Target="https://mebelnuy.com.ua/stol-pismennyj-jbiu-2d2s-140-indiana-brv?search=&#1048;&#1085;&#1076;&#1080;&#1072;&#1085;&#1072;%20JBIU_2d2s_140&amp;description=true" TargetMode="External"/><Relationship Id="rId125" Type="http://schemas.openxmlformats.org/officeDocument/2006/relationships/hyperlink" Target="https://mebelnuy.com.ua/komod-kom4s-90-dzhuli-brv?search=&#1044;&#1046;&#1059;&#1051;&#1048;%20KOM4S%2F90&amp;description=true" TargetMode="External"/><Relationship Id="rId126" Type="http://schemas.openxmlformats.org/officeDocument/2006/relationships/hyperlink" Target="https://mebelnuy.com.ua/gostinaya-gerbor-kvatro-venge-magiya?search=&#1082;&#1074;&#1072;&#1090;&#1088;&#1086;&amp;description=true" TargetMode="External"/><Relationship Id="rId127" Type="http://schemas.openxmlformats.org/officeDocument/2006/relationships/hyperlink" Target="https://mebelnuy.com.ua/komod-gerbor-vusher-kom-1w2d2s?search=&#1042;&#1091;&#1096;&#1077;&#1088;%20KOM%201W2D2S&amp;description=true" TargetMode="External"/><Relationship Id="rId128" Type="http://schemas.openxmlformats.org/officeDocument/2006/relationships/hyperlink" Target="https://mebelnuy.com.ua/komod-german-115-brv?search=&#1043;&#1045;&#1056;&#1052;&#1040;&#1053;&amp;description=true" TargetMode="External"/><Relationship Id="rId129" Type="http://schemas.openxmlformats.org/officeDocument/2006/relationships/hyperlink" Target="https://mebelnuy.com.ua/tumba-gerbor-alisa-rtv2s2k?search=&#1072;&#1083;&#1080;&#1089;&#1072;&amp;description=true" TargetMode="External"/><Relationship Id="rId130" Type="http://schemas.openxmlformats.org/officeDocument/2006/relationships/hyperlink" Target="https://mebelnuy.com.ua/komod-gerbor-koen-kom4s-mdf?search=&#1082;&#1086;&#1077;&#1085;%20&#1084;&#1076;&#1092;&amp;description=true" TargetMode="External"/><Relationship Id="rId131" Type="http://schemas.openxmlformats.org/officeDocument/2006/relationships/hyperlink" Target="https://amado.com.ua/" TargetMode="External"/><Relationship Id="rId132" Type="http://schemas.openxmlformats.org/officeDocument/2006/relationships/hyperlink" Target="https://amado.com.ua/gostinaya/komody-i-tumby-v-gostinuyu/acteka-tumba-rtv2d2s-4-15-brw" TargetMode="External"/><Relationship Id="rId133" Type="http://schemas.openxmlformats.org/officeDocument/2006/relationships/hyperlink" Target="https://amado.com.ua/gostinaya/komody-i-tumby-v-gostinuyu/acteka-komod-kom4s-8-11-brw" TargetMode="External"/><Relationship Id="rId134" Type="http://schemas.openxmlformats.org/officeDocument/2006/relationships/hyperlink" Target="https://amado.com.ua/detskaya/komody-i-tumby-dlya-detskoj/indiana-komod-jkom-4s-80-sosna-kanon-brw" TargetMode="External"/><Relationship Id="rId135" Type="http://schemas.openxmlformats.org/officeDocument/2006/relationships/hyperlink" Target="https://amado.com.ua/detskaya/stoly-i-nadstrojki/indiana-stol-pismennyj-jbiu-2d2s-140-sosna-kanon-brw" TargetMode="External"/><Relationship Id="rId136" Type="http://schemas.openxmlformats.org/officeDocument/2006/relationships/hyperlink" Target="https://amado.com.ua/gostinaya/komody-i-tumby-v-gostinuyu/dzhuli-komod-kom4s-90-brw" TargetMode="External"/><Relationship Id="rId137" Type="http://schemas.openxmlformats.org/officeDocument/2006/relationships/hyperlink" Target="https://epicentrk.ua/ua"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modulnye-gostinye/sistema_koen_%28mdf%29/008-koen-mdf-komod-kom4s/" TargetMode="External"/><Relationship Id="rId6" Type="http://schemas.openxmlformats.org/officeDocument/2006/relationships/hyperlink" Target="http://brwmania.com.ua/gostinaja/modulnye-gostinye/sistema_koen_%28mdf%29/014-koen-mdf-shafa-szf2d2s/" TargetMode="External"/><Relationship Id="rId7" Type="http://schemas.openxmlformats.org/officeDocument/2006/relationships/hyperlink" Target="http://brwmania.com.ua/gostinaja/modulnye-gostinye/sistema_vajt/008-vayt-komod-4s-90/" TargetMode="External"/><Relationship Id="rId8" Type="http://schemas.openxmlformats.org/officeDocument/2006/relationships/hyperlink" Target="http://brwmania.com.ua/gostinaja/modulnye-gostinye/sistema_vajt/012-vayt-shafa-2d/" TargetMode="External"/><Relationship Id="rId9" Type="http://schemas.openxmlformats.org/officeDocument/2006/relationships/hyperlink" Target="http://brwmania.com.ua/gostinaja/komplekty-gostinyh/aljaska-alaska-gostinaja/" TargetMode="External"/><Relationship Id="rId10" Type="http://schemas.openxmlformats.org/officeDocument/2006/relationships/hyperlink" Target="http://brwmania.com.ua/spalni/modulnye-spalni/sistema-spalni-liberti/005-shkaf-3d/" TargetMode="External"/><Relationship Id="rId11" Type="http://schemas.openxmlformats.org/officeDocument/2006/relationships/hyperlink" Target="http://brwmania.com.ua/" TargetMode="External"/><Relationship Id="rId12" Type="http://schemas.openxmlformats.org/officeDocument/2006/relationships/hyperlink" Target="http://redlight.com.ua/" TargetMode="External"/><Relationship Id="rId13" Type="http://schemas.openxmlformats.org/officeDocument/2006/relationships/hyperlink" Target="https://mebli-bristol.com.ua/" TargetMode="External"/><Relationship Id="rId14" Type="http://schemas.openxmlformats.org/officeDocument/2006/relationships/hyperlink" Target="http://gerbor.kiev.ua/" TargetMode="External"/><Relationship Id="rId15" Type="http://schemas.openxmlformats.org/officeDocument/2006/relationships/hyperlink" Target="http://www.brwland.com.ua/" TargetMode="External"/><Relationship Id="rId16" Type="http://schemas.openxmlformats.org/officeDocument/2006/relationships/hyperlink" Target="http://gerbor.dp.ua/" TargetMode="External"/><Relationship Id="rId17" Type="http://schemas.openxmlformats.org/officeDocument/2006/relationships/hyperlink" Target="https://vashamebel.in.ua/" TargetMode="External"/><Relationship Id="rId18" Type="http://schemas.openxmlformats.org/officeDocument/2006/relationships/hyperlink" Target="http://mebel-mebel.com.ua/" TargetMode="External"/><Relationship Id="rId19" Type="http://schemas.openxmlformats.org/officeDocument/2006/relationships/hyperlink" Target="http://abcmebli.com.ua/" TargetMode="External"/><Relationship Id="rId20" Type="http://schemas.openxmlformats.org/officeDocument/2006/relationships/hyperlink" Target="https://gerbor.mebelok.com/" TargetMode="External"/><Relationship Id="rId21" Type="http://schemas.openxmlformats.org/officeDocument/2006/relationships/hyperlink" Target="http://maxmebel.com.ua/" TargetMode="External"/><Relationship Id="rId22" Type="http://schemas.openxmlformats.org/officeDocument/2006/relationships/hyperlink" Target="https://moyamebel.com.ua/ua" TargetMode="External"/><Relationship Id="rId23" Type="http://schemas.openxmlformats.org/officeDocument/2006/relationships/hyperlink" Target="https://mebel-soyuz.com.ua/" TargetMode="External"/><Relationship Id="rId24" Type="http://schemas.openxmlformats.org/officeDocument/2006/relationships/hyperlink" Target="https://sofino.ua/" TargetMode="External"/><Relationship Id="rId25" Type="http://schemas.openxmlformats.org/officeDocument/2006/relationships/hyperlink" Target="http://www.brw-gerbor.od.ua/" TargetMode="External"/><Relationship Id="rId26" Type="http://schemas.openxmlformats.org/officeDocument/2006/relationships/hyperlink" Target="http://gerbor.mebli-smerichka.com.ua/" TargetMode="External"/><Relationship Id="rId27" Type="http://schemas.openxmlformats.org/officeDocument/2006/relationships/hyperlink" Target="http://furniture.zp.ua/" TargetMode="External"/><Relationship Id="rId28" Type="http://schemas.openxmlformats.org/officeDocument/2006/relationships/hyperlink" Target="https://www.brw-kiev.com.ua/" TargetMode="External"/><Relationship Id="rId29" Type="http://schemas.openxmlformats.org/officeDocument/2006/relationships/hyperlink" Target="https://brw-lviv.com.ua/" TargetMode="External"/><Relationship Id="rId30" Type="http://schemas.openxmlformats.org/officeDocument/2006/relationships/hyperlink" Target="https://brw.kiev.ua/" TargetMode="External"/><Relationship Id="rId31" Type="http://schemas.openxmlformats.org/officeDocument/2006/relationships/hyperlink" Target="http://brw.com.ua/" TargetMode="External"/><Relationship Id="rId32" Type="http://schemas.openxmlformats.org/officeDocument/2006/relationships/hyperlink" Target="https://mebelstyle.net/" TargetMode="External"/><Relationship Id="rId33" Type="http://schemas.openxmlformats.org/officeDocument/2006/relationships/hyperlink" Target="https://lvivmebli.com/" TargetMode="External"/><Relationship Id="rId34" Type="http://schemas.openxmlformats.org/officeDocument/2006/relationships/hyperlink" Target="http://centrmebliv.com.ua/" TargetMode="External"/><Relationship Id="rId35" Type="http://schemas.openxmlformats.org/officeDocument/2006/relationships/hyperlink" Target="https://letromebel.com.ua/"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gerbor.kiev.ua/" TargetMode="External"/><Relationship Id="rId2" Type="http://schemas.openxmlformats.org/officeDocument/2006/relationships/hyperlink" Target="http://abcmebli.com.ua/" TargetMode="External"/><Relationship Id="rId3" Type="http://schemas.openxmlformats.org/officeDocument/2006/relationships/hyperlink" Target="http://redlight.com.ua/" TargetMode="External"/><Relationship Id="rId4" Type="http://schemas.openxmlformats.org/officeDocument/2006/relationships/hyperlink" Target="http://dybok.com.ua/" TargetMode="External"/><Relationship Id="rId5" Type="http://schemas.openxmlformats.org/officeDocument/2006/relationships/hyperlink" Target="http://mebel-online.com.ua/" TargetMode="External"/><Relationship Id="rId6" Type="http://schemas.openxmlformats.org/officeDocument/2006/relationships/hyperlink" Target="http://amado.in.ua/" TargetMode="External"/><Relationship Id="rId7" Type="http://schemas.openxmlformats.org/officeDocument/2006/relationships/hyperlink" Target="http://maxidom.com.ua/" TargetMode="External"/><Relationship Id="rId8" Type="http://schemas.openxmlformats.org/officeDocument/2006/relationships/hyperlink" Target="http://promebli.ua/" TargetMode="External"/><Relationship Id="rId9" Type="http://schemas.openxmlformats.org/officeDocument/2006/relationships/hyperlink" Target="http://mebline.com.ua/" TargetMode="External"/><Relationship Id="rId10" Type="http://schemas.openxmlformats.org/officeDocument/2006/relationships/hyperlink" Target="http://sofino.ua/" TargetMode="External"/><Relationship Id="rId11" Type="http://schemas.openxmlformats.org/officeDocument/2006/relationships/hyperlink" Target="http://amado.com.ua/" TargetMode="External"/><Relationship Id="rId12" Type="http://schemas.openxmlformats.org/officeDocument/2006/relationships/hyperlink" Target="http://komod-bc.com.ua/" TargetMode="External"/><Relationship Id="rId13" Type="http://schemas.openxmlformats.org/officeDocument/2006/relationships/hyperlink" Target="http://taburetka.ua/" TargetMode="External"/><Relationship Id="rId14" Type="http://schemas.openxmlformats.org/officeDocument/2006/relationships/hyperlink" Target="http://shurup.net.ua/" TargetMode="External"/><Relationship Id="rId15" Type="http://schemas.openxmlformats.org/officeDocument/2006/relationships/hyperlink" Target="http://mebelok.com/" TargetMode="External"/><Relationship Id="rId16" Type="http://schemas.openxmlformats.org/officeDocument/2006/relationships/hyperlink" Target="https://mebli-bristol.com.ua/" TargetMode="External"/>
</Relationships>
</file>

<file path=xl/worksheets/_rels/sheet4.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komplekty-gostinyh/stinka-kvatro-venge-magia/" TargetMode="External"/><Relationship Id="rId8" Type="http://schemas.openxmlformats.org/officeDocument/2006/relationships/hyperlink" Target="https://brwmania.com.ua/gostinaja/modulnye-gostinye/sistema-vusher-vusher/010-vusher-komod-kom-1w2d2s/" TargetMode="External"/><Relationship Id="rId9" Type="http://schemas.openxmlformats.org/officeDocument/2006/relationships/hyperlink" Target="https://brwmania.com.ua/gostinaja/modulnye-gostinye/sistema-german/komod-brw-german-kom3s-9-12-dub-stirling/"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s://brwmania.com.ua/gostinaja/modulnye-gostinye/sistema_koen_mdf/008-koen-mdf-komod-kom4s/" TargetMode="External"/><Relationship Id="rId12" Type="http://schemas.openxmlformats.org/officeDocument/2006/relationships/hyperlink" Target="http://redlight.com.ua/" TargetMode="External"/><Relationship Id="rId13" Type="http://schemas.openxmlformats.org/officeDocument/2006/relationships/hyperlink" Target="http://redlight.com.ua/stenki/item-stenka-kvatro" TargetMode="External"/><Relationship Id="rId14" Type="http://schemas.openxmlformats.org/officeDocument/2006/relationships/hyperlink" Target="https://redlight.com.ua/komod/item-tumba-kom-1w2d2s-9-15-vusher" TargetMode="External"/><Relationship Id="rId15" Type="http://schemas.openxmlformats.org/officeDocument/2006/relationships/hyperlink" Target="https://redlight.com.ua/komod/item-german-komod-kom-3s-9-12" TargetMode="External"/><Relationship Id="rId16" Type="http://schemas.openxmlformats.org/officeDocument/2006/relationships/hyperlink" Target="https://redlight.com.ua/tv-stands/item-alisa-tumba-rtv2s2k" TargetMode="External"/><Relationship Id="rId17" Type="http://schemas.openxmlformats.org/officeDocument/2006/relationships/hyperlink" Target="https://redlight.com.ua/komod/item-komod-kom4s-koen-(mdf)-" TargetMode="External"/><Relationship Id="rId18" Type="http://schemas.openxmlformats.org/officeDocument/2006/relationships/hyperlink" Target="https://mebli-bristol.com.ua/" TargetMode="External"/><Relationship Id="rId19" Type="http://schemas.openxmlformats.org/officeDocument/2006/relationships/hyperlink" Target="https://mebli-bristol.com.ua/kvatro-gerbor.html" TargetMode="External"/><Relationship Id="rId20" Type="http://schemas.openxmlformats.org/officeDocument/2006/relationships/hyperlink" Target="https://mebli-bristol.com.ua/vusher-komod-kom-1w-2d2s-gerbor.html" TargetMode="External"/><Relationship Id="rId21" Type="http://schemas.openxmlformats.org/officeDocument/2006/relationships/hyperlink" Target="https://mebli-bristol.com.ua/german-komod-kom-3s-9-12-brv-ukraina.html" TargetMode="External"/><Relationship Id="rId22" Type="http://schemas.openxmlformats.org/officeDocument/2006/relationships/hyperlink" Target="https://mebli-bristol.com.ua/alisa-tumba-rtv-2s2k-gerbor.html" TargetMode="External"/><Relationship Id="rId23" Type="http://schemas.openxmlformats.org/officeDocument/2006/relationships/hyperlink" Target="https://mebli-bristol.com.ua/koen-komod-kom-4s-mdf-gerbor.html" TargetMode="External"/><Relationship Id="rId24" Type="http://schemas.openxmlformats.org/officeDocument/2006/relationships/hyperlink" Target="http://gerbor.kiev.ua/" TargetMode="External"/><Relationship Id="rId25" Type="http://schemas.openxmlformats.org/officeDocument/2006/relationships/hyperlink" Target="https://gerbor.kiev.ua/mebelnye-sistemy/mebel-vusher-gerbor/vusher-komod-kom1w2d2s-gerbor/" TargetMode="External"/><Relationship Id="rId26" Type="http://schemas.openxmlformats.org/officeDocument/2006/relationships/hyperlink" Target="https://gerbor.kiev.ua/mebel-brv-ukraina/mebel-german-brw/german-komod-kom3s-brv/" TargetMode="External"/><Relationship Id="rId27" Type="http://schemas.openxmlformats.org/officeDocument/2006/relationships/hyperlink" Target="https://gerbor.kiev.ua/mebelnye-sistemy/mebel-alisa-gerbor/alisa-tumba-tv-rtv2s2k-gerbor/" TargetMode="External"/><Relationship Id="rId28" Type="http://schemas.openxmlformats.org/officeDocument/2006/relationships/hyperlink" Target="https://gerbor.kiev.ua/mebelnye-sistemy/mebel-koen-gerbor/koen-komod-kom4s-gerbor/" TargetMode="External"/><Relationship Id="rId29" Type="http://schemas.openxmlformats.org/officeDocument/2006/relationships/hyperlink" Target="http://www.brwland.com.ua/" TargetMode="External"/><Relationship Id="rId30" Type="http://schemas.openxmlformats.org/officeDocument/2006/relationships/hyperlink" Target="http://www.brwland.com.ua/product/vusher-bufet-kom1w2d2s915-gerbor/" TargetMode="External"/><Relationship Id="rId31" Type="http://schemas.openxmlformats.org/officeDocument/2006/relationships/hyperlink" Target="https://brwland.com.ua/product/german-komod-kom3s912-brv-ukraina/" TargetMode="External"/><Relationship Id="rId32" Type="http://schemas.openxmlformats.org/officeDocument/2006/relationships/hyperlink" Target="https://brwland.com.ua/product/alisa-tumba-tv-rtv2s2k-gerbor/" TargetMode="External"/><Relationship Id="rId33" Type="http://schemas.openxmlformats.org/officeDocument/2006/relationships/hyperlink" Target="https://brwland.com.ua/product/koen-kom4s-komod-gerbor/" TargetMode="External"/><Relationship Id="rId34" Type="http://schemas.openxmlformats.org/officeDocument/2006/relationships/hyperlink" Target="http://gerbor.dp.ua/" TargetMode="External"/><Relationship Id="rId35" Type="http://schemas.openxmlformats.org/officeDocument/2006/relationships/hyperlink" Target="https://www.dybok.com.ua/" TargetMode="External"/><Relationship Id="rId36" Type="http://schemas.openxmlformats.org/officeDocument/2006/relationships/hyperlink" Target="https://www.dybok.com.ua/ru/product/detail/55516" TargetMode="External"/><Relationship Id="rId37" Type="http://schemas.openxmlformats.org/officeDocument/2006/relationships/hyperlink" Target="https://www.dybok.com.ua/ru/product/detail/18085" TargetMode="External"/><Relationship Id="rId38" Type="http://schemas.openxmlformats.org/officeDocument/2006/relationships/hyperlink" Target="https://www.dybok.com.ua/ru/product/detail/6077" TargetMode="External"/><Relationship Id="rId39" Type="http://schemas.openxmlformats.org/officeDocument/2006/relationships/hyperlink" Target="https://www.dybok.com.ua/ru/product/detail/7086" TargetMode="External"/><Relationship Id="rId40" Type="http://schemas.openxmlformats.org/officeDocument/2006/relationships/hyperlink" Target="https://www.dybok.com.ua/ua/product/detail/80992" TargetMode="External"/><Relationship Id="rId41" Type="http://schemas.openxmlformats.org/officeDocument/2006/relationships/hyperlink" Target="https://www.dybok.com.ua/ua/product/detail/76092" TargetMode="External"/><Relationship Id="rId42" Type="http://schemas.openxmlformats.org/officeDocument/2006/relationships/hyperlink" Target="https://vashamebel.in.ua/" TargetMode="External"/><Relationship Id="rId43" Type="http://schemas.openxmlformats.org/officeDocument/2006/relationships/hyperlink" Target="https://vashamebel.in.ua/stol-pismennyij-kaspian-ii-biu1d1s-120/p488" TargetMode="External"/><Relationship Id="rId44" Type="http://schemas.openxmlformats.org/officeDocument/2006/relationships/hyperlink" Target="https://vashamebel.in.ua/stenka-gerbor-kvatro/p2359" TargetMode="External"/><Relationship Id="rId45" Type="http://schemas.openxmlformats.org/officeDocument/2006/relationships/hyperlink" Target="https://vashamebel.in.ua/komod-gerbor-vusher-kom1w2d2s/p4762" TargetMode="External"/><Relationship Id="rId46" Type="http://schemas.openxmlformats.org/officeDocument/2006/relationships/hyperlink" Target="https://vashamebel.in.ua/komod-brv-german-kom3s912/p16187" TargetMode="External"/><Relationship Id="rId47" Type="http://schemas.openxmlformats.org/officeDocument/2006/relationships/hyperlink" Target="https://vashamebel.in.ua/tumba-tv-gerbor-alisa-rtv2s2k/p16540" TargetMode="External"/><Relationship Id="rId48" Type="http://schemas.openxmlformats.org/officeDocument/2006/relationships/hyperlink" Target="https://vashamebel.in.ua/komod-gerbor-koen-kom4s/p2171" TargetMode="External"/><Relationship Id="rId49" Type="http://schemas.openxmlformats.org/officeDocument/2006/relationships/hyperlink" Target="http://mebel-mebel.com.ua/" TargetMode="External"/><Relationship Id="rId50" Type="http://schemas.openxmlformats.org/officeDocument/2006/relationships/hyperlink" Target="https://mebel-mebel.com.ua/eshop/dom-stenki-dlia-gostinoi/gostinaya_kvatro-id152.html" TargetMode="External"/><Relationship Id="rId51" Type="http://schemas.openxmlformats.org/officeDocument/2006/relationships/hyperlink" Target="https://mebel-mebel.com.ua/eshop/dom-komody/komod_kom_1w2d2s_vusher-id560.html" TargetMode="External"/><Relationship Id="rId52" Type="http://schemas.openxmlformats.org/officeDocument/2006/relationships/hyperlink" Target="https://mebel-mebel.com.ua/eshop/dom-komody/komod_kom3s_9_12_german_brv_ukraina-id60297.html" TargetMode="External"/><Relationship Id="rId53" Type="http://schemas.openxmlformats.org/officeDocument/2006/relationships/hyperlink" Target="https://mebel-mebel.com.ua/eshop/dom-tumby-dlia-tv/tumba_rtv_2s2k_alisa_gerbor-id60350.html" TargetMode="External"/><Relationship Id="rId54" Type="http://schemas.openxmlformats.org/officeDocument/2006/relationships/hyperlink" Target="https://mebel-mebel.com.ua/eshop/dom-komody/komod_kom_4s_mdf_8_koen-id921.html" TargetMode="External"/><Relationship Id="rId55" Type="http://schemas.openxmlformats.org/officeDocument/2006/relationships/hyperlink" Target="http://abcmebli.com.ua/" TargetMode="External"/><Relationship Id="rId56" Type="http://schemas.openxmlformats.org/officeDocument/2006/relationships/hyperlink" Target="https://gerbor.mebelok.com/" TargetMode="External"/><Relationship Id="rId57" Type="http://schemas.openxmlformats.org/officeDocument/2006/relationships/hyperlink" Target="https://www.mebelok.com/gostinaya-kvatro" TargetMode="External"/><Relationship Id="rId58" Type="http://schemas.openxmlformats.org/officeDocument/2006/relationships/hyperlink" Target="https://www.mebelok.com/komod-kom-1w2d2s-vusher/" TargetMode="External"/><Relationship Id="rId59" Type="http://schemas.openxmlformats.org/officeDocument/2006/relationships/hyperlink" Target="https://www.mebelok.com/komod-kom3s-9-12/" TargetMode="External"/><Relationship Id="rId60" Type="http://schemas.openxmlformats.org/officeDocument/2006/relationships/hyperlink" Target="https://www.mebelok.com/tumba-tv-rtv2s2k-alisa/" TargetMode="External"/><Relationship Id="rId61" Type="http://schemas.openxmlformats.org/officeDocument/2006/relationships/hyperlink" Target="https://www.mebelok.com/koen-komod-kom4s-mdf/" TargetMode="External"/><Relationship Id="rId62" Type="http://schemas.openxmlformats.org/officeDocument/2006/relationships/hyperlink" Target="http://maxmebel.com.ua/" TargetMode="External"/><Relationship Id="rId63" Type="http://schemas.openxmlformats.org/officeDocument/2006/relationships/hyperlink" Target="https://maxmebel.com.ua/stenka_kvatro" TargetMode="External"/><Relationship Id="rId64" Type="http://schemas.openxmlformats.org/officeDocument/2006/relationships/hyperlink" Target="https://maxmebel.com.ua/vusher_komod_kom_1w2d2s" TargetMode="External"/><Relationship Id="rId65" Type="http://schemas.openxmlformats.org/officeDocument/2006/relationships/hyperlink" Target="https://maxmebel.com.ua/koen_komod_kom4s-mdf" TargetMode="External"/><Relationship Id="rId66" Type="http://schemas.openxmlformats.org/officeDocument/2006/relationships/hyperlink" Target="https://moyamebel.com.ua/ua" TargetMode="External"/><Relationship Id="rId67" Type="http://schemas.openxmlformats.org/officeDocument/2006/relationships/hyperlink" Target="https://moyamebel.com.ua/ua/products/gostinaya-kvatro" TargetMode="External"/><Relationship Id="rId68" Type="http://schemas.openxmlformats.org/officeDocument/2006/relationships/hyperlink" Target="https://moyamebel.com.ua/ua/products/komod-1w2d2s-vusher" TargetMode="External"/><Relationship Id="rId69" Type="http://schemas.openxmlformats.org/officeDocument/2006/relationships/hyperlink" Target="https://mebel-soyuz.com.ua/" TargetMode="External"/><Relationship Id="rId70" Type="http://schemas.openxmlformats.org/officeDocument/2006/relationships/hyperlink" Target="https://sofino.ua/" TargetMode="External"/><Relationship Id="rId71" Type="http://schemas.openxmlformats.org/officeDocument/2006/relationships/hyperlink" Target="https://sofino.ua/gerbor-stenka-s-podsvetkojj-kvatro/g-18955" TargetMode="External"/><Relationship Id="rId72" Type="http://schemas.openxmlformats.org/officeDocument/2006/relationships/hyperlink" Target="https://sofino.ua/gerbor-bufet-kom1w2d2s-s-podsvetkojj-vusher/g-176785" TargetMode="External"/><Relationship Id="rId73" Type="http://schemas.openxmlformats.org/officeDocument/2006/relationships/hyperlink" Target="https://www.brw-kiev.com.ua/" TargetMode="External"/><Relationship Id="rId74" Type="http://schemas.openxmlformats.org/officeDocument/2006/relationships/hyperlink" Target="https://www.brw-kiev.com.ua/catalog/mebel/gostinaya/koen-komod-kom4s-000003956.html" TargetMode="External"/><Relationship Id="rId75" Type="http://schemas.openxmlformats.org/officeDocument/2006/relationships/hyperlink" Target="https://brw.kiev.ua/" TargetMode="External"/><Relationship Id="rId76" Type="http://schemas.openxmlformats.org/officeDocument/2006/relationships/hyperlink" Target="https://brw.kiev.ua/mebel-brw-ukraina/azteca/tumba-tv-rtv2d2s-azteca-brv/" TargetMode="External"/><Relationship Id="rId77" Type="http://schemas.openxmlformats.org/officeDocument/2006/relationships/hyperlink" Target="https://brw.kiev.ua/mebel-brw-ukraina/azteca/komod-kom4s-azteca-brv/" TargetMode="External"/><Relationship Id="rId78" Type="http://schemas.openxmlformats.org/officeDocument/2006/relationships/hyperlink" Target="https://brw.kiev.ua/mebel-brw-ukraina/indiana-kanjon/komod-jkom4s80-indiana-brv-kanjon/" TargetMode="External"/><Relationship Id="rId79" Type="http://schemas.openxmlformats.org/officeDocument/2006/relationships/hyperlink" Target="https://brw.kiev.ua/mebel-brw-ukraina/indiana-shutter/stol-pismennyy-jbiu2d2s140-indiana-brv-shutter/" TargetMode="External"/><Relationship Id="rId80" Type="http://schemas.openxmlformats.org/officeDocument/2006/relationships/hyperlink" Target="https://brw.kiev.ua/mebel-brw-ukraina/july/komod-kom4s90-july-brv/" TargetMode="External"/><Relationship Id="rId81" Type="http://schemas.openxmlformats.org/officeDocument/2006/relationships/hyperlink" Target="https://brw.kiev.ua/mebel-gerbor/vusher/komod-kom1w2d2s-vusher-gerbor/" TargetMode="External"/><Relationship Id="rId82" Type="http://schemas.openxmlformats.org/officeDocument/2006/relationships/hyperlink" Target="https://brw.kiev.ua/mebel-brw-ukraina/german/komod-kom3s-german-brv/" TargetMode="External"/><Relationship Id="rId83" Type="http://schemas.openxmlformats.org/officeDocument/2006/relationships/hyperlink" Target="https://brw.kiev.ua/mebel-gerbor/alisa/tumba-tv-rtv2s2k-alisa-gerbor/" TargetMode="External"/><Relationship Id="rId84" Type="http://schemas.openxmlformats.org/officeDocument/2006/relationships/hyperlink" Target="https://brw.kiev.ua/mebel-gerbor/koen/komod-kom4s-koen-gerbor/" TargetMode="External"/><Relationship Id="rId85" Type="http://schemas.openxmlformats.org/officeDocument/2006/relationships/hyperlink" Target="https://lvivmebli.com/" TargetMode="External"/><Relationship Id="rId86" Type="http://schemas.openxmlformats.org/officeDocument/2006/relationships/hyperlink" Target="http://centrmebliv.com.ua/" TargetMode="External"/><Relationship Id="rId87" Type="http://schemas.openxmlformats.org/officeDocument/2006/relationships/hyperlink" Target="https://letromebel.com.ua/" TargetMode="External"/><Relationship Id="rId88" Type="http://schemas.openxmlformats.org/officeDocument/2006/relationships/hyperlink" Target="https://letromebel.com.ua/p566111870-tumba-rtv2d2s415-atsteka.html" TargetMode="External"/><Relationship Id="rId89" Type="http://schemas.openxmlformats.org/officeDocument/2006/relationships/hyperlink" Target="https://letromebel.com.ua/p566126810-komod-kom4s811-atsteka.html" TargetMode="External"/><Relationship Id="rId90" Type="http://schemas.openxmlformats.org/officeDocument/2006/relationships/hyperlink" Target="https://letromebel.com.ua/p566921861-komod-jkom4s80-indiana.html" TargetMode="External"/><Relationship Id="rId91" Type="http://schemas.openxmlformats.org/officeDocument/2006/relationships/hyperlink" Target="https://letromebel.com.ua/p566921329-stol-pismennyj-jbiu2d2s140.html" TargetMode="External"/><Relationship Id="rId92" Type="http://schemas.openxmlformats.org/officeDocument/2006/relationships/hyperlink" Target="https://letromebel.com.ua/p445989920-komod-kom-dzhuli.html" TargetMode="External"/><Relationship Id="rId93" Type="http://schemas.openxmlformats.org/officeDocument/2006/relationships/hyperlink" Target="https://letromebel.com.ua/p332640892-bufet-kom1w2d2s-vusher.html" TargetMode="External"/><Relationship Id="rId94" Type="http://schemas.openxmlformats.org/officeDocument/2006/relationships/hyperlink" Target="https://letromebel.com.ua/ua/p920135181-komod-german-kom3s912.html" TargetMode="External"/><Relationship Id="rId95" Type="http://schemas.openxmlformats.org/officeDocument/2006/relationships/hyperlink" Target="https://letromebel.com.ua/ua/p1053586927-tumba-alisa-rtv2s2k.html" TargetMode="External"/><Relationship Id="rId96" Type="http://schemas.openxmlformats.org/officeDocument/2006/relationships/hyperlink" Target="https://letromebel.com.ua/site_search/page_2?search_term=&#1082;&#1086;&#1077;&#1085;+&#1084;&#1076;&#1092;" TargetMode="External"/><Relationship Id="rId97" Type="http://schemas.openxmlformats.org/officeDocument/2006/relationships/hyperlink" Target="https://shurup.net.ua/" TargetMode="External"/><Relationship Id="rId98" Type="http://schemas.openxmlformats.org/officeDocument/2006/relationships/hyperlink" Target="https://shurup.net.ua/azteca-acteka-tumba-rtv2d2s415.p17205" TargetMode="External"/><Relationship Id="rId99" Type="http://schemas.openxmlformats.org/officeDocument/2006/relationships/hyperlink" Target="https://shurup.net.ua/azteca-acteka-komod-kom4s811.p17200" TargetMode="External"/><Relationship Id="rId100" Type="http://schemas.openxmlformats.org/officeDocument/2006/relationships/hyperlink" Target="https://shurup.net.ua/komod-jkom-4s80-indiana-sosna-kanon.p9412" TargetMode="External"/><Relationship Id="rId101" Type="http://schemas.openxmlformats.org/officeDocument/2006/relationships/hyperlink" Target="https://shurup.net.ua/stol-pismennyj-jbiu-2d2s-140-indiana-dub-shutter.p5488" TargetMode="External"/><Relationship Id="rId102" Type="http://schemas.openxmlformats.org/officeDocument/2006/relationships/hyperlink" Target="https://shurup.net.ua/komod-kom-4s-90-dzhuli.p7011" TargetMode="External"/><Relationship Id="rId103" Type="http://schemas.openxmlformats.org/officeDocument/2006/relationships/hyperlink" Target="https://shurup.net.ua/komod-kom1w2d2s-9-15-vusher.p1953" TargetMode="External"/><Relationship Id="rId104" Type="http://schemas.openxmlformats.org/officeDocument/2006/relationships/hyperlink" Target="https://www.taburetka.ua/" TargetMode="External"/><Relationship Id="rId105" Type="http://schemas.openxmlformats.org/officeDocument/2006/relationships/hyperlink" Target="https://www.taburetka.ua/gostinye-600/gostinaya-kvatro-2834" TargetMode="External"/><Relationship Id="rId106" Type="http://schemas.openxmlformats.org/officeDocument/2006/relationships/hyperlink" Target="https://www.taburetka.ua/komody-i-tumby-35/komod-kom1w2d2s-vusher-2974" TargetMode="External"/><Relationship Id="rId107" Type="http://schemas.openxmlformats.org/officeDocument/2006/relationships/hyperlink" Target="http://www.maxidom.com.ua/" TargetMode="External"/><Relationship Id="rId108" Type="http://schemas.openxmlformats.org/officeDocument/2006/relationships/hyperlink" Target="http://www.maxidom.com.ua/tumba-rtv-atsteka-2d2s415.html?search_string=%D2%F3%EC%E1%E0+%D0%D2%C2+%C0%F6%F2%E5%EA%E0+2D2S%2F4%2F15" TargetMode="External"/><Relationship Id="rId109" Type="http://schemas.openxmlformats.org/officeDocument/2006/relationships/hyperlink" Target="http://www.maxidom.com.ua/komod-atsteka-kom4s811.html?search_string=%CA%EE%EC%EE%E4+%C0%F6%F2%E5%EA%E0+KOM4S%2F8%2F11" TargetMode="External"/><Relationship Id="rId110" Type="http://schemas.openxmlformats.org/officeDocument/2006/relationships/hyperlink" Target="http://www.maxidom.com.ua/komod_indiana_jkom4s80.html?search_string=%CA%EE%EC%EE%E4+%C8%ED%E4%E8%E0%ED%E0+JKOM4s%2F80" TargetMode="External"/><Relationship Id="rId111" Type="http://schemas.openxmlformats.org/officeDocument/2006/relationships/hyperlink" Target="http://www.maxidom.com.ua/stol_pismenniy_indiana_jbiu2d2s.html?search_string=%D1%F2%EE%EB+%EF%E8%F1%FC%EC%E5%ED%ED%FB%E9+%C8%ED%E4%E8%E0%ED%E0+JBIU2d2s" TargetMode="External"/><Relationship Id="rId112" Type="http://schemas.openxmlformats.org/officeDocument/2006/relationships/hyperlink" Target="http://www.maxidom.com.ua/komod-kom4s90-dzhuli.html?search_string=%CA%EE%EC%EE%E4+KOM4S%2F90+%C4%E6%F3%EB%E8" TargetMode="External"/><Relationship Id="rId113" Type="http://schemas.openxmlformats.org/officeDocument/2006/relationships/hyperlink" Target="https://mebel-online.com.ua/" TargetMode="External"/><Relationship Id="rId114" Type="http://schemas.openxmlformats.org/officeDocument/2006/relationships/hyperlink" Target="https://mebel-online.com.ua/tymba-rtv2d2s-4-15-azteca?filter_name=azteca" TargetMode="External"/><Relationship Id="rId115" Type="http://schemas.openxmlformats.org/officeDocument/2006/relationships/hyperlink" Target="https://mebel-online.com.ua/komod-kom4s-8-11-azteca?filter_name=azteca" TargetMode="External"/><Relationship Id="rId116" Type="http://schemas.openxmlformats.org/officeDocument/2006/relationships/hyperlink" Target="https://mebel-online.com.ua/p5228-komod_jkom_4s_80_indiana_brw?filter_name=&#1080;&#1085;&#1076;&#1080;&#1072;&#1085;&#1072;" TargetMode="External"/><Relationship Id="rId117" Type="http://schemas.openxmlformats.org/officeDocument/2006/relationships/hyperlink" Target="https://mebel-online.com.ua/p5223-stol_pismenniy_jbiu_2d2s_140_indiana_brw?filter_name=&#1080;&#1085;&#1076;&#1080;&#1072;&#1085;&#1072;" TargetMode="External"/><Relationship Id="rId118" Type="http://schemas.openxmlformats.org/officeDocument/2006/relationships/hyperlink" Target="https://mebel-online.com.ua/komod-kom4s-90-july?filter_name=july" TargetMode="External"/><Relationship Id="rId119" Type="http://schemas.openxmlformats.org/officeDocument/2006/relationships/hyperlink" Target="https://mebelnuy.com.ua/" TargetMode="External"/><Relationship Id="rId120" Type="http://schemas.openxmlformats.org/officeDocument/2006/relationships/hyperlink" Target="https://mebelnuy.com.ua/tumba-pod-tv-rtv2d2s-4-15-acteka-brv?search=&#1058;&#1042;%20&#1040;&#1094;&#1090;&#1077;&#1082;&#1072;%20RTV2D2S&amp;description=true" TargetMode="External"/><Relationship Id="rId121" Type="http://schemas.openxmlformats.org/officeDocument/2006/relationships/hyperlink" Target="https://mebelnuy.com.ua/komod-kom4s-8-11-acteka-brv?search=&#1040;&#1094;&#1090;&#1077;&#1082;&#1072;%20KOM4S%2F8%2F11&amp;description=true" TargetMode="External"/><Relationship Id="rId122" Type="http://schemas.openxmlformats.org/officeDocument/2006/relationships/hyperlink" Target="https://mebelnuy.com.ua/komod-jkom-4s-80-indiana-brv?search=&#1048;&#1085;&#1076;&#1080;&#1072;&#1085;&#1072;%20JKOM_4s&amp;description=true" TargetMode="External"/><Relationship Id="rId123" Type="http://schemas.openxmlformats.org/officeDocument/2006/relationships/hyperlink" Target="https://mebelnuy.com.ua/komod-kom4s-90-dzhuli-brv?search=&#1044;&#1046;&#1059;&#1051;&#1048;%20KOM4S%2F90&amp;description=true" TargetMode="External"/><Relationship Id="rId124" Type="http://schemas.openxmlformats.org/officeDocument/2006/relationships/hyperlink" Target="https://mebelnuy.com.ua/gostinaya-gerbor-kvatro-venge-magiya?search=&#1082;&#1074;&#1072;&#1090;&#1088;&#1086;&amp;description=true" TargetMode="External"/><Relationship Id="rId125" Type="http://schemas.openxmlformats.org/officeDocument/2006/relationships/hyperlink" Target="https://mebelnuy.com.ua/komod-gerbor-vusher-kom-1w2d2s?search=&#1042;&#1091;&#1096;&#1077;&#1088;%20KOM%201W2D2S&amp;description=true" TargetMode="External"/><Relationship Id="rId126" Type="http://schemas.openxmlformats.org/officeDocument/2006/relationships/hyperlink" Target="https://mebelnuy.com.ua/komod-german-115-brv?search=&#1043;&#1045;&#1056;&#1052;&#1040;&#1053;&amp;description=true" TargetMode="External"/><Relationship Id="rId127" Type="http://schemas.openxmlformats.org/officeDocument/2006/relationships/hyperlink" Target="https://mebelnuy.com.ua/tumba-gerbor-alisa-rtv2s2k?search=&#1072;&#1083;&#1080;&#1089;&#1072;&amp;description=true" TargetMode="External"/><Relationship Id="rId128" Type="http://schemas.openxmlformats.org/officeDocument/2006/relationships/hyperlink" Target="https://mebelnuy.com.ua/komod-gerbor-koen-kom4s-mdf?search=&#1082;&#1086;&#1077;&#1085;%20&#1084;&#1076;&#1092;&amp;description=true" TargetMode="External"/><Relationship Id="rId129" Type="http://schemas.openxmlformats.org/officeDocument/2006/relationships/hyperlink" Target="https://amado.com.ua/" TargetMode="External"/><Relationship Id="rId130" Type="http://schemas.openxmlformats.org/officeDocument/2006/relationships/hyperlink" Target="https://amado.com.ua/gostinaya/komody-i-tumby-v-gostinuyu/acteka-tumba-rtv2d2s-4-15-brw" TargetMode="External"/><Relationship Id="rId131" Type="http://schemas.openxmlformats.org/officeDocument/2006/relationships/hyperlink" Target="https://amado.com.ua/gostinaya/komody-i-tumby-v-gostinuyu/acteka-komod-kom4s-8-11-brw" TargetMode="External"/><Relationship Id="rId132" Type="http://schemas.openxmlformats.org/officeDocument/2006/relationships/hyperlink" Target="https://amado.com.ua/detskaya/komody-i-tumby-dlya-detskoj/indiana-komod-jkom-4s-80-sosna-kanon-brw" TargetMode="External"/><Relationship Id="rId133" Type="http://schemas.openxmlformats.org/officeDocument/2006/relationships/hyperlink" Target="https://amado.com.ua/detskaya/stoly-i-nadstrojki/indiana-stol-pismennyj-jbiu-2d2s-140-sosna-kanon-brw" TargetMode="External"/><Relationship Id="rId134" Type="http://schemas.openxmlformats.org/officeDocument/2006/relationships/hyperlink" Target="https://amado.com.ua/gostinaya/komody-i-tumby-v-gostinuyu/dzhuli-komod-kom4s-90-brw" TargetMode="External"/><Relationship Id="rId135" Type="http://schemas.openxmlformats.org/officeDocument/2006/relationships/hyperlink" Target="https://epicentrk.ua/u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s://gerbor.kiev.ua/mebelnye-sistemy/mebel-koen-gerbor/koen-komod-kom4s-gerbor/" TargetMode="External"/><Relationship Id="rId11" Type="http://schemas.openxmlformats.org/officeDocument/2006/relationships/hyperlink" Target="http://www.brwland.com.ua/" TargetMode="External"/><Relationship Id="rId12" Type="http://schemas.openxmlformats.org/officeDocument/2006/relationships/hyperlink" Target="http://gerbor.dp.ua/" TargetMode="External"/><Relationship Id="rId13" Type="http://schemas.openxmlformats.org/officeDocument/2006/relationships/hyperlink" Target="https://www.dybok.com.ua/" TargetMode="External"/><Relationship Id="rId14" Type="http://schemas.openxmlformats.org/officeDocument/2006/relationships/hyperlink" Target="https://www.dybok.com.ua/ru/product/detail/55516" TargetMode="External"/><Relationship Id="rId15" Type="http://schemas.openxmlformats.org/officeDocument/2006/relationships/hyperlink" Target="https://www.dybok.com.ua/ru/product/detail/18085" TargetMode="External"/><Relationship Id="rId16" Type="http://schemas.openxmlformats.org/officeDocument/2006/relationships/hyperlink" Target="https://vashamebel.in.ua/" TargetMode="External"/><Relationship Id="rId17" Type="http://schemas.openxmlformats.org/officeDocument/2006/relationships/hyperlink" Target="https://vashamebel.in.ua/stol-pismennyij-kaspian-ii-biu1d1s-120/p488" TargetMode="External"/><Relationship Id="rId18" Type="http://schemas.openxmlformats.org/officeDocument/2006/relationships/hyperlink" Target="https://vashamebel.in.ua/stenka-gerbor-kvatro/p2359" TargetMode="External"/><Relationship Id="rId19" Type="http://schemas.openxmlformats.org/officeDocument/2006/relationships/hyperlink" Target="https://vashamebel.in.ua/komod-gerbor-vusher-kom1w2d2s/p4762" TargetMode="External"/><Relationship Id="rId20" Type="http://schemas.openxmlformats.org/officeDocument/2006/relationships/hyperlink" Target="https://vashamebel.in.ua/tumba-tv-gerbor-alisa-rtv2s2k/p16540" TargetMode="External"/><Relationship Id="rId21" Type="http://schemas.openxmlformats.org/officeDocument/2006/relationships/hyperlink" Target="https://vashamebel.in.ua/komod-gerbor-koen-kom4s/p2171" TargetMode="External"/><Relationship Id="rId22" Type="http://schemas.openxmlformats.org/officeDocument/2006/relationships/hyperlink" Target="http://mebel-mebel.com.ua/" TargetMode="External"/><Relationship Id="rId23" Type="http://schemas.openxmlformats.org/officeDocument/2006/relationships/hyperlink" Target="http://abcmebli.com.ua/" TargetMode="External"/><Relationship Id="rId24" Type="http://schemas.openxmlformats.org/officeDocument/2006/relationships/hyperlink" Target="https://gerbor.mebelok.com/" TargetMode="External"/><Relationship Id="rId25" Type="http://schemas.openxmlformats.org/officeDocument/2006/relationships/hyperlink" Target="http://maxmebel.com.ua/" TargetMode="External"/><Relationship Id="rId26" Type="http://schemas.openxmlformats.org/officeDocument/2006/relationships/hyperlink" Target="https://maxmebel.com.ua/stenka_kvatro" TargetMode="External"/><Relationship Id="rId27" Type="http://schemas.openxmlformats.org/officeDocument/2006/relationships/hyperlink" Target="https://maxmebel.com.ua/vusher_komod_kom_1w2d2s" TargetMode="External"/><Relationship Id="rId28" Type="http://schemas.openxmlformats.org/officeDocument/2006/relationships/hyperlink" Target="https://maxmebel.com.ua/koen_komod_kom4s-mdf" TargetMode="External"/><Relationship Id="rId29" Type="http://schemas.openxmlformats.org/officeDocument/2006/relationships/hyperlink" Target="https://moyamebel.com.ua/ua" TargetMode="External"/><Relationship Id="rId30" Type="http://schemas.openxmlformats.org/officeDocument/2006/relationships/hyperlink" Target="https://mebel-soyuz.com.ua/" TargetMode="External"/><Relationship Id="rId31" Type="http://schemas.openxmlformats.org/officeDocument/2006/relationships/hyperlink" Target="https://sofino.ua/" TargetMode="External"/><Relationship Id="rId32" Type="http://schemas.openxmlformats.org/officeDocument/2006/relationships/hyperlink" Target="https://www.brw-kiev.com.ua/" TargetMode="External"/><Relationship Id="rId33" Type="http://schemas.openxmlformats.org/officeDocument/2006/relationships/hyperlink" Target="https://www.brw-kiev.com.ua/catalog/mebel/gostinaya/koen-komod-kom4s-000003956.html" TargetMode="External"/><Relationship Id="rId34" Type="http://schemas.openxmlformats.org/officeDocument/2006/relationships/hyperlink" Target="https://brw.kiev.ua/" TargetMode="External"/><Relationship Id="rId35" Type="http://schemas.openxmlformats.org/officeDocument/2006/relationships/hyperlink" Target="https://brw.kiev.ua/mebel-brw-ukraina/azteca/tumba-tv-rtv2d2s-azteca-brv/" TargetMode="External"/><Relationship Id="rId36" Type="http://schemas.openxmlformats.org/officeDocument/2006/relationships/hyperlink" Target="https://brw.kiev.ua/mebel-brw-ukraina/azteca/komod-kom4s-azteca-brv/" TargetMode="External"/><Relationship Id="rId37" Type="http://schemas.openxmlformats.org/officeDocument/2006/relationships/hyperlink" Target="https://brw.kiev.ua/mebel-brw-ukraina/indiana-kanjon/komod-jkom4s80-indiana-brv-kanjon/" TargetMode="External"/><Relationship Id="rId38" Type="http://schemas.openxmlformats.org/officeDocument/2006/relationships/hyperlink" Target="https://brw.kiev.ua/mebel-brw-ukraina/indiana-shutter/stol-pismennyy-jbiu2d2s140-indiana-brv-shutter/" TargetMode="External"/><Relationship Id="rId39" Type="http://schemas.openxmlformats.org/officeDocument/2006/relationships/hyperlink" Target="https://brw.kiev.ua/mebel-brw-ukraina/july/komod-kom4s90-july-brv/" TargetMode="External"/><Relationship Id="rId40" Type="http://schemas.openxmlformats.org/officeDocument/2006/relationships/hyperlink" Target="https://brw.kiev.ua/mebel-gerbor/alisa/tumba-tv-rtv2s2k-alisa-gerbor/" TargetMode="External"/><Relationship Id="rId41" Type="http://schemas.openxmlformats.org/officeDocument/2006/relationships/hyperlink" Target="https://brw.kiev.ua/mebel-gerbor/koen/komod-kom4s-koen-gerbor/" TargetMode="External"/><Relationship Id="rId42" Type="http://schemas.openxmlformats.org/officeDocument/2006/relationships/hyperlink" Target="https://lvivmebli.com/" TargetMode="External"/><Relationship Id="rId43" Type="http://schemas.openxmlformats.org/officeDocument/2006/relationships/hyperlink" Target="http://centrmebliv.com.ua/" TargetMode="External"/><Relationship Id="rId44" Type="http://schemas.openxmlformats.org/officeDocument/2006/relationships/hyperlink" Target="https://letromebel.com.ua/" TargetMode="External"/><Relationship Id="rId45" Type="http://schemas.openxmlformats.org/officeDocument/2006/relationships/hyperlink" Target="https://letromebel.com.ua/p566111870-tumba-rtv2d2s415-atsteka.html" TargetMode="External"/><Relationship Id="rId46" Type="http://schemas.openxmlformats.org/officeDocument/2006/relationships/hyperlink" Target="https://letromebel.com.ua/p566126810-komod-kom4s811-atsteka.html" TargetMode="External"/><Relationship Id="rId47" Type="http://schemas.openxmlformats.org/officeDocument/2006/relationships/hyperlink" Target="https://letromebel.com.ua/p566921861-komod-jkom4s80-indiana.html" TargetMode="External"/><Relationship Id="rId48" Type="http://schemas.openxmlformats.org/officeDocument/2006/relationships/hyperlink" Target="https://letromebel.com.ua/p566921329-stol-pismennyj-jbiu2d2s140.html" TargetMode="External"/><Relationship Id="rId49" Type="http://schemas.openxmlformats.org/officeDocument/2006/relationships/hyperlink" Target="https://letromebel.com.ua/p445989920-komod-kom-dzhuli.html" TargetMode="External"/><Relationship Id="rId50" Type="http://schemas.openxmlformats.org/officeDocument/2006/relationships/hyperlink" Target="https://letromebel.com.ua/site_search/page_2?search_term=&#1082;&#1086;&#1077;&#1085;+&#1084;&#1076;&#1092;" TargetMode="External"/><Relationship Id="rId51" Type="http://schemas.openxmlformats.org/officeDocument/2006/relationships/hyperlink" Target="https://shurup.net.ua/" TargetMode="External"/><Relationship Id="rId52" Type="http://schemas.openxmlformats.org/officeDocument/2006/relationships/hyperlink" Target="https://shurup.net.ua/azteca-acteka-tumba-rtv2d2s415.p17205" TargetMode="External"/><Relationship Id="rId53" Type="http://schemas.openxmlformats.org/officeDocument/2006/relationships/hyperlink" Target="https://shurup.net.ua/azteca-acteka-komod-kom4s811.p17200" TargetMode="External"/><Relationship Id="rId54" Type="http://schemas.openxmlformats.org/officeDocument/2006/relationships/hyperlink" Target="https://shurup.net.ua/komod-jkom-4s80-indiana-sosna-kanon.p9412" TargetMode="External"/><Relationship Id="rId55" Type="http://schemas.openxmlformats.org/officeDocument/2006/relationships/hyperlink" Target="https://shurup.net.ua/stol-pismennyj-jbiu-2d2s-140-indiana-dub-shutter.p5488" TargetMode="External"/><Relationship Id="rId56" Type="http://schemas.openxmlformats.org/officeDocument/2006/relationships/hyperlink" Target="https://shurup.net.ua/komod-kom-4s-90-dzhuli.p7011" TargetMode="External"/><Relationship Id="rId57" Type="http://schemas.openxmlformats.org/officeDocument/2006/relationships/hyperlink" Target="https://shurup.net.ua/komod-kom1w2d2s-9-15-vusher.p1953" TargetMode="External"/><Relationship Id="rId58" Type="http://schemas.openxmlformats.org/officeDocument/2006/relationships/hyperlink" Target="https://www.taburetka.ua/" TargetMode="External"/><Relationship Id="rId59" Type="http://schemas.openxmlformats.org/officeDocument/2006/relationships/hyperlink" Target="https://www.taburetka.ua/gostinye-600/gostinaya-kvatro-2834" TargetMode="External"/><Relationship Id="rId60" Type="http://schemas.openxmlformats.org/officeDocument/2006/relationships/hyperlink" Target="http://www.maxidom.com.ua/" TargetMode="External"/><Relationship Id="rId61" Type="http://schemas.openxmlformats.org/officeDocument/2006/relationships/hyperlink" Target="http://www.maxidom.com.ua/tumba-rtv-atsteka-2d2s415.html?search_string=%D2%F3%EC%E1%E0+%D0%D2%C2+%C0%F6%F2%E5%EA%E0+2D2S%2F4%2F15" TargetMode="External"/><Relationship Id="rId62" Type="http://schemas.openxmlformats.org/officeDocument/2006/relationships/hyperlink" Target="http://www.maxidom.com.ua/komod-atsteka-kom4s811.html?search_string=%CA%EE%EC%EE%E4+%C0%F6%F2%E5%EA%E0+KOM4S%2F8%2F11" TargetMode="External"/><Relationship Id="rId63" Type="http://schemas.openxmlformats.org/officeDocument/2006/relationships/hyperlink" Target="http://www.maxidom.com.ua/komod_indiana_jkom4s80.html?search_string=%CA%EE%EC%EE%E4+%C8%ED%E4%E8%E0%ED%E0+JKOM4s%2F80" TargetMode="External"/><Relationship Id="rId64" Type="http://schemas.openxmlformats.org/officeDocument/2006/relationships/hyperlink" Target="http://www.maxidom.com.ua/stol_pismenniy_indiana_jbiu2d2s.html?search_string=%D1%F2%EE%EB+%EF%E8%F1%FC%EC%E5%ED%ED%FB%E9+%C8%ED%E4%E8%E0%ED%E0+JBIU2d2s" TargetMode="External"/><Relationship Id="rId65" Type="http://schemas.openxmlformats.org/officeDocument/2006/relationships/hyperlink" Target="http://www.maxidom.com.ua/komod-kom4s90-dzhuli.html?search_string=%CA%EE%EC%EE%E4+KOM4S%2F90+%C4%E6%F3%EB%E8" TargetMode="External"/><Relationship Id="rId66" Type="http://schemas.openxmlformats.org/officeDocument/2006/relationships/hyperlink" Target="https://mebel-online.com.ua/" TargetMode="External"/><Relationship Id="rId67" Type="http://schemas.openxmlformats.org/officeDocument/2006/relationships/hyperlink" Target="https://mebel-online.com.ua/tymba-rtv2d2s-4-15-azteca?filter_name=azteca" TargetMode="External"/><Relationship Id="rId68" Type="http://schemas.openxmlformats.org/officeDocument/2006/relationships/hyperlink" Target="https://mebel-online.com.ua/komod-kom4s-8-11-azteca?filter_name=azteca" TargetMode="External"/><Relationship Id="rId69" Type="http://schemas.openxmlformats.org/officeDocument/2006/relationships/hyperlink" Target="https://mebel-online.com.ua/p5228-komod_jkom_4s_80_indiana_brw?filter_name=&#1080;&#1085;&#1076;&#1080;&#1072;&#1085;&#1072;" TargetMode="External"/><Relationship Id="rId70" Type="http://schemas.openxmlformats.org/officeDocument/2006/relationships/hyperlink" Target="https://mebel-online.com.ua/p5223-stol_pismenniy_jbiu_2d2s_140_indiana_brw?filter_name=&#1080;&#1085;&#1076;&#1080;&#1072;&#1085;&#1072;" TargetMode="External"/><Relationship Id="rId71" Type="http://schemas.openxmlformats.org/officeDocument/2006/relationships/hyperlink" Target="https://mebel-online.com.ua/komod-kom4s-90-july?filter_name=july" TargetMode="External"/><Relationship Id="rId72" Type="http://schemas.openxmlformats.org/officeDocument/2006/relationships/hyperlink" Target="https://mebelnuy.com.ua/" TargetMode="External"/><Relationship Id="rId73" Type="http://schemas.openxmlformats.org/officeDocument/2006/relationships/hyperlink" Target="https://mebelnuy.com.ua/komod-kom4s-90-dzhuli-brv?search=&#1044;&#1046;&#1059;&#1051;&#1048;%20KOM4S%2F90&amp;description=true" TargetMode="External"/><Relationship Id="rId74" Type="http://schemas.openxmlformats.org/officeDocument/2006/relationships/hyperlink" Target="https://amado.com.ua/" TargetMode="External"/><Relationship Id="rId75" Type="http://schemas.openxmlformats.org/officeDocument/2006/relationships/hyperlink" Target="https://amado.com.ua/gostinaya/komody-i-tumby-v-gostinuyu/acteka-tumba-rtv2d2s-4-15-brw" TargetMode="External"/><Relationship Id="rId76" Type="http://schemas.openxmlformats.org/officeDocument/2006/relationships/hyperlink" Target="https://amado.com.ua/gostinaya/komody-i-tumby-v-gostinuyu/acteka-komod-kom4s-8-11-brw" TargetMode="External"/><Relationship Id="rId77" Type="http://schemas.openxmlformats.org/officeDocument/2006/relationships/hyperlink" Target="https://amado.com.ua/detskaya/komody-i-tumby-dlya-detskoj/indiana-komod-jkom-4s-80-sosna-kanon-brw" TargetMode="External"/><Relationship Id="rId78" Type="http://schemas.openxmlformats.org/officeDocument/2006/relationships/hyperlink" Target="https://amado.com.ua/detskaya/stoly-i-nadstrojki/indiana-stol-pismennyj-jbiu-2d2s-140-sosna-kanon-brw" TargetMode="External"/><Relationship Id="rId79" Type="http://schemas.openxmlformats.org/officeDocument/2006/relationships/hyperlink" Target="https://amado.com.ua/gostinaya/komody-i-tumby-v-gostinuyu/dzhuli-komod-kom4s-90-brw" TargetMode="External"/><Relationship Id="rId80" Type="http://schemas.openxmlformats.org/officeDocument/2006/relationships/hyperlink" Target="https://epicentrk.ua/u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redlight.com.ua/" TargetMode="External"/><Relationship Id="rId8" Type="http://schemas.openxmlformats.org/officeDocument/2006/relationships/hyperlink" Target="https://mebli-bristol.com.ua/" TargetMode="External"/><Relationship Id="rId9" Type="http://schemas.openxmlformats.org/officeDocument/2006/relationships/hyperlink" Target="http://gerbor.kiev.ua/" TargetMode="External"/><Relationship Id="rId10" Type="http://schemas.openxmlformats.org/officeDocument/2006/relationships/hyperlink" Target="http://www.brwland.com.ua/" TargetMode="External"/><Relationship Id="rId11" Type="http://schemas.openxmlformats.org/officeDocument/2006/relationships/hyperlink" Target="http://gerbor.dp.ua/" TargetMode="External"/><Relationship Id="rId12" Type="http://schemas.openxmlformats.org/officeDocument/2006/relationships/hyperlink" Target="https://www.dybok.com.ua/" TargetMode="External"/><Relationship Id="rId13" Type="http://schemas.openxmlformats.org/officeDocument/2006/relationships/hyperlink" Target="https://www.dybok.com.ua/ru/product/detail/55516" TargetMode="External"/><Relationship Id="rId14" Type="http://schemas.openxmlformats.org/officeDocument/2006/relationships/hyperlink" Target="https://www.dybok.com.ua/ru/product/detail/18085" TargetMode="External"/><Relationship Id="rId15" Type="http://schemas.openxmlformats.org/officeDocument/2006/relationships/hyperlink" Target="https://vashamebel.in.ua/" TargetMode="External"/><Relationship Id="rId16" Type="http://schemas.openxmlformats.org/officeDocument/2006/relationships/hyperlink" Target="https://vashamebel.in.ua/stol-pismennyij-kaspian-ii-biu1d1s-120/p488" TargetMode="External"/><Relationship Id="rId17" Type="http://schemas.openxmlformats.org/officeDocument/2006/relationships/hyperlink" Target="http://mebel-mebel.com.ua/" TargetMode="External"/><Relationship Id="rId18" Type="http://schemas.openxmlformats.org/officeDocument/2006/relationships/hyperlink" Target="http://abcmebli.com.ua/" TargetMode="External"/><Relationship Id="rId19" Type="http://schemas.openxmlformats.org/officeDocument/2006/relationships/hyperlink" Target="https://gerbor.mebelok.com/" TargetMode="External"/><Relationship Id="rId20" Type="http://schemas.openxmlformats.org/officeDocument/2006/relationships/hyperlink" Target="http://maxmebel.com.ua/" TargetMode="External"/><Relationship Id="rId21" Type="http://schemas.openxmlformats.org/officeDocument/2006/relationships/hyperlink" Target="https://moyamebel.com.ua/ua" TargetMode="External"/><Relationship Id="rId22" Type="http://schemas.openxmlformats.org/officeDocument/2006/relationships/hyperlink" Target="https://mebel-soyuz.com.ua/" TargetMode="External"/><Relationship Id="rId23" Type="http://schemas.openxmlformats.org/officeDocument/2006/relationships/hyperlink" Target="https://sofino.ua/" TargetMode="External"/><Relationship Id="rId24" Type="http://schemas.openxmlformats.org/officeDocument/2006/relationships/hyperlink" Target="https://www.brw-kiev.com.ua/" TargetMode="External"/><Relationship Id="rId25" Type="http://schemas.openxmlformats.org/officeDocument/2006/relationships/hyperlink" Target="https://brw.kiev.ua/" TargetMode="External"/><Relationship Id="rId26" Type="http://schemas.openxmlformats.org/officeDocument/2006/relationships/hyperlink" Target="https://brw.kiev.ua/mebel-brw-ukraina/azteca/tumba-tv-rtv2d2s-azteca-brv/" TargetMode="External"/><Relationship Id="rId27" Type="http://schemas.openxmlformats.org/officeDocument/2006/relationships/hyperlink" Target="https://brw.kiev.ua/mebel-brw-ukraina/azteca/komod-kom4s-azteca-brv/" TargetMode="External"/><Relationship Id="rId28" Type="http://schemas.openxmlformats.org/officeDocument/2006/relationships/hyperlink" Target="https://brw.kiev.ua/mebel-brw-ukraina/indiana-kanjon/komod-jkom4s80-indiana-brv-kanjon/" TargetMode="External"/><Relationship Id="rId29" Type="http://schemas.openxmlformats.org/officeDocument/2006/relationships/hyperlink" Target="https://brw.kiev.ua/mebel-brw-ukraina/indiana-shutter/stol-pismennyy-jbiu2d2s140-indiana-brv-shutter/" TargetMode="External"/><Relationship Id="rId30" Type="http://schemas.openxmlformats.org/officeDocument/2006/relationships/hyperlink" Target="https://brw.kiev.ua/mebel-brw-ukraina/july/komod-kom4s90-july-brv/" TargetMode="External"/><Relationship Id="rId31" Type="http://schemas.openxmlformats.org/officeDocument/2006/relationships/hyperlink" Target="https://brw.kiev.ua/mebel-gerbor/alisa/tumba-tv-rtv2s2k-alisa-gerbor/" TargetMode="External"/><Relationship Id="rId32" Type="http://schemas.openxmlformats.org/officeDocument/2006/relationships/hyperlink" Target="https://lvivmebli.com/" TargetMode="External"/><Relationship Id="rId33" Type="http://schemas.openxmlformats.org/officeDocument/2006/relationships/hyperlink" Target="http://centrmebliv.com.ua/" TargetMode="External"/><Relationship Id="rId34" Type="http://schemas.openxmlformats.org/officeDocument/2006/relationships/hyperlink" Target="https://letromebel.com.ua/" TargetMode="External"/><Relationship Id="rId35" Type="http://schemas.openxmlformats.org/officeDocument/2006/relationships/hyperlink" Target="https://letromebel.com.ua/p566111870-tumba-rtv2d2s415-atsteka.html" TargetMode="External"/><Relationship Id="rId36" Type="http://schemas.openxmlformats.org/officeDocument/2006/relationships/hyperlink" Target="https://letromebel.com.ua/p566126810-komod-kom4s811-atsteka.html" TargetMode="External"/><Relationship Id="rId37" Type="http://schemas.openxmlformats.org/officeDocument/2006/relationships/hyperlink" Target="https://letromebel.com.ua/p566921861-komod-jkom4s80-indiana.html" TargetMode="External"/><Relationship Id="rId38" Type="http://schemas.openxmlformats.org/officeDocument/2006/relationships/hyperlink" Target="https://letromebel.com.ua/p566921329-stol-pismennyj-jbiu2d2s140.html" TargetMode="External"/><Relationship Id="rId39" Type="http://schemas.openxmlformats.org/officeDocument/2006/relationships/hyperlink" Target="https://letromebel.com.ua/p445989920-komod-kom-dzhuli.html" TargetMode="External"/><Relationship Id="rId40" Type="http://schemas.openxmlformats.org/officeDocument/2006/relationships/hyperlink" Target="https://shurup.net.ua/" TargetMode="External"/><Relationship Id="rId41" Type="http://schemas.openxmlformats.org/officeDocument/2006/relationships/hyperlink" Target="https://shurup.net.ua/azteca-acteka-tumba-rtv2d2s415.p17205" TargetMode="External"/><Relationship Id="rId42" Type="http://schemas.openxmlformats.org/officeDocument/2006/relationships/hyperlink" Target="https://shurup.net.ua/azteca-acteka-komod-kom4s811.p17200" TargetMode="External"/><Relationship Id="rId43" Type="http://schemas.openxmlformats.org/officeDocument/2006/relationships/hyperlink" Target="https://shurup.net.ua/komod-jkom-4s80-indiana-sosna-kanon.p9412" TargetMode="External"/><Relationship Id="rId44" Type="http://schemas.openxmlformats.org/officeDocument/2006/relationships/hyperlink" Target="https://shurup.net.ua/stol-pismennyj-jbiu-2d2s-140-indiana-dub-shutter.p5488" TargetMode="External"/><Relationship Id="rId45" Type="http://schemas.openxmlformats.org/officeDocument/2006/relationships/hyperlink" Target="https://shurup.net.ua/komod-kom-4s-90-dzhuli.p7011" TargetMode="External"/><Relationship Id="rId46" Type="http://schemas.openxmlformats.org/officeDocument/2006/relationships/hyperlink" Target="https://www.taburetka.ua/" TargetMode="External"/><Relationship Id="rId47" Type="http://schemas.openxmlformats.org/officeDocument/2006/relationships/hyperlink" Target="http://www.maxidom.com.ua/" TargetMode="External"/><Relationship Id="rId48" Type="http://schemas.openxmlformats.org/officeDocument/2006/relationships/hyperlink" Target="http://www.maxidom.com.ua/tumba-rtv-atsteka-2d2s415.html?search_string=%D2%F3%EC%E1%E0+%D0%D2%C2+%C0%F6%F2%E5%EA%E0+2D2S%2F4%2F15" TargetMode="External"/><Relationship Id="rId49" Type="http://schemas.openxmlformats.org/officeDocument/2006/relationships/hyperlink" Target="http://www.maxidom.com.ua/komod-atsteka-kom4s811.html?search_string=%CA%EE%EC%EE%E4+%C0%F6%F2%E5%EA%E0+KOM4S%2F8%2F11" TargetMode="External"/><Relationship Id="rId50" Type="http://schemas.openxmlformats.org/officeDocument/2006/relationships/hyperlink" Target="http://www.maxidom.com.ua/komod_indiana_jkom4s80.html?search_string=%CA%EE%EC%EE%E4+%C8%ED%E4%E8%E0%ED%E0+JKOM4s%2F80" TargetMode="External"/><Relationship Id="rId51" Type="http://schemas.openxmlformats.org/officeDocument/2006/relationships/hyperlink" Target="http://www.maxidom.com.ua/stol_pismenniy_indiana_jbiu2d2s.html?search_string=%D1%F2%EE%EB+%EF%E8%F1%FC%EC%E5%ED%ED%FB%E9+%C8%ED%E4%E8%E0%ED%E0+JBIU2d2s" TargetMode="External"/><Relationship Id="rId52" Type="http://schemas.openxmlformats.org/officeDocument/2006/relationships/hyperlink" Target="http://www.maxidom.com.ua/komod-kom4s90-dzhuli.html?search_string=%CA%EE%EC%EE%E4+KOM4S%2F90+%C4%E6%F3%EB%E8" TargetMode="External"/><Relationship Id="rId53" Type="http://schemas.openxmlformats.org/officeDocument/2006/relationships/hyperlink" Target="https://mebel-online.com.ua/" TargetMode="External"/><Relationship Id="rId54" Type="http://schemas.openxmlformats.org/officeDocument/2006/relationships/hyperlink" Target="https://mebel-online.com.ua/tymba-rtv2d2s-4-15-azteca?filter_name=azteca" TargetMode="External"/><Relationship Id="rId55" Type="http://schemas.openxmlformats.org/officeDocument/2006/relationships/hyperlink" Target="https://mebel-online.com.ua/komod-kom4s-8-11-azteca?filter_name=azteca" TargetMode="External"/><Relationship Id="rId56" Type="http://schemas.openxmlformats.org/officeDocument/2006/relationships/hyperlink" Target="https://mebel-online.com.ua/p5228-komod_jkom_4s_80_indiana_brw?filter_name=&#1080;&#1085;&#1076;&#1080;&#1072;&#1085;&#1072;" TargetMode="External"/><Relationship Id="rId57" Type="http://schemas.openxmlformats.org/officeDocument/2006/relationships/hyperlink" Target="https://mebel-online.com.ua/p5223-stol_pismenniy_jbiu_2d2s_140_indiana_brw?filter_name=&#1080;&#1085;&#1076;&#1080;&#1072;&#1085;&#1072;" TargetMode="External"/><Relationship Id="rId58" Type="http://schemas.openxmlformats.org/officeDocument/2006/relationships/hyperlink" Target="https://mebel-online.com.ua/komod-kom4s-90-july?filter_name=july" TargetMode="External"/><Relationship Id="rId59" Type="http://schemas.openxmlformats.org/officeDocument/2006/relationships/hyperlink" Target="https://mebelnuy.com.ua/" TargetMode="External"/><Relationship Id="rId60" Type="http://schemas.openxmlformats.org/officeDocument/2006/relationships/hyperlink" Target="https://mebelnuy.com.ua/komod-kom4s-90-dzhuli-brv?search=&#1044;&#1046;&#1059;&#1051;&#1048;%20KOM4S%2F90&amp;description=true" TargetMode="External"/><Relationship Id="rId61" Type="http://schemas.openxmlformats.org/officeDocument/2006/relationships/hyperlink" Target="https://amado.com.ua/" TargetMode="External"/><Relationship Id="rId62" Type="http://schemas.openxmlformats.org/officeDocument/2006/relationships/hyperlink" Target="https://amado.com.ua/gostinaya/komody-i-tumby-v-gostinuyu/acteka-tumba-rtv2d2s-4-15-brw" TargetMode="External"/><Relationship Id="rId63" Type="http://schemas.openxmlformats.org/officeDocument/2006/relationships/hyperlink" Target="https://amado.com.ua/gostinaya/komody-i-tumby-v-gostinuyu/acteka-komod-kom4s-8-11-brw" TargetMode="External"/><Relationship Id="rId64" Type="http://schemas.openxmlformats.org/officeDocument/2006/relationships/hyperlink" Target="https://amado.com.ua/detskaya/komody-i-tumby-dlya-detskoj/indiana-komod-jkom-4s-80-sosna-kanon-brw" TargetMode="External"/><Relationship Id="rId65" Type="http://schemas.openxmlformats.org/officeDocument/2006/relationships/hyperlink" Target="https://amado.com.ua/detskaya/stoly-i-nadstrojki/indiana-stol-pismennyj-jbiu-2d2s-140-sosna-kanon-brw" TargetMode="External"/><Relationship Id="rId66" Type="http://schemas.openxmlformats.org/officeDocument/2006/relationships/hyperlink" Target="https://amado.com.ua/gostinaya/komody-i-tumby-v-gostinuyu/dzhuli-komod-kom4s-90-brw" TargetMode="External"/><Relationship Id="rId67" Type="http://schemas.openxmlformats.org/officeDocument/2006/relationships/hyperlink" Target="https://epicentrk.ua/ua" TargetMode="External"/>
</Relationships>
</file>

<file path=xl/worksheets/_rels/sheet7.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s://brwmania.com.ua/gostinaja/komplekty-gostinyh/stinka-kvatro-venge-magia/" TargetMode="External"/><Relationship Id="rId9" Type="http://schemas.openxmlformats.org/officeDocument/2006/relationships/hyperlink" Target="https://brwmania.com.ua/gostinaja/modulnye-gostinye/sistema-vusher-vusher/010-vusher-komod-kom-1w2d2s/"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redlight.com.ua/" TargetMode="External"/><Relationship Id="rId12" Type="http://schemas.openxmlformats.org/officeDocument/2006/relationships/hyperlink" Target="http://redlight.com.ua/tv-stands/item-tumba-tv-rtv2d2s-4-15-atsteka" TargetMode="External"/><Relationship Id="rId13" Type="http://schemas.openxmlformats.org/officeDocument/2006/relationships/hyperlink" Target="http://redlight.com.ua/komod/item-komod-kom4s-8-11-atsteka" TargetMode="External"/><Relationship Id="rId14" Type="http://schemas.openxmlformats.org/officeDocument/2006/relationships/hyperlink" Target="http://redlight.com.ua/komod/item-komod-jkom-4s-80-indiana" TargetMode="External"/><Relationship Id="rId15" Type="http://schemas.openxmlformats.org/officeDocument/2006/relationships/hyperlink" Target="http://redlight.com.ua/stoly/item-stol-pismenniy-jbiu-2d2s-indiana" TargetMode="External"/><Relationship Id="rId16" Type="http://schemas.openxmlformats.org/officeDocument/2006/relationships/hyperlink" Target="http://redlight.com.ua/komod/item-komod-kom4s-90-dzhuli" TargetMode="External"/><Relationship Id="rId17" Type="http://schemas.openxmlformats.org/officeDocument/2006/relationships/hyperlink" Target="https://mebli-bristol.com.ua/" TargetMode="External"/><Relationship Id="rId18" Type="http://schemas.openxmlformats.org/officeDocument/2006/relationships/hyperlink" Target="https://mebli-bristol.com.ua/alisa-tumba-rtv-2s2k-gerbor.html" TargetMode="External"/><Relationship Id="rId19" Type="http://schemas.openxmlformats.org/officeDocument/2006/relationships/hyperlink" Target="http://gerbor.kiev.ua/" TargetMode="External"/><Relationship Id="rId20" Type="http://schemas.openxmlformats.org/officeDocument/2006/relationships/hyperlink" Target="https://gerbor.kiev.ua/mebelnye-sistemy/mebel-brw-azteca/azteca-tumba-tv-rtv2d2s-brv/" TargetMode="External"/><Relationship Id="rId21" Type="http://schemas.openxmlformats.org/officeDocument/2006/relationships/hyperlink" Target="https://gerbor.kiev.ua/mebelnye-sistemy/mebel-brw-azteca/azteca-komod-kom4s-brv/" TargetMode="External"/><Relationship Id="rId22" Type="http://schemas.openxmlformats.org/officeDocument/2006/relationships/hyperlink" Target="https://gerbor.kiev.ua/mebelnye-sistemy/mebel-indiana-brw/indiana-komod-jkom4s80-brv/" TargetMode="External"/><Relationship Id="rId23" Type="http://schemas.openxmlformats.org/officeDocument/2006/relationships/hyperlink" Target="https://gerbor.kiev.ua/mebelnye-sistemy/mebel-indiana-brw/indiana-stol-pismennyy-jbiu2d2s140-brv/" TargetMode="External"/><Relationship Id="rId24" Type="http://schemas.openxmlformats.org/officeDocument/2006/relationships/hyperlink" Target="https://gerbor.kiev.ua/mebelnye-sistemy/mebel-july-brw/july-komod-kom4s90-brv/" TargetMode="External"/><Relationship Id="rId25" Type="http://schemas.openxmlformats.org/officeDocument/2006/relationships/hyperlink" Target="https://gerbor.kiev.ua/mebelnye-sistemy/mebel-alisa-gerbor/alisa-tumba-tv-rtv2s2k-gerbor/" TargetMode="External"/><Relationship Id="rId26" Type="http://schemas.openxmlformats.org/officeDocument/2006/relationships/hyperlink" Target="http://www.brwland.com.ua/" TargetMode="External"/><Relationship Id="rId27" Type="http://schemas.openxmlformats.org/officeDocument/2006/relationships/hyperlink" Target="http://www.brwland.com.ua/product/azteca-tumba-tv-rtv2d2s415-brv-ukraina/" TargetMode="External"/><Relationship Id="rId28" Type="http://schemas.openxmlformats.org/officeDocument/2006/relationships/hyperlink" Target="http://www.brwland.com.ua/product/azteca-komod-kom4s811-brv-ukraina/" TargetMode="External"/><Relationship Id="rId29" Type="http://schemas.openxmlformats.org/officeDocument/2006/relationships/hyperlink" Target="http://www.brwland.com.ua/product/mebel-indiana-komod-jkom-4s-80-gerbor/" TargetMode="External"/><Relationship Id="rId30" Type="http://schemas.openxmlformats.org/officeDocument/2006/relationships/hyperlink" Target="http://www.brwland.com.ua/product/mebel-indiana-stol-pismennyj-jbiu-2d2s-140-gerbor/" TargetMode="External"/><Relationship Id="rId31" Type="http://schemas.openxmlformats.org/officeDocument/2006/relationships/hyperlink" Target="http://www.brwland.com.ua/product/dzhuli-komod-kom4s90-brv-ukraina/" TargetMode="External"/><Relationship Id="rId32" Type="http://schemas.openxmlformats.org/officeDocument/2006/relationships/hyperlink" Target="https://brwland.com.ua/product/alisa-tumba-tv-rtv2s2k-gerbor/" TargetMode="External"/><Relationship Id="rId33" Type="http://schemas.openxmlformats.org/officeDocument/2006/relationships/hyperlink" Target="http://gerbor.dp.ua/" TargetMode="External"/><Relationship Id="rId34" Type="http://schemas.openxmlformats.org/officeDocument/2006/relationships/hyperlink" Target="https://www.dybok.com.ua/" TargetMode="External"/><Relationship Id="rId35" Type="http://schemas.openxmlformats.org/officeDocument/2006/relationships/hyperlink" Target="https://www.dybok.com.ua/ru/product/detail/35816" TargetMode="External"/><Relationship Id="rId36" Type="http://schemas.openxmlformats.org/officeDocument/2006/relationships/hyperlink" Target="https://www.dybok.com.ua/ru/product/detail/35870" TargetMode="External"/><Relationship Id="rId37" Type="http://schemas.openxmlformats.org/officeDocument/2006/relationships/hyperlink" Target="https://www.dybok.com.ua/ru/product/detail/55516" TargetMode="External"/><Relationship Id="rId38" Type="http://schemas.openxmlformats.org/officeDocument/2006/relationships/hyperlink" Target="https://www.dybok.com.ua/ru/product/detail/4291" TargetMode="External"/><Relationship Id="rId39" Type="http://schemas.openxmlformats.org/officeDocument/2006/relationships/hyperlink" Target="https://www.dybok.com.ua/ru/product/detail/9798" TargetMode="External"/><Relationship Id="rId40" Type="http://schemas.openxmlformats.org/officeDocument/2006/relationships/hyperlink" Target="https://www.dybok.com.ua/ru/product/detail/35840" TargetMode="External"/><Relationship Id="rId41" Type="http://schemas.openxmlformats.org/officeDocument/2006/relationships/hyperlink" Target="https://www.dybok.com.ua/ru/product/detail/261" TargetMode="External"/><Relationship Id="rId42" Type="http://schemas.openxmlformats.org/officeDocument/2006/relationships/hyperlink" Target="https://www.dybok.com.ua/ru/product/detail/18085" TargetMode="External"/><Relationship Id="rId43" Type="http://schemas.openxmlformats.org/officeDocument/2006/relationships/hyperlink" Target="https://www.dybok.com.ua/ru/product/detail/50410" TargetMode="External"/><Relationship Id="rId44" Type="http://schemas.openxmlformats.org/officeDocument/2006/relationships/hyperlink" Target="https://www.dybok.com.ua/ua/product/detail/80992" TargetMode="External"/><Relationship Id="rId45" Type="http://schemas.openxmlformats.org/officeDocument/2006/relationships/hyperlink" Target="https://vashamebel.in.ua/" TargetMode="External"/><Relationship Id="rId46" Type="http://schemas.openxmlformats.org/officeDocument/2006/relationships/hyperlink" Target="https://vashamebel.in.ua/tumba-tv-brv-atsteka-rtv2d2s415/p12722" TargetMode="External"/><Relationship Id="rId47" Type="http://schemas.openxmlformats.org/officeDocument/2006/relationships/hyperlink" Target="https://vashamebel.in.ua/komod-brv-atsteka-kom4s811/p12731" TargetMode="External"/><Relationship Id="rId48" Type="http://schemas.openxmlformats.org/officeDocument/2006/relationships/hyperlink" Target="https://vashamebel.in.ua/komod-brv-indiana-jkom4s80/p921" TargetMode="External"/><Relationship Id="rId49" Type="http://schemas.openxmlformats.org/officeDocument/2006/relationships/hyperlink" Target="https://vashamebel.in.ua/stol-pismennyij-brv-indiana-jbiu-2d2s/p916" TargetMode="External"/><Relationship Id="rId50" Type="http://schemas.openxmlformats.org/officeDocument/2006/relationships/hyperlink" Target="https://vashamebel.in.ua/komod-brv-dzhuli-kom4s90/p7958" TargetMode="External"/><Relationship Id="rId51" Type="http://schemas.openxmlformats.org/officeDocument/2006/relationships/hyperlink" Target="https://vashamebel.in.ua/stol-pismennyij-kaspian-ii-biu1d1s-120/p488" TargetMode="External"/><Relationship Id="rId52" Type="http://schemas.openxmlformats.org/officeDocument/2006/relationships/hyperlink" Target="http://mebel-mebel.com.ua/" TargetMode="External"/><Relationship Id="rId53" Type="http://schemas.openxmlformats.org/officeDocument/2006/relationships/hyperlink" Target="https://mebel-mebel.com.ua/eshop/dom-tumby-dlia-tv/tumba_rtv2d2s_4_15_atsteka-id461.html" TargetMode="External"/><Relationship Id="rId54" Type="http://schemas.openxmlformats.org/officeDocument/2006/relationships/hyperlink" Target="https://mebel-mebel.com.ua/eshop/dom-komody/komod_kom4s_8_11_atsteka-id496.html" TargetMode="External"/><Relationship Id="rId55" Type="http://schemas.openxmlformats.org/officeDocument/2006/relationships/hyperlink" Target="https://mebel-mebel.com.ua/eshop/dom-komody/komod_jkom_4s80_indiana-id663.html" TargetMode="External"/><Relationship Id="rId56" Type="http://schemas.openxmlformats.org/officeDocument/2006/relationships/hyperlink" Target="https://mebel-mebel.com.ua/eshop/dom-stoly-kompiuternye/stol_pismenniy_jbiu_2d2s_140_indiana-id659.html" TargetMode="External"/><Relationship Id="rId57" Type="http://schemas.openxmlformats.org/officeDocument/2006/relationships/hyperlink" Target="https://mebel-mebel.com.ua/eshop/dom-komody/komod_kom_4s_90_dzhuli-id569.html" TargetMode="External"/><Relationship Id="rId58" Type="http://schemas.openxmlformats.org/officeDocument/2006/relationships/hyperlink" Target="https://mebel-mebel.com.ua/eshop/dom-stenki-dlia-gostinoi/gostinaya_alyaska-id50834.html" TargetMode="External"/><Relationship Id="rId59" Type="http://schemas.openxmlformats.org/officeDocument/2006/relationships/hyperlink" Target="http://abcmebli.com.ua/" TargetMode="External"/><Relationship Id="rId60" Type="http://schemas.openxmlformats.org/officeDocument/2006/relationships/hyperlink" Target="https://abcmebli.com.ua/p14992-tumba_tv_rtv2d2s-4-15_atsteka" TargetMode="External"/><Relationship Id="rId61" Type="http://schemas.openxmlformats.org/officeDocument/2006/relationships/hyperlink" Target="https://abcmebli.com.ua/p15683-atsteka_komod_kom4s-8-11_brv" TargetMode="External"/><Relationship Id="rId62" Type="http://schemas.openxmlformats.org/officeDocument/2006/relationships/hyperlink" Target="https://abcmebli.com.ua/p8553-komod_kom4s-90_july" TargetMode="External"/><Relationship Id="rId63" Type="http://schemas.openxmlformats.org/officeDocument/2006/relationships/hyperlink" Target="https://gerbor.mebelok.com/" TargetMode="External"/><Relationship Id="rId64" Type="http://schemas.openxmlformats.org/officeDocument/2006/relationships/hyperlink" Target="https://www.mebelok.com/tumba-tv-rtv2s2k-alisa/" TargetMode="External"/><Relationship Id="rId65" Type="http://schemas.openxmlformats.org/officeDocument/2006/relationships/hyperlink" Target="http://maxmebel.com.ua/" TargetMode="External"/><Relationship Id="rId66" Type="http://schemas.openxmlformats.org/officeDocument/2006/relationships/hyperlink" Target="https://moyamebel.com.ua/ua" TargetMode="External"/><Relationship Id="rId67" Type="http://schemas.openxmlformats.org/officeDocument/2006/relationships/hyperlink" Target="https://mebel-soyuz.com.ua/" TargetMode="External"/><Relationship Id="rId68" Type="http://schemas.openxmlformats.org/officeDocument/2006/relationships/hyperlink" Target="https://mebel-soyuz.com.ua/timba-RTV2S2K-alisa-gerbor.html" TargetMode="External"/><Relationship Id="rId69" Type="http://schemas.openxmlformats.org/officeDocument/2006/relationships/hyperlink" Target="https://sofino.ua/" TargetMode="External"/><Relationship Id="rId70" Type="http://schemas.openxmlformats.org/officeDocument/2006/relationships/hyperlink" Target="https://www.brw-kiev.com.ua/" TargetMode="External"/><Relationship Id="rId71" Type="http://schemas.openxmlformats.org/officeDocument/2006/relationships/hyperlink" Target="https://brw.kiev.ua/" TargetMode="External"/><Relationship Id="rId72" Type="http://schemas.openxmlformats.org/officeDocument/2006/relationships/hyperlink" Target="https://brw.kiev.ua/mebel-brw-ukraina/azteca/tumba-tv-rtv2d2s-azteca-brv/" TargetMode="External"/><Relationship Id="rId73" Type="http://schemas.openxmlformats.org/officeDocument/2006/relationships/hyperlink" Target="https://brw.kiev.ua/mebel-brw-ukraina/azteca/komod-kom4s-azteca-brv/" TargetMode="External"/><Relationship Id="rId74" Type="http://schemas.openxmlformats.org/officeDocument/2006/relationships/hyperlink" Target="https://brw.kiev.ua/mebel-brw-ukraina/indiana-kanjon/komod-jkom4s80-indiana-brv-kanjon/" TargetMode="External"/><Relationship Id="rId75" Type="http://schemas.openxmlformats.org/officeDocument/2006/relationships/hyperlink" Target="https://brw.kiev.ua/mebel-brw-ukraina/indiana-shutter/stol-pismennyy-jbiu2d2s140-indiana-brv-shutter/" TargetMode="External"/><Relationship Id="rId76" Type="http://schemas.openxmlformats.org/officeDocument/2006/relationships/hyperlink" Target="https://brw.kiev.ua/mebel-brw-ukraina/july/komod-kom4s90-july-brv/" TargetMode="External"/><Relationship Id="rId77" Type="http://schemas.openxmlformats.org/officeDocument/2006/relationships/hyperlink" Target="https://brw.kiev.ua/mebel-gerbor/alisa/tumba-tv-rtv2s2k-alisa-gerbor/" TargetMode="External"/><Relationship Id="rId78" Type="http://schemas.openxmlformats.org/officeDocument/2006/relationships/hyperlink" Target="https://lvivmebli.com/" TargetMode="External"/><Relationship Id="rId79" Type="http://schemas.openxmlformats.org/officeDocument/2006/relationships/hyperlink" Target="http://centrmebliv.com.ua/" TargetMode="External"/><Relationship Id="rId80" Type="http://schemas.openxmlformats.org/officeDocument/2006/relationships/hyperlink" Target="https://letromebel.com.ua/" TargetMode="External"/><Relationship Id="rId81" Type="http://schemas.openxmlformats.org/officeDocument/2006/relationships/hyperlink" Target="https://letromebel.com.ua/p566111870-tumba-rtv2d2s415-atsteka.html" TargetMode="External"/><Relationship Id="rId82" Type="http://schemas.openxmlformats.org/officeDocument/2006/relationships/hyperlink" Target="https://letromebel.com.ua/p566126810-komod-kom4s811-atsteka.html" TargetMode="External"/><Relationship Id="rId83" Type="http://schemas.openxmlformats.org/officeDocument/2006/relationships/hyperlink" Target="https://letromebel.com.ua/p566921861-komod-jkom4s80-indiana.html" TargetMode="External"/><Relationship Id="rId84" Type="http://schemas.openxmlformats.org/officeDocument/2006/relationships/hyperlink" Target="https://letromebel.com.ua/p566921329-stol-pismennyj-jbiu2d2s140.html" TargetMode="External"/><Relationship Id="rId85" Type="http://schemas.openxmlformats.org/officeDocument/2006/relationships/hyperlink" Target="https://letromebel.com.ua/p445989920-komod-kom-dzhuli.html" TargetMode="External"/><Relationship Id="rId86" Type="http://schemas.openxmlformats.org/officeDocument/2006/relationships/hyperlink" Target="https://shurup.net.ua/" TargetMode="External"/><Relationship Id="rId87" Type="http://schemas.openxmlformats.org/officeDocument/2006/relationships/hyperlink" Target="https://shurup.net.ua/azteca-acteka-tumba-rtv2d2s415.p17205" TargetMode="External"/><Relationship Id="rId88" Type="http://schemas.openxmlformats.org/officeDocument/2006/relationships/hyperlink" Target="https://shurup.net.ua/azteca-acteka-komod-kom4s811.p17200" TargetMode="External"/><Relationship Id="rId89" Type="http://schemas.openxmlformats.org/officeDocument/2006/relationships/hyperlink" Target="https://shurup.net.ua/komod-jkom-4s80-indiana-sosna-kanon.p9412" TargetMode="External"/><Relationship Id="rId90" Type="http://schemas.openxmlformats.org/officeDocument/2006/relationships/hyperlink" Target="https://shurup.net.ua/stol-pismennyj-jbiu-2d2s-140-indiana-dub-shutter.p5488" TargetMode="External"/><Relationship Id="rId91" Type="http://schemas.openxmlformats.org/officeDocument/2006/relationships/hyperlink" Target="https://shurup.net.ua/komod-kom-4s-90-dzhuli.p7011" TargetMode="External"/><Relationship Id="rId92" Type="http://schemas.openxmlformats.org/officeDocument/2006/relationships/hyperlink" Target="https://www.taburetka.ua/" TargetMode="External"/><Relationship Id="rId93" Type="http://schemas.openxmlformats.org/officeDocument/2006/relationships/hyperlink" Target="http://www.maxidom.com.ua/" TargetMode="External"/><Relationship Id="rId94" Type="http://schemas.openxmlformats.org/officeDocument/2006/relationships/hyperlink" Target="http://www.maxidom.com.ua/tumba-rtv-atsteka-2d2s415.html?search_string=%D2%F3%EC%E1%E0+%D0%D2%C2+%C0%F6%F2%E5%EA%E0+2D2S%2F4%2F15" TargetMode="External"/><Relationship Id="rId95" Type="http://schemas.openxmlformats.org/officeDocument/2006/relationships/hyperlink" Target="http://www.maxidom.com.ua/komod-atsteka-kom4s811.html?search_string=%CA%EE%EC%EE%E4+%C0%F6%F2%E5%EA%E0+KOM4S%2F8%2F11" TargetMode="External"/><Relationship Id="rId96" Type="http://schemas.openxmlformats.org/officeDocument/2006/relationships/hyperlink" Target="http://www.maxidom.com.ua/komod_indiana_jkom4s80.html?search_string=%CA%EE%EC%EE%E4+%C8%ED%E4%E8%E0%ED%E0+JKOM4s%2F80" TargetMode="External"/><Relationship Id="rId97" Type="http://schemas.openxmlformats.org/officeDocument/2006/relationships/hyperlink" Target="http://www.maxidom.com.ua/stol_pismenniy_indiana_jbiu2d2s.html?search_string=%D1%F2%EE%EB+%EF%E8%F1%FC%EC%E5%ED%ED%FB%E9+%C8%ED%E4%E8%E0%ED%E0+JBIU2d2s" TargetMode="External"/><Relationship Id="rId98" Type="http://schemas.openxmlformats.org/officeDocument/2006/relationships/hyperlink" Target="http://www.maxidom.com.ua/komod-kom4s90-dzhuli.html?search_string=%CA%EE%EC%EE%E4+KOM4S%2F90+%C4%E6%F3%EB%E8" TargetMode="External"/><Relationship Id="rId99" Type="http://schemas.openxmlformats.org/officeDocument/2006/relationships/hyperlink" Target="https://mebel-online.com.ua/" TargetMode="External"/><Relationship Id="rId100" Type="http://schemas.openxmlformats.org/officeDocument/2006/relationships/hyperlink" Target="https://mebel-online.com.ua/tymba-rtv2d2s-4-15-azteca?filter_name=azteca" TargetMode="External"/><Relationship Id="rId101" Type="http://schemas.openxmlformats.org/officeDocument/2006/relationships/hyperlink" Target="https://mebel-online.com.ua/komod-kom4s-8-11-azteca?filter_name=azteca" TargetMode="External"/><Relationship Id="rId102" Type="http://schemas.openxmlformats.org/officeDocument/2006/relationships/hyperlink" Target="https://mebel-online.com.ua/p5228-komod_jkom_4s_80_indiana_brw?filter_name=&#1080;&#1085;&#1076;&#1080;&#1072;&#1085;&#1072;" TargetMode="External"/><Relationship Id="rId103" Type="http://schemas.openxmlformats.org/officeDocument/2006/relationships/hyperlink" Target="https://mebel-online.com.ua/p5223-stol_pismenniy_jbiu_2d2s_140_indiana_brw?filter_name=&#1080;&#1085;&#1076;&#1080;&#1072;&#1085;&#1072;" TargetMode="External"/><Relationship Id="rId104" Type="http://schemas.openxmlformats.org/officeDocument/2006/relationships/hyperlink" Target="https://mebel-online.com.ua/komod-kom4s-90-july?filter_name=july" TargetMode="External"/><Relationship Id="rId105" Type="http://schemas.openxmlformats.org/officeDocument/2006/relationships/hyperlink" Target="https://mebelnuy.com.ua/" TargetMode="External"/><Relationship Id="rId106" Type="http://schemas.openxmlformats.org/officeDocument/2006/relationships/hyperlink" Target="https://mebelnuy.com.ua/komod-kom4s-90-dzhuli-brv?search=&#1044;&#1046;&#1059;&#1051;&#1048;%20KOM4S%2F90&amp;description=true" TargetMode="External"/><Relationship Id="rId107" Type="http://schemas.openxmlformats.org/officeDocument/2006/relationships/hyperlink" Target="https://amado.com.ua/" TargetMode="External"/><Relationship Id="rId108" Type="http://schemas.openxmlformats.org/officeDocument/2006/relationships/hyperlink" Target="https://amado.com.ua/gostinaya/komody-i-tumby-v-gostinuyu/acteka-tumba-rtv2d2s-4-15-brw" TargetMode="External"/><Relationship Id="rId109" Type="http://schemas.openxmlformats.org/officeDocument/2006/relationships/hyperlink" Target="https://amado.com.ua/gostinaya/komody-i-tumby-v-gostinuyu/acteka-komod-kom4s-8-11-brw" TargetMode="External"/><Relationship Id="rId110" Type="http://schemas.openxmlformats.org/officeDocument/2006/relationships/hyperlink" Target="https://amado.com.ua/detskaya/komody-i-tumby-dlya-detskoj/indiana-komod-jkom-4s-80-sosna-kanon-brw" TargetMode="External"/><Relationship Id="rId111" Type="http://schemas.openxmlformats.org/officeDocument/2006/relationships/hyperlink" Target="https://amado.com.ua/detskaya/stoly-i-nadstrojki/indiana-stol-pismennyj-jbiu-2d2s-140-sosna-kanon-brw" TargetMode="External"/><Relationship Id="rId112" Type="http://schemas.openxmlformats.org/officeDocument/2006/relationships/hyperlink" Target="https://amado.com.ua/gostinaya/komody-i-tumby-v-gostinuyu/dzhuli-komod-kom4s-90-brw" TargetMode="External"/><Relationship Id="rId113" Type="http://schemas.openxmlformats.org/officeDocument/2006/relationships/hyperlink" Target="https://epicentrk.ua/ua" TargetMode="External"/><Relationship Id="rId114" Type="http://schemas.openxmlformats.org/officeDocument/2006/relationships/hyperlink" Target="https://prom.ua/p1167879150-tumba-pod-rtv.html?" TargetMode="External"/><Relationship Id="rId115" Type="http://schemas.openxmlformats.org/officeDocument/2006/relationships/hyperlink" Target="https://prom.ua/p983011265-komod-kom-811.html?" TargetMode="External"/><Relationship Id="rId116" Type="http://schemas.openxmlformats.org/officeDocument/2006/relationships/hyperlink" Target="https://prom.ua/p544656153-komod-jkom-4s80.html?" TargetMode="External"/><Relationship Id="rId117" Type="http://schemas.openxmlformats.org/officeDocument/2006/relationships/hyperlink" Target="https://prom.ua/p781599812-indiana-kanon-stol.html?" TargetMode="External"/><Relationship Id="rId118" Type="http://schemas.openxmlformats.org/officeDocument/2006/relationships/hyperlink" Target="https://prom.ua/p54713987-komod-kom-4s90.html?" TargetMode="External"/><Relationship Id="rId119" Type="http://schemas.openxmlformats.org/officeDocument/2006/relationships/hyperlink" Target="https://prom.ua/p544657658-shkaf-platyanoj-szf3d2s.html?" TargetMode="External"/><Relationship Id="rId120" Type="http://schemas.openxmlformats.org/officeDocument/2006/relationships/hyperlink" Target="https://prom.ua/p46283355-komod-sonata-sonata.html?" TargetMode="External"/><Relationship Id="rId121" Type="http://schemas.openxmlformats.org/officeDocument/2006/relationships/hyperlink" Target="https://prom.ua/p54675546-stol-pismennyj-biu.html?" TargetMode="External"/><Relationship Id="rId122" Type="http://schemas.openxmlformats.org/officeDocument/2006/relationships/hyperlink" Target="https://prom.ua/p239247927-prihozhaya-ppk-nepo.html?" TargetMode="External"/><Relationship Id="rId123" Type="http://schemas.openxmlformats.org/officeDocument/2006/relationships/hyperlink" Target="https://prom.ua/p542591704-gostinaya-alyaska-alaska.html?&amp;primelead=MC43NA" TargetMode="External"/><Relationship Id="rId124" Type="http://schemas.openxmlformats.org/officeDocument/2006/relationships/hyperlink" Target="https://prom.ua/p24569524-gostinaya-kvatro-gerbor.html?" TargetMode="External"/><Relationship Id="rId125" Type="http://schemas.openxmlformats.org/officeDocument/2006/relationships/hyperlink" Target="https://prom.ua/p553476998-bufet-kom1w2d2s915-gerbor.html?" TargetMode="External"/><Relationship Id="rId126" Type="http://schemas.openxmlformats.org/officeDocument/2006/relationships/hyperlink" Target="https://prom.ua/p1248775724-komod-brv-german.html?" TargetMode="External"/><Relationship Id="rId127" Type="http://schemas.openxmlformats.org/officeDocument/2006/relationships/hyperlink" Target="https://prom.ua/p1274217210-tumba-rtv2s2k-alisa.html?" TargetMode="External"/><Relationship Id="rId128" Type="http://schemas.openxmlformats.org/officeDocument/2006/relationships/hyperlink" Target="https://prom.ua/p181257399-tumba-pod-rtv.html?" TargetMode="External"/><Relationship Id="rId129" Type="http://schemas.openxmlformats.org/officeDocument/2006/relationships/hyperlink" Target="https://prom.ua/p1280431425-komod-kom4s811-atsteka.html?" TargetMode="External"/><Relationship Id="rId130" Type="http://schemas.openxmlformats.org/officeDocument/2006/relationships/hyperlink" Target="https://prom.ua/p781599816-indiana-kanon-komod.html?" TargetMode="External"/><Relationship Id="rId131" Type="http://schemas.openxmlformats.org/officeDocument/2006/relationships/hyperlink" Target="https://prom.ua/p1046920683-stol-pismennyj-indiana.html?" TargetMode="External"/><Relationship Id="rId132" Type="http://schemas.openxmlformats.org/officeDocument/2006/relationships/hyperlink" Target="https://prom.ua/p553477017-dzhuli-komod-kom4s90.html?" TargetMode="External"/><Relationship Id="rId133" Type="http://schemas.openxmlformats.org/officeDocument/2006/relationships/hyperlink" Target="https://prom.ua/p664294628-shkaf-szf-3d2s.html?" TargetMode="External"/><Relationship Id="rId134" Type="http://schemas.openxmlformats.org/officeDocument/2006/relationships/hyperlink" Target="https://prom.ua/p1211287637-komod-gerbor-sonata.html?" TargetMode="External"/><Relationship Id="rId135" Type="http://schemas.openxmlformats.org/officeDocument/2006/relationships/hyperlink" Target="https://prom.ua/p360359972-stol-pismennyj-biu.html" TargetMode="External"/><Relationship Id="rId136" Type="http://schemas.openxmlformats.org/officeDocument/2006/relationships/hyperlink" Target="https://prom.ua/p542943976-prihozhaya-ppk-nepo.html?" TargetMode="External"/><Relationship Id="rId137" Type="http://schemas.openxmlformats.org/officeDocument/2006/relationships/hyperlink" Target="https://prom.ua/p1248753565-gostinaya-gerbor-kvatro.html?" TargetMode="External"/><Relationship Id="rId138" Type="http://schemas.openxmlformats.org/officeDocument/2006/relationships/hyperlink" Target="https://prom.ua/p106094960-komod-vusher-kom.html?" TargetMode="External"/><Relationship Id="rId139" Type="http://schemas.openxmlformats.org/officeDocument/2006/relationships/hyperlink" Target="https://prom.ua/p777526967-german-komod-kom3s912.html?" TargetMode="External"/><Relationship Id="rId140" Type="http://schemas.openxmlformats.org/officeDocument/2006/relationships/hyperlink" Target="https://prom.ua/p1334713993-tumba-pod-rtv2s2k.html?" TargetMode="External"/><Relationship Id="rId141" Type="http://schemas.openxmlformats.org/officeDocument/2006/relationships/hyperlink" Target="https://prom.ua/p886021256-tumba-pod-atsteka.html?" TargetMode="External"/><Relationship Id="rId142" Type="http://schemas.openxmlformats.org/officeDocument/2006/relationships/hyperlink" Target="https://prom.ua/p1125567115-komod-azteca-kom4s811.html?" TargetMode="External"/><Relationship Id="rId143" Type="http://schemas.openxmlformats.org/officeDocument/2006/relationships/hyperlink" Target="https://prom.ua/p1046925343-komod-indiana-jkom4s80.html?" TargetMode="External"/><Relationship Id="rId144" Type="http://schemas.openxmlformats.org/officeDocument/2006/relationships/hyperlink" Target="https://prom.ua/p544656149-stol-pismennyj-jbiu.html?" TargetMode="External"/><Relationship Id="rId145" Type="http://schemas.openxmlformats.org/officeDocument/2006/relationships/hyperlink" Target="https://prom.ua/p1248752651-komod-brv-dzhuli.html?" TargetMode="External"/><Relationship Id="rId146" Type="http://schemas.openxmlformats.org/officeDocument/2006/relationships/hyperlink" Target="https://prom.ua/p644944451-porto-shkaf-szf3d2s.html?" TargetMode="External"/><Relationship Id="rId147" Type="http://schemas.openxmlformats.org/officeDocument/2006/relationships/hyperlink" Target="https://prom.ua/p1288425504-komod-gerbor-sonata.html?" TargetMode="External"/><Relationship Id="rId148" Type="http://schemas.openxmlformats.org/officeDocument/2006/relationships/hyperlink" Target="https://prom.ua/p553476454-nepo-prihozhaya-ppk.html?" TargetMode="External"/><Relationship Id="rId149" Type="http://schemas.openxmlformats.org/officeDocument/2006/relationships/hyperlink" Target="https://prom.ua/p12120301-gostinaya-kvatro-venge.html" TargetMode="External"/><Relationship Id="rId150" Type="http://schemas.openxmlformats.org/officeDocument/2006/relationships/hyperlink" Target="https://prom.ua/p83295231-komod-kom-1w2d2s.html" TargetMode="External"/><Relationship Id="rId151" Type="http://schemas.openxmlformats.org/officeDocument/2006/relationships/hyperlink" Target="https://prom.ua/p847003898-german-komod-kom3s912.html?" TargetMode="External"/><Relationship Id="rId152" Type="http://schemas.openxmlformats.org/officeDocument/2006/relationships/hyperlink" Target="https://prom.ua/p1248803640-tumba-gerbor-alisa.html?" TargetMode="External"/><Relationship Id="rId153" Type="http://schemas.openxmlformats.org/officeDocument/2006/relationships/hyperlink" Target="https://prom.ua/p1214419043-tumba-pod-atsteka.html?" TargetMode="External"/><Relationship Id="rId154" Type="http://schemas.openxmlformats.org/officeDocument/2006/relationships/hyperlink" Target="https://prom.ua/p1215683017-komod-atsteka-kom4s811.html?" TargetMode="External"/><Relationship Id="rId155" Type="http://schemas.openxmlformats.org/officeDocument/2006/relationships/hyperlink" Target="https://prom.ua/p1183266470-komod-jkom-indiana.html" TargetMode="External"/><Relationship Id="rId156" Type="http://schemas.openxmlformats.org/officeDocument/2006/relationships/hyperlink" Target="https://prom.ua/p1183292769-stol-pismennyj-jbiu.html" TargetMode="External"/><Relationship Id="rId157" Type="http://schemas.openxmlformats.org/officeDocument/2006/relationships/hyperlink" Target="https://prom.ua/p1045568873-komod-dzhuli-kom4s90.html?" TargetMode="External"/><Relationship Id="rId158" Type="http://schemas.openxmlformats.org/officeDocument/2006/relationships/hyperlink" Target="https://prom.ua/p1037803293-shkaf-platyanoj-szf.html" TargetMode="External"/><Relationship Id="rId159" Type="http://schemas.openxmlformats.org/officeDocument/2006/relationships/hyperlink" Target="https://prom.ua/p1334931386-komod-gerbor-sonata.html?" TargetMode="External"/><Relationship Id="rId160" Type="http://schemas.openxmlformats.org/officeDocument/2006/relationships/hyperlink" Target="https://prom.ua/p223321231-prihozhaya-ppk-nepo.html?" TargetMode="External"/><Relationship Id="rId161" Type="http://schemas.openxmlformats.org/officeDocument/2006/relationships/hyperlink" Target="https://prom.ua/p18612661-gostinaya-kvatro.html" TargetMode="External"/><Relationship Id="rId162" Type="http://schemas.openxmlformats.org/officeDocument/2006/relationships/hyperlink" Target="https://prom.ua/p1209395741-komod-vusher-kom1w2d2s.html" TargetMode="External"/><Relationship Id="rId163" Type="http://schemas.openxmlformats.org/officeDocument/2006/relationships/hyperlink" Target="https://prom.ua/p1045115919-komod-german-kom3s912.html?" TargetMode="External"/><Relationship Id="rId164" Type="http://schemas.openxmlformats.org/officeDocument/2006/relationships/hyperlink" Target="https://prom.ua/p1248803641-tumba-gerbor-alisa.html?" TargetMode="External"/><Relationship Id="rId165" Type="http://schemas.openxmlformats.org/officeDocument/2006/relationships/hyperlink" Target="https://prom.ua/p1325973811-tumba-brv-atsteka.html?&amp;primelead=MC43OA" TargetMode="External"/><Relationship Id="rId166" Type="http://schemas.openxmlformats.org/officeDocument/2006/relationships/hyperlink" Target="https://prom.ua/p1248752621-komod-brv-atsteka.html?" TargetMode="External"/><Relationship Id="rId167" Type="http://schemas.openxmlformats.org/officeDocument/2006/relationships/hyperlink" Target="https://prom.ua/p372189619-stol-pismennyj-jbiu2d2s140.html" TargetMode="External"/><Relationship Id="rId168" Type="http://schemas.openxmlformats.org/officeDocument/2006/relationships/hyperlink" Target="https://prom.ua/p1209396495-komod-kom4s90-dzhuli.html" TargetMode="External"/><Relationship Id="rId169" Type="http://schemas.openxmlformats.org/officeDocument/2006/relationships/hyperlink" Target="https://prom.ua/p663109577-shkaf-platyanoj-szf3d2s.html" TargetMode="External"/><Relationship Id="rId170" Type="http://schemas.openxmlformats.org/officeDocument/2006/relationships/hyperlink" Target="https://prom.ua/p553479263-komod-gerbor-sonata.html?" TargetMode="External"/><Relationship Id="rId171" Type="http://schemas.openxmlformats.org/officeDocument/2006/relationships/hyperlink" Target="https://prom.ua/p890543855-prihozhaya-ppk-nepo.html?" TargetMode="External"/><Relationship Id="rId172" Type="http://schemas.openxmlformats.org/officeDocument/2006/relationships/hyperlink" Target="https://prom.ua/p512224979-gostinaya-kvatro.html" TargetMode="External"/><Relationship Id="rId173" Type="http://schemas.openxmlformats.org/officeDocument/2006/relationships/hyperlink" Target="https://prom.ua/p1206351035-komod-german-kom3s912.html?" TargetMode="External"/><Relationship Id="rId174" Type="http://schemas.openxmlformats.org/officeDocument/2006/relationships/hyperlink" Target="https://prom.ua/p1220143520-tumba-pod-televizor.html" TargetMode="External"/>
</Relationships>
</file>

<file path=xl/worksheets/_rels/sheet8.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s://brwmania.com.ua/gostinaja/komplekty-gostinyh/stinka-kvatro-venge-magia/" TargetMode="External"/><Relationship Id="rId9" Type="http://schemas.openxmlformats.org/officeDocument/2006/relationships/hyperlink" Target="https://brwmania.com.ua/gostinaja/modulnye-gostinye/sistema-vusher-vusher/010-vusher-komod-kom-1w2d2s/"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redlight.com.ua/" TargetMode="External"/><Relationship Id="rId12" Type="http://schemas.openxmlformats.org/officeDocument/2006/relationships/hyperlink" Target="https://mebli-bristol.com.ua/" TargetMode="External"/><Relationship Id="rId13" Type="http://schemas.openxmlformats.org/officeDocument/2006/relationships/hyperlink" Target="https://mebli-bristol.com.ua/alisa-tumba-rtv-2s2k-gerbor.html" TargetMode="External"/><Relationship Id="rId14" Type="http://schemas.openxmlformats.org/officeDocument/2006/relationships/hyperlink" Target="http://gerbor.kiev.ua/" TargetMode="External"/><Relationship Id="rId15" Type="http://schemas.openxmlformats.org/officeDocument/2006/relationships/hyperlink" Target="https://gerbor.kiev.ua/mebelnye-sistemy/mebel-alisa-gerbor/alisa-tumba-tv-rtv2s2k-gerbor/" TargetMode="External"/><Relationship Id="rId16" Type="http://schemas.openxmlformats.org/officeDocument/2006/relationships/hyperlink" Target="http://www.brwland.com.ua/" TargetMode="External"/><Relationship Id="rId17" Type="http://schemas.openxmlformats.org/officeDocument/2006/relationships/hyperlink" Target="https://brwland.com.ua/product/alisa-tumba-tv-rtv2s2k-gerbor/" TargetMode="External"/><Relationship Id="rId18" Type="http://schemas.openxmlformats.org/officeDocument/2006/relationships/hyperlink" Target="http://gerbor.dp.ua/" TargetMode="External"/><Relationship Id="rId19" Type="http://schemas.openxmlformats.org/officeDocument/2006/relationships/hyperlink" Target="https://www.dybok.com.ua/" TargetMode="External"/><Relationship Id="rId20" Type="http://schemas.openxmlformats.org/officeDocument/2006/relationships/hyperlink" Target="https://www.dybok.com.ua/ru/product/detail/35870" TargetMode="External"/><Relationship Id="rId21" Type="http://schemas.openxmlformats.org/officeDocument/2006/relationships/hyperlink" Target="https://www.dybok.com.ua/ru/product/detail/55516" TargetMode="External"/><Relationship Id="rId22" Type="http://schemas.openxmlformats.org/officeDocument/2006/relationships/hyperlink" Target="https://www.dybok.com.ua/ru/product/detail/4291" TargetMode="External"/><Relationship Id="rId23" Type="http://schemas.openxmlformats.org/officeDocument/2006/relationships/hyperlink" Target="https://www.dybok.com.ua/ru/product/detail/9798" TargetMode="External"/><Relationship Id="rId24" Type="http://schemas.openxmlformats.org/officeDocument/2006/relationships/hyperlink" Target="https://www.dybok.com.ua/ru/product/detail/35840" TargetMode="External"/><Relationship Id="rId25" Type="http://schemas.openxmlformats.org/officeDocument/2006/relationships/hyperlink" Target="https://www.dybok.com.ua/ru/product/detail/261" TargetMode="External"/><Relationship Id="rId26" Type="http://schemas.openxmlformats.org/officeDocument/2006/relationships/hyperlink" Target="https://www.dybok.com.ua/ru/product/detail/18085" TargetMode="External"/><Relationship Id="rId27" Type="http://schemas.openxmlformats.org/officeDocument/2006/relationships/hyperlink" Target="https://www.dybok.com.ua/ru/product/detail/50410" TargetMode="External"/><Relationship Id="rId28" Type="http://schemas.openxmlformats.org/officeDocument/2006/relationships/hyperlink" Target="https://www.dybok.com.ua/ua/product/detail/80992" TargetMode="External"/><Relationship Id="rId29" Type="http://schemas.openxmlformats.org/officeDocument/2006/relationships/hyperlink" Target="https://vashamebel.in.ua/" TargetMode="External"/><Relationship Id="rId30" Type="http://schemas.openxmlformats.org/officeDocument/2006/relationships/hyperlink" Target="https://vashamebel.in.ua/tumba-tv-brv-atsteka-rtv2d2s415/p12722" TargetMode="External"/><Relationship Id="rId31" Type="http://schemas.openxmlformats.org/officeDocument/2006/relationships/hyperlink" Target="https://vashamebel.in.ua/stol-pismennyij-kaspian-ii-biu1d1s-120/p488" TargetMode="External"/><Relationship Id="rId32" Type="http://schemas.openxmlformats.org/officeDocument/2006/relationships/hyperlink" Target="http://mebel-mebel.com.ua/" TargetMode="External"/><Relationship Id="rId33" Type="http://schemas.openxmlformats.org/officeDocument/2006/relationships/hyperlink" Target="https://mebel-mebel.com.ua/eshop/dom-tumby-dlia-tv/tumba_rtv2d2s_4_15_atsteka-id461.html" TargetMode="External"/><Relationship Id="rId34" Type="http://schemas.openxmlformats.org/officeDocument/2006/relationships/hyperlink" Target="https://mebel-mebel.com.ua/eshop/dom-stenki-dlia-gostinoi/gostinaya_alyaska-id50834.html" TargetMode="External"/><Relationship Id="rId35" Type="http://schemas.openxmlformats.org/officeDocument/2006/relationships/hyperlink" Target="http://abcmebli.com.ua/" TargetMode="External"/><Relationship Id="rId36" Type="http://schemas.openxmlformats.org/officeDocument/2006/relationships/hyperlink" Target="https://abcmebli.com.ua/p14992-tumba_tv_rtv2d2s-4-15_atsteka" TargetMode="External"/><Relationship Id="rId37" Type="http://schemas.openxmlformats.org/officeDocument/2006/relationships/hyperlink" Target="https://gerbor.mebelok.com/" TargetMode="External"/><Relationship Id="rId38" Type="http://schemas.openxmlformats.org/officeDocument/2006/relationships/hyperlink" Target="https://www.mebelok.com/tumba-tv-rtv2s2k-alisa/" TargetMode="External"/><Relationship Id="rId39" Type="http://schemas.openxmlformats.org/officeDocument/2006/relationships/hyperlink" Target="http://maxmebel.com.ua/" TargetMode="External"/><Relationship Id="rId40" Type="http://schemas.openxmlformats.org/officeDocument/2006/relationships/hyperlink" Target="https://moyamebel.com.ua/ua" TargetMode="External"/><Relationship Id="rId41" Type="http://schemas.openxmlformats.org/officeDocument/2006/relationships/hyperlink" Target="https://mebel-soyuz.com.ua/" TargetMode="External"/><Relationship Id="rId42" Type="http://schemas.openxmlformats.org/officeDocument/2006/relationships/hyperlink" Target="https://mebel-soyuz.com.ua/timba-RTV2S2K-alisa-gerbor.html" TargetMode="External"/><Relationship Id="rId43" Type="http://schemas.openxmlformats.org/officeDocument/2006/relationships/hyperlink" Target="https://sofino.ua/" TargetMode="External"/><Relationship Id="rId44" Type="http://schemas.openxmlformats.org/officeDocument/2006/relationships/hyperlink" Target="https://www.brw-kiev.com.ua/" TargetMode="External"/><Relationship Id="rId45" Type="http://schemas.openxmlformats.org/officeDocument/2006/relationships/hyperlink" Target="https://brw.kiev.ua/" TargetMode="External"/><Relationship Id="rId46" Type="http://schemas.openxmlformats.org/officeDocument/2006/relationships/hyperlink" Target="https://brw.kiev.ua/mebel-gerbor/alisa/tumba-tv-rtv2s2k-alisa-gerbor/" TargetMode="External"/><Relationship Id="rId47" Type="http://schemas.openxmlformats.org/officeDocument/2006/relationships/hyperlink" Target="http://brw.com.ua/" TargetMode="External"/><Relationship Id="rId48" Type="http://schemas.openxmlformats.org/officeDocument/2006/relationships/hyperlink" Target="https://mebelstyle.net/" TargetMode="External"/><Relationship Id="rId49" Type="http://schemas.openxmlformats.org/officeDocument/2006/relationships/hyperlink" Target="https://lvivmebli.com/" TargetMode="External"/><Relationship Id="rId50" Type="http://schemas.openxmlformats.org/officeDocument/2006/relationships/hyperlink" Target="http://centrmebliv.com.ua/" TargetMode="External"/><Relationship Id="rId51" Type="http://schemas.openxmlformats.org/officeDocument/2006/relationships/hyperlink" Target="https://letromebel.com.ua/" TargetMode="External"/><Relationship Id="rId52" Type="http://schemas.openxmlformats.org/officeDocument/2006/relationships/hyperlink" Target="https://shurup.net.ua/" TargetMode="External"/><Relationship Id="rId53" Type="http://schemas.openxmlformats.org/officeDocument/2006/relationships/hyperlink" Target="https://www.taburetka.ua/" TargetMode="External"/><Relationship Id="rId54" Type="http://schemas.openxmlformats.org/officeDocument/2006/relationships/hyperlink" Target="http://www.maxidom.com.ua/" TargetMode="External"/><Relationship Id="rId55" Type="http://schemas.openxmlformats.org/officeDocument/2006/relationships/hyperlink" Target="http://www.maxidom.com.ua/tumba-rtv-atsteka-2d2s415.html?search_string=%D2%F3%EC%E1%E0+%D0%D2%C2+%C0%F6%F2%E5%EA%E0+2D2S%2F4%2F15" TargetMode="External"/><Relationship Id="rId56" Type="http://schemas.openxmlformats.org/officeDocument/2006/relationships/hyperlink" Target="https://mebel-online.com.ua/" TargetMode="External"/><Relationship Id="rId57" Type="http://schemas.openxmlformats.org/officeDocument/2006/relationships/hyperlink" Target="https://mebel-online.com.ua/tymba-rtv2d2s-4-15-azteca?filter_name=azteca" TargetMode="External"/><Relationship Id="rId58" Type="http://schemas.openxmlformats.org/officeDocument/2006/relationships/hyperlink" Target="https://mebelnuy.com.ua/" TargetMode="External"/><Relationship Id="rId59" Type="http://schemas.openxmlformats.org/officeDocument/2006/relationships/hyperlink" Target="https://amado.com.ua/" TargetMode="External"/><Relationship Id="rId60" Type="http://schemas.openxmlformats.org/officeDocument/2006/relationships/hyperlink" Target="https://prom.ua/p1167879150-tumba-pod-rtv.html?" TargetMode="External"/><Relationship Id="rId61" Type="http://schemas.openxmlformats.org/officeDocument/2006/relationships/hyperlink" Target="https://prom.ua/p983011265-komod-kom-811.html?" TargetMode="External"/><Relationship Id="rId62" Type="http://schemas.openxmlformats.org/officeDocument/2006/relationships/hyperlink" Target="https://prom.ua/p544656153-komod-jkom-4s80.html?" TargetMode="External"/><Relationship Id="rId63" Type="http://schemas.openxmlformats.org/officeDocument/2006/relationships/hyperlink" Target="https://prom.ua/p781599812-indiana-kanon-stol.html?" TargetMode="External"/><Relationship Id="rId64" Type="http://schemas.openxmlformats.org/officeDocument/2006/relationships/hyperlink" Target="https://prom.ua/p54713987-komod-kom-4s90.html?" TargetMode="External"/><Relationship Id="rId65" Type="http://schemas.openxmlformats.org/officeDocument/2006/relationships/hyperlink" Target="https://prom.ua/p544657658-shkaf-platyanoj-szf3d2s.html?" TargetMode="External"/><Relationship Id="rId66" Type="http://schemas.openxmlformats.org/officeDocument/2006/relationships/hyperlink" Target="https://prom.ua/p46283355-komod-sonata-sonata.html?" TargetMode="External"/><Relationship Id="rId67" Type="http://schemas.openxmlformats.org/officeDocument/2006/relationships/hyperlink" Target="https://prom.ua/p54675546-stol-pismennyj-biu.html?" TargetMode="External"/><Relationship Id="rId68" Type="http://schemas.openxmlformats.org/officeDocument/2006/relationships/hyperlink" Target="https://prom.ua/p239247927-prihozhaya-ppk-nepo.html?" TargetMode="External"/><Relationship Id="rId69" Type="http://schemas.openxmlformats.org/officeDocument/2006/relationships/hyperlink" Target="https://prom.ua/p542591704-gostinaya-alyaska-alaska.html?&amp;primelead=MC43NA" TargetMode="External"/><Relationship Id="rId70" Type="http://schemas.openxmlformats.org/officeDocument/2006/relationships/hyperlink" Target="https://prom.ua/p24569524-gostinaya-kvatro-gerbor.html?" TargetMode="External"/><Relationship Id="rId71" Type="http://schemas.openxmlformats.org/officeDocument/2006/relationships/hyperlink" Target="https://prom.ua/p553476998-bufet-kom1w2d2s915-gerbor.html?" TargetMode="External"/><Relationship Id="rId72" Type="http://schemas.openxmlformats.org/officeDocument/2006/relationships/hyperlink" Target="https://prom.ua/p1248775724-komod-brv-german.html?" TargetMode="External"/><Relationship Id="rId73" Type="http://schemas.openxmlformats.org/officeDocument/2006/relationships/hyperlink" Target="https://prom.ua/p1274217210-tumba-rtv2s2k-alisa.html?" TargetMode="External"/><Relationship Id="rId74" Type="http://schemas.openxmlformats.org/officeDocument/2006/relationships/hyperlink" Target="https://prom.ua/p181257399-tumba-pod-rtv.html?" TargetMode="External"/><Relationship Id="rId75" Type="http://schemas.openxmlformats.org/officeDocument/2006/relationships/hyperlink" Target="https://prom.ua/p1280431425-komod-kom4s811-atsteka.html?" TargetMode="External"/><Relationship Id="rId76" Type="http://schemas.openxmlformats.org/officeDocument/2006/relationships/hyperlink" Target="https://prom.ua/p781599816-indiana-kanon-komod.html?" TargetMode="External"/><Relationship Id="rId77" Type="http://schemas.openxmlformats.org/officeDocument/2006/relationships/hyperlink" Target="https://prom.ua/p1046920683-stol-pismennyj-indiana.html?" TargetMode="External"/><Relationship Id="rId78" Type="http://schemas.openxmlformats.org/officeDocument/2006/relationships/hyperlink" Target="https://prom.ua/p553477017-dzhuli-komod-kom4s90.html?" TargetMode="External"/><Relationship Id="rId79" Type="http://schemas.openxmlformats.org/officeDocument/2006/relationships/hyperlink" Target="https://prom.ua/p664294628-shkaf-szf-3d2s.html?" TargetMode="External"/><Relationship Id="rId80" Type="http://schemas.openxmlformats.org/officeDocument/2006/relationships/hyperlink" Target="https://prom.ua/p1211287637-komod-gerbor-sonata.html?" TargetMode="External"/><Relationship Id="rId81" Type="http://schemas.openxmlformats.org/officeDocument/2006/relationships/hyperlink" Target="https://prom.ua/p360359972-stol-pismennyj-biu.html" TargetMode="External"/><Relationship Id="rId82" Type="http://schemas.openxmlformats.org/officeDocument/2006/relationships/hyperlink" Target="https://prom.ua/p542943976-prihozhaya-ppk-nepo.html?" TargetMode="External"/><Relationship Id="rId83" Type="http://schemas.openxmlformats.org/officeDocument/2006/relationships/hyperlink" Target="https://prom.ua/p1248753565-gostinaya-gerbor-kvatro.html?" TargetMode="External"/><Relationship Id="rId84" Type="http://schemas.openxmlformats.org/officeDocument/2006/relationships/hyperlink" Target="https://prom.ua/p106094960-komod-vusher-kom.html?" TargetMode="External"/><Relationship Id="rId85" Type="http://schemas.openxmlformats.org/officeDocument/2006/relationships/hyperlink" Target="https://prom.ua/p777526967-german-komod-kom3s912.html?" TargetMode="External"/><Relationship Id="rId86" Type="http://schemas.openxmlformats.org/officeDocument/2006/relationships/hyperlink" Target="https://prom.ua/p1334713993-tumba-pod-rtv2s2k.html?" TargetMode="External"/><Relationship Id="rId87" Type="http://schemas.openxmlformats.org/officeDocument/2006/relationships/hyperlink" Target="https://prom.ua/p886021256-tumba-pod-atsteka.html?" TargetMode="External"/><Relationship Id="rId88" Type="http://schemas.openxmlformats.org/officeDocument/2006/relationships/hyperlink" Target="https://prom.ua/p1125567115-komod-azteca-kom4s811.html?" TargetMode="External"/><Relationship Id="rId89" Type="http://schemas.openxmlformats.org/officeDocument/2006/relationships/hyperlink" Target="https://prom.ua/p1046925343-komod-indiana-jkom4s80.html?" TargetMode="External"/><Relationship Id="rId90" Type="http://schemas.openxmlformats.org/officeDocument/2006/relationships/hyperlink" Target="https://prom.ua/p544656149-stol-pismennyj-jbiu.html?" TargetMode="External"/><Relationship Id="rId91" Type="http://schemas.openxmlformats.org/officeDocument/2006/relationships/hyperlink" Target="https://prom.ua/p1248752651-komod-brv-dzhuli.html?" TargetMode="External"/><Relationship Id="rId92" Type="http://schemas.openxmlformats.org/officeDocument/2006/relationships/hyperlink" Target="https://prom.ua/p644944451-porto-shkaf-szf3d2s.html?" TargetMode="External"/><Relationship Id="rId93" Type="http://schemas.openxmlformats.org/officeDocument/2006/relationships/hyperlink" Target="https://prom.ua/p1288425504-komod-gerbor-sonata.html?" TargetMode="External"/><Relationship Id="rId94" Type="http://schemas.openxmlformats.org/officeDocument/2006/relationships/hyperlink" Target="https://prom.ua/p553476454-nepo-prihozhaya-ppk.html?" TargetMode="External"/><Relationship Id="rId95" Type="http://schemas.openxmlformats.org/officeDocument/2006/relationships/hyperlink" Target="https://prom.ua/p12120301-gostinaya-kvatro-venge.html" TargetMode="External"/><Relationship Id="rId96" Type="http://schemas.openxmlformats.org/officeDocument/2006/relationships/hyperlink" Target="https://prom.ua/p83295231-komod-kom-1w2d2s.html" TargetMode="External"/><Relationship Id="rId97" Type="http://schemas.openxmlformats.org/officeDocument/2006/relationships/hyperlink" Target="https://prom.ua/p847003898-german-komod-kom3s912.html?" TargetMode="External"/><Relationship Id="rId98" Type="http://schemas.openxmlformats.org/officeDocument/2006/relationships/hyperlink" Target="https://prom.ua/p1248803640-tumba-gerbor-alisa.html?" TargetMode="External"/><Relationship Id="rId99" Type="http://schemas.openxmlformats.org/officeDocument/2006/relationships/hyperlink" Target="https://prom.ua/p1214419043-tumba-pod-atsteka.html?" TargetMode="External"/><Relationship Id="rId100" Type="http://schemas.openxmlformats.org/officeDocument/2006/relationships/hyperlink" Target="https://prom.ua/p1215683017-komod-atsteka-kom4s811.html?" TargetMode="External"/><Relationship Id="rId101" Type="http://schemas.openxmlformats.org/officeDocument/2006/relationships/hyperlink" Target="https://prom.ua/p1183266470-komod-jkom-indiana.html" TargetMode="External"/><Relationship Id="rId102" Type="http://schemas.openxmlformats.org/officeDocument/2006/relationships/hyperlink" Target="https://prom.ua/p1183292769-stol-pismennyj-jbiu.html" TargetMode="External"/><Relationship Id="rId103" Type="http://schemas.openxmlformats.org/officeDocument/2006/relationships/hyperlink" Target="https://prom.ua/p1045568873-komod-dzhuli-kom4s90.html?" TargetMode="External"/><Relationship Id="rId104" Type="http://schemas.openxmlformats.org/officeDocument/2006/relationships/hyperlink" Target="https://prom.ua/p1037803293-shkaf-platyanoj-szf.html" TargetMode="External"/><Relationship Id="rId105" Type="http://schemas.openxmlformats.org/officeDocument/2006/relationships/hyperlink" Target="https://prom.ua/p1334931386-komod-gerbor-sonata.html?" TargetMode="External"/><Relationship Id="rId106" Type="http://schemas.openxmlformats.org/officeDocument/2006/relationships/hyperlink" Target="https://prom.ua/p223321231-prihozhaya-ppk-nepo.html?" TargetMode="External"/><Relationship Id="rId107" Type="http://schemas.openxmlformats.org/officeDocument/2006/relationships/hyperlink" Target="https://prom.ua/p18612661-gostinaya-kvatro.html" TargetMode="External"/><Relationship Id="rId108" Type="http://schemas.openxmlformats.org/officeDocument/2006/relationships/hyperlink" Target="https://prom.ua/p1209395741-komod-vusher-kom1w2d2s.html" TargetMode="External"/><Relationship Id="rId109" Type="http://schemas.openxmlformats.org/officeDocument/2006/relationships/hyperlink" Target="https://prom.ua/p1045115919-komod-german-kom3s912.html?" TargetMode="External"/><Relationship Id="rId110" Type="http://schemas.openxmlformats.org/officeDocument/2006/relationships/hyperlink" Target="https://prom.ua/p1248803641-tumba-gerbor-alisa.html?" TargetMode="External"/><Relationship Id="rId111" Type="http://schemas.openxmlformats.org/officeDocument/2006/relationships/hyperlink" Target="https://prom.ua/p1325973811-tumba-brv-atsteka.html?&amp;primelead=MC43OA" TargetMode="External"/><Relationship Id="rId112" Type="http://schemas.openxmlformats.org/officeDocument/2006/relationships/hyperlink" Target="https://prom.ua/p1248752621-komod-brv-atsteka.html?" TargetMode="External"/><Relationship Id="rId113" Type="http://schemas.openxmlformats.org/officeDocument/2006/relationships/hyperlink" Target="https://prom.ua/p372189619-stol-pismennyj-jbiu2d2s140.html" TargetMode="External"/><Relationship Id="rId114" Type="http://schemas.openxmlformats.org/officeDocument/2006/relationships/hyperlink" Target="https://prom.ua/p1209396495-komod-kom4s90-dzhuli.html" TargetMode="External"/><Relationship Id="rId115" Type="http://schemas.openxmlformats.org/officeDocument/2006/relationships/hyperlink" Target="https://prom.ua/p663109577-shkaf-platyanoj-szf3d2s.html" TargetMode="External"/><Relationship Id="rId116" Type="http://schemas.openxmlformats.org/officeDocument/2006/relationships/hyperlink" Target="https://prom.ua/p553479263-komod-gerbor-sonata.html?" TargetMode="External"/><Relationship Id="rId117" Type="http://schemas.openxmlformats.org/officeDocument/2006/relationships/hyperlink" Target="https://prom.ua/p890543855-prihozhaya-ppk-nepo.html?" TargetMode="External"/><Relationship Id="rId118" Type="http://schemas.openxmlformats.org/officeDocument/2006/relationships/hyperlink" Target="https://prom.ua/p512224979-gostinaya-kvatro.html" TargetMode="External"/><Relationship Id="rId119" Type="http://schemas.openxmlformats.org/officeDocument/2006/relationships/hyperlink" Target="https://prom.ua/p1206351035-komod-german-kom3s912.html?" TargetMode="External"/><Relationship Id="rId120" Type="http://schemas.openxmlformats.org/officeDocument/2006/relationships/hyperlink" Target="https://prom.ua/p1220143520-tumba-pod-televizor.html" TargetMode="External"/>
</Relationships>
</file>

<file path=xl/worksheets/_rels/sheet9.xml.rels><?xml version="1.0" encoding="UTF-8"?>
<Relationships xmlns="http://schemas.openxmlformats.org/package/2006/relationships"><Relationship Id="rId1" Type="http://schemas.openxmlformats.org/officeDocument/2006/relationships/hyperlink" Target="http://brwmania.com.ua/gostinaja/modulnye-gostinye/sistema-azteka/tumba-pod-tv-acteka-rtv2d2s415/" TargetMode="External"/><Relationship Id="rId2" Type="http://schemas.openxmlformats.org/officeDocument/2006/relationships/hyperlink" Target="http://brwmania.com.ua/gostinaja/modulnye-gostinye/sistema-azteka/komod-acteka-kom4s811/" TargetMode="External"/><Relationship Id="rId3" Type="http://schemas.openxmlformats.org/officeDocument/2006/relationships/hyperlink" Target="http://brwmania.com.ua/gostinaja/modulnye-gostinye/sistema_indiana__sosna_kanjon/indiana-sosna-kanyon-j-011-komod-jkom-4s-80/" TargetMode="External"/><Relationship Id="rId4" Type="http://schemas.openxmlformats.org/officeDocument/2006/relationships/hyperlink" Target="http://brwmania.com.ua/gostinaja/modulnye-gostinye/sistema_indiana__sosna_kanjon/indiana-sosna-kanyon-j-007-stol-pismennyy-jbiu-2d2s-140/" TargetMode="External"/><Relationship Id="rId5" Type="http://schemas.openxmlformats.org/officeDocument/2006/relationships/hyperlink" Target="http://brwmania.com.ua/gostinaja/komplekty-gostinyh/aljaska-alaska-gostinaja/" TargetMode="External"/><Relationship Id="rId6" Type="http://schemas.openxmlformats.org/officeDocument/2006/relationships/hyperlink" Target="http://brwmania.com.ua/" TargetMode="External"/><Relationship Id="rId7" Type="http://schemas.openxmlformats.org/officeDocument/2006/relationships/hyperlink" Target="https://brwmania.com.ua/gostinaja/modulnye-gostinye/sistema_nepo/gerbor-gerbor-prihozhaya-nepo-nepo-ppk-dub-sonoma/" TargetMode="External"/><Relationship Id="rId8" Type="http://schemas.openxmlformats.org/officeDocument/2006/relationships/hyperlink" Target="https://brwmania.com.ua/gostinaja/komplekty-gostinyh/stinka-kvatro-venge-magia/" TargetMode="External"/><Relationship Id="rId9" Type="http://schemas.openxmlformats.org/officeDocument/2006/relationships/hyperlink" Target="https://brwmania.com.ua/gostinaja/modulnye-gostinye/sistema-vusher-vusher/010-vusher-komod-kom-1w2d2s/" TargetMode="External"/><Relationship Id="rId10" Type="http://schemas.openxmlformats.org/officeDocument/2006/relationships/hyperlink" Target="https://brwmania.com.ua/gostinaja/modulnye-gostinye/sistema-alisa-alisa-gerbor/gerbor-gerbor-tumba-pod-televizor-alisa-rtv2s2k/" TargetMode="External"/><Relationship Id="rId11" Type="http://schemas.openxmlformats.org/officeDocument/2006/relationships/hyperlink" Target="http://redlight.com.ua/" TargetMode="External"/><Relationship Id="rId12" Type="http://schemas.openxmlformats.org/officeDocument/2006/relationships/hyperlink" Target="https://mebli-bristol.com.ua/" TargetMode="External"/><Relationship Id="rId13" Type="http://schemas.openxmlformats.org/officeDocument/2006/relationships/hyperlink" Target="https://mebli-bristol.com.ua/alisa-tumba-rtv-2s2k-gerbor.html" TargetMode="External"/><Relationship Id="rId14" Type="http://schemas.openxmlformats.org/officeDocument/2006/relationships/hyperlink" Target="http://gerbor.kiev.ua/" TargetMode="External"/><Relationship Id="rId15" Type="http://schemas.openxmlformats.org/officeDocument/2006/relationships/hyperlink" Target="https://gerbor.kiev.ua/mebelnye-sistemy/mebel-alisa-gerbor/alisa-tumba-tv-rtv2s2k-gerbor/" TargetMode="External"/><Relationship Id="rId16" Type="http://schemas.openxmlformats.org/officeDocument/2006/relationships/hyperlink" Target="http://www.brwland.com.ua/" TargetMode="External"/><Relationship Id="rId17" Type="http://schemas.openxmlformats.org/officeDocument/2006/relationships/hyperlink" Target="https://brwland.com.ua/product/alisa-tumba-tv-rtv2s2k-gerbor/" TargetMode="External"/><Relationship Id="rId18" Type="http://schemas.openxmlformats.org/officeDocument/2006/relationships/hyperlink" Target="http://gerbor.dp.ua/" TargetMode="External"/><Relationship Id="rId19" Type="http://schemas.openxmlformats.org/officeDocument/2006/relationships/hyperlink" Target="https://www.dybok.com.ua/" TargetMode="External"/><Relationship Id="rId20" Type="http://schemas.openxmlformats.org/officeDocument/2006/relationships/hyperlink" Target="https://www.dybok.com.ua/ru/product/detail/35870" TargetMode="External"/><Relationship Id="rId21" Type="http://schemas.openxmlformats.org/officeDocument/2006/relationships/hyperlink" Target="https://www.dybok.com.ua/ru/product/detail/55516" TargetMode="External"/><Relationship Id="rId22" Type="http://schemas.openxmlformats.org/officeDocument/2006/relationships/hyperlink" Target="https://www.dybok.com.ua/ru/product/detail/4291" TargetMode="External"/><Relationship Id="rId23" Type="http://schemas.openxmlformats.org/officeDocument/2006/relationships/hyperlink" Target="https://www.dybok.com.ua/ru/product/detail/9798" TargetMode="External"/><Relationship Id="rId24" Type="http://schemas.openxmlformats.org/officeDocument/2006/relationships/hyperlink" Target="https://www.dybok.com.ua/ru/product/detail/35840" TargetMode="External"/><Relationship Id="rId25" Type="http://schemas.openxmlformats.org/officeDocument/2006/relationships/hyperlink" Target="https://www.dybok.com.ua/ru/product/detail/261" TargetMode="External"/><Relationship Id="rId26" Type="http://schemas.openxmlformats.org/officeDocument/2006/relationships/hyperlink" Target="https://www.dybok.com.ua/ru/product/detail/18085" TargetMode="External"/><Relationship Id="rId27" Type="http://schemas.openxmlformats.org/officeDocument/2006/relationships/hyperlink" Target="https://www.dybok.com.ua/ru/product/detail/50410" TargetMode="External"/><Relationship Id="rId28" Type="http://schemas.openxmlformats.org/officeDocument/2006/relationships/hyperlink" Target="https://www.dybok.com.ua/ua/product/detail/80992" TargetMode="External"/><Relationship Id="rId29" Type="http://schemas.openxmlformats.org/officeDocument/2006/relationships/hyperlink" Target="https://vashamebel.in.ua/" TargetMode="External"/><Relationship Id="rId30" Type="http://schemas.openxmlformats.org/officeDocument/2006/relationships/hyperlink" Target="https://vashamebel.in.ua/stol-pismennyij-kaspian-ii-biu1d1s-120/p488" TargetMode="External"/><Relationship Id="rId31" Type="http://schemas.openxmlformats.org/officeDocument/2006/relationships/hyperlink" Target="http://mebel-mebel.com.ua/" TargetMode="External"/><Relationship Id="rId32" Type="http://schemas.openxmlformats.org/officeDocument/2006/relationships/hyperlink" Target="https://mebel-mebel.com.ua/eshop/dom-stenki-dlia-gostinoi/gostinaya_alyaska-id50834.html" TargetMode="External"/><Relationship Id="rId33" Type="http://schemas.openxmlformats.org/officeDocument/2006/relationships/hyperlink" Target="http://abcmebli.com.ua/" TargetMode="External"/><Relationship Id="rId34" Type="http://schemas.openxmlformats.org/officeDocument/2006/relationships/hyperlink" Target="https://gerbor.mebelok.com/" TargetMode="External"/><Relationship Id="rId35" Type="http://schemas.openxmlformats.org/officeDocument/2006/relationships/hyperlink" Target="https://www.mebelok.com/tumba-tv-rtv2s2k-alisa/" TargetMode="External"/><Relationship Id="rId36" Type="http://schemas.openxmlformats.org/officeDocument/2006/relationships/hyperlink" Target="http://maxmebel.com.ua/" TargetMode="External"/><Relationship Id="rId37" Type="http://schemas.openxmlformats.org/officeDocument/2006/relationships/hyperlink" Target="https://moyamebel.com.ua/ua" TargetMode="External"/><Relationship Id="rId38" Type="http://schemas.openxmlformats.org/officeDocument/2006/relationships/hyperlink" Target="https://mebel-soyuz.com.ua/" TargetMode="External"/><Relationship Id="rId39" Type="http://schemas.openxmlformats.org/officeDocument/2006/relationships/hyperlink" Target="https://mebel-soyuz.com.ua/timba-RTV2S2K-alisa-gerbor.html" TargetMode="External"/><Relationship Id="rId40" Type="http://schemas.openxmlformats.org/officeDocument/2006/relationships/hyperlink" Target="https://sofino.ua/" TargetMode="External"/><Relationship Id="rId41" Type="http://schemas.openxmlformats.org/officeDocument/2006/relationships/hyperlink" Target="https://www.brw-kiev.com.ua/" TargetMode="External"/><Relationship Id="rId42" Type="http://schemas.openxmlformats.org/officeDocument/2006/relationships/hyperlink" Target="https://brw.kiev.ua/" TargetMode="External"/><Relationship Id="rId43" Type="http://schemas.openxmlformats.org/officeDocument/2006/relationships/hyperlink" Target="https://brw.kiev.ua/mebel-gerbor/alisa/tumba-tv-rtv2s2k-alisa-gerbor/" TargetMode="External"/><Relationship Id="rId44" Type="http://schemas.openxmlformats.org/officeDocument/2006/relationships/hyperlink" Target="http://brw.com.ua/" TargetMode="External"/><Relationship Id="rId45" Type="http://schemas.openxmlformats.org/officeDocument/2006/relationships/hyperlink" Target="https://mebelstyle.net/" TargetMode="External"/><Relationship Id="rId46" Type="http://schemas.openxmlformats.org/officeDocument/2006/relationships/hyperlink" Target="https://lvivmebli.com/" TargetMode="External"/><Relationship Id="rId47" Type="http://schemas.openxmlformats.org/officeDocument/2006/relationships/hyperlink" Target="http://centrmebliv.com.ua/" TargetMode="External"/><Relationship Id="rId48" Type="http://schemas.openxmlformats.org/officeDocument/2006/relationships/hyperlink" Target="https://letromebel.com.ua/" TargetMode="External"/><Relationship Id="rId49" Type="http://schemas.openxmlformats.org/officeDocument/2006/relationships/hyperlink" Target="https://shurup.net.ua/" TargetMode="External"/><Relationship Id="rId50" Type="http://schemas.openxmlformats.org/officeDocument/2006/relationships/hyperlink" Target="https://www.taburetka.ua/" TargetMode="External"/><Relationship Id="rId51" Type="http://schemas.openxmlformats.org/officeDocument/2006/relationships/hyperlink" Target="http://www.maxidom.com.ua/" TargetMode="External"/><Relationship Id="rId52" Type="http://schemas.openxmlformats.org/officeDocument/2006/relationships/hyperlink" Target="https://mebel-online.com.ua/" TargetMode="External"/><Relationship Id="rId53" Type="http://schemas.openxmlformats.org/officeDocument/2006/relationships/hyperlink" Target="https://mebelnuy.com.ua/" TargetMode="External"/><Relationship Id="rId54" Type="http://schemas.openxmlformats.org/officeDocument/2006/relationships/hyperlink" Target="https://amado.com.ua/" TargetMode="External"/><Relationship Id="rId55" Type="http://schemas.openxmlformats.org/officeDocument/2006/relationships/hyperlink" Target="https://prom.ua/p1167879150-tumba-pod-rtv.html?" TargetMode="External"/><Relationship Id="rId56" Type="http://schemas.openxmlformats.org/officeDocument/2006/relationships/hyperlink" Target="https://prom.ua/p983011265-komod-kom-811.html?" TargetMode="External"/><Relationship Id="rId57" Type="http://schemas.openxmlformats.org/officeDocument/2006/relationships/hyperlink" Target="https://prom.ua/p544656153-komod-jkom-4s80.html?" TargetMode="External"/><Relationship Id="rId58" Type="http://schemas.openxmlformats.org/officeDocument/2006/relationships/hyperlink" Target="https://prom.ua/p781599812-indiana-kanon-stol.html?" TargetMode="External"/><Relationship Id="rId59" Type="http://schemas.openxmlformats.org/officeDocument/2006/relationships/hyperlink" Target="https://prom.ua/p54713987-komod-kom-4s90.html?" TargetMode="External"/><Relationship Id="rId60" Type="http://schemas.openxmlformats.org/officeDocument/2006/relationships/hyperlink" Target="https://prom.ua/p544657658-shkaf-platyanoj-szf3d2s.html?" TargetMode="External"/><Relationship Id="rId61" Type="http://schemas.openxmlformats.org/officeDocument/2006/relationships/hyperlink" Target="https://prom.ua/p46283355-komod-sonata-sonata.html?" TargetMode="External"/><Relationship Id="rId62" Type="http://schemas.openxmlformats.org/officeDocument/2006/relationships/hyperlink" Target="https://prom.ua/p54675546-stol-pismennyj-biu.html?" TargetMode="External"/><Relationship Id="rId63" Type="http://schemas.openxmlformats.org/officeDocument/2006/relationships/hyperlink" Target="https://prom.ua/p239247927-prihozhaya-ppk-nepo.html?" TargetMode="External"/><Relationship Id="rId64" Type="http://schemas.openxmlformats.org/officeDocument/2006/relationships/hyperlink" Target="https://prom.ua/p542591704-gostinaya-alyaska-alaska.html?&amp;primelead=MC43NA" TargetMode="External"/><Relationship Id="rId65" Type="http://schemas.openxmlformats.org/officeDocument/2006/relationships/hyperlink" Target="https://prom.ua/p24569524-gostinaya-kvatro-gerbor.html?" TargetMode="External"/><Relationship Id="rId66" Type="http://schemas.openxmlformats.org/officeDocument/2006/relationships/hyperlink" Target="https://prom.ua/p553476998-bufet-kom1w2d2s915-gerbor.html?" TargetMode="External"/><Relationship Id="rId67" Type="http://schemas.openxmlformats.org/officeDocument/2006/relationships/hyperlink" Target="https://prom.ua/p1248775724-komod-brv-german.html?" TargetMode="External"/><Relationship Id="rId68" Type="http://schemas.openxmlformats.org/officeDocument/2006/relationships/hyperlink" Target="https://prom.ua/p1274217210-tumba-rtv2s2k-alisa.html?" TargetMode="External"/><Relationship Id="rId69" Type="http://schemas.openxmlformats.org/officeDocument/2006/relationships/hyperlink" Target="https://prom.ua/p181257399-tumba-pod-rtv.html?" TargetMode="External"/><Relationship Id="rId70" Type="http://schemas.openxmlformats.org/officeDocument/2006/relationships/hyperlink" Target="https://prom.ua/p1280431425-komod-kom4s811-atsteka.html?" TargetMode="External"/><Relationship Id="rId71" Type="http://schemas.openxmlformats.org/officeDocument/2006/relationships/hyperlink" Target="https://prom.ua/p781599816-indiana-kanon-komod.html?" TargetMode="External"/><Relationship Id="rId72" Type="http://schemas.openxmlformats.org/officeDocument/2006/relationships/hyperlink" Target="https://prom.ua/p1046920683-stol-pismennyj-indiana.html?" TargetMode="External"/><Relationship Id="rId73" Type="http://schemas.openxmlformats.org/officeDocument/2006/relationships/hyperlink" Target="https://prom.ua/p553477017-dzhuli-komod-kom4s90.html?" TargetMode="External"/><Relationship Id="rId74" Type="http://schemas.openxmlformats.org/officeDocument/2006/relationships/hyperlink" Target="https://prom.ua/p664294628-shkaf-szf-3d2s.html?" TargetMode="External"/><Relationship Id="rId75" Type="http://schemas.openxmlformats.org/officeDocument/2006/relationships/hyperlink" Target="https://prom.ua/p1211287637-komod-gerbor-sonata.html?" TargetMode="External"/><Relationship Id="rId76" Type="http://schemas.openxmlformats.org/officeDocument/2006/relationships/hyperlink" Target="https://prom.ua/p360359972-stol-pismennyj-biu.html" TargetMode="External"/><Relationship Id="rId77" Type="http://schemas.openxmlformats.org/officeDocument/2006/relationships/hyperlink" Target="https://prom.ua/p542943976-prihozhaya-ppk-nepo.html?" TargetMode="External"/><Relationship Id="rId78" Type="http://schemas.openxmlformats.org/officeDocument/2006/relationships/hyperlink" Target="https://prom.ua/p1248753565-gostinaya-gerbor-kvatro.html?" TargetMode="External"/><Relationship Id="rId79" Type="http://schemas.openxmlformats.org/officeDocument/2006/relationships/hyperlink" Target="https://prom.ua/p106094960-komod-vusher-kom.html?" TargetMode="External"/><Relationship Id="rId80" Type="http://schemas.openxmlformats.org/officeDocument/2006/relationships/hyperlink" Target="https://prom.ua/p777526967-german-komod-kom3s912.html?" TargetMode="External"/><Relationship Id="rId81" Type="http://schemas.openxmlformats.org/officeDocument/2006/relationships/hyperlink" Target="https://prom.ua/p1334713993-tumba-pod-rtv2s2k.html?" TargetMode="External"/><Relationship Id="rId82" Type="http://schemas.openxmlformats.org/officeDocument/2006/relationships/hyperlink" Target="https://prom.ua/p886021256-tumba-pod-atsteka.html?" TargetMode="External"/><Relationship Id="rId83" Type="http://schemas.openxmlformats.org/officeDocument/2006/relationships/hyperlink" Target="https://prom.ua/p1125567115-komod-azteca-kom4s811.html?" TargetMode="External"/><Relationship Id="rId84" Type="http://schemas.openxmlformats.org/officeDocument/2006/relationships/hyperlink" Target="https://prom.ua/p1046925343-komod-indiana-jkom4s80.html?" TargetMode="External"/><Relationship Id="rId85" Type="http://schemas.openxmlformats.org/officeDocument/2006/relationships/hyperlink" Target="https://prom.ua/p544656149-stol-pismennyj-jbiu.html?" TargetMode="External"/><Relationship Id="rId86" Type="http://schemas.openxmlformats.org/officeDocument/2006/relationships/hyperlink" Target="https://prom.ua/p1248752651-komod-brv-dzhuli.html?" TargetMode="External"/><Relationship Id="rId87" Type="http://schemas.openxmlformats.org/officeDocument/2006/relationships/hyperlink" Target="https://prom.ua/p644944451-porto-shkaf-szf3d2s.html?" TargetMode="External"/><Relationship Id="rId88" Type="http://schemas.openxmlformats.org/officeDocument/2006/relationships/hyperlink" Target="https://prom.ua/p1288425504-komod-gerbor-sonata.html?" TargetMode="External"/><Relationship Id="rId89" Type="http://schemas.openxmlformats.org/officeDocument/2006/relationships/hyperlink" Target="https://prom.ua/p553476454-nepo-prihozhaya-ppk.html?" TargetMode="External"/><Relationship Id="rId90" Type="http://schemas.openxmlformats.org/officeDocument/2006/relationships/hyperlink" Target="https://prom.ua/p12120301-gostinaya-kvatro-venge.html" TargetMode="External"/><Relationship Id="rId91" Type="http://schemas.openxmlformats.org/officeDocument/2006/relationships/hyperlink" Target="https://prom.ua/p83295231-komod-kom-1w2d2s.html" TargetMode="External"/><Relationship Id="rId92" Type="http://schemas.openxmlformats.org/officeDocument/2006/relationships/hyperlink" Target="https://prom.ua/p847003898-german-komod-kom3s912.html?" TargetMode="External"/><Relationship Id="rId93" Type="http://schemas.openxmlformats.org/officeDocument/2006/relationships/hyperlink" Target="https://prom.ua/p1248803640-tumba-gerbor-alisa.html?" TargetMode="External"/><Relationship Id="rId94" Type="http://schemas.openxmlformats.org/officeDocument/2006/relationships/hyperlink" Target="https://prom.ua/p1214419043-tumba-pod-atsteka.html?" TargetMode="External"/><Relationship Id="rId95" Type="http://schemas.openxmlformats.org/officeDocument/2006/relationships/hyperlink" Target="https://prom.ua/p1215683017-komod-atsteka-kom4s811.html?" TargetMode="External"/><Relationship Id="rId96" Type="http://schemas.openxmlformats.org/officeDocument/2006/relationships/hyperlink" Target="https://prom.ua/p1183266470-komod-jkom-indiana.html" TargetMode="External"/><Relationship Id="rId97" Type="http://schemas.openxmlformats.org/officeDocument/2006/relationships/hyperlink" Target="https://prom.ua/p1183292769-stol-pismennyj-jbiu.html" TargetMode="External"/><Relationship Id="rId98" Type="http://schemas.openxmlformats.org/officeDocument/2006/relationships/hyperlink" Target="https://prom.ua/p1045568873-komod-dzhuli-kom4s90.html?" TargetMode="External"/><Relationship Id="rId99" Type="http://schemas.openxmlformats.org/officeDocument/2006/relationships/hyperlink" Target="https://prom.ua/p1037803293-shkaf-platyanoj-szf.html" TargetMode="External"/><Relationship Id="rId100" Type="http://schemas.openxmlformats.org/officeDocument/2006/relationships/hyperlink" Target="https://prom.ua/p1334931386-komod-gerbor-sonata.html?" TargetMode="External"/><Relationship Id="rId101" Type="http://schemas.openxmlformats.org/officeDocument/2006/relationships/hyperlink" Target="https://prom.ua/p223321231-prihozhaya-ppk-nepo.html?" TargetMode="External"/><Relationship Id="rId102" Type="http://schemas.openxmlformats.org/officeDocument/2006/relationships/hyperlink" Target="https://prom.ua/p18612661-gostinaya-kvatro.html" TargetMode="External"/><Relationship Id="rId103" Type="http://schemas.openxmlformats.org/officeDocument/2006/relationships/hyperlink" Target="https://prom.ua/p1209395741-komod-vusher-kom1w2d2s.html" TargetMode="External"/><Relationship Id="rId104" Type="http://schemas.openxmlformats.org/officeDocument/2006/relationships/hyperlink" Target="https://prom.ua/p1045115919-komod-german-kom3s912.html?" TargetMode="External"/><Relationship Id="rId105" Type="http://schemas.openxmlformats.org/officeDocument/2006/relationships/hyperlink" Target="https://prom.ua/p1248803641-tumba-gerbor-alisa.html?" TargetMode="External"/><Relationship Id="rId106" Type="http://schemas.openxmlformats.org/officeDocument/2006/relationships/hyperlink" Target="https://prom.ua/p1325973811-tumba-brv-atsteka.html?&amp;primelead=MC43OA" TargetMode="External"/><Relationship Id="rId107" Type="http://schemas.openxmlformats.org/officeDocument/2006/relationships/hyperlink" Target="https://prom.ua/p1248752621-komod-brv-atsteka.html?" TargetMode="External"/><Relationship Id="rId108" Type="http://schemas.openxmlformats.org/officeDocument/2006/relationships/hyperlink" Target="https://prom.ua/p372189619-stol-pismennyj-jbiu2d2s140.html" TargetMode="External"/><Relationship Id="rId109" Type="http://schemas.openxmlformats.org/officeDocument/2006/relationships/hyperlink" Target="https://prom.ua/p1209396495-komod-kom4s90-dzhuli.html" TargetMode="External"/><Relationship Id="rId110" Type="http://schemas.openxmlformats.org/officeDocument/2006/relationships/hyperlink" Target="https://prom.ua/p663109577-shkaf-platyanoj-szf3d2s.html" TargetMode="External"/><Relationship Id="rId111" Type="http://schemas.openxmlformats.org/officeDocument/2006/relationships/hyperlink" Target="https://prom.ua/p553479263-komod-gerbor-sonata.html?" TargetMode="External"/><Relationship Id="rId112" Type="http://schemas.openxmlformats.org/officeDocument/2006/relationships/hyperlink" Target="https://prom.ua/p890543855-prihozhaya-ppk-nepo.html?" TargetMode="External"/><Relationship Id="rId113" Type="http://schemas.openxmlformats.org/officeDocument/2006/relationships/hyperlink" Target="https://prom.ua/p512224979-gostinaya-kvatro.html" TargetMode="External"/><Relationship Id="rId114" Type="http://schemas.openxmlformats.org/officeDocument/2006/relationships/hyperlink" Target="https://prom.ua/p1206351035-komod-german-kom3s912.html?" TargetMode="External"/><Relationship Id="rId115" Type="http://schemas.openxmlformats.org/officeDocument/2006/relationships/hyperlink" Target="https://prom.ua/p1220143520-tumba-pod-televizor.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9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9" activePane="bottomLeft" state="frozen"/>
      <selection pane="topLeft" activeCell="A1" activeCellId="0" sqref="A1"/>
      <selection pane="bottomLeft" activeCell="D17" activeCellId="0" sqref="D17"/>
    </sheetView>
  </sheetViews>
  <sheetFormatPr defaultColWidth="14.4453125" defaultRowHeight="15" zeroHeight="false" outlineLevelRow="0" outlineLevelCol="0"/>
  <cols>
    <col collapsed="false" customWidth="true" hidden="false" outlineLevel="0" max="1" min="1" style="0" width="27.71"/>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5"/>
    <col collapsed="false" customWidth="true" hidden="false" outlineLevel="0" max="9" min="9" style="0" width="16.29"/>
    <col collapsed="false" customWidth="true" hidden="false" outlineLevel="0" max="10" min="10" style="0" width="15.71"/>
    <col collapsed="false" customWidth="true" hidden="false" outlineLevel="0" max="11" min="11" style="0" width="17.71"/>
    <col collapsed="false" customWidth="true" hidden="false" outlineLevel="0" max="15" min="12" style="0" width="18"/>
    <col collapsed="false" customWidth="true" hidden="false" outlineLevel="0" max="16" min="16" style="0" width="17"/>
  </cols>
  <sheetData>
    <row r="1" customFormat="false" ht="106.5" hidden="false" customHeight="true" outlineLevel="0" collapsed="false">
      <c r="A1" s="1" t="s">
        <v>0</v>
      </c>
      <c r="B1" s="2" t="s">
        <v>1</v>
      </c>
      <c r="C1" s="2" t="s">
        <v>2</v>
      </c>
      <c r="D1" s="2" t="s">
        <v>3</v>
      </c>
      <c r="E1" s="2" t="s">
        <v>4</v>
      </c>
      <c r="F1" s="2" t="s">
        <v>5</v>
      </c>
      <c r="G1" s="2" t="s">
        <v>6</v>
      </c>
      <c r="H1" s="2" t="s">
        <v>7</v>
      </c>
      <c r="I1" s="2" t="s">
        <v>8</v>
      </c>
      <c r="J1" s="3" t="s">
        <v>9</v>
      </c>
      <c r="K1" s="4" t="s">
        <v>10</v>
      </c>
      <c r="L1" s="3" t="s">
        <v>11</v>
      </c>
      <c r="M1" s="3" t="s">
        <v>12</v>
      </c>
      <c r="N1" s="3" t="s">
        <v>13</v>
      </c>
      <c r="O1" s="3" t="s">
        <v>14</v>
      </c>
      <c r="P1" s="3" t="s">
        <v>15</v>
      </c>
    </row>
    <row r="2" customFormat="false" ht="40.5" hidden="false" customHeight="true" outlineLevel="0" collapsed="false">
      <c r="A2" s="5" t="s">
        <v>16</v>
      </c>
      <c r="B2" s="6" t="n">
        <v>4470</v>
      </c>
      <c r="C2" s="7" t="n">
        <v>5400</v>
      </c>
      <c r="D2" s="8" t="n">
        <v>4170</v>
      </c>
      <c r="E2" s="7" t="n">
        <v>6250</v>
      </c>
      <c r="F2" s="8" t="n">
        <v>2660</v>
      </c>
      <c r="G2" s="8" t="n">
        <v>6250</v>
      </c>
      <c r="H2" s="8" t="n">
        <v>7290</v>
      </c>
      <c r="I2" s="9" t="n">
        <v>3900</v>
      </c>
      <c r="J2" s="10" t="n">
        <v>2440</v>
      </c>
      <c r="K2" s="10" t="n">
        <v>4130</v>
      </c>
      <c r="L2" s="11" t="n">
        <v>5350</v>
      </c>
      <c r="M2" s="11" t="n">
        <v>4940</v>
      </c>
      <c r="N2" s="10" t="n">
        <v>4030</v>
      </c>
      <c r="O2" s="10" t="n">
        <v>4820</v>
      </c>
      <c r="P2" s="10" t="n">
        <v>10010</v>
      </c>
    </row>
    <row r="3" s="17" customFormat="true" ht="48" hidden="false" customHeight="true" outlineLevel="0" collapsed="false">
      <c r="A3" s="12"/>
      <c r="B3" s="13"/>
      <c r="C3" s="14"/>
      <c r="D3" s="14"/>
      <c r="E3" s="15"/>
      <c r="F3" s="15"/>
      <c r="G3" s="15"/>
      <c r="H3" s="15"/>
      <c r="I3" s="15"/>
      <c r="J3" s="16"/>
      <c r="K3" s="15"/>
      <c r="L3" s="15"/>
      <c r="M3" s="15"/>
      <c r="N3" s="15"/>
      <c r="O3" s="15"/>
      <c r="P3" s="15"/>
    </row>
    <row r="4" s="17" customFormat="true" ht="63" hidden="false" customHeight="true" outlineLevel="0" collapsed="false">
      <c r="A4" s="12"/>
      <c r="B4" s="18"/>
      <c r="C4" s="19"/>
      <c r="D4" s="19"/>
      <c r="E4" s="19"/>
      <c r="F4" s="19"/>
      <c r="G4" s="16"/>
      <c r="H4" s="19"/>
      <c r="I4" s="19"/>
      <c r="J4" s="20"/>
      <c r="K4" s="16"/>
      <c r="L4" s="16"/>
      <c r="M4" s="16"/>
      <c r="N4" s="16"/>
      <c r="O4" s="16"/>
      <c r="P4" s="19"/>
    </row>
    <row r="5" customFormat="false" ht="60" hidden="false" customHeight="true" outlineLevel="0" collapsed="false">
      <c r="A5" s="21" t="s">
        <v>17</v>
      </c>
      <c r="B5" s="18" t="str">
        <f aca="false">HYPERLINK("https://gerbor.kiev.ua/mebel-brv-ukraina/mebel-brw-azteca/azteca-tumba-tv-rtv2d2s-brv/","4400")</f>
        <v>4400</v>
      </c>
      <c r="C5" s="22" t="str">
        <f aca="false">HYPERLINK("https://gerbor.kiev.ua/mebel-brv-ukraina/mebel-brw-azteca/azteca-komod-kom4s-brv/","5210")</f>
        <v>5210</v>
      </c>
      <c r="D5" s="22" t="str">
        <f aca="false">HYPERLINK("https://gerbor.kiev.ua/mebel-brv-ukraina/mebel-indiana-brw/indiana-komod-jkom4s80-brv/","4170")</f>
        <v>4170</v>
      </c>
      <c r="E5" s="22" t="str">
        <f aca="false">HYPERLINK("https://gerbor.kiev.ua/mebel-brv-ukraina/mebel-indiana-brw/indiana-stol-pismennyy-jbiu2d2s140-brv/","6210")</f>
        <v>6210</v>
      </c>
      <c r="F5" s="22" t="str">
        <f aca="false">HYPERLINK("https://gerbor.kiev.ua/mebel-brv-ukraina/mebel-july-brw/july-komod-kom4s90-brv/","2630")</f>
        <v>2630</v>
      </c>
      <c r="G5" s="19" t="str">
        <f aca="false">HYPERLINK("https://gerbor.kiev.ua/mebelnye-sistemy/mebel-porto-brv/porto-shkaf-szf3d2s-brv/","6210")</f>
        <v>6210</v>
      </c>
      <c r="H5" s="19" t="str">
        <f aca="false">HYPERLINK("https://gerbor.kiev.ua/mebelnye-sistemy/mebel-sonata-gerbor/sonata-komod-8s-gerbor/","7210")</f>
        <v>7210</v>
      </c>
      <c r="I5" s="19" t="str">
        <f aca="false">HYPERLINK("https://gerbor.kiev.ua/mebelnye-sistemy/mebel-kaspian-sonoma-brw/kaspian-sonoma-stol-pismennyy-biu1d1s-brv/","3860")</f>
        <v>3860</v>
      </c>
      <c r="J5" s="19" t="str">
        <f aca="false">HYPERLINK("https://gerbor.kiev.ua/mebelnye-sistemy/mebel-nepo-gerbor/nepo-prikhozhaya-ppk-gerbor/","2440")</f>
        <v>2440</v>
      </c>
      <c r="K5" s="23" t="str">
        <f aca="false">HYPERLINK("https://gerbor.kiev.ua/mebelnye-sistemy/mebel-quatro-gerbor/quatro-gostinaya-gerbor/","4130")</f>
        <v>4130</v>
      </c>
      <c r="L5" s="24" t="str">
        <f aca="false">HYPERLINK("https://gerbor.kiev.ua/mebelnye-sistemy/mebel-vusher-gerbor/vusher-komod-kom1w2d2s-gerbor/","5350")</f>
        <v>5350</v>
      </c>
      <c r="M5" s="24" t="str">
        <f aca="false">HYPERLINK("https://gerbor.kiev.ua/mebel-brv-ukraina/mebel-german-brw/german-komod-kom3s-brv/","4199")</f>
        <v>4199</v>
      </c>
      <c r="N5" s="23" t="str">
        <f aca="false">HYPERLINK("https://gerbor.kiev.ua/mebelnye-sistemy/mebel-alisa-gerbor/alisa-tumba-tv-rtv2s2k-gerbor/","0000")</f>
        <v>0000</v>
      </c>
      <c r="O5" s="25" t="str">
        <f aca="false">HYPERLINK("https://gerbor.kiev.ua/mebelnye-sistemy/mebel-koen-gerbor/koen-komod-kom4s-gerbor/","0000")</f>
        <v>0000</v>
      </c>
      <c r="P5" s="19" t="str">
        <f aca="false">HYPERLINK("https://gerbor.kiev.ua/mebelnye-sistemy/mebel-alaska-brw/alaska-gostinaya-brw/","10010")</f>
        <v>10010</v>
      </c>
    </row>
    <row r="6" customFormat="false" ht="63" hidden="false" customHeight="true" outlineLevel="0" collapsed="false">
      <c r="A6" s="26" t="s">
        <v>18</v>
      </c>
      <c r="B6" s="18" t="str">
        <f aca="false">HYPERLINK("https://brwland.com.ua/product/azteca-tumba-tv-rtv2d2s415-brv-ukraina/","4400")</f>
        <v>4400</v>
      </c>
      <c r="C6" s="22" t="str">
        <f aca="false">HYPERLINK("https://brwland.com.ua/product/azteca-komod-kom4s811-brv-ukraina/","5210")</f>
        <v>5210</v>
      </c>
      <c r="D6" s="22" t="str">
        <f aca="false">HYPERLINK("https://brwland.com.ua/product/mebel-indiana-komod-jkom-4s-80-gerbor/","4170")</f>
        <v>4170</v>
      </c>
      <c r="E6" s="22" t="str">
        <f aca="false">HYPERLINK("https://brwland.com.ua/product/mebel-indiana-stol-pismennyj-jbiu-2d2s-140-gerbor/","6210")</f>
        <v>6210</v>
      </c>
      <c r="F6" s="22" t="str">
        <f aca="false">HYPERLINK("https://brwland.com.ua/product/dzhuli-komod-kom4s90-brv-ukraina/","2630")</f>
        <v>2630</v>
      </c>
      <c r="G6" s="19" t="str">
        <f aca="false">HYPERLINK("http://www.brwland.com.ua/product/porto-shkaf-szf3d2s-brv-ukraina/","6210")</f>
        <v>6210</v>
      </c>
      <c r="H6" s="19" t="str">
        <f aca="false">HYPERLINK("http://www.brwland.com.ua/product/komod-8s-sonata-gerbor/","7090")</f>
        <v>7090</v>
      </c>
      <c r="I6" s="19" t="str">
        <f aca="false">HYPERLINK("http://www.brwland.com.ua/product/kaspian-sonoma-stol-pismennyj-biu1d1s-brv-ukraina/","3860")</f>
        <v>3860</v>
      </c>
      <c r="J6" s="19" t="str">
        <f aca="false">HYPERLINK("http://www.brwland.com.ua/product/nepo-prihozhaja-ppk-gerbor/","2340")</f>
        <v>2340</v>
      </c>
      <c r="K6" s="19" t="str">
        <f aca="false">HYPERLINK("https://brwland.com.ua/product/kvatro-gerbor/","4151")</f>
        <v>4151</v>
      </c>
      <c r="L6" s="23" t="str">
        <f aca="false">HYPERLINK("https://brwland.com.ua/product/vusher-bufet-kom1w2d2s915-gerbor/","0000")</f>
        <v>0000</v>
      </c>
      <c r="M6" s="23" t="str">
        <f aca="false">HYPERLINK("https://brwland.com.ua/product/german-komod-kom3s912-brv-ukraina/","0000")</f>
        <v>0000</v>
      </c>
      <c r="N6" s="23" t="str">
        <f aca="false">HYPERLINK("https://brwland.com.ua/product/alisa-tumba-tv-rtv2s2k-gerbor/","0000")</f>
        <v>0000</v>
      </c>
      <c r="O6" s="25" t="str">
        <f aca="false">HYPERLINK("https://brwland.com.ua/product/koen-kom4s-komod-gerbor/","0000")</f>
        <v>0000</v>
      </c>
      <c r="P6" s="27" t="str">
        <f aca="false">HYPERLINK("http://www.brwland.com.ua/product/gostinaja-aljaska-brv-ukraina/","9650")</f>
        <v>9650</v>
      </c>
    </row>
    <row r="7" customFormat="false" ht="61.5" hidden="false" customHeight="true" outlineLevel="0" collapsed="false">
      <c r="A7" s="28" t="s">
        <v>19</v>
      </c>
      <c r="B7" s="29" t="str">
        <f aca="false">HYPERLINK("https://vashamebel.in.ua/tumba-tv-brv-atsteka-rtv2d2s415/p12722","4470")</f>
        <v>4470</v>
      </c>
      <c r="C7" s="23" t="str">
        <f aca="false">HYPERLINK("https://vashamebel.in.ua/komod-brv-atsteka-kom4s811/p12731","0000")</f>
        <v>0000</v>
      </c>
      <c r="D7" s="23" t="str">
        <f aca="false">HYPERLINK("https://vashamebel.in.ua/komod-brv-indiana-jkom4s80/p921","0000")</f>
        <v>0000</v>
      </c>
      <c r="E7" s="23" t="str">
        <f aca="false">HYPERLINK("https://vashamebel.in.ua/stol-pismennyij-brv-indiana-jbiu-2d2s/p916","0000")</f>
        <v>0000</v>
      </c>
      <c r="F7" s="30" t="str">
        <f aca="false">HYPERLINK("https://vashamebel.in.ua/komod-brv-dzhuli-kom4s90/p7958","2660")</f>
        <v>2660</v>
      </c>
      <c r="G7" s="23" t="str">
        <f aca="false">HYPERLINK("https://vashamebel.in.ua/shkaf-brv-porto-szf3d2s/p12560","0000")</f>
        <v>0000</v>
      </c>
      <c r="H7" s="30" t="str">
        <f aca="false">HYPERLINK("https://vashamebel.in.ua/komod-gerbor-sonata-8s/p845","7290")</f>
        <v>7290</v>
      </c>
      <c r="I7" s="31" t="str">
        <f aca="false">HYPERLINK("https://vashamebel.in.ua/stol-pismennyij-brv-kaspian-biu1d1s/p2112","0000")</f>
        <v>0000</v>
      </c>
      <c r="J7" s="22" t="str">
        <f aca="false">HYPERLINK("https://vashamebel.in.ua/prihozhaya-gerbor-nepo-ppk/p12249","2440")</f>
        <v>2440</v>
      </c>
      <c r="K7" s="24" t="str">
        <f aca="false">HYPERLINK("https://vashamebel.in.ua/stenka-gerbor-kvatro/p2359","0000")</f>
        <v>0000</v>
      </c>
      <c r="L7" s="24" t="str">
        <f aca="false">HYPERLINK("https://vashamebel.in.ua/komod-gerbor-vusher-kom1w2d2s/p4762","0000")</f>
        <v>0000</v>
      </c>
      <c r="M7" s="24" t="str">
        <f aca="false">HYPERLINK("https://vashamebel.in.ua/komod-brv-german-kom3s912/p16187","0000")</f>
        <v>0000</v>
      </c>
      <c r="N7" s="23" t="str">
        <f aca="false">HYPERLINK("https://vashamebel.in.ua/tumba-tv-gerbor-alisa-rtv2s2k/p16540","0000")</f>
        <v>0000</v>
      </c>
      <c r="O7" s="25" t="str">
        <f aca="false">HYPERLINK("https://vashamebel.in.ua/komod-gerbor-koen-kom4s/p2171","0000")</f>
        <v>0000</v>
      </c>
      <c r="P7" s="22" t="str">
        <f aca="false">HYPERLINK("https://vashamebel.in.ua/gostinaya-brv-alyaska/p4420","10010")</f>
        <v>10010</v>
      </c>
    </row>
    <row r="8" customFormat="false" ht="70.5" hidden="false" customHeight="true" outlineLevel="0" collapsed="false">
      <c r="A8" s="28" t="s">
        <v>20</v>
      </c>
      <c r="B8" s="29" t="str">
        <f aca="false">HYPERLINK("https://mebel-mebel.com.ua/eshop/dom-tumby-dlia-tv/tumba_rtv2d2s_4_15_atsteka-id461.html","4470")</f>
        <v>4470</v>
      </c>
      <c r="C8" s="30" t="str">
        <f aca="false">HYPERLINK("https://mebel-mebel.com.ua/eshop/dom-komody/komod_kom4s_8_11_atsteka-id496.html","5400")</f>
        <v>5400</v>
      </c>
      <c r="D8" s="30" t="str">
        <f aca="false">HYPERLINK("https://mebel-mebel.com.ua/eshop/dom-komody/komod_jkom_4s80_indiana-id663.html","4170")</f>
        <v>4170</v>
      </c>
      <c r="E8" s="30" t="str">
        <f aca="false">HYPERLINK("https://mebel-mebel.com.ua/eshop/dom-stoly-kompiuternye/stol_pismenniy_jbiu_2d2s_140_indiana-id659.html","6250")</f>
        <v>6250</v>
      </c>
      <c r="F8" s="30" t="str">
        <f aca="false">HYPERLINK("https://mebel-mebel.com.ua/eshop/dom-komody/komod_kom_4s_90_dzhuli-id569.html","2660")</f>
        <v>2660</v>
      </c>
      <c r="G8" s="30" t="str">
        <f aca="false">HYPERLINK("https://mebel-mebel.com.ua/eshop/detskie-shkafy/shkaf_szf3d2s_porto-id35136.html","6250")</f>
        <v>6250</v>
      </c>
      <c r="H8" s="32" t="str">
        <f aca="false">HYPERLINK("https://mebel-mebel.com.ua/eshop/dom-komody/komod_8s_s_015_sonata-id1567.html","7290")</f>
        <v>7290</v>
      </c>
      <c r="I8" s="32" t="str">
        <f aca="false">HYPERLINK("https://mebel-mebel.com.ua/eshop/dom-stoly-kompiuternye/stol_pismenniy_biu_1d1s_120_kaspian-id797.html","3900")</f>
        <v>3900</v>
      </c>
      <c r="J8" s="19" t="str">
        <f aca="false">HYPERLINK("https://mebel-mebel.com.ua/eshop/dom-prihozhie/prihozhaya_ppk_nepo-id28028.html","2440")</f>
        <v>2440</v>
      </c>
      <c r="K8" s="24" t="str">
        <f aca="false">HYPERLINK("https://mebel-mebel.com.ua/eshop/dom-stenki-dlia-gostinoi/gostinaya_kvatro-id152.html","0000")</f>
        <v>0000</v>
      </c>
      <c r="L8" s="25" t="str">
        <f aca="false">HYPERLINK("https://mebel-mebel.com.ua/eshop/dom-komody/komod_kom_1w2d2s_vusher-id560.html","0000")</f>
        <v>0000</v>
      </c>
      <c r="M8" s="24" t="str">
        <f aca="false">HYPERLINK("https://mebel-mebel.com.ua/eshop/dom-komody/komod_kom3s_9_12_german_brv_ukraina-id60297.html","0000")</f>
        <v>0000</v>
      </c>
      <c r="N8" s="24" t="str">
        <f aca="false">HYPERLINK("https://mebel-mebel.com.ua/eshop/dom-tumby-dlia-tv/tumba_rtv_2s2k_alisa_gerbor-id60350.html","0000")</f>
        <v>0000</v>
      </c>
      <c r="O8" s="24" t="str">
        <f aca="false">HYPERLINK("https://mebel-mebel.com.ua/eshop/dom-komody/komod_kom_4s_mdf_8_koen-id921.html","0000")</f>
        <v>0000</v>
      </c>
      <c r="P8" s="22" t="str">
        <f aca="false">HYPERLINK("https://mebel-mebel.com.ua/eshop/dom-stenki-dlia-gostinoi/gostinaya_arktika-id50834.html","10010")</f>
        <v>10010</v>
      </c>
    </row>
    <row r="9" customFormat="false" ht="75.75" hidden="false" customHeight="true" outlineLevel="0" collapsed="false">
      <c r="A9" s="26" t="s">
        <v>21</v>
      </c>
      <c r="B9" s="33" t="str">
        <f aca="false">HYPERLINK("https://abcmebli.com.ua/p14992-tumba_tv_rtv2d2s-4-15_atsteka","4237")</f>
        <v>4237</v>
      </c>
      <c r="C9" s="27" t="str">
        <f aca="false">HYPERLINK("https://abcmebli.com.ua/p15683-atsteka_komod_kom4s-8-11_brv","5010")</f>
        <v>5010</v>
      </c>
      <c r="D9" s="27" t="str">
        <f aca="false">HYPERLINK("https://abcmebli.com.ua/p1896-komod_jkom4s_80_indiana","4010")</f>
        <v>4010</v>
      </c>
      <c r="E9" s="27" t="str">
        <f aca="false">HYPERLINK("https://abcmebli.com.ua/p1892-stol_pismenniy_jbiu2d2s_140_indiana","5980")</f>
        <v>5980</v>
      </c>
      <c r="F9" s="34" t="str">
        <f aca="false">HYPERLINK("https://abcmebli.com.ua/p8553-komod_kom4s-90_july","2480")</f>
        <v>2480</v>
      </c>
      <c r="G9" s="27" t="str">
        <f aca="false">HYPERLINK("https://abcmebli.com.ua/p15039-shkaf_platyanoy_szf3d2s_porto","5890")</f>
        <v>5890</v>
      </c>
      <c r="H9" s="27" t="str">
        <f aca="false">HYPERLINK("https://abcmebli.com.ua/p2225-komod_8-s_sonata","7554")</f>
        <v>7554</v>
      </c>
      <c r="I9" s="27" t="str">
        <f aca="false">HYPERLINK("https://abcmebli.com.ua/p14308-stol_pismenniy_biu_1d1s_120_kaspian","3630")</f>
        <v>3630</v>
      </c>
      <c r="J9" s="34" t="str">
        <f aca="false">HYPERLINK("https://abcmebli.com.ua/p15897-nepo_prihozhaya_ppk_gerbor","2160")</f>
        <v>2160</v>
      </c>
      <c r="K9" s="27" t="str">
        <f aca="false">HYPERLINK("https://abcmebli.com.ua/p2515-stenka_kvatro_gerbor","4077")</f>
        <v>4077</v>
      </c>
      <c r="L9" s="27" t="str">
        <f aca="false">HYPERLINK("https://abcmebli.com.ua/p4993-komod_kom1w2d2s_9_15_vusher","5100")</f>
        <v>5100</v>
      </c>
      <c r="M9" s="27" t="str">
        <f aca="false">HYPERLINK("https://abcmebli.com.ua/p15847-german_komod_kom3s-9-12_brv","4780")</f>
        <v>4780</v>
      </c>
      <c r="N9" s="32" t="str">
        <f aca="false">HYPERLINK("https://abcmebli.com.ua/p16267-alisa_tumba_tv_rtv2s2k_gerbor","5590")</f>
        <v>5590</v>
      </c>
      <c r="O9" s="27" t="str">
        <f aca="false">HYPERLINK("https://abcmebli.com.ua/p15137-koen_mdf_komod_kom4s","4550")</f>
        <v>4550</v>
      </c>
      <c r="P9" s="27" t="str">
        <f aca="false">HYPERLINK("https://abcmebli.com.ua/p15950-gostinaya_alyaska_brv-ukraina","9904")</f>
        <v>9904</v>
      </c>
    </row>
    <row r="10" customFormat="false" ht="56.25" hidden="false" customHeight="true" outlineLevel="0" collapsed="false">
      <c r="A10" s="28" t="s">
        <v>22</v>
      </c>
      <c r="B10" s="35" t="str">
        <f aca="false">HYPERLINK("https://www.mebelok.com/tymba-tv-rtv2d2s415-acteka/","4471")</f>
        <v>4471</v>
      </c>
      <c r="C10" s="30" t="str">
        <f aca="false">HYPERLINK("https://www.mebelok.com/komod-kom4s811-acteka/","5400")</f>
        <v>5400</v>
      </c>
      <c r="D10" s="30" t="str">
        <f aca="false">HYPERLINK("https://www.mebelok.com/komod-jkom-4s-80/","4170")</f>
        <v>4170</v>
      </c>
      <c r="E10" s="32" t="str">
        <f aca="false">HYPERLINK("https://www.mebelok.com/stol-pismennyy-jbiu-2d2s-140/","6251")</f>
        <v>6251</v>
      </c>
      <c r="F10" s="30" t="str">
        <f aca="false">HYPERLINK("https://www.mebelok.com/komod-kom-4s-90-juli/","2661")</f>
        <v>2661</v>
      </c>
      <c r="G10" s="30" t="str">
        <f aca="false">HYPERLINK("https://www.mebelok.com/shkaf-szf3d2s-porto/","6251")</f>
        <v>6251</v>
      </c>
      <c r="H10" s="32" t="str">
        <f aca="false">HYPERLINK("https://www.mebelok.com/komod-8s-sonata/","7291")</f>
        <v>7291</v>
      </c>
      <c r="I10" s="32" t="str">
        <f aca="false">HYPERLINK("https://www.mebelok.com/stol-pismennyy-biu1d1s-120-kaspian/","3900")</f>
        <v>3900</v>
      </c>
      <c r="J10" s="19" t="str">
        <f aca="false">HYPERLINK("https://www.mebelok.com/prihojaya-ppk-nepo/","2440")</f>
        <v>2440</v>
      </c>
      <c r="K10" s="24" t="str">
        <f aca="false">HYPERLINK("https://www.mebelok.com/gostinaya-kvatro/","0000")</f>
        <v>0000</v>
      </c>
      <c r="L10" s="23" t="str">
        <f aca="false">HYPERLINK("https://www.mebelok.com/komod-kom-1w2d2s-vusher/","0000")</f>
        <v>0000</v>
      </c>
      <c r="M10" s="23" t="str">
        <f aca="false">HYPERLINK("https://www.mebelok.com/komod-kom3s-9-12/","0000")</f>
        <v>0000</v>
      </c>
      <c r="N10" s="23" t="str">
        <f aca="false">HYPERLINK("https://www.mebelok.com/tumba-tv-rtv2s2k-alisa/","0000")</f>
        <v>0000</v>
      </c>
      <c r="O10" s="23" t="str">
        <f aca="false">HYPERLINK("https://www.mebelok.com/koen-komod-kom4s-mdf/","0000")</f>
        <v>0000</v>
      </c>
      <c r="P10" s="36" t="str">
        <f aca="false">HYPERLINK("https://www.mebelok.com/gostinaya-alyaska/","7655")</f>
        <v>7655</v>
      </c>
    </row>
    <row r="11" customFormat="false" ht="48" hidden="false" customHeight="true" outlineLevel="0" collapsed="false">
      <c r="A11" s="26" t="s">
        <v>23</v>
      </c>
      <c r="B11" s="37" t="str">
        <f aca="false">HYPERLINK("https://maxmebel.com.ua/atsteka_tumba_rtv2d2s","4400")</f>
        <v>4400</v>
      </c>
      <c r="C11" s="27" t="str">
        <f aca="false">HYPERLINK("https://maxmebel.com.ua/atsteka_komod_kom4s-8-11","5210")</f>
        <v>5210</v>
      </c>
      <c r="D11" s="32" t="str">
        <f aca="false">HYPERLINK("https://maxmebel.com.ua/indiana_komod_jkom_4s_80","4170")</f>
        <v>4170</v>
      </c>
      <c r="E11" s="27" t="str">
        <f aca="false">HYPERLINK("https://maxmebel.com.ua/indiana_pismenniy_stol_jbiu_2d2s","6210")</f>
        <v>6210</v>
      </c>
      <c r="F11" s="27" t="str">
        <f aca="false">HYPERLINK("https://maxmebel.com.ua/dzhuli_komod_kom4s-90","2630")</f>
        <v>2630</v>
      </c>
      <c r="G11" s="27" t="str">
        <f aca="false">HYPERLINK("https://maxmebel.com.ua/porto_shkaf_platyanoy_szf3d2s","6210")</f>
        <v>6210</v>
      </c>
      <c r="H11" s="27" t="str">
        <f aca="false">HYPERLINK("https://maxmebel.com.ua/sonata_komod_8-s","7210")</f>
        <v>7210</v>
      </c>
      <c r="I11" s="27" t="str">
        <f aca="false">HYPERLINK("https://maxmebel.com.ua/kaspian_stol_pismenniy_biu_1d1s","3860")</f>
        <v>3860</v>
      </c>
      <c r="J11" s="27" t="str">
        <f aca="false">HYPERLINK("https://maxmebel.com.ua/nepo_prihozhaya_rrk","2330")</f>
        <v>2330</v>
      </c>
      <c r="K11" s="25" t="str">
        <f aca="false">HYPERLINK("https://maxmebel.com.ua/stenka_kvatro","0000")</f>
        <v>0000</v>
      </c>
      <c r="L11" s="24" t="str">
        <f aca="false">HYPERLINK("https://maxmebel.com.ua/vusher_komod_kom_1w2d2s","0000")</f>
        <v>0000</v>
      </c>
      <c r="M11" s="19" t="str">
        <f aca="false">HYPERLINK("https://maxmebel.com.ua/german_komod_kon3s-9-12","4940")</f>
        <v>4940</v>
      </c>
      <c r="N11" s="19" t="str">
        <f aca="false">HYPERLINK("https://maxmebel.com.ua/german_komod_kon3s-9-12","4940")</f>
        <v>4940</v>
      </c>
      <c r="O11" s="25" t="str">
        <f aca="false">HYPERLINK("https://maxmebel.com.ua/koen_komod_kom4s-mdf","0000")</f>
        <v>0000</v>
      </c>
      <c r="P11" s="27" t="str">
        <f aca="false">HYPERLINK("https://maxmebel.com.ua/stenka_alyaska","7964")</f>
        <v>7964</v>
      </c>
    </row>
    <row r="12" customFormat="false" ht="39" hidden="false" customHeight="true" outlineLevel="0" collapsed="false">
      <c r="A12" s="28" t="s">
        <v>24</v>
      </c>
      <c r="B12" s="35" t="str">
        <f aca="false">HYPERLINK("https://moyamebel.com.ua/ua/products/tumba-rtv-atsteka","4400")</f>
        <v>4400</v>
      </c>
      <c r="C12" s="27" t="str">
        <f aca="false">HYPERLINK("https://moyamebel.com.ua/ua/products/komod-atsteka","5210")</f>
        <v>5210</v>
      </c>
      <c r="D12" s="32" t="str">
        <f aca="false">HYPERLINK("https://moyamebel.com.ua/ua/products/komod-4s-80-indiana","4170")</f>
        <v>4170</v>
      </c>
      <c r="E12" s="27" t="str">
        <f aca="false">HYPERLINK("https://moyamebel.com.ua/ua/products/stol-pismennyj-2d2s-indiana","6210")</f>
        <v>6210</v>
      </c>
      <c r="F12" s="27" t="str">
        <f aca="false">HYPERLINK("https://moyamebel.com.ua/ua/products/komod-dzhuli-90","2630")</f>
        <v>2630</v>
      </c>
      <c r="G12" s="27" t="str">
        <f aca="false">HYPERLINK("https://moyamebel.com.ua/ua/products/shkaf-3d2sporto","6210")</f>
        <v>6210</v>
      </c>
      <c r="H12" s="34" t="str">
        <f aca="false">HYPERLINK("https://moyamebel.com.ua/ua/products/komod-8s-sonata","7210")</f>
        <v>7210</v>
      </c>
      <c r="I12" s="27" t="str">
        <f aca="false">HYPERLINK("https://moyamebel.com.ua/ua/products/stol-pismennyj-120-kaspian","3860")</f>
        <v>3860</v>
      </c>
      <c r="J12" s="38" t="str">
        <f aca="false">HYPERLINK("https://moyamebel.com.ua/ua/products/prihozhaya-nepo-1","0000")</f>
        <v>0000</v>
      </c>
      <c r="K12" s="25" t="str">
        <f aca="false">HYPERLINK("https://moyamebel.com.ua/ua/products/gostinaya-kvatro","0000")</f>
        <v>0000</v>
      </c>
      <c r="L12" s="25" t="str">
        <f aca="false">HYPERLINK("https://moyamebel.com.ua/ua/products/komod-1w2d2s-vusher","0000")</f>
        <v>0000</v>
      </c>
      <c r="M12" s="25" t="str">
        <f aca="false">HYPERLINK("https://moyamebel.com.ua/ua/products/komod-1w2d2s-vusher","0000")</f>
        <v>0000</v>
      </c>
      <c r="N12" s="39" t="str">
        <f aca="false">HYPERLINK("https://moyamebel.com.ua/ua/products/tumba-tv-alisa","0000")</f>
        <v>0000</v>
      </c>
      <c r="O12" s="39" t="str">
        <f aca="false">HYPERLINK("https://moyamebel.com.ua/ua/products/komod-kom4s-koen-mdf","0000")</f>
        <v>0000</v>
      </c>
      <c r="P12" s="27" t="str">
        <f aca="false">HYPERLINK("https://moyamebel.com.ua/ua/products/gostinaya-alyaska","7644")</f>
        <v>7644</v>
      </c>
    </row>
    <row r="13" customFormat="false" ht="38.25" hidden="false" customHeight="true" outlineLevel="0" collapsed="false">
      <c r="A13" s="26" t="s">
        <v>25</v>
      </c>
      <c r="B13" s="40" t="str">
        <f aca="false">HYPERLINK("https://brw.kiev.ua/mebel-brw-ukraina/azteca/tumba-tv-rtv2d2s-azteca-brv/","4470")</f>
        <v>4470</v>
      </c>
      <c r="C13" s="25" t="str">
        <f aca="false">HYPERLINK("https://brw.kiev.ua/mebel-brw-ukraina/azteca/komod-kom4s-azteca-brv/","0000")</f>
        <v>0000</v>
      </c>
      <c r="D13" s="23" t="str">
        <f aca="false">HYPERLINK("https://brw.kiev.ua/mebel-brw-ukraina/indiana-kanjon/komod-jkom4s80-indiana-brv-kanjon/","0000")</f>
        <v>0000</v>
      </c>
      <c r="E13" s="25" t="str">
        <f aca="false">HYPERLINK("https://brw.kiev.ua/mebel-brw-ukraina/indiana-shutter/stol-pismennyy-jbiu2d2s140-indiana-brv-shutter/","0000")</f>
        <v>0000</v>
      </c>
      <c r="F13" s="25" t="str">
        <f aca="false">HYPERLINK("https://brw.kiev.ua/mebel-brw-ukraina/july/komod-kom4s90-july-brv/","0000")</f>
        <v>0000</v>
      </c>
      <c r="G13" s="27" t="str">
        <f aca="false">HYPERLINK("https://brw.kiev.ua/mebel-brw-ukraina/porto/shkaf-szf3d2s-porto-brv/","6210")</f>
        <v>6210</v>
      </c>
      <c r="H13" s="27" t="str">
        <f aca="false">HYPERLINK("https://brw.kiev.ua/mebel-gerbor/sonata/komod-8s-sonata-gerbor/","7210")</f>
        <v>7210</v>
      </c>
      <c r="I13" s="27" t="str">
        <f aca="false">HYPERLINK("https://brw.kiev.ua/mebel-brw-ukraina/kaspian-venge/stol-pismennyy-biu1d1s-kaspian-brv-venge/","3860")</f>
        <v>3860</v>
      </c>
      <c r="J13" s="27" t="str">
        <f aca="false">HYPERLINK("https://brw.kiev.ua/mebel-gerbor/nepo/prikhozhaya-ppk-nepo-gerbor/","2330")</f>
        <v>2330</v>
      </c>
      <c r="K13" s="23" t="str">
        <f aca="false">HYPERLINK("https://brw.kiev.ua/mebel-gerbor/quatro/stenka-quatro-gerbor/","0000")</f>
        <v>0000</v>
      </c>
      <c r="L13" s="24" t="str">
        <f aca="false">HYPERLINK("https://brw.kiev.ua/mebel-gerbor/vusher/komod-kom1w2d2s-vusher-gerbor/","0000")</f>
        <v>0000</v>
      </c>
      <c r="M13" s="24" t="str">
        <f aca="false">HYPERLINK("https://brw.kiev.ua/mebel-brw-ukraina/german/komod-kom3s-german-brv/","0000")</f>
        <v>0000</v>
      </c>
      <c r="N13" s="23" t="str">
        <f aca="false">HYPERLINK("https://brw.kiev.ua/mebel-gerbor/alisa/tumba-tv-rtv2s2k-alisa-gerbor/","0000")</f>
        <v>0000</v>
      </c>
      <c r="O13" s="25" t="str">
        <f aca="false">HYPERLINK("https://brw.kiev.ua/mebel-gerbor/koen/komod-kom4s-koen-gerbor/","0000")</f>
        <v>0000</v>
      </c>
      <c r="P13" s="27" t="str">
        <f aca="false">HYPERLINK("https://brw.kiev.ua/mebel-brw-ukraina/alaska/stenka-alaska-brv/","9650")</f>
        <v>9650</v>
      </c>
    </row>
    <row r="14" customFormat="false" ht="27" hidden="false" customHeight="true" outlineLevel="0" collapsed="false">
      <c r="A14" s="26" t="s">
        <v>26</v>
      </c>
      <c r="B14" s="41" t="str">
        <f aca="false">HYPERLINK("https://shurup.net.ua/azteca-acteka-tumba-rtv2d2s415.p17205","4470")</f>
        <v>4470</v>
      </c>
      <c r="C14" s="23" t="str">
        <f aca="false">HYPERLINK("https://shurup.net.ua/azteca-acteka-komod-kom4s811.p17200","0000")</f>
        <v>0000</v>
      </c>
      <c r="D14" s="23" t="str">
        <f aca="false">HYPERLINK("https://shurup.net.ua/komod-jkom-4s80-indiana-sosna-kanon.p9412","0000")</f>
        <v>0000</v>
      </c>
      <c r="E14" s="25" t="str">
        <f aca="false">HYPERLINK("https://shurup.net.ua/stol-pismennyj-jbiu-2d2s-140-indiana-dub-shutter.p5488","0000")</f>
        <v>0000</v>
      </c>
      <c r="F14" s="23" t="str">
        <f aca="false">HYPERLINK("https://brw.kiev.ua/mebel-brw-ukraina/july/komod-kom4s90-july-brv/","0000")</f>
        <v>0000</v>
      </c>
      <c r="G14" s="27" t="str">
        <f aca="false">HYPERLINK("https://shurup.net.ua/shkaf-szf3d2s-porto.p24169","6210")</f>
        <v>6210</v>
      </c>
      <c r="H14" s="27" t="str">
        <f aca="false">HYPERLINK("https://shurup.net.ua/komod-8s-sonata.p1034","7210")</f>
        <v>7210</v>
      </c>
      <c r="I14" s="34" t="str">
        <f aca="false">HYPERLINK("https://shurup.net.ua/stol-pismennyj-biu-1d1s-120-kaspian-dub-sonoma.p6492","3860")</f>
        <v>3860</v>
      </c>
      <c r="J14" s="27" t="str">
        <f aca="false">HYPERLINK("https://shurup.net.ua/prihozhaya-rrk-nepo.p13611","2330")</f>
        <v>2330</v>
      </c>
      <c r="K14" s="19" t="str">
        <f aca="false">HYPERLINK("https://shurup.net.ua/gostinaya-kvatro-venge-magiya.p836","4130")</f>
        <v>4130</v>
      </c>
      <c r="L14" s="24" t="str">
        <f aca="false">HYPERLINK("https://brw.kiev.ua/mebel-gerbor/vusher/komod-kom1w2d2s-vusher-gerbor/","0000")</f>
        <v>0000</v>
      </c>
      <c r="M14" s="32" t="str">
        <f aca="false">HYPERLINK("https://shurup.net.ua/komod-kon3s64-german.p32275","4940")</f>
        <v>4940</v>
      </c>
      <c r="N14" s="39" t="str">
        <f aca="false">HYPERLINK("https://brw.kiev.ua/mebel-gerbor/alisa/tumba-tv-rtv2s2k-alisa-gerbor/","0000")</f>
        <v>0000</v>
      </c>
      <c r="O14" s="27" t="str">
        <f aca="false">HYPERLINK("https://shurup.net.ua/komod-kom4s-koen-mdf.p1194","4550")</f>
        <v>4550</v>
      </c>
      <c r="P14" s="27" t="str">
        <f aca="false">HYPERLINK("https://shurup.net.ua/gostinaja-aljaska.p28551","8900")</f>
        <v>8900</v>
      </c>
      <c r="R14" s="42"/>
    </row>
    <row r="15" customFormat="false" ht="42" hidden="false" customHeight="true" outlineLevel="0" collapsed="false">
      <c r="A15" s="43" t="s">
        <v>27</v>
      </c>
      <c r="B15" s="40" t="str">
        <f aca="false">HYPERLINK("https://mebel-online.com.ua/tymba-rtv2d2s-4-15-azteca?filter_name=azteca","4470")</f>
        <v>4470</v>
      </c>
      <c r="C15" s="25" t="str">
        <f aca="false">HYPERLINK("https://mebel-online.com.ua/komod-kom4s-8-11-azteca?filter_name=azteca","0000")</f>
        <v>0000</v>
      </c>
      <c r="D15" s="23" t="str">
        <f aca="false">HYPERLINK("https://mebel-online.com.ua/p5228-komod_jkom_4s_80_indiana_brw?filter_name=%D0%B8%D0%BD%D0%B4%D0%B8%D0%B0%D0%BD%D0%B0","0000")</f>
        <v>0000</v>
      </c>
      <c r="E15" s="25" t="str">
        <f aca="false">HYPERLINK("https://mebel-online.com.ua/p5223-stol_pismenniy_jbiu_2d2s_140_indiana_brw?filter_name=%D0%B8%D0%BD%D0%B4%D0%B8%D0%B0%D0%BD%D0%B0","0000")</f>
        <v>0000</v>
      </c>
      <c r="F15" s="25" t="str">
        <f aca="false">HYPERLINK("https://mebel-online.com.ua/komod-kom4s-90-july?filter_name=july","0000")</f>
        <v>0000</v>
      </c>
      <c r="G15" s="44" t="str">
        <f aca="false">HYPERLINK("https://mebel-online.com.ua/shkaf-szf3d2s-porto?filter_name=SZF3D2S","5666")</f>
        <v>5666</v>
      </c>
      <c r="H15" s="44" t="str">
        <f aca="false">HYPERLINK("https://mebel-online.com.ua/p1728-gerbor_sonata_komod_8-s?filter_name=%D1%81%D0%BE%D0%BD%D0%B0%D1%82%D0%B0","6980")</f>
        <v>6980</v>
      </c>
      <c r="I15" s="44" t="str">
        <f aca="false">HYPERLINK("https://mebel-online.com.ua/p1728-gerbor_sonata_komod_8-s?filter_name=%D1%81%D0%BE%D0%BD%D0%B0%D1%82%D0%B0","6980")</f>
        <v>6980</v>
      </c>
      <c r="J15" s="27" t="str">
        <f aca="false">HYPERLINK("https://mebel-online.com.ua/prihozhaya-gerbor-ppk-nepo?filter_name=%D0%BD%D0%B5%D0%BF%D0%BE","2290")</f>
        <v>2290</v>
      </c>
      <c r="K15" s="19" t="str">
        <f aca="false">HYPERLINK("https://mebel-online.com.ua/stenka-kvatro-gerbor?filter_name=%D0%BA%D0%B2%D0%B0%D1%82%D1%80%D0%BE","3950")</f>
        <v>3950</v>
      </c>
      <c r="L15" s="19" t="str">
        <f aca="false">HYPERLINK("https://mebel-online.com.ua/komod-kom-1w2d2s-vusher-gerbor?filter_name=%D0%B2%D1%83%D1%88%D0%B5%D1%80","5350")</f>
        <v>5350</v>
      </c>
      <c r="M15" s="32" t="str">
        <f aca="false">HYPERLINK("https://mebel-online.com.ua/komod-gerrman-12?filter_name=%D0%B3%D0%B5%D1%80%D0%BC%D0%B0%D0%BD","4940")</f>
        <v>4940</v>
      </c>
      <c r="N15" s="32" t="str">
        <f aca="false">HYPERLINK("https://mebel-online.com.ua/komod-gerrman-12?filter_name=%D0%B3%D0%B5%D1%80%D0%BC%D0%B0%D0%BD","4940")</f>
        <v>4940</v>
      </c>
      <c r="O15" s="27" t="str">
        <f aca="false">HYPERLINK("https://mebel-online.com.ua/p2493-komod_kom4s_koen?filter_name=%D0%BA%D0%BE%D0%B5%D0%BD","3890")</f>
        <v>3890</v>
      </c>
      <c r="P15" s="45" t="str">
        <f aca="false">HYPERLINK("https://mebel-online.com.ua/stenka-aliaska-brw%20?filter_name=%D0%B0%D0%BB%D1%8F%D1%81%D0%BA%D0%B0","7644")</f>
        <v>7644</v>
      </c>
    </row>
    <row r="16" s="17" customFormat="true" ht="36.75" hidden="false" customHeight="true" outlineLevel="0" collapsed="false">
      <c r="A16" s="46"/>
      <c r="B16" s="16"/>
      <c r="C16" s="16"/>
      <c r="D16" s="16"/>
      <c r="E16" s="16"/>
      <c r="F16" s="16"/>
      <c r="G16" s="19"/>
      <c r="H16" s="19"/>
      <c r="I16" s="19"/>
      <c r="J16" s="19"/>
      <c r="K16" s="19"/>
      <c r="L16" s="19"/>
      <c r="M16" s="19"/>
      <c r="N16" s="47"/>
      <c r="O16" s="19"/>
      <c r="P16" s="19"/>
    </row>
    <row r="17" s="17" customFormat="true" ht="27" hidden="false" customHeight="true" outlineLevel="0" collapsed="false">
      <c r="A17" s="12"/>
      <c r="B17" s="18"/>
      <c r="C17" s="16"/>
      <c r="D17" s="16"/>
      <c r="E17" s="16"/>
      <c r="F17" s="16"/>
      <c r="G17" s="19"/>
      <c r="H17" s="47"/>
      <c r="I17" s="47"/>
      <c r="J17" s="48"/>
      <c r="K17" s="22"/>
      <c r="L17" s="16"/>
      <c r="M17" s="16"/>
      <c r="N17" s="16"/>
      <c r="O17" s="16"/>
      <c r="P17" s="20"/>
    </row>
    <row r="18" s="17" customFormat="true" ht="15.75" hidden="false" customHeight="true" outlineLevel="0" collapsed="false">
      <c r="A18" s="49"/>
      <c r="B18" s="50"/>
      <c r="C18" s="51"/>
      <c r="D18" s="51"/>
      <c r="E18" s="51"/>
      <c r="F18" s="51"/>
      <c r="G18" s="51"/>
      <c r="H18" s="50"/>
      <c r="I18" s="52"/>
      <c r="J18" s="52"/>
      <c r="K18" s="50"/>
      <c r="L18" s="50"/>
      <c r="M18" s="50"/>
      <c r="N18" s="53"/>
      <c r="O18" s="52"/>
      <c r="P18" s="52"/>
      <c r="Q18" s="54"/>
      <c r="R18" s="54"/>
      <c r="S18" s="54"/>
      <c r="T18" s="54"/>
      <c r="U18" s="54"/>
      <c r="V18" s="54"/>
      <c r="W18" s="54"/>
      <c r="X18" s="54"/>
      <c r="Y18" s="54"/>
    </row>
    <row r="19" s="17" customFormat="true" ht="15.75" hidden="false" customHeight="true" outlineLevel="0" collapsed="false">
      <c r="A19" s="49"/>
      <c r="B19" s="55"/>
      <c r="C19" s="52"/>
      <c r="D19" s="56"/>
      <c r="E19" s="56"/>
      <c r="F19" s="52"/>
      <c r="G19" s="51"/>
      <c r="H19" s="51"/>
      <c r="I19" s="52"/>
      <c r="J19" s="52"/>
      <c r="K19" s="56"/>
      <c r="L19" s="56"/>
      <c r="M19" s="56"/>
      <c r="N19" s="56"/>
      <c r="O19" s="56"/>
      <c r="P19" s="57"/>
      <c r="Q19" s="54"/>
      <c r="R19" s="54"/>
      <c r="S19" s="54"/>
      <c r="T19" s="54"/>
      <c r="U19" s="54"/>
      <c r="V19" s="54"/>
      <c r="W19" s="54"/>
      <c r="X19" s="54"/>
      <c r="Y19" s="54"/>
    </row>
    <row r="20" s="17" customFormat="true" ht="27" hidden="false" customHeight="true" outlineLevel="0" collapsed="false">
      <c r="A20" s="58"/>
      <c r="B20" s="18"/>
      <c r="C20" s="16"/>
      <c r="D20" s="48"/>
      <c r="E20" s="16"/>
      <c r="F20" s="22"/>
      <c r="G20" s="22"/>
      <c r="H20" s="22"/>
      <c r="I20" s="20"/>
      <c r="J20" s="48"/>
      <c r="K20" s="16"/>
      <c r="L20" s="16"/>
      <c r="M20" s="19"/>
      <c r="N20" s="16"/>
      <c r="O20" s="16"/>
      <c r="P20" s="22"/>
    </row>
    <row r="21" s="17" customFormat="true" ht="15.75" hidden="false" customHeight="true" outlineLevel="0" collapsed="false">
      <c r="A21" s="49"/>
      <c r="B21" s="59"/>
      <c r="C21" s="51"/>
      <c r="D21" s="51"/>
      <c r="E21" s="51"/>
      <c r="F21" s="51"/>
      <c r="G21" s="51"/>
      <c r="H21" s="51"/>
      <c r="I21" s="52"/>
      <c r="J21" s="51"/>
      <c r="K21" s="57"/>
      <c r="L21" s="57"/>
      <c r="M21" s="57"/>
      <c r="N21" s="60"/>
      <c r="O21" s="57"/>
      <c r="P21" s="51"/>
      <c r="Q21" s="54"/>
      <c r="R21" s="54"/>
      <c r="S21" s="54"/>
      <c r="T21" s="54"/>
      <c r="U21" s="54"/>
      <c r="V21" s="54"/>
      <c r="W21" s="54"/>
      <c r="X21" s="54"/>
      <c r="Y21" s="54"/>
    </row>
    <row r="22" s="17" customFormat="true" ht="15.75" hidden="false" customHeight="true" outlineLevel="0" collapsed="false">
      <c r="A22" s="49"/>
      <c r="B22" s="59"/>
      <c r="C22" s="51"/>
      <c r="D22" s="51"/>
      <c r="E22" s="51"/>
      <c r="F22" s="51"/>
      <c r="G22" s="51"/>
      <c r="H22" s="51"/>
      <c r="I22" s="51"/>
      <c r="J22" s="51"/>
      <c r="K22" s="51"/>
      <c r="L22" s="51"/>
      <c r="M22" s="51"/>
      <c r="N22" s="52"/>
      <c r="O22" s="51"/>
      <c r="P22" s="51"/>
      <c r="Q22" s="54"/>
      <c r="R22" s="54"/>
      <c r="S22" s="54"/>
      <c r="T22" s="54"/>
      <c r="U22" s="54"/>
      <c r="V22" s="54"/>
      <c r="W22" s="54"/>
      <c r="X22" s="54"/>
      <c r="Y22" s="54"/>
    </row>
    <row r="23" s="17" customFormat="true" ht="15.75" hidden="false" customHeight="true" outlineLevel="0" collapsed="false">
      <c r="A23" s="49"/>
      <c r="B23" s="61"/>
      <c r="C23" s="52"/>
      <c r="D23" s="52"/>
      <c r="E23" s="52"/>
      <c r="F23" s="52"/>
      <c r="G23" s="52"/>
      <c r="H23" s="52"/>
      <c r="I23" s="51"/>
      <c r="J23" s="52"/>
      <c r="K23" s="52"/>
      <c r="L23" s="52"/>
      <c r="M23" s="51"/>
      <c r="N23" s="53"/>
      <c r="O23" s="51"/>
      <c r="P23" s="52"/>
      <c r="Q23" s="54"/>
      <c r="R23" s="54"/>
      <c r="S23" s="54"/>
      <c r="T23" s="54"/>
      <c r="U23" s="54"/>
      <c r="V23" s="54"/>
      <c r="W23" s="54"/>
      <c r="X23" s="54"/>
      <c r="Y23" s="54"/>
    </row>
    <row r="24" s="17" customFormat="true" ht="37.5" hidden="false" customHeight="true" outlineLevel="0" collapsed="false">
      <c r="A24" s="62"/>
      <c r="B24" s="63"/>
      <c r="C24" s="64"/>
      <c r="D24" s="64"/>
      <c r="E24" s="64"/>
      <c r="F24" s="64"/>
      <c r="G24" s="65"/>
      <c r="H24" s="65"/>
      <c r="I24" s="65"/>
      <c r="J24" s="66"/>
      <c r="K24" s="20"/>
      <c r="L24" s="20"/>
      <c r="M24" s="19"/>
      <c r="N24" s="67"/>
      <c r="O24" s="19"/>
      <c r="P24" s="66"/>
    </row>
    <row r="25" s="17" customFormat="true" ht="15.75" hidden="false" customHeight="true" outlineLevel="0" collapsed="false">
      <c r="A25" s="68"/>
      <c r="B25" s="50"/>
      <c r="C25" s="50"/>
      <c r="D25" s="50"/>
      <c r="E25" s="50"/>
      <c r="F25" s="50"/>
      <c r="G25" s="50"/>
      <c r="H25" s="50"/>
      <c r="I25" s="50"/>
      <c r="J25" s="69"/>
      <c r="K25" s="52"/>
      <c r="L25" s="52"/>
      <c r="M25" s="50"/>
      <c r="N25" s="53"/>
      <c r="O25" s="57"/>
      <c r="P25" s="50"/>
      <c r="Q25" s="54"/>
      <c r="R25" s="54"/>
      <c r="S25" s="54"/>
      <c r="T25" s="54"/>
      <c r="U25" s="54"/>
      <c r="V25" s="54"/>
      <c r="W25" s="54"/>
      <c r="X25" s="54"/>
      <c r="Y25" s="54"/>
    </row>
    <row r="26" s="17" customFormat="true" ht="15.75" hidden="false" customHeight="true" outlineLevel="0" collapsed="false">
      <c r="A26" s="70"/>
      <c r="B26" s="52"/>
      <c r="C26" s="52"/>
      <c r="D26" s="52"/>
      <c r="E26" s="52"/>
      <c r="F26" s="52"/>
      <c r="G26" s="51"/>
      <c r="H26" s="51"/>
      <c r="I26" s="50"/>
      <c r="J26" s="51"/>
      <c r="K26" s="52"/>
      <c r="L26" s="52"/>
      <c r="M26" s="52"/>
      <c r="N26" s="52"/>
      <c r="O26" s="52"/>
      <c r="P26" s="51"/>
      <c r="Q26" s="54"/>
      <c r="R26" s="54"/>
      <c r="S26" s="54"/>
      <c r="T26" s="54"/>
      <c r="U26" s="54"/>
      <c r="V26" s="54"/>
      <c r="W26" s="54"/>
      <c r="X26" s="54"/>
      <c r="Y26" s="54"/>
    </row>
    <row r="27" s="17" customFormat="true" ht="34.5" hidden="false" customHeight="true" outlineLevel="0" collapsed="false">
      <c r="A27" s="12"/>
      <c r="B27" s="71"/>
      <c r="C27" s="19"/>
      <c r="D27" s="19"/>
      <c r="E27" s="19"/>
      <c r="F27" s="20"/>
      <c r="G27" s="19"/>
      <c r="H27" s="47"/>
      <c r="I27" s="72"/>
      <c r="J27" s="47"/>
      <c r="K27" s="47"/>
      <c r="L27" s="47"/>
      <c r="M27" s="47"/>
      <c r="N27" s="67"/>
      <c r="O27" s="67"/>
      <c r="P27" s="47"/>
      <c r="Q27" s="73"/>
    </row>
    <row r="28" customFormat="false" ht="15.75" hidden="false" customHeight="true" outlineLevel="0" collapsed="false">
      <c r="A28" s="74"/>
      <c r="B28" s="75"/>
      <c r="C28" s="76"/>
      <c r="D28" s="76"/>
      <c r="E28" s="76"/>
      <c r="F28" s="76"/>
      <c r="G28" s="76"/>
      <c r="H28" s="76"/>
      <c r="I28" s="76"/>
      <c r="J28" s="76"/>
      <c r="K28" s="76"/>
      <c r="L28" s="76"/>
      <c r="M28" s="76"/>
      <c r="N28" s="76"/>
      <c r="O28" s="76"/>
      <c r="P28" s="76"/>
    </row>
    <row r="29" customFormat="false" ht="15.75" hidden="false" customHeight="true" outlineLevel="0" collapsed="false">
      <c r="A29" s="74"/>
      <c r="B29" s="75"/>
      <c r="C29" s="76"/>
      <c r="D29" s="76"/>
      <c r="E29" s="76"/>
      <c r="F29" s="76"/>
      <c r="G29" s="76"/>
      <c r="H29" s="76"/>
      <c r="I29" s="76"/>
      <c r="J29" s="76"/>
      <c r="K29" s="76"/>
      <c r="L29" s="76"/>
      <c r="M29" s="76"/>
      <c r="N29" s="76"/>
      <c r="O29" s="76"/>
      <c r="P29" s="76"/>
    </row>
    <row r="30" customFormat="false" ht="15.75" hidden="false" customHeight="true" outlineLevel="0" collapsed="false">
      <c r="A30" s="74"/>
      <c r="B30" s="75"/>
      <c r="C30" s="76"/>
      <c r="D30" s="76"/>
      <c r="E30" s="76"/>
      <c r="F30" s="76"/>
      <c r="G30" s="76"/>
      <c r="H30" s="76"/>
      <c r="I30" s="76"/>
      <c r="J30" s="76"/>
      <c r="K30" s="76"/>
      <c r="L30" s="76"/>
      <c r="M30" s="76"/>
      <c r="N30" s="76"/>
      <c r="O30" s="76"/>
      <c r="P30" s="76"/>
    </row>
    <row r="31" customFormat="false" ht="15.75" hidden="false" customHeight="true" outlineLevel="0" collapsed="false">
      <c r="A31" s="74"/>
      <c r="B31" s="75"/>
      <c r="C31" s="76"/>
      <c r="D31" s="76"/>
      <c r="E31" s="76"/>
      <c r="F31" s="76"/>
      <c r="G31" s="76"/>
      <c r="H31" s="76"/>
      <c r="I31" s="76"/>
      <c r="J31" s="76"/>
      <c r="K31" s="76"/>
      <c r="L31" s="76"/>
      <c r="M31" s="76"/>
      <c r="N31" s="76"/>
      <c r="O31" s="76"/>
      <c r="P31" s="76"/>
    </row>
    <row r="32" customFormat="false" ht="15.75" hidden="false" customHeight="true" outlineLevel="0" collapsed="false">
      <c r="A32" s="74"/>
      <c r="B32" s="75"/>
      <c r="C32" s="76"/>
      <c r="D32" s="76"/>
      <c r="E32" s="76"/>
      <c r="F32" s="76"/>
      <c r="G32" s="76"/>
      <c r="H32" s="76"/>
      <c r="I32" s="76"/>
      <c r="J32" s="76"/>
      <c r="K32" s="76"/>
      <c r="L32" s="76"/>
      <c r="M32" s="76"/>
      <c r="N32" s="76"/>
      <c r="O32" s="76"/>
      <c r="P32" s="76"/>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P1" r:id="rId5" display="Аляска Alaska гостиная"/>
    <hyperlink ref="A5" r:id="rId6" display="http://gerbor.kiev.ua/"/>
    <hyperlink ref="A6" r:id="rId7" display="http://www.brwland.com.ua/"/>
    <hyperlink ref="A7" r:id="rId8" display="https://vashamebel.in.ua/"/>
    <hyperlink ref="A8" r:id="rId9" display="http://mebel-mebel.com.ua/"/>
    <hyperlink ref="A9" r:id="rId10" display="http://abcmebli.com.ua"/>
    <hyperlink ref="A10" r:id="rId11" display="https://gerbor.mebelok.com/"/>
    <hyperlink ref="A11" r:id="rId12" display="http://maxmebel.com.ua/"/>
    <hyperlink ref="A12" r:id="rId13" display="https://moyamebel.com.ua/ua"/>
    <hyperlink ref="A13" r:id="rId14" display="https://brw.kiev.ua/"/>
    <hyperlink ref="A14" r:id="rId15" display="https://shurup.net.ua/"/>
    <hyperlink ref="A15" r:id="rId16" display="https://mebel-online.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31" t="s">
        <v>1</v>
      </c>
      <c r="C1" s="131" t="s">
        <v>2</v>
      </c>
      <c r="D1" s="131" t="s">
        <v>3</v>
      </c>
      <c r="E1" s="131" t="s">
        <v>4</v>
      </c>
      <c r="F1" s="131" t="s">
        <v>5</v>
      </c>
      <c r="G1" s="131" t="s">
        <v>6</v>
      </c>
      <c r="H1" s="131" t="s">
        <v>7</v>
      </c>
      <c r="I1" s="131" t="s">
        <v>8</v>
      </c>
      <c r="J1" s="124" t="s">
        <v>9</v>
      </c>
      <c r="K1" s="124" t="s">
        <v>15</v>
      </c>
      <c r="L1" s="123" t="s">
        <v>10</v>
      </c>
      <c r="M1" s="124" t="s">
        <v>11</v>
      </c>
      <c r="N1" s="124" t="s">
        <v>12</v>
      </c>
      <c r="O1" s="124" t="s">
        <v>13</v>
      </c>
      <c r="P1" s="124" t="s">
        <v>14</v>
      </c>
    </row>
    <row r="2" customFormat="false" ht="40.5" hidden="false" customHeight="true" outlineLevel="0" collapsed="false">
      <c r="A2" s="5" t="s">
        <v>125</v>
      </c>
      <c r="B2" s="145" t="n">
        <v>3699</v>
      </c>
      <c r="C2" s="8" t="n">
        <v>4546</v>
      </c>
      <c r="D2" s="8" t="n">
        <v>3755</v>
      </c>
      <c r="E2" s="8" t="n">
        <v>5473</v>
      </c>
      <c r="F2" s="8" t="n">
        <v>2225</v>
      </c>
      <c r="G2" s="8" t="n">
        <v>5666</v>
      </c>
      <c r="H2" s="8" t="n">
        <v>6980</v>
      </c>
      <c r="I2" s="8" t="n">
        <v>3161</v>
      </c>
      <c r="J2" s="10" t="n">
        <v>2290</v>
      </c>
      <c r="K2" s="10" t="n">
        <v>7943</v>
      </c>
      <c r="L2" s="10" t="n">
        <v>3730</v>
      </c>
      <c r="M2" s="10" t="n">
        <v>5020</v>
      </c>
      <c r="N2" s="10" t="n">
        <v>4233</v>
      </c>
      <c r="O2" s="10" t="n">
        <v>5510</v>
      </c>
      <c r="P2" s="10" t="n">
        <v>4400</v>
      </c>
    </row>
    <row r="3" customFormat="false" ht="48" hidden="false" customHeight="true" outlineLevel="0" collapsed="false">
      <c r="A3" s="78" t="s">
        <v>28</v>
      </c>
      <c r="B3" s="79" t="str">
        <f aca="false">HYPERLINK("https://brwmania.com.ua/gostinaja/modulnye-gostinye/sistema-azteka/tumba-pod-tv-acteka-rtv2d2s415/","3699")</f>
        <v>3699</v>
      </c>
      <c r="C3" s="80" t="str">
        <f aca="false">HYPERLINK("https://brwmania.com.ua/gostinaja/modulnye-gostinye/sistema-azteka/komod-acteka-kom4s811/","4546")</f>
        <v>4546</v>
      </c>
      <c r="D3" s="80" t="str">
        <f aca="false">HYPERLINK("https://brwmania.com.ua/gostinaja/modulnye-gostinye/sistema-indiana-indiana---dub-shuter/indiana-dub-shuter-laminat-j-011-komod-jkom-4s-80/","3755")</f>
        <v>3755</v>
      </c>
      <c r="E3" s="80" t="str">
        <f aca="false">HYPERLINK("https://brwmania.com.ua/gostinaja/modulnye-gostinye/sistema-indiana-indiana---dub-shuter/indiana-dub-shuter-laminat-j-007-stol-pismennyy-jbiu-2d2s-140/","5473")</f>
        <v>5473</v>
      </c>
      <c r="F3" s="80" t="str">
        <f aca="false">HYPERLINK("https://brwmania.com.ua/gostinaja/modulnye-gostinye/sistema_dzhuli/komod-dzhuli-july-kom4s-90/","2225")</f>
        <v>2225</v>
      </c>
      <c r="G3" s="80" t="str">
        <f aca="false">HYPERLINK("https://brwmania.com.ua/gostinaja/modulnye-gostinye/tovar-novij/shkaf-platjanoj-porto-szf3d2s/","5666")</f>
        <v>5666</v>
      </c>
      <c r="H3" s="80" t="str">
        <f aca="false">HYPERLINK("https://brwmania.com.ua/gostinaja/modulnye-gostinye/sistema-sonata-sonata/s-015-sonata-komod-8-s/","6980")</f>
        <v>6980</v>
      </c>
      <c r="I3" s="80" t="str">
        <f aca="false">HYPERLINK("https://brwmania.com.ua/gostinaja/modulnye-gostinye/sistema_kaspian_dub_sonoma/kaspian-dub-sonoma-jm-007-stol-pismennyy-biu-1d1s/","3161")</f>
        <v>3161</v>
      </c>
      <c r="J3" s="15" t="n">
        <v>2290</v>
      </c>
      <c r="K3" s="80" t="str">
        <f aca="false">HYPERLINK("https://brwmania.com.ua/gostinaja/komplekty-gostinyh/aljaska-alaska-gostinaja/","7943")</f>
        <v>7943</v>
      </c>
      <c r="L3" s="81" t="n">
        <v>3730</v>
      </c>
      <c r="M3" s="81" t="n">
        <v>5020</v>
      </c>
      <c r="N3" s="80" t="str">
        <f aca="false">HYPERLINK("https://brwmania.com.ua/gostinaja/modulnye-gostinye/sistema-german/komod-brw-german-kom3s-9-12-dub-stirling/","4233")</f>
        <v>4233</v>
      </c>
      <c r="O3" s="81" t="n">
        <v>5510</v>
      </c>
      <c r="P3" s="80" t="str">
        <f aca="false">HYPERLINK("https://brwmania.com.ua/gostinaja/modulnye-gostinye/sistema_koen_mdf/008-koen-mdf-komod-kom4s/","4400")</f>
        <v>4400</v>
      </c>
    </row>
    <row r="4" customFormat="false" ht="60.75" hidden="false" customHeight="true" outlineLevel="0" collapsed="false">
      <c r="A4" s="78" t="s">
        <v>29</v>
      </c>
      <c r="B4" s="35" t="str">
        <f aca="false">HYPERLINK("http://redlight.com.ua/tv-stands/item-tumba-tv-rtv2d2s-4-15-atsteka","3699")</f>
        <v>3699</v>
      </c>
      <c r="C4" s="32" t="str">
        <f aca="false">HYPERLINK("http://redlight.com.ua/komod/item-komod-kom4s-8-11-atsteka","4546")</f>
        <v>4546</v>
      </c>
      <c r="D4" s="32" t="str">
        <f aca="false">HYPERLINK("http://redlight.com.ua/komod/item-komod-jkom-4s-80-indiana","3755")</f>
        <v>3755</v>
      </c>
      <c r="E4" s="32" t="str">
        <f aca="false">HYPERLINK("http://redlight.com.ua/stoly/item-stol-pismenniy-jbiu-2d2s-indiana","5473")</f>
        <v>5473</v>
      </c>
      <c r="F4" s="32" t="str">
        <f aca="false">HYPERLINK("http://redlight.com.ua/komod/item-komod-kom4s-90-dzhuli","2225")</f>
        <v>2225</v>
      </c>
      <c r="G4" s="32" t="str">
        <f aca="false">HYPERLINK("http://redlight.com.ua/raspashnyye-shkafy/item-porto-shkaf-szf3d2s","5666")</f>
        <v>5666</v>
      </c>
      <c r="H4" s="27" t="str">
        <f aca="false">HYPERLINK("http://redlight.com.ua/komod/item-komod-8s-sonata-","6243")</f>
        <v>6243</v>
      </c>
      <c r="I4" s="30" t="str">
        <f aca="false">HYPERLINK("http://redlight.com.ua/stoly/item-kaspian-pismenniy-stol-biu-1d1s-120-kaspian","3161")</f>
        <v>3161</v>
      </c>
      <c r="J4" s="32" t="str">
        <f aca="false">HYPERLINK("http://redlight.com.ua/prihozhie/item-nepo-prihozhaya-rrk-","2046")</f>
        <v>2046</v>
      </c>
      <c r="K4" s="95" t="str">
        <f aca="false">HYPERLINK("http://redlight.com.ua/stenki/item-stenka-alyaska","7644")</f>
        <v>7644</v>
      </c>
      <c r="L4" s="32" t="str">
        <f aca="false">HYPERLINK("http://redlight.com.ua/stenki/item-stenka-kvatro","3373")</f>
        <v>3373</v>
      </c>
      <c r="M4" s="19" t="str">
        <f aca="false">HYPERLINK("https://redlight.com.ua/komod/item-tumba-kom-1w2d2s-9-15-vusher","4520")</f>
        <v>4520</v>
      </c>
      <c r="N4" s="32" t="str">
        <f aca="false">HYPERLINK("https://redlight.com.ua/komod/item-german-komod-kom-3s-9-12","4233")</f>
        <v>4233</v>
      </c>
      <c r="O4" s="27" t="str">
        <f aca="false">HYPERLINK("https://redlight.com.ua/tv-stands/item-alisa-tumba-rtv2s2k","5087")</f>
        <v>5087</v>
      </c>
      <c r="P4" s="27" t="str">
        <f aca="false">HYPERLINK("https://redlight.com.ua/komod/item-komod-kom4s-koen-(mdf)-","3931")</f>
        <v>3931</v>
      </c>
    </row>
    <row r="5" customFormat="false" ht="63" hidden="false" customHeight="true" outlineLevel="0" collapsed="false">
      <c r="A5" s="78" t="s">
        <v>30</v>
      </c>
      <c r="B5" s="35" t="str">
        <f aca="false">HYPERLINK("https://mebli-bristol.com.ua/acteka-tumba-rtv-2d2s-4-15-brv-ukraina.html","3699")</f>
        <v>3699</v>
      </c>
      <c r="C5" s="32" t="str">
        <f aca="false">HYPERLINK("https://mebli-bristol.com.ua/acteka-komod-kom-4s-8-11-brv-ukraina.html","4586")</f>
        <v>4586</v>
      </c>
      <c r="D5" s="32" t="str">
        <f aca="false">HYPERLINK("https://mebli-bristol.com.ua/indiana-komod-jkom-4s-80-sosna-kan-jon-brv-ukraina.html","3755")</f>
        <v>3755</v>
      </c>
      <c r="E5" s="32" t="str">
        <f aca="false">HYPERLINK("https://mebli-bristol.com.ua/indiana-stil-pis-movij-jbiu-2d2s-140-sosna-kan-jon-brv-ukraina.html","5473")</f>
        <v>5473</v>
      </c>
      <c r="F5" s="32" t="str">
        <f aca="false">HYPERLINK("https://mebli-bristol.com.ua/dzhuli-komod-kom-4s-90-brv-ukraina.html","2225")</f>
        <v>2225</v>
      </c>
      <c r="G5" s="32" t="str">
        <f aca="false">HYPERLINK("https://mebli-bristol.com.ua/porto-shafa-szf-3d2s-brv-ukraina.html","5666")</f>
        <v>5666</v>
      </c>
      <c r="H5" s="32" t="str">
        <f aca="false">HYPERLINK("https://mebli-bristol.com.ua/sonata-komod-8s-gerbor.html","6980")</f>
        <v>6980</v>
      </c>
      <c r="I5" s="32" t="str">
        <f aca="false">HYPERLINK("https://mebli-bristol.com.ua/kaspian-stil-pis-movij-biu-1d1s-120-dub-sonoma-brv-ukraina.html","3161")</f>
        <v>3161</v>
      </c>
      <c r="J5" s="95" t="str">
        <f aca="false">HYPERLINK("https://mebli-bristol.com.ua/nepo-peredpokij-ppk-gerbor-9728.html","1971")</f>
        <v>1971</v>
      </c>
      <c r="K5" s="32" t="str">
        <f aca="false">HYPERLINK("https://mebli-bristol.com.ua/aljaska-brv-ukraina.html","7964")</f>
        <v>7964</v>
      </c>
      <c r="L5" s="32" t="str">
        <f aca="false">HYPERLINK("https://mebli-bristol.com.ua/kvatro-gerbor.html","3373")</f>
        <v>3373</v>
      </c>
      <c r="M5" s="32" t="str">
        <f aca="false">HYPERLINK("https://mebli-bristol.com.ua/vusher-komod-kom-1w-2d2s-gerbor.html","4520")</f>
        <v>4520</v>
      </c>
      <c r="N5" s="32" t="str">
        <f aca="false">HYPERLINK("https://mebli-bristol.com.ua/german-komod-kom-3s-9-12-brv-ukraina.html","4233")</f>
        <v>4233</v>
      </c>
      <c r="O5" s="82" t="n">
        <v>5010</v>
      </c>
      <c r="P5" s="32" t="str">
        <f aca="false">HYPERLINK("https://mebli-bristol.com.ua/koen-komod-kom-4s-mdf-gerbor.html","4400")</f>
        <v>4400</v>
      </c>
    </row>
    <row r="6" customFormat="false" ht="60" hidden="false" customHeight="true" outlineLevel="0" collapsed="false">
      <c r="A6" s="78" t="s">
        <v>17</v>
      </c>
      <c r="B6" s="35" t="str">
        <f aca="false">HYPERLINK("https://gerbor.kiev.ua/mebelnye-sistemy/mebel-brw-azteca/azteca-tumba-tv-rtv2d2s-brv/","3699")</f>
        <v>3699</v>
      </c>
      <c r="C6" s="32" t="str">
        <f aca="false">HYPERLINK("https://gerbor.kiev.ua/mebelnye-sistemy/mebel-brw-azteca/azteca-komod-kom4s-brv/","4546")</f>
        <v>4546</v>
      </c>
      <c r="D6" s="32" t="str">
        <f aca="false">HYPERLINK("https://gerbor.kiev.ua/mebelnye-sistemy/mebel-indiana-brw/indiana-komod-jkom4s80-brv/","3755")</f>
        <v>3755</v>
      </c>
      <c r="E6" s="32" t="str">
        <f aca="false">HYPERLINK("https://gerbor.kiev.ua/mebelnye-sistemy/mebel-indiana-brw/indiana-stol-pismennyy-jbiu2d2s140-brv/","5473")</f>
        <v>5473</v>
      </c>
      <c r="F6" s="32" t="str">
        <f aca="false">HYPERLINK("https://gerbor.kiev.ua/mebelnye-sistemy/mebel-july-brw/july-komod-kom4s90-brv/","2225")</f>
        <v>2225</v>
      </c>
      <c r="G6" s="32" t="str">
        <f aca="false">HYPERLINK("https://gerbor.kiev.ua/mebelnye-sistemy/mebel-porto-brv/porto-shkaf-szf3d2s-brv/","5666")</f>
        <v>5666</v>
      </c>
      <c r="H6" s="32" t="str">
        <f aca="false">HYPERLINK("https://gerbor.kiev.ua/mebelnye-sistemy/mebel-sonata-gerbor/sonata-komod-8s-gerbor/","6980")</f>
        <v>6980</v>
      </c>
      <c r="I6" s="32" t="str">
        <f aca="false">HYPERLINK("https://gerbor.kiev.ua/mebelnye-sistemy/mebel-kaspian-sonoma-brw/kaspian-sonoma-stol-pismennyy-biu1d1s-brv/","3161")</f>
        <v>3161</v>
      </c>
      <c r="J6" s="32" t="str">
        <f aca="false">HYPERLINK("https://gerbor.kiev.ua/mebelnye-sistemy/mebel-nepo-gerbor/nepo-prikhozhaya-ppk-gerbor/","2046")</f>
        <v>2046</v>
      </c>
      <c r="K6" s="32" t="str">
        <f aca="false">HYPERLINK("https://gerbor.kiev.ua/mebelnye-sistemy/mebel-alaska-brw/alaska-gostinaya-brw/","7964")</f>
        <v>7964</v>
      </c>
      <c r="L6" s="83"/>
      <c r="M6" s="32" t="str">
        <f aca="false">HYPERLINK("https://gerbor.kiev.ua/mebelnye-sistemy/mebel-vusher-gerbor/vusher-komod-kom1w2d2s-gerbor/","4520")</f>
        <v>4520</v>
      </c>
      <c r="N6" s="32" t="str">
        <f aca="false">HYPERLINK("https://gerbor.kiev.ua/mebel-brv-ukraina/mebel-german-brw/german-komod-kom3s-brv/","4233")</f>
        <v>4233</v>
      </c>
      <c r="O6" s="82" t="n">
        <v>5510</v>
      </c>
      <c r="P6" s="32" t="str">
        <f aca="false">HYPERLINK("https://gerbor.kiev.ua/mebelnye-sistemy/mebel-koen-gerbor/koen-komod-kom4s-gerbor/","4400")</f>
        <v>4400</v>
      </c>
    </row>
    <row r="7" customFormat="false" ht="63" hidden="false" customHeight="true" outlineLevel="0" collapsed="false">
      <c r="A7" s="78" t="s">
        <v>18</v>
      </c>
      <c r="B7" s="35" t="str">
        <f aca="false">HYPERLINK("http://www.brwland.com.ua/product/azteca-tumba-tv-rtv2d2s415-brv-ukraina/","3699")</f>
        <v>3699</v>
      </c>
      <c r="C7" s="32" t="str">
        <f aca="false">HYPERLINK("http://www.brwland.com.ua/product/azteca-komod-kom4s811-brv-ukraina/","4546")</f>
        <v>4546</v>
      </c>
      <c r="D7" s="32" t="str">
        <f aca="false">HYPERLINK("http://www.brwland.com.ua/product/mebel-indiana-komod-jkom-4s-80-gerbor/","3755")</f>
        <v>3755</v>
      </c>
      <c r="E7" s="32" t="str">
        <f aca="false">HYPERLINK("http://www.brwland.com.ua/product/mebel-indiana-stol-pismennyj-jbiu-2d2s-140-gerbor/","5473")</f>
        <v>5473</v>
      </c>
      <c r="F7" s="32" t="str">
        <f aca="false">HYPERLINK("http://www.brwland.com.ua/product/dzhuli-komod-kom4s90-brv-ukraina/","2225")</f>
        <v>2225</v>
      </c>
      <c r="G7" s="32" t="str">
        <f aca="false">HYPERLINK("http://www.brwland.com.ua/product/porto-shkaf-szf3d2s-brv-ukraina/","5666")</f>
        <v>5666</v>
      </c>
      <c r="H7" s="32" t="str">
        <f aca="false">HYPERLINK("http://www.brwland.com.ua/product/komod-8s-sonata-gerbor/","6980")</f>
        <v>6980</v>
      </c>
      <c r="I7" s="32" t="str">
        <f aca="false">HYPERLINK("http://www.brwland.com.ua/product/kaspian-sonoma-stol-pismennyj-biu1d1s-brv-ukraina/","3161")</f>
        <v>3161</v>
      </c>
      <c r="J7" s="32" t="str">
        <f aca="false">HYPERLINK("http://www.brwland.com.ua/product/nepo-prihozhaja-ppk-gerbor/","2046")</f>
        <v>2046</v>
      </c>
      <c r="K7" s="32" t="str">
        <f aca="false">HYPERLINK("http://www.brwland.com.ua/product/gostinaja-aljaska-brv-ukraina/","7964")</f>
        <v>7964</v>
      </c>
      <c r="L7" s="95" t="str">
        <f aca="false">HYPERLINK("http://www.brwland.com.ua/product/komplekt-quatro/","3151")</f>
        <v>3151</v>
      </c>
      <c r="M7" s="32" t="str">
        <f aca="false">HYPERLINK("http://www.brwland.com.ua/product/vusher-bufet-kom1w2d2s915-gerbor/","4520")</f>
        <v>4520</v>
      </c>
      <c r="N7" s="32" t="str">
        <f aca="false">HYPERLINK("https://brwland.com.ua/product/german-komod-kom3s912-brv-ukraina/","4233")</f>
        <v>4233</v>
      </c>
      <c r="O7" s="82" t="n">
        <v>5510</v>
      </c>
      <c r="P7" s="32" t="str">
        <f aca="false">HYPERLINK("https://brwland.com.ua/product/koen-kom4s-komod-gerbor/","4400")</f>
        <v>4400</v>
      </c>
    </row>
    <row r="8" customFormat="false" ht="60" hidden="false" customHeight="true" outlineLevel="0" collapsed="false">
      <c r="A8" s="78" t="s">
        <v>31</v>
      </c>
      <c r="B8" s="35" t="str">
        <f aca="false">HYPERLINK("http://gerbor.dp.ua/index.php?route=product/product&amp;product_id=3138","0")</f>
        <v>0</v>
      </c>
      <c r="C8" s="32" t="str">
        <f aca="false">HYPERLINK("http://gerbor.dp.ua/index.php?route=product/product&amp;product_id=3131","0")</f>
        <v>0</v>
      </c>
      <c r="D8" s="32" t="str">
        <f aca="false">HYPERLINK("http://gerbor.dp.ua/index.php?route=product/product&amp;product_id=1730","0")</f>
        <v>0</v>
      </c>
      <c r="E8" s="32" t="str">
        <f aca="false">HYPERLINK("http://gerbor.dp.ua/index.php?route=product/product&amp;product_id=1725","0")</f>
        <v>0</v>
      </c>
      <c r="F8" s="32" t="str">
        <f aca="false">HYPERLINK("http://gerbor.dp.ua/index.php?route=product/product&amp;product_id=1755","0")</f>
        <v>0</v>
      </c>
      <c r="G8" s="32" t="str">
        <f aca="false">HYPERLINK("http://gerbor.dp.ua/index.php?route=product/product&amp;product_id=3905","5377")</f>
        <v>5377</v>
      </c>
      <c r="H8" s="32" t="str">
        <f aca="false">HYPERLINK("http://gerbor.dp.ua/index.php?route=product/product&amp;product_id=2156","0")</f>
        <v>0</v>
      </c>
      <c r="I8" s="32" t="str">
        <f aca="false">HYPERLINK("http://gerbor.dp.ua/index.php?route=product/product&amp;product_id=2819","0")</f>
        <v>0</v>
      </c>
      <c r="J8" s="32" t="str">
        <f aca="false">HYPERLINK("http://gerbor.dp.ua/index.php?route=product/product&amp;product_id=3473&amp;search=%D0%BD%D0%B5%D0%BF%D0%BE","0")</f>
        <v>0</v>
      </c>
      <c r="K8" s="32" t="str">
        <f aca="false">HYPERLINK("http://gerbor.dp.ua/index.php?route=product/product&amp;product_id=3031","0")</f>
        <v>0</v>
      </c>
      <c r="L8" s="32" t="str">
        <f aca="false">HYPERLINK("http://gerbor.dp.ua/index.php?route=product/product&amp;product_id=2040","0")</f>
        <v>0</v>
      </c>
      <c r="M8" s="32" t="str">
        <f aca="false">HYPERLINK("http://gerbor.dp.ua/index.php?route=product/product&amp;product_id=2775","4195")</f>
        <v>4195</v>
      </c>
      <c r="N8" s="32" t="str">
        <f aca="false">HYPERLINK("http://gerbor.dp.ua/index.php?route=product/product&amp;product_id=4118","0")</f>
        <v>0</v>
      </c>
      <c r="O8" s="32" t="str">
        <f aca="false">HYPERLINK("http://gerbor.dp.ua/index.php?route=product/product&amp;product_id=4257","0")</f>
        <v>0</v>
      </c>
      <c r="P8" s="83" t="str">
        <f aca="false">HYPERLINK("","")</f>
        <v/>
      </c>
    </row>
    <row r="9" customFormat="false" ht="56.25" hidden="false" customHeight="true" outlineLevel="0" collapsed="false">
      <c r="A9" s="105" t="s">
        <v>32</v>
      </c>
      <c r="B9" s="29" t="str">
        <f aca="false">HYPERLINK("https://www.dybok.com.ua/ru/product/detail/35816","3705")</f>
        <v>3705</v>
      </c>
      <c r="C9" s="82" t="n">
        <v>4554</v>
      </c>
      <c r="D9" s="133" t="n">
        <v>3229</v>
      </c>
      <c r="E9" s="82" t="n">
        <v>5481</v>
      </c>
      <c r="F9" s="82" t="n">
        <v>2230</v>
      </c>
      <c r="G9" s="82" t="n">
        <v>5675</v>
      </c>
      <c r="H9" s="82" t="n">
        <v>7000</v>
      </c>
      <c r="I9" s="95" t="str">
        <f aca="false">HYPERLINK("https://www.dybok.com.ua/","3006")</f>
        <v>3006</v>
      </c>
      <c r="J9" s="133" t="n">
        <v>1931</v>
      </c>
      <c r="K9" s="82" t="n">
        <v>7980</v>
      </c>
      <c r="L9" s="32" t="str">
        <f aca="false">HYPERLINK("https://www.dybok.com.ua/ru/product/detail/6077","3379")</f>
        <v>3379</v>
      </c>
      <c r="M9" s="32" t="str">
        <f aca="false">HYPERLINK("https://www.dybok.com.ua/ru/product/detail/7086","4530")</f>
        <v>4530</v>
      </c>
      <c r="N9" s="32" t="str">
        <f aca="false">HYPERLINK("https://www.dybok.com.ua/ru/product/detail/54996","4240")</f>
        <v>4240</v>
      </c>
      <c r="O9" s="82" t="n">
        <v>5530</v>
      </c>
      <c r="P9" s="83" t="str">
        <f aca="false">HYPERLINK("","")</f>
        <v/>
      </c>
    </row>
    <row r="10" customFormat="false" ht="61.5" hidden="false" customHeight="true" outlineLevel="0" collapsed="false">
      <c r="A10" s="78" t="s">
        <v>19</v>
      </c>
      <c r="B10" s="29" t="str">
        <f aca="false">HYPERLINK("https://vashamebel.in.ua/tumba-tv-brv-atsteka-rtv2d2s415/p12722","3686")</f>
        <v>3686</v>
      </c>
      <c r="C10" s="30" t="str">
        <f aca="false">HYPERLINK("https://vashamebel.in.ua/komod-brv-atsteka-kom4s811/p12731","4233")</f>
        <v>4233</v>
      </c>
      <c r="D10" s="30" t="str">
        <f aca="false">HYPERLINK("https://vashamebel.in.ua/komod-brv-indiana-jkom4s80/p921","3755")</f>
        <v>3755</v>
      </c>
      <c r="E10" s="30" t="str">
        <f aca="false">HYPERLINK("https://vashamebel.in.ua/stol-pismennyij-brv-indiana-jbiu-2d2s/p916","5473")</f>
        <v>5473</v>
      </c>
      <c r="F10" s="32" t="str">
        <f aca="false">HYPERLINK("https://vashamebel.in.ua/komod-brv-dzhuli-kom4s90/p7958","2225")</f>
        <v>2225</v>
      </c>
      <c r="G10" s="32" t="str">
        <f aca="false">HYPERLINK("https://vashamebel.in.ua/shkaf-brv-porto-szf3d2s/p12560","5666")</f>
        <v>5666</v>
      </c>
      <c r="H10" s="34" t="str">
        <f aca="false">HYPERLINK("https://vashamebel.in.ua/komod-gerbor-sonata-8s/p845","6343")</f>
        <v>6343</v>
      </c>
      <c r="I10" s="30" t="s">
        <v>33</v>
      </c>
      <c r="J10" s="30" t="str">
        <f aca="false">HYPERLINK("https://vashamebel.in.ua/prihozhaya-gerbor-nepo-ppk/p12249","2046")</f>
        <v>2046</v>
      </c>
      <c r="K10" s="30" t="str">
        <f aca="false">HYPERLINK("https://vashamebel.in.ua/gostinaya-brv-alyaska/p4420","7644")</f>
        <v>7644</v>
      </c>
      <c r="L10" s="30" t="str">
        <f aca="false">HYPERLINK("https://vashamebel.in.ua/stenka-gerbor-kvatro/p2359","3373")</f>
        <v>3373</v>
      </c>
      <c r="M10" s="32" t="str">
        <f aca="false">HYPERLINK("https://vashamebel.in.ua/komod-gerbor-vusher-kom1w2d2s/p4762","4520")</f>
        <v>4520</v>
      </c>
      <c r="N10" s="32" t="str">
        <f aca="false">HYPERLINK("https://vashamebel.in.ua/komod-brv-german-kom3s912/p16187","4233")</f>
        <v>4233</v>
      </c>
      <c r="O10" s="27" t="str">
        <f aca="false">HYPERLINK("https://vashamebel.in.ua/tumba-tv-gerbor-alisa-rtv2s2k/p16540","5087")</f>
        <v>5087</v>
      </c>
      <c r="P10" s="83" t="str">
        <f aca="false">HYPERLINK("","")</f>
        <v/>
      </c>
    </row>
    <row r="11" customFormat="false" ht="70.5" hidden="false" customHeight="true" outlineLevel="0" collapsed="false">
      <c r="A11" s="78" t="s">
        <v>20</v>
      </c>
      <c r="B11" s="35" t="str">
        <f aca="false">HYPERLINK("https://mebel-mebel.com.ua/eshop/dom-tumby-dlia-tv/tumba_rtv2d2s_4_15_atsteka-id461.html","3699")</f>
        <v>3699</v>
      </c>
      <c r="C11" s="32" t="str">
        <f aca="false">HYPERLINK("https://mebel-mebel.com.ua/eshop/dom-komody/komod_kom4s_8_11_atsteka-id496.html","4546")</f>
        <v>4546</v>
      </c>
      <c r="D11" s="32" t="str">
        <f aca="false">HYPERLINK("https://mebel-mebel.com.ua/eshop/dom-komody/komod_jkom_4s80_indiana-id663.html","3755")</f>
        <v>3755</v>
      </c>
      <c r="E11" s="32" t="str">
        <f aca="false">HYPERLINK("https://mebel-mebel.com.ua/eshop/dom-stoly-kompiuternye/stol_pismenniy_jbiu_2d2s_140_indiana-id659.html","5473")</f>
        <v>5473</v>
      </c>
      <c r="F11" s="32" t="str">
        <f aca="false">HYPERLINK("https://mebel-mebel.com.ua/eshop/dom-komody/komod_kom_4s_90_dzhuli-id569.html","2225")</f>
        <v>2225</v>
      </c>
      <c r="G11" s="30" t="str">
        <f aca="false">HYPERLINK("https://mebel-mebel.com.ua/eshop/detskie-shkafy/shkaf_szf3d2s_porto-id35136.html","5666")</f>
        <v>5666</v>
      </c>
      <c r="H11" s="27" t="str">
        <f aca="false">HYPERLINK("https://mebel-mebel.com.ua/eshop/dom-komody/komod_8s_s_015_sonata-id1567.html","6243")</f>
        <v>6243</v>
      </c>
      <c r="I11" s="32" t="str">
        <f aca="false">HYPERLINK("https://mebel-mebel.com.ua/eshop/dom-stoly-kompiuternye/stol_pismenniy_biu_1d1s_120_kaspian-id797.html","3161")</f>
        <v>3161</v>
      </c>
      <c r="J11" s="32" t="str">
        <f aca="false">HYPERLINK("https://mebel-mebel.com.ua/eshop/dom-prihozhie/prihozhaya_ppk_nepo-id28028.html","2046")</f>
        <v>2046</v>
      </c>
      <c r="K11" s="82" t="n">
        <v>7964</v>
      </c>
      <c r="L11" s="32" t="str">
        <f aca="false">HYPERLINK("https://mebel-mebel.com.ua/eshop/dom-stenki-dlia-gostinoi/gostinaya_kvatro-id152.html","3373")</f>
        <v>3373</v>
      </c>
      <c r="M11" s="32" t="str">
        <f aca="false">HYPERLINK("https://mebel-mebel.com.ua/eshop/dom-komody/komod_kom_1w2d2s_vusher-id560.html","4520")</f>
        <v>4520</v>
      </c>
      <c r="N11" s="32" t="str">
        <f aca="false">HYPERLINK("https://mebel-mebel.com.ua/eshop/dom-komody/komod_kom3s_9_12_german_brv_ukraina-id60297.html","4233")</f>
        <v>4233</v>
      </c>
      <c r="O11" s="27" t="str">
        <f aca="false">HYPERLINK("https://mebel-mebel.com.ua/eshop/dom-tumby-dlia-tv/tumba_rtv_2s2k_alisa_gerbor-id60350.html","5087")</f>
        <v>5087</v>
      </c>
      <c r="P11" s="83" t="str">
        <f aca="false">HYPERLINK("","")</f>
        <v/>
      </c>
    </row>
    <row r="12" customFormat="false" ht="75.75" hidden="false" customHeight="true" outlineLevel="0" collapsed="false">
      <c r="A12" s="78" t="s">
        <v>21</v>
      </c>
      <c r="B12" s="35" t="str">
        <f aca="false">HYPERLINK("https://abcmebli.com.ua/p14992-tumba_tv_rtv2d2s-4-15_atsteka","3699")</f>
        <v>3699</v>
      </c>
      <c r="C12" s="32" t="str">
        <f aca="false">HYPERLINK("https://abcmebli.com.ua/p15683-atsteka_komod_kom4s-8-11_brv","4546")</f>
        <v>4546</v>
      </c>
      <c r="D12" s="32" t="str">
        <f aca="false">HYPERLINK("https://abcmebli.com.ua/p1896-komod_jkom4s_80_indiana","3755")</f>
        <v>3755</v>
      </c>
      <c r="E12" s="32" t="str">
        <f aca="false">HYPERLINK("https://abcmebli.com.ua/p1892-stol_pismenniy_jbiu2d2s_140_indiana","5473")</f>
        <v>5473</v>
      </c>
      <c r="F12" s="32" t="str">
        <f aca="false">HYPERLINK("https://abcmebli.com.ua/p8553-komod_kom4s-90_july","2225")</f>
        <v>2225</v>
      </c>
      <c r="G12" s="32" t="str">
        <f aca="false">HYPERLINK("https://abcmebli.com.ua/p15039-shkaf_platyanoy_szf3d2s_porto","5666")</f>
        <v>5666</v>
      </c>
      <c r="H12" s="27" t="str">
        <f aca="false">HYPERLINK("https://abcmebli.com.ua/p2225-komod_8-s_sonata","6243")</f>
        <v>6243</v>
      </c>
      <c r="I12" s="32" t="str">
        <f aca="false">HYPERLINK("https://abcmebli.com.ua/p14308-stol_pismenniy_biu_1d1s_120_kaspian","3161")</f>
        <v>3161</v>
      </c>
      <c r="J12" s="30" t="str">
        <f aca="false">HYPERLINK("https://abcmebli.com.ua/p15897-nepo_prihozhaya_ppk_gerbor","2046")</f>
        <v>2046</v>
      </c>
      <c r="K12" s="32" t="str">
        <f aca="false">HYPERLINK("https://abcmebli.com.ua/p15950-gostinaya_alyaska_brv-ukraina","7644")</f>
        <v>7644</v>
      </c>
      <c r="L12" s="32" t="str">
        <f aca="false">HYPERLINK("https://abcmebli.com.ua/p2515-stenka_kvatro_gerbor","3373")</f>
        <v>3373</v>
      </c>
      <c r="M12" s="32" t="str">
        <f aca="false">HYPERLINK("https://abcmebli.com.ua/p4993-komod_kom1w2d2s_9_15_vusher","4520")</f>
        <v>4520</v>
      </c>
      <c r="N12" s="32" t="str">
        <f aca="false">HYPERLINK("https://abcmebli.com.ua/p15847-german_komod_kom3s-9-12_brv","4233")</f>
        <v>4233</v>
      </c>
      <c r="O12" s="27" t="str">
        <f aca="false">HYPERLINK("https://abcmebli.com.ua/p16267-alisa_tumba_tv_rtv2s2k_gerbor","5087")</f>
        <v>5087</v>
      </c>
      <c r="P12" s="83" t="str">
        <f aca="false">HYPERLINK("","")</f>
        <v/>
      </c>
    </row>
    <row r="13" customFormat="false" ht="56.25" hidden="false" customHeight="true" outlineLevel="0" collapsed="false">
      <c r="A13" s="78" t="s">
        <v>22</v>
      </c>
      <c r="B13" s="35" t="str">
        <f aca="false">HYPERLINK("https://www.mebelok.com/tymba-tv-rtv2d2s415-acteka/","3700")</f>
        <v>3700</v>
      </c>
      <c r="C13" s="30" t="str">
        <f aca="false">HYPERLINK("https://www.mebelok.com/komod-kom4s811-acteka/","4550")</f>
        <v>4550</v>
      </c>
      <c r="D13" s="30" t="str">
        <f aca="false">HYPERLINK("https://www.mebelok.com/komod-jkom-4s-80/","3760")</f>
        <v>3760</v>
      </c>
      <c r="E13" s="32" t="str">
        <f aca="false">HYPERLINK("https://www.mebelok.com/stol-pismennyy-jbiu-2d2s-140/","5480")</f>
        <v>5480</v>
      </c>
      <c r="F13" s="30" t="str">
        <f aca="false">HYPERLINK("https://www.mebelok.com/komod-kom-4s-90-juli/","2230")</f>
        <v>2230</v>
      </c>
      <c r="G13" s="30" t="str">
        <f aca="false">HYPERLINK("https://www.mebelok.com/shkaf-szf3d2s-porto/","5670")</f>
        <v>5670</v>
      </c>
      <c r="H13" s="32" t="str">
        <f aca="false">HYPERLINK("https://www.mebelok.com/komod-8s-sonata/","6980")</f>
        <v>6980</v>
      </c>
      <c r="I13" s="32" t="str">
        <f aca="false">HYPERLINK("https://www.mebelok.com/stol-pismennyy-biu1d1s-120-kaspian/","3170")</f>
        <v>3170</v>
      </c>
      <c r="J13" s="32" t="str">
        <f aca="false">HYPERLINK("https://www.mebelok.com/prihojaya-ppk-nepo/","1743")</f>
        <v>1743</v>
      </c>
      <c r="K13" s="95" t="str">
        <f aca="false">HYPERLINK("https://www.mebelok.com/gostinaya-alyaska/","7655")</f>
        <v>7655</v>
      </c>
      <c r="L13" s="30" t="str">
        <f aca="false">HYPERLINK("https://www.mebelok.com/gostinaya-kvatro","3380")</f>
        <v>3380</v>
      </c>
      <c r="M13" s="30" t="str">
        <f aca="false">HYPERLINK("https://www.mebelok.com/komod-kom-1w2d2s-vusher/","4520")</f>
        <v>4520</v>
      </c>
      <c r="N13" s="32" t="str">
        <f aca="false">HYPERLINK("https://www.mebelok.com/komod-kom3s-9-12/","4240")</f>
        <v>4240</v>
      </c>
      <c r="O13" s="32" t="str">
        <f aca="false">HYPERLINK("https://www.mebelok.com/tumba-tv-rtv2s2k-alisa/","5090")</f>
        <v>5090</v>
      </c>
      <c r="P13" s="83" t="str">
        <f aca="false">HYPERLINK("","")</f>
        <v/>
      </c>
    </row>
    <row r="14" customFormat="false" ht="48" hidden="false" customHeight="true" outlineLevel="0" collapsed="false">
      <c r="A14" s="78" t="s">
        <v>23</v>
      </c>
      <c r="B14" s="35" t="str">
        <f aca="false">HYPERLINK("https://maxmebel.com.ua/atsteka_tumba_rtv2d2s","3699")</f>
        <v>3699</v>
      </c>
      <c r="C14" s="32" t="str">
        <f aca="false">HYPERLINK("https://maxmebel.com.ua/atsteka_komod_kom4s-8-11","4560")</f>
        <v>4560</v>
      </c>
      <c r="D14" s="32" t="str">
        <f aca="false">HYPERLINK("https://maxmebel.com.ua/indiana_komod_jkom_4s_80","3760")</f>
        <v>3760</v>
      </c>
      <c r="E14" s="32" t="str">
        <f aca="false">HYPERLINK("https://maxmebel.com.ua/indiana_pismenniy_stol_jbiu_2d2s","5473")</f>
        <v>5473</v>
      </c>
      <c r="F14" s="32" t="str">
        <f aca="false">HYPERLINK("https://maxmebel.com.ua/dzhuli_komod_kom4s-90","2225")</f>
        <v>2225</v>
      </c>
      <c r="G14" s="32" t="str">
        <f aca="false">HYPERLINK("https://maxmebel.com.ua/porto_shkaf_platyanoy_szf3d2s","5666")</f>
        <v>5666</v>
      </c>
      <c r="H14" s="27" t="str">
        <f aca="false">HYPERLINK("https://maxmebel.com.ua/sonata_komod_8-s","6243")</f>
        <v>6243</v>
      </c>
      <c r="I14" s="32" t="str">
        <f aca="false">HYPERLINK("https://maxmebel.com.ua/kaspian_stol_pismenniy_biu_1d1s","3161")</f>
        <v>3161</v>
      </c>
      <c r="J14" s="32" t="str">
        <f aca="false">HYPERLINK("https://maxmebel.com.ua/nepo_prihozhaya_rrk","2046")</f>
        <v>2046</v>
      </c>
      <c r="K14" s="32" t="str">
        <f aca="false">HYPERLINK("https://maxmebel.com.ua/stenka_alyaska","7964")</f>
        <v>7964</v>
      </c>
      <c r="L14" s="30" t="str">
        <f aca="false">HYPERLINK("https://maxmebel.com.ua/stenka_kvatro","3373")</f>
        <v>3373</v>
      </c>
      <c r="M14" s="32" t="str">
        <f aca="false">HYPERLINK("https://maxmebel.com.ua/vusher_komod_kom_1w2d2s","4520")</f>
        <v>4520</v>
      </c>
      <c r="N14" s="32" t="str">
        <f aca="false">HYPERLINK("https://maxmebel.com.ua/german_komod_kon3s-9-12","4233")</f>
        <v>4233</v>
      </c>
      <c r="O14" s="92" t="s">
        <v>34</v>
      </c>
      <c r="P14" s="83" t="str">
        <f aca="false">HYPERLINK("","")</f>
        <v/>
      </c>
    </row>
    <row r="15" customFormat="false" ht="39" hidden="false" customHeight="true" outlineLevel="0" collapsed="false">
      <c r="A15" s="78" t="s">
        <v>24</v>
      </c>
      <c r="B15" s="35" t="str">
        <f aca="false">HYPERLINK("https://moyamebel.com.ua/ua/products/tumba-rtv-atsteka","3699")</f>
        <v>3699</v>
      </c>
      <c r="C15" s="32" t="str">
        <f aca="false">HYPERLINK("https://moyamebel.com.ua/ua/products/komod-atsteka","4546")</f>
        <v>4546</v>
      </c>
      <c r="D15" s="32" t="str">
        <f aca="false">HYPERLINK("https://moyamebel.com.ua/ua/products/komod-4s-80-indiana","3755")</f>
        <v>3755</v>
      </c>
      <c r="E15" s="32" t="str">
        <f aca="false">HYPERLINK("https://moyamebel.com.ua/ua/products/stol-pismennyj-2d2s-indiana","5473")</f>
        <v>5473</v>
      </c>
      <c r="F15" s="32" t="str">
        <f aca="false">HYPERLINK("https://moyamebel.com.ua/ua/products/komod-dzhuli-90","2225")</f>
        <v>2225</v>
      </c>
      <c r="G15" s="32" t="str">
        <f aca="false">HYPERLINK("https://moyamebel.com.ua/ua/products/shkaf-3d2sporto","5666")</f>
        <v>5666</v>
      </c>
      <c r="H15" s="34" t="str">
        <f aca="false">HYPERLINK("https://moyamebel.com.ua/ua/products/komod-8s-sonata","6243")</f>
        <v>6243</v>
      </c>
      <c r="I15" s="32" t="str">
        <f aca="false">HYPERLINK("https://moyamebel.com.ua/ua/products/stol-pismennyj-120-kaspian","3161")</f>
        <v>3161</v>
      </c>
      <c r="J15" s="93"/>
      <c r="K15" s="32" t="str">
        <f aca="false">HYPERLINK("https://moyamebel.com.ua/ua/products/gostinaya-alyaska","7644")</f>
        <v>7644</v>
      </c>
      <c r="L15" s="30" t="str">
        <f aca="false">HYPERLINK("https://moyamebel.com.ua/ua/products/gostinaya-kvatro","3373")</f>
        <v>3373</v>
      </c>
      <c r="M15" s="32" t="str">
        <f aca="false">HYPERLINK("https://moyamebel.com.ua/ua/products/komod-1w2d2s-vusher","4161")</f>
        <v>4161</v>
      </c>
      <c r="N15" s="83" t="str">
        <f aca="false">HYPERLINK("","")</f>
        <v/>
      </c>
      <c r="O15" s="94" t="s">
        <v>34</v>
      </c>
      <c r="P15" s="83" t="str">
        <f aca="false">HYPERLINK("","")</f>
        <v/>
      </c>
    </row>
    <row r="16" customFormat="false" ht="31.5" hidden="false" customHeight="true" outlineLevel="0" collapsed="false">
      <c r="A16" s="78" t="s">
        <v>35</v>
      </c>
      <c r="B16" s="35" t="str">
        <f aca="false">HYPERLINK("https://mebel-soyuz.com.ua/12896.html","3699")</f>
        <v>3699</v>
      </c>
      <c r="C16" s="32" t="str">
        <f aca="false">HYPERLINK("https://mebel-soyuz.com.ua/12903.html","4546")</f>
        <v>4546</v>
      </c>
      <c r="D16" s="32" t="str">
        <f aca="false">HYPERLINK("https://mebel-soyuz.com.ua/2266.html","3755")</f>
        <v>3755</v>
      </c>
      <c r="E16" s="32" t="str">
        <f aca="false">HYPERLINK("https://mebel-soyuz.com.ua/stol-pismennyj-jbiu-2d2s-140-indiana.html","5473")</f>
        <v>5473</v>
      </c>
      <c r="F16" s="32" t="str">
        <f aca="false">HYPERLINK("https://mebel-soyuz.com.ua/komod-kom-4s-90-dzhuli.html","2225")</f>
        <v>2225</v>
      </c>
      <c r="G16" s="32" t="str">
        <f aca="false">HYPERLINK("https://mebel-soyuz.com.ua/shkaf-szf3d2s-porto.html","5666")</f>
        <v>5666</v>
      </c>
      <c r="H16" s="32" t="str">
        <f aca="false">HYPERLINK("https://mebel-soyuz.com.ua/473.html","6980")</f>
        <v>6980</v>
      </c>
      <c r="I16" s="30" t="str">
        <f aca="false">HYPERLINK("https://mebel-soyuz.com.ua/8687.html","3161")</f>
        <v>3161</v>
      </c>
      <c r="J16" s="32" t="str">
        <f aca="false">HYPERLINK("https://mebel-soyuz.com.ua/8926.html","2046")</f>
        <v>2046</v>
      </c>
      <c r="K16" s="32" t="str">
        <f aca="false">HYPERLINK("https://mebel-soyuz.com.ua/10995.html","7964")</f>
        <v>7964</v>
      </c>
      <c r="L16" s="32" t="str">
        <f aca="false">HYPERLINK("https://mebel-soyuz.com.ua/gostinaya-kvatro.html","3373")</f>
        <v>3373</v>
      </c>
      <c r="M16" s="32" t="str">
        <f aca="false">HYPERLINK("https://mebel-soyuz.com.ua/3933.html","4520")</f>
        <v>4520</v>
      </c>
      <c r="N16" s="32" t="str">
        <f aca="false">HYPERLINK("https://mebel-soyuz.com.ua/komod-kom3s912-german.html","4233")</f>
        <v>4233</v>
      </c>
      <c r="O16" s="32" t="str">
        <f aca="false">HYPERLINK("https://mebel-soyuz.com.ua/timba-RTV2S2K-alisa-gerbor.html","5087")</f>
        <v>5087</v>
      </c>
      <c r="P16" s="83" t="str">
        <f aca="false">HYPERLINK("","")</f>
        <v/>
      </c>
    </row>
    <row r="17" customFormat="false" ht="33.75" hidden="false" customHeight="true" outlineLevel="0" collapsed="false">
      <c r="A17" s="78" t="s">
        <v>36</v>
      </c>
      <c r="B17" s="97" t="str">
        <f aca="false">HYPERLINK("https://sofino.ua/brw-ukraina-tumba-rtv2d2s415-acteka/g-95393","3699")</f>
        <v>3699</v>
      </c>
      <c r="C17" s="30" t="str">
        <f aca="false">HYPERLINK("https://sofino.ua/brw-ukraina-komod-kom4s811-acteka/g-95386","4546")</f>
        <v>4546</v>
      </c>
      <c r="D17" s="30" t="str">
        <f aca="false">HYPERLINK("https://sofino.ua/brw-ukraina-komod-jkom4s80-indiana/g-40903","3755")</f>
        <v>3755</v>
      </c>
      <c r="E17" s="30" t="str">
        <f aca="false">HYPERLINK("https://sofino.ua/brw-ukraina-stol-pismennyjj-jbiu2d2s140-indiana/g-40899","5473")</f>
        <v>5473</v>
      </c>
      <c r="F17" s="30" t="str">
        <f aca="false">HYPERLINK("https://sofino.ua/brw-ukraina-komod-kom4s90-dzhuli-akacija-mali-bronz/g-40377","2225")</f>
        <v>2225</v>
      </c>
      <c r="G17" s="30" t="str">
        <f aca="false">HYPERLINK("https://sofino.ua/brw-ukraina-shkaf-platjanojj-szf3d2s-porto-dzhanni-sosna-lariko/g-264368","5666")</f>
        <v>5666</v>
      </c>
      <c r="H17" s="30" t="str">
        <f aca="false">HYPERLINK("https://sofino.ua/gerbor-komod-8s-sonata/g-19192","6980")</f>
        <v>6980</v>
      </c>
      <c r="I17" s="32" t="str">
        <f aca="false">HYPERLINK("https://sofino.ua/brw-ukraina-stol-pismennyjj-biu-1d1s-kaspian/g-264409","3161")</f>
        <v>3161</v>
      </c>
      <c r="J17" s="30" t="str">
        <f aca="false">HYPERLINK("https://sofino.ua/gerbor-prikhozhaja-ppk-nepo/g-287089","2046")</f>
        <v>2046</v>
      </c>
      <c r="K17" s="30" t="str">
        <f aca="false">HYPERLINK("https://sofino.ua/brw-ukraina-stenka-aljaska-belyjj-gljanec/g-454107","7964")</f>
        <v>7964</v>
      </c>
      <c r="L17" s="30" t="str">
        <f aca="false">HYPERLINK("https://sofino.ua/gerbor-stenka-s-podsvetkojj-kvatro/g-18955","3373")</f>
        <v>3373</v>
      </c>
      <c r="M17" s="30" t="str">
        <f aca="false">HYPERLINK("https://sofino.ua/gerbor-bufet-kom1w2d2s-s-podsvetkojj-vusher/g-176785","4520")</f>
        <v>4520</v>
      </c>
      <c r="N17" s="32" t="str">
        <f aca="false">HYPERLINK("https://sofino.ua/brw-ukraina-komod-kom3s912-german/g-599343","4233")</f>
        <v>4233</v>
      </c>
      <c r="O17" s="94" t="s">
        <v>34</v>
      </c>
      <c r="P17" s="83" t="str">
        <f aca="false">HYPERLINK("","")</f>
        <v/>
      </c>
    </row>
    <row r="18" customFormat="false" ht="54.75" hidden="false" customHeight="true" outlineLevel="0" collapsed="false">
      <c r="A18" s="78" t="s">
        <v>37</v>
      </c>
      <c r="B18" s="98" t="str">
        <f aca="false">HYPERLINK("","")</f>
        <v/>
      </c>
      <c r="C18" s="32" t="str">
        <f aca="false">HYPERLINK("https://www.brw-kiev.com.ua/catalog/mebel/azteca-komod-kom4s_8_11-000004816.html","4549")</f>
        <v>4549</v>
      </c>
      <c r="D18" s="32" t="str">
        <f aca="false">HYPERLINK("https://www.brw-kiev.com.ua/catalog/mebel/indiana-komod-jkom4s_80-000000261.html","3759")</f>
        <v>3759</v>
      </c>
      <c r="E18" s="32" t="str">
        <f aca="false">HYPERLINK("https://www.brw-kiev.com.ua/catalog/mebel/indiana-stil_pis_moviy-jbiu2d2s-000000254.html","5479")</f>
        <v>5479</v>
      </c>
      <c r="F18" s="32" t="str">
        <f aca="false">HYPERLINK("https://www.brw-kiev.com.ua/catalog/mebel/july-komod-kom4s_90-000005407.html","2229")</f>
        <v>2229</v>
      </c>
      <c r="G18" s="32" t="str">
        <f aca="false">HYPERLINK("https://www.brw-kiev.com.ua/catalog/mebel/porto-shafa-szf3d2s-000006440.html","5669")</f>
        <v>5669</v>
      </c>
      <c r="H18" s="99"/>
      <c r="I18" s="30" t="str">
        <f aca="false">HYPERLINK("https://www.brw-kiev.com.ua/catalog/mebel/kaspian-stil_pis_moviy-biu1d1s_120-000006188.html","3169")</f>
        <v>3169</v>
      </c>
      <c r="J18" s="30" t="str">
        <f aca="false">HYPERLINK("https://www.brw-kiev.com.ua/catalog/mebel/prihozhaya/nepo-peredpokiy-ppk-000006567.html?sphrase_id=84980","2049")</f>
        <v>2049</v>
      </c>
      <c r="K18" s="30" t="str">
        <f aca="false">HYPERLINK("https://www.brw-kiev.com.ua/catalog/mebel/gostinaya/stinki-vital_nya-alaska-000006901.html?sphrase_id=84981","7949")</f>
        <v>7949</v>
      </c>
      <c r="L18" s="83"/>
      <c r="M18" s="83"/>
      <c r="N18" s="83" t="str">
        <f aca="false">HYPERLINK("","")</f>
        <v/>
      </c>
      <c r="O18" s="94" t="s">
        <v>34</v>
      </c>
      <c r="P18" s="83" t="str">
        <f aca="false">HYPERLINK("","")</f>
        <v/>
      </c>
    </row>
    <row r="19" customFormat="false" ht="38.25" hidden="false" customHeight="true" outlineLevel="0" collapsed="false">
      <c r="A19" s="78" t="s">
        <v>25</v>
      </c>
      <c r="B19" s="35" t="str">
        <f aca="false">HYPERLINK("https://brw.kiev.ua/mebel-brw-ukraina/azteca/tumba-tv-rtv2d2s-azteca-brv/","3699")</f>
        <v>3699</v>
      </c>
      <c r="C19" s="32" t="str">
        <f aca="false">HYPERLINK("https://brw.kiev.ua/mebel-brw-ukraina/azteca/komod-kom4s-azteca-brv/","4546")</f>
        <v>4546</v>
      </c>
      <c r="D19" s="32" t="str">
        <f aca="false">HYPERLINK("https://brw.kiev.ua/mebel-brw-ukraina/indiana-kanjon/komod-jkom4s80-indiana-brv-kanjon/","3755")</f>
        <v>3755</v>
      </c>
      <c r="E19" s="32" t="str">
        <f aca="false">HYPERLINK("https://brw.kiev.ua/mebel-brw-ukraina/indiana-shutter/stol-pismennyy-jbiu2d2s140-indiana-brv-shutter/","5473")</f>
        <v>5473</v>
      </c>
      <c r="F19" s="32" t="str">
        <f aca="false">HYPERLINK("https://brw.kiev.ua/mebel-brw-ukraina/july/komod-kom4s90-july-brv/","2225")</f>
        <v>2225</v>
      </c>
      <c r="G19" s="32" t="str">
        <f aca="false">HYPERLINK("https://brw.kiev.ua/mebel-brw-ukraina/porto/shkaf-szf3d2s-porto-brv/","5666")</f>
        <v>5666</v>
      </c>
      <c r="H19" s="32" t="str">
        <f aca="false">HYPERLINK("https://brw.kiev.ua/mebel-gerbor/sonata/komod-8s-sonata-gerbor/","6243")</f>
        <v>6243</v>
      </c>
      <c r="I19" s="32" t="str">
        <f aca="false">HYPERLINK("https://brw.kiev.ua/mebel-brw-ukraina/kaspian-venge/stol-pismennyy-biu1d1s-kaspian-brv-venge/","3161")</f>
        <v>3161</v>
      </c>
      <c r="J19" s="32" t="str">
        <f aca="false">HYPERLINK("https://brw.kiev.ua/mebel-gerbor/nepo/prikhozhaya-ppk-nepo-gerbor/","2046")</f>
        <v>2046</v>
      </c>
      <c r="K19" s="32" t="str">
        <f aca="false">HYPERLINK("https://brw.kiev.ua/mebel-brw-ukraina/alaska/stenka-alaska-brv/","7964")</f>
        <v>7964</v>
      </c>
      <c r="L19" s="83"/>
      <c r="M19" s="32" t="str">
        <f aca="false">HYPERLINK("https://brw.kiev.ua/mebel-gerbor/vusher/komod-kom1w2d2s-vusher-gerbor/","4520")</f>
        <v>4520</v>
      </c>
      <c r="N19" s="32" t="str">
        <f aca="false">HYPERLINK("https://brw.kiev.ua/mebel-brw-ukraina/german/komod-kom3s-german-brv/","4233")</f>
        <v>4233</v>
      </c>
      <c r="O19" s="32" t="str">
        <f aca="false">HYPERLINK("https://brw.kiev.ua/mebel-gerbor/alisa/tumba-tv-rtv2s2k-alisa-gerbor/","5087")</f>
        <v>5087</v>
      </c>
      <c r="P19" s="83" t="str">
        <f aca="false">HYPERLINK("","")</f>
        <v/>
      </c>
    </row>
    <row r="20" customFormat="false" ht="15.75" hidden="false" customHeight="true" outlineLevel="0" collapsed="false">
      <c r="A20" s="78" t="s">
        <v>123</v>
      </c>
      <c r="B20" s="98"/>
      <c r="C20" s="83"/>
      <c r="D20" s="83"/>
      <c r="E20" s="83"/>
      <c r="F20" s="83"/>
      <c r="G20" s="83"/>
      <c r="H20" s="83"/>
      <c r="I20" s="83"/>
      <c r="J20" s="83"/>
      <c r="K20" s="83"/>
      <c r="L20" s="83"/>
      <c r="M20" s="83"/>
      <c r="N20" s="83" t="str">
        <f aca="false">HYPERLINK("","")</f>
        <v/>
      </c>
      <c r="O20" s="94" t="s">
        <v>34</v>
      </c>
      <c r="P20" s="83" t="str">
        <f aca="false">HYPERLINK("","")</f>
        <v/>
      </c>
    </row>
    <row r="21" customFormat="false" ht="25.5" hidden="false" customHeight="true" outlineLevel="0" collapsed="false">
      <c r="A21" s="78" t="s">
        <v>124</v>
      </c>
      <c r="B21" s="144" t="str">
        <f aca="false">HYPERLINK("https://mebelstyle.net/tumby-pod-tv/tumba-pod-tv-brw-ukraina-azteca-rtv2d2s415-82546.html","3294")</f>
        <v>3294</v>
      </c>
      <c r="C21" s="96" t="str">
        <f aca="false">HYPERLINK("https://mebelstyle.net/komody/komod-brw-ukraina-azteca-kom4s811-82553.html","3735")</f>
        <v>3735</v>
      </c>
      <c r="D21" s="96" t="str">
        <f aca="false">HYPERLINK("https://mebelstyle.net/komody/komod-brw-ukraina-indiana-011-jkom4s80-1274.html","3442")</f>
        <v>3442</v>
      </c>
      <c r="E21" s="96" t="str">
        <f aca="false">HYPERLINK("https://mebelstyle.net/ofisnye-stoly/pismennyj-stol-brw-ukraina-indiana-007-jbiu2d2s-1255.html","4979")</f>
        <v>4979</v>
      </c>
      <c r="F21" s="93"/>
      <c r="G21" s="93"/>
      <c r="H21" s="96" t="str">
        <f aca="false">HYPERLINK("https://mebelstyle.net/komody/komod-gerbor-sonata-s-015-8s-38625.html","5125")</f>
        <v>5125</v>
      </c>
      <c r="I21" s="96" t="str">
        <f aca="false">HYPERLINK("https://mebelstyle.net/ofisnye-stoly/ofisnyj-stol-brw-ukraina-kaspian-007-biu1d1s-58596.html","2783")</f>
        <v>2783</v>
      </c>
      <c r="J21" s="96" t="str">
        <f aca="false">HYPERLINK("https://mebelstyle.net/prikhozhie/prikhozhaja-gerbor-nepo-ppk-83649.html","1808")</f>
        <v>1808</v>
      </c>
      <c r="K21" s="93"/>
      <c r="L21" s="96" t="str">
        <f aca="false">HYPERLINK("https://mebelstyle.net/gostinye/gostinaja-gerbor-kvatro-venge-56219.html","2840")</f>
        <v>2840</v>
      </c>
      <c r="M21" s="96" t="str">
        <f aca="false">HYPERLINK("https://mebelstyle.net/komody/komod-gerbor-vusher-kom-1w2d2s-83553.html","4022")</f>
        <v>4022</v>
      </c>
      <c r="N21" s="83" t="str">
        <f aca="false">HYPERLINK("","")</f>
        <v/>
      </c>
      <c r="O21" s="94" t="s">
        <v>34</v>
      </c>
      <c r="P21" s="83" t="str">
        <f aca="false">HYPERLINK("","")</f>
        <v/>
      </c>
    </row>
    <row r="22" customFormat="false" ht="34.5" hidden="false" customHeight="true" outlineLevel="0" collapsed="false">
      <c r="A22" s="78" t="s">
        <v>38</v>
      </c>
      <c r="B22" s="35" t="str">
        <f aca="false">HYPERLINK("https://lvivmebli.com/13319/","3900")</f>
        <v>3900</v>
      </c>
      <c r="C22" s="32" t="str">
        <f aca="false">HYPERLINK("https://lvivmebli.com/13320/","4675")</f>
        <v>4675</v>
      </c>
      <c r="D22" s="32" t="str">
        <f aca="false">HYPERLINK("https://lvivmebli.com/5030/","4255")</f>
        <v>4255</v>
      </c>
      <c r="E22" s="32" t="str">
        <f aca="false">HYPERLINK("https://lvivmebli.com/5039/","5911")</f>
        <v>5911</v>
      </c>
      <c r="F22" s="95" t="str">
        <f aca="false">HYPERLINK("https://lvivmebli.com/11483/","2300")</f>
        <v>2300</v>
      </c>
      <c r="G22" s="32" t="str">
        <f aca="false">HYPERLINK("https://lvivmebli.com/18473/","6800")</f>
        <v>6800</v>
      </c>
      <c r="H22" s="83"/>
      <c r="I22" s="99"/>
      <c r="J22" s="83"/>
      <c r="K22" s="83"/>
      <c r="L22" s="83"/>
      <c r="M22" s="83"/>
      <c r="N22" s="83" t="str">
        <f aca="false">HYPERLINK("","")</f>
        <v/>
      </c>
      <c r="O22" s="94" t="s">
        <v>34</v>
      </c>
      <c r="P22" s="83" t="str">
        <f aca="false">HYPERLINK("","")</f>
        <v/>
      </c>
    </row>
    <row r="23" customFormat="false" ht="36.75" hidden="false" customHeight="true" outlineLevel="0" collapsed="false">
      <c r="A23" s="78" t="s">
        <v>39</v>
      </c>
      <c r="B23" s="35" t="str">
        <f aca="false">HYPERLINK("http://centrmebliv.com.ua/modulni-mebli/brw-azteca/mebli-brw-brv-azteca-tumba-rtv2d2s?keyword=%D0%B0%D1%86%D1%82%D0%B5%D0%BA%D0%B0","3343")</f>
        <v>3343</v>
      </c>
      <c r="C23" s="32" t="str">
        <f aca="false">HYPERLINK("http://centrmebliv.com.ua/modulni-mebli/brw-azteca/mebli-brw-brv-azteca-komod-4s?keyword=%D0%B0%D1%86%D1%82%D0%B5%D0%BA%D0%B0","3924")</f>
        <v>3924</v>
      </c>
      <c r="D23" s="32" t="str">
        <f aca="false">HYPERLINK("http://centrmebliv.com.ua/mebli-dlya-spalni/komody/mebli-brw-brv-indiana-komod-jkom4s_80?keyword=%D1%96%D0%BD%D0%B4%D1%96%D0%B0%D0%BD%D0%B0","3562")</f>
        <v>3562</v>
      </c>
      <c r="E23" s="129" t="str">
        <f aca="false">HYPERLINK("http://centrmebliv.com.ua/modulni-mebli/brw-ukrayina-indiana/mebli-brw-brv-indiana-stil-pysmovyy-jbiu2d2s_140?keyword=%D1%96%D0%BD%D0%B4%D1%96%D0%B0%D0%BD%D0%B0","5158")</f>
        <v>5158</v>
      </c>
      <c r="F23" s="32" t="str">
        <f aca="false">HYPERLINK("http://centrmebliv.com.ua/spalni/komody/mebli-brw-brv-july-komod-kom4s/90?keyword=july","2098")</f>
        <v>2098</v>
      </c>
      <c r="G23" s="32" t="str">
        <f aca="false">HYPERLINK("http://centrmebliv.com.ua/modulni-mebli/brw-ukrayina-porto/mebli-brw-brv-porto-shafa-dlya-odyagu-sf3d2s?keyword=szf3d2s","5377")</f>
        <v>5377</v>
      </c>
      <c r="H23" s="32" t="str">
        <f aca="false">HYPERLINK("http://centrmebliv.com.ua/mebli-dlya-spalni/komody/mebli-gerbor-gerbor-s-015-sonata-_komod-8/s?keyword=%D1%81%D0%BE%D0%BD%D0%B0%D1%82%D0%B0","5683")</f>
        <v>5683</v>
      </c>
      <c r="I23" s="32" t="str">
        <f aca="false">HYPERLINK("http://centrmebliv.com.ua/ofisni-mebli/ofisni-stoly-vid-modulnyh-system/gerbor/brw-kaspian-stil-pysmovyy-biu-1d1s-120?keyword=%D0%BA%D0%B0%D1%81%D0%BF%D1%96%D0%B0%D0%BD","3002")</f>
        <v>3002</v>
      </c>
      <c r="J23" s="83"/>
      <c r="K23" s="83"/>
      <c r="L23" s="32" t="str">
        <f aca="false">HYPERLINK("http://centrmebliv.com.ua/mebli-dlya-vitalni/stinky/mebli-gerbor-gerbor-kvatro","3007")</f>
        <v>3007</v>
      </c>
      <c r="M23" s="32" t="str">
        <f aca="false">HYPERLINK("http://centrmebliv.com.ua/spalni/komody/mebli-gerbor-gerbor-voucher-komod-kom1w2d2s?keyword=%D0%B2%D1%83%D1%88%D0%B5%D1%80","4195")</f>
        <v>4195</v>
      </c>
      <c r="N23" s="83" t="str">
        <f aca="false">HYPERLINK("","")</f>
        <v/>
      </c>
      <c r="O23" s="94" t="s">
        <v>34</v>
      </c>
      <c r="P23" s="83" t="str">
        <f aca="false">HYPERLINK("","")</f>
        <v/>
      </c>
    </row>
    <row r="24" customFormat="false" ht="27" hidden="false" customHeight="true" outlineLevel="0" collapsed="false">
      <c r="A24" s="78" t="s">
        <v>40</v>
      </c>
      <c r="B24" s="35" t="str">
        <f aca="false">HYPERLINK("https://letromebel.com.ua/p566111870-tumba-rtv2d2s415-atsteka.html","3699")</f>
        <v>3699</v>
      </c>
      <c r="C24" s="32" t="str">
        <f aca="false">HYPERLINK("https://letromebel.com.ua/p566126810-komod-kom4s811-atsteka.html","4546")</f>
        <v>4546</v>
      </c>
      <c r="D24" s="32" t="str">
        <f aca="false">HYPERLINK("https://letromebel.com.ua/p566921861-komod-jkom4s80-indiana.html","3755")</f>
        <v>3755</v>
      </c>
      <c r="E24" s="32" t="str">
        <f aca="false">HYPERLINK("https://letromebel.com.ua/p566921329-stol-pismennyj-jbiu2d2s140.html","5473")</f>
        <v>5473</v>
      </c>
      <c r="F24" s="32" t="str">
        <f aca="false">HYPERLINK("https://letromebel.com.ua/p445989920-komod-kom-dzhuli.html","2225")</f>
        <v>2225</v>
      </c>
      <c r="G24" s="32" t="str">
        <f aca="false">HYPERLINK("https://letromebel.com.ua/p567177190-shkaf-szf3d2s-porto.html","5666")</f>
        <v>5666</v>
      </c>
      <c r="H24" s="83"/>
      <c r="I24" s="83"/>
      <c r="J24" s="96" t="str">
        <f aca="false">HYPERLINK("https://letromebel.com.ua/p441285622-prihozhaya-ppk-nepo.html","1963")</f>
        <v>1963</v>
      </c>
      <c r="K24" s="95" t="str">
        <f aca="false">HYPERLINK("https://letromebel.com.ua/p822866700-stenka-gostinuyu-alyaska.html","7644")</f>
        <v>7644</v>
      </c>
      <c r="L24" s="30" t="str">
        <f aca="false">HYPERLINK("https://letromebel.com.ua/p436378844-stenka-kvatro-venge.html","3373")</f>
        <v>3373</v>
      </c>
      <c r="M24" s="32" t="str">
        <f aca="false">HYPERLINK("https://letromebel.com.ua/p332640892-bufet-kom1w2d2s-vusher.html","4520")</f>
        <v>4520</v>
      </c>
      <c r="N24" s="32" t="str">
        <f aca="false">HYPERLINK("https://letromebel.com.ua/ua/p920135181-komod-german-kom3s912.html","4233")</f>
        <v>4233</v>
      </c>
      <c r="O24" s="32" t="str">
        <f aca="false">HYPERLINK("https://letromebel.com.ua/ua/p1053586927-tumba-alisa-rtv2s2k.html","5087")</f>
        <v>5087</v>
      </c>
      <c r="P24" s="83" t="str">
        <f aca="false">HYPERLINK("","")</f>
        <v/>
      </c>
    </row>
    <row r="25" customFormat="false" ht="27" hidden="false" customHeight="true" outlineLevel="0" collapsed="false">
      <c r="A25" s="78" t="s">
        <v>26</v>
      </c>
      <c r="B25" s="35" t="str">
        <f aca="false">HYPERLINK("https://shurup.net.ua/azteca-acteka-tumba-rtv2d2s415.p17205","3686")</f>
        <v>3686</v>
      </c>
      <c r="C25" s="32" t="str">
        <f aca="false">HYPERLINK("https://shurup.net.ua/azteca-acteka-komod-kom4s811.p17200","4233")</f>
        <v>4233</v>
      </c>
      <c r="D25" s="32" t="str">
        <f aca="false">HYPERLINK("https://shurup.net.ua/komod-jkom-4s80-indiana-sosna-kanon.p9412","3755")</f>
        <v>3755</v>
      </c>
      <c r="E25" s="32" t="str">
        <f aca="false">HYPERLINK("https://shurup.net.ua/stol-pismennyj-jbiu-2d2s-140-indiana-dub-shutter.p5488","5323")</f>
        <v>5323</v>
      </c>
      <c r="F25" s="32" t="str">
        <f aca="false">HYPERLINK("https://shurup.net.ua/komod-kom-4s-90-dzhuli.p7011","2225")</f>
        <v>2225</v>
      </c>
      <c r="G25" s="32" t="str">
        <f aca="false">HYPERLINK("https://shurup.net.ua/shkaf-szf3d2s-porto.p24169","5666")</f>
        <v>5666</v>
      </c>
      <c r="H25" s="32" t="str">
        <f aca="false">HYPERLINK("https://shurup.net.ua/komod-8s-sonata.p1034","6243")</f>
        <v>6243</v>
      </c>
      <c r="I25" s="30" t="str">
        <f aca="false">HYPERLINK("https://shurup.net.ua/stol-pismennyj-biu-1d1s-120-kaspian-dub-sonoma.p6492","3141")</f>
        <v>3141</v>
      </c>
      <c r="J25" s="32" t="str">
        <f aca="false">HYPERLINK("https://shurup.net.ua/prihozhaya-rrk-nepo.p13611","2046")</f>
        <v>2046</v>
      </c>
      <c r="K25" s="32" t="str">
        <f aca="false">HYPERLINK("https://shurup.net.ua/gostinaja-aljaska.p28551","7943")</f>
        <v>7943</v>
      </c>
      <c r="L25" s="32" t="str">
        <f aca="false">HYPERLINK("https://shurup.net.ua/gostinaya-kvatro-venge-magiya.p836","3373")</f>
        <v>3373</v>
      </c>
      <c r="M25" s="32" t="str">
        <f aca="false">HYPERLINK("https://shurup.net.ua/komod-kom1w2d2s-9-15-vusher.p1953","4520")</f>
        <v>4520</v>
      </c>
      <c r="N25" s="32" t="str">
        <f aca="false">HYPERLINK("https://shurup.net.ua/komod-kon3s64-german.p32275","4233")</f>
        <v>4233</v>
      </c>
      <c r="O25" s="94" t="s">
        <v>34</v>
      </c>
      <c r="P25" s="83" t="str">
        <f aca="false">HYPERLINK("","")</f>
        <v/>
      </c>
    </row>
    <row r="26" customFormat="false" ht="36.75" hidden="false" customHeight="true" outlineLevel="0" collapsed="false">
      <c r="A26" s="105" t="s">
        <v>41</v>
      </c>
      <c r="B26" s="98"/>
      <c r="C26" s="83"/>
      <c r="D26" s="83"/>
      <c r="E26" s="83"/>
      <c r="F26" s="83"/>
      <c r="G26" s="83"/>
      <c r="H26" s="83"/>
      <c r="I26" s="83"/>
      <c r="J26" s="39" t="str">
        <f aca="false">HYPERLINK("https://www.taburetka.ua/prihozhie-40/prihozhaya-ppk-nepo-2914","2085")</f>
        <v>2085</v>
      </c>
      <c r="K26" s="83"/>
      <c r="L26" s="95" t="str">
        <f aca="false">HYPERLINK("https://www.taburetka.ua/gostinye-600/gostinaya-kvatro-2834","3435")</f>
        <v>3435</v>
      </c>
      <c r="M26" s="32" t="str">
        <f aca="false">HYPERLINK("https://www.taburetka.ua/komody-i-tumby-35/komod-kom1w2d2s-vusher-2974","4605")</f>
        <v>4605</v>
      </c>
      <c r="N26" s="83" t="str">
        <f aca="false">HYPERLINK("","")</f>
        <v/>
      </c>
      <c r="O26" s="94" t="s">
        <v>34</v>
      </c>
      <c r="P26" s="83" t="str">
        <f aca="false">HYPERLINK("","")</f>
        <v/>
      </c>
    </row>
    <row r="27" customFormat="false" ht="37.5" hidden="false" customHeight="true" outlineLevel="0" collapsed="false">
      <c r="A27" s="106" t="s">
        <v>42</v>
      </c>
      <c r="B27" s="35" t="str">
        <f aca="false">HYPERLINK("http://www.maxidom.com.ua/tumba-rtv-atsteka-2d2s415.html?search_string=%D2%F3%EC%E1%E0+%D0%D2%C2+%C0%F6%F2%E5%EA%E0+2D2S%2F4%2F15","3699")</f>
        <v>3699</v>
      </c>
      <c r="C27" s="39" t="str">
        <f aca="false">HYPERLINK("http://www.maxidom.com.ua/komod-atsteka-kom4s811.html?search_string=%CA%EE%EC%EE%E4+%C0%F6%F2%E5%EA%E0+KOM4S%2F8%2F11","4546")</f>
        <v>4546</v>
      </c>
      <c r="D27" s="39" t="str">
        <f aca="false">HYPERLINK("http://www.maxidom.com.ua/komod_indiana_jkom4s80.html?search_string=%CA%EE%EC%EE%E4+%C8%ED%E4%E8%E0%ED%E0+JKOM4s%2F80","3755")</f>
        <v>3755</v>
      </c>
      <c r="E27" s="39" t="str">
        <f aca="false">HYPERLINK("http://www.maxidom.com.ua/stol_pismenniy_indiana_jbiu2d2s.html?search_string=%D1%F2%EE%EB+%EF%E8%F1%FC%EC%E5%ED%ED%FB%E9+%C8%ED%E4%E8%E0%ED%E0+JBIU2d2s","5473")</f>
        <v>5473</v>
      </c>
      <c r="F27" s="39" t="str">
        <f aca="false">HYPERLINK("http://www.maxidom.com.ua/komod-kom4s90-dzhuli.html?search_string=%CA%EE%EC%EE%E4+KOM4S%2F90+%C4%E6%F3%EB%E8","2225")</f>
        <v>2225</v>
      </c>
      <c r="G27" s="39" t="str">
        <f aca="false">HYPERLINK("http://www.maxidom.com.ua/shkaf-porto-porto-szf3d2s.html?search_string=%D8%EA%E0%F4+%CF%EE%F0%F2%EE+%28Porto%29+SZF3D2S","5666")</f>
        <v>5666</v>
      </c>
      <c r="H27" s="39" t="str">
        <f aca="false">HYPERLINK("http://www.maxidom.com.ua/komod-sonata-8s.html?search_string=%CA%EE%EC%EE%E4+%D1%EE%ED%E0%F2%E0+8s","6243")</f>
        <v>6243</v>
      </c>
      <c r="I27" s="39" t="str">
        <f aca="false">HYPERLINK("http://www.maxidom.com.ua/stol-pismenniy-biu-1d1s-kaspian-kaspian.html?search_string=%D1%F2%EE%EB+%EF%E8%F1%FC%EC%E5%ED%ED%FB%E9+BIU+1D1S+%CA%E0%F1%EF%E8%E0%ED+%28Kaspian%29","3161")</f>
        <v>3161</v>
      </c>
      <c r="J27" s="39" t="str">
        <f aca="false">HYPERLINK("http://www.maxidom.com.ua/prihozhaya-nepo-ppk.html?search_string=%CF%F0%E8%F5%EE%E6%E0%FF+%CD%E5%EF%EE+PPK","2046")</f>
        <v>2046</v>
      </c>
      <c r="K27" s="39" t="str">
        <f aca="false">HYPERLINK("http://www.maxidom.com.ua/stenka-alyaska.html?search_string=%D1%F2%E5%ED%EA%E0+%C0%EB%FF%F1%EA%E0","7644")</f>
        <v>7644</v>
      </c>
      <c r="L27" s="32" t="str">
        <f aca="false">HYPERLINK("http://www.maxidom.com.ua/stenka-kvatro.html?search_string=%D1%F2%E5%ED%EA%E0+%CA%E2%E0%F2%F0%EE","3373")</f>
        <v>3373</v>
      </c>
      <c r="M27" s="32" t="str">
        <f aca="false">HYPERLINK("http://www.maxidom.com.ua/komod-kom-1w2d2s-vusher.html?search_string=%CA%EE%EC%EE%E4+KOM+1W2D2S+%C2%F3%F8%E5%F0","4520")</f>
        <v>4520</v>
      </c>
      <c r="N27" s="32" t="str">
        <f aca="false">HYPERLINK("https://www.maxidom.com.ua/komod-german-kom3s912/","4233")</f>
        <v>4233</v>
      </c>
      <c r="O27" s="94" t="s">
        <v>34</v>
      </c>
      <c r="P27" s="83" t="str">
        <f aca="false">HYPERLINK("","")</f>
        <v/>
      </c>
    </row>
    <row r="28" customFormat="false" ht="42" hidden="false" customHeight="true" outlineLevel="0" collapsed="false">
      <c r="A28" s="106" t="s">
        <v>27</v>
      </c>
      <c r="B28" s="35" t="str">
        <f aca="false">HYPERLINK("https://mebel-online.com.ua/tymba-rtv2d2s-4-15-azteca?filter_name=azteca","3699")</f>
        <v>3699</v>
      </c>
      <c r="C28" s="39" t="str">
        <f aca="false">HYPERLINK("https://mebel-online.com.ua/komod-kom4s-8-11-azteca?filter_name=azteca","4546")</f>
        <v>4546</v>
      </c>
      <c r="D28" s="32" t="str">
        <f aca="false">HYPERLINK("https://mebel-online.com.ua/p5228-komod_jkom_4s_80_indiana_brw?filter_name=%D0%B8%D0%BD%D0%B4%D0%B8%D0%B0%D0%BD%D0%B0","3755")</f>
        <v>3755</v>
      </c>
      <c r="E28" s="39" t="str">
        <f aca="false">HYPERLINK("https://mebel-online.com.ua/p5223-stol_pismenniy_jbiu_2d2s_140_indiana_brw?filter_name=%D0%B8%D0%BD%D0%B4%D0%B8%D0%B0%D0%BD%D0%B0","5323")</f>
        <v>5323</v>
      </c>
      <c r="F28" s="39" t="str">
        <f aca="false">HYPERLINK("https://mebel-online.com.ua/komod-kom4s-90-july?filter_name=july","2225")</f>
        <v>2225</v>
      </c>
      <c r="G28" s="39" t="str">
        <f aca="false">HYPERLINK("https://mebel-online.com.ua/shkaf-szf3d2s-porto?filter_name=SZF3D2S","5666")</f>
        <v>5666</v>
      </c>
      <c r="H28" s="39" t="str">
        <f aca="false">HYPERLINK("https://mebel-online.com.ua/p1728-gerbor_sonata_komod_8-s?filter_name=%D1%81%D0%BE%D0%BD%D0%B0%D1%82%D0%B0","6243")</f>
        <v>6243</v>
      </c>
      <c r="I28" s="111"/>
      <c r="J28" s="32" t="str">
        <f aca="false">HYPERLINK("https://mebel-online.com.ua/prihozhaya-gerbor-ppk-nepo?filter_name=%D0%BD%D0%B5%D0%BF%D0%BE","2046")</f>
        <v>2046</v>
      </c>
      <c r="K28" s="45" t="str">
        <f aca="false">HYPERLINK("https://mebel-online.com.ua/stenka-aliaska-brw%20?filter_name=%D0%B0%D0%BB%D1%8F%D1%81%D0%BA%D0%B0","7644")</f>
        <v>7644</v>
      </c>
      <c r="L28" s="32" t="str">
        <f aca="false">HYPERLINK("https://mebel-online.com.ua/stenka-kvatro-gerbor?filter_name=%D0%BA%D0%B2%D0%B0%D1%82%D1%80%D0%BE","3373")</f>
        <v>3373</v>
      </c>
      <c r="M28" s="32" t="str">
        <f aca="false">HYPERLINK("https://mebel-online.com.ua/komod-kom-1w2d2s-vusher-gerbor?filter_name=%D0%B2%D1%83%D1%88%D0%B5%D1%80","4520")</f>
        <v>4520</v>
      </c>
      <c r="N28" s="83" t="str">
        <f aca="false">HYPERLINK("","")</f>
        <v/>
      </c>
      <c r="O28" s="94" t="s">
        <v>34</v>
      </c>
      <c r="P28" s="83" t="str">
        <f aca="false">HYPERLINK("","")</f>
        <v/>
      </c>
    </row>
    <row r="29" customFormat="false" ht="34.5" hidden="false" customHeight="true" outlineLevel="0" collapsed="false">
      <c r="A29" s="91" t="s">
        <v>43</v>
      </c>
      <c r="B29" s="32" t="str">
        <f aca="false">HYPERLINK("https://mebelnuy.com.ua/tumba-pod-tv-rtv2d2s-4-15-acteka-brv?search=%D0%A2%D0%92%20%D0%90%D1%86%D1%82%D0%B5%D0%BA%D0%B0%20RTV2D2S&amp;description=true","3699")</f>
        <v>3699</v>
      </c>
      <c r="C29" s="32" t="str">
        <f aca="false">HYPERLINK("https://mebelnuy.com.ua/komod-kom4s-8-11-acteka-brv?search=%D0%90%D1%86%D1%82%D0%B5%D0%BA%D0%B0%20KOM4S%2F8%2F11&amp;description=true","4546")</f>
        <v>4546</v>
      </c>
      <c r="D29" s="32" t="str">
        <f aca="false">HYPERLINK("https://mebelnuy.com.ua/komod-jkom-4s-80-indiana-brv?search=%D0%98%D0%BD%D0%B4%D0%B8%D0%B0%D0%BD%D0%B0%20JKOM_4s&amp;description=true","3755")</f>
        <v>3755</v>
      </c>
      <c r="E29" s="32" t="str">
        <f aca="false">HYPERLINK("https://mebelnuy.com.ua/stol-pismennyj-jbiu-2d2s-140-indiana-brv?search=%D0%98%D0%BD%D0%B4%D0%B8%D0%B0%D0%BD%D0%B0%20JBIU_2d2s_140&amp;description=true","5473")</f>
        <v>5473</v>
      </c>
      <c r="F29" s="32" t="str">
        <f aca="false">HYPERLINK("https://mebelnuy.com.ua/komod-kom4s-90-dzhuli-brv?search=%D0%94%D0%96%D0%A3%D0%9B%D0%98%20KOM4S%2F90&amp;description=true","2225")</f>
        <v>2225</v>
      </c>
      <c r="G29" s="32" t="str">
        <f aca="false">HYPERLINK("https://mebelnuy.com.ua/shkaf-szf3d2s-porto-brv?search=%D0%9F%D0%BE%D1%80%D1%82%D0%BE%20SZF3D2S&amp;description=true","5666")</f>
        <v>5666</v>
      </c>
      <c r="H29" s="32" t="str">
        <f aca="false">HYPERLINK("https://mebelnuy.com.ua/komod-gerbor-sonata-8-s?search=%D0%A1%D0%BE%D0%BD%D0%B0%D1%82%D0%B0%208%2Fs&amp;description=true","6243")</f>
        <v>6243</v>
      </c>
      <c r="I29" s="83" t="str">
        <f aca="false">HYPERLINK("","")</f>
        <v/>
      </c>
      <c r="J29" s="32" t="str">
        <f aca="false">HYPERLINK("https://mebelnuy.com.ua/prihozhaya-gerbor-nepo-ppk","2046")</f>
        <v>2046</v>
      </c>
      <c r="K29" s="32" t="str">
        <f aca="false">HYPERLINK("https://mebelnuy.com.ua/gostinaya-alyaska-brv?search=%D0%90%D0%BB%D1%8F%D1%81%D0%BA%D0%B0%20%D0%B3%D0%BE%D1%81%D1%82%D0%B8%D0%BD%D0%B0%D1%8F&amp;description=true","7964")</f>
        <v>7964</v>
      </c>
      <c r="L29" s="32" t="str">
        <f aca="false">HYPERLINK("https://mebelnuy.com.ua/gostinaya-gerbor-kvatro-venge-magiya?search=%D0%BA%D0%B2%D0%B0%D1%82%D1%80%D0%BE&amp;description=true","3373")</f>
        <v>3373</v>
      </c>
      <c r="M29" s="32" t="str">
        <f aca="false">HYPERLINK("https://mebelnuy.com.ua/komod-gerbor-vusher-kom-1w2d2s?search=%D0%92%D1%83%D1%88%D0%B5%D1%80%20KOM%201W2D2S&amp;description=true","4520")</f>
        <v>4520</v>
      </c>
      <c r="N29" s="32" t="str">
        <f aca="false">HYPERLINK("https://mebelnuy.com.ua/komod-german-115-brv?search=%D0%93%D0%95%D0%A0%D0%9C%D0%90%D0%9D&amp;description=true","4233")</f>
        <v>4233</v>
      </c>
      <c r="O29" s="32" t="str">
        <f aca="false">HYPERLINK("https://mebelnuy.com.ua/tumba-gerbor-alisa-rtv2s2k?search=%D0%B0%D0%BB%D0%B8%D1%81%D0%B0&amp;description=true","5087")</f>
        <v>5087</v>
      </c>
      <c r="P29" s="83" t="str">
        <f aca="false">HYPERLINK("","")</f>
        <v/>
      </c>
    </row>
    <row r="30" customFormat="false" ht="36.75" hidden="false" customHeight="true" outlineLevel="0" collapsed="false">
      <c r="A30" s="91" t="s">
        <v>44</v>
      </c>
      <c r="B30" s="32" t="str">
        <f aca="false">HYPERLINK("https://amado.com.ua/gostinaya/komody-i-tumby-v-gostinuyu/acteka-tumba-rtv2d2s-4-15-brw","3440")</f>
        <v>3440</v>
      </c>
      <c r="C30" s="32" t="str">
        <f aca="false">HYPERLINK("https://amado.com.ua/gostinaya/komody-i-tumby-v-gostinuyu/acteka-komod-kom4s-8-11-brw","4228")</f>
        <v>4228</v>
      </c>
      <c r="D30" s="32" t="str">
        <f aca="false">HYPERLINK("https://amado.com.ua/detskaya/komody-i-tumby-dlya-detskoj/indiana-komod-jkom-4s-80-sosna-kanon-brw","3492")</f>
        <v>3492</v>
      </c>
      <c r="E30" s="32" t="str">
        <f aca="false">HYPERLINK("https://amado.com.ua/detskaya/stoly-i-nadstrojki/indiana-stol-pismennyj-jbiu-2d2s-140-sosna-kanon-brw","5090")</f>
        <v>5090</v>
      </c>
      <c r="F30" s="32" t="str">
        <f aca="false">HYPERLINK("https://amado.com.ua/gostinaya/komody-i-tumby-v-gostinuyu/dzhuli-komod-kom4s-90-brw","2225")</f>
        <v>2225</v>
      </c>
      <c r="G30" s="32" t="str">
        <f aca="false">HYPERLINK("https://amado.com.ua/detskaya/shkafy-i-penaly-dlya-detskoj/porto-shkaf-platyanoj-szf3d2s-brw","5269")</f>
        <v>5269</v>
      </c>
      <c r="H30" s="32" t="str">
        <f aca="false">HYPERLINK("https://amado.com.ua/gostinaya/komody-i-tumby-v-gostinuyu/sonata-komod-8-s-gerbor","5806")</f>
        <v>5806</v>
      </c>
      <c r="I30" s="32" t="str">
        <f aca="false">HYPERLINK("https://amado.com.ua/gostinaya/kaspian-sonoma-stol-pismennyj-biu-1d1s-brw","3161")</f>
        <v>3161</v>
      </c>
      <c r="J30" s="32" t="str">
        <f aca="false">HYPERLINK("https://amado.com.ua/prihozhaya/prihozhie-celnye/nepo-prihozhaya-ppk-gerbor","2046")</f>
        <v>2046</v>
      </c>
      <c r="K30" s="32" t="str">
        <f aca="false">HYPERLINK("https://amado.com.ua/gostinaya/modulnye-gostinye/gostinaya-alyaska-gerbor","7964")</f>
        <v>7964</v>
      </c>
      <c r="L30" s="32" t="str">
        <f aca="false">HYPERLINK("https://amado.com.ua/gostinaya/modulnye-gostinye/gostinaya-kvatro-gerbor","3373")</f>
        <v>3373</v>
      </c>
      <c r="M30" s="32" t="str">
        <f aca="false">HYPERLINK("https://amado.com.ua/gostinaya/komody-i-tumby-v-gostinuyu/vusher-komod-kom-1w2d2s-gerbor","4520")</f>
        <v>4520</v>
      </c>
      <c r="N30" s="32" t="str">
        <f aca="false">HYPERLINK("https://amado.com.ua/gostinaya/komody-i-tumby-v-gostinuyu/german-komod-kom3s-9-12-gerbor","3937")</f>
        <v>3937</v>
      </c>
      <c r="O30" s="83" t="str">
        <f aca="false">HYPERLINK("","")</f>
        <v/>
      </c>
      <c r="P30" s="83" t="str">
        <f aca="false">HYPERLINK("","")</f>
        <v/>
      </c>
    </row>
    <row r="31" customFormat="false" ht="15.75" hidden="false" customHeight="true" outlineLevel="0" collapsed="false">
      <c r="A31" s="74"/>
      <c r="B31" s="75"/>
      <c r="C31" s="76"/>
      <c r="D31" s="76"/>
      <c r="E31" s="76"/>
      <c r="F31" s="76"/>
      <c r="G31" s="76"/>
      <c r="H31" s="76"/>
      <c r="I31" s="76"/>
      <c r="J31" s="76"/>
      <c r="K31" s="76"/>
      <c r="L31" s="76"/>
      <c r="M31" s="76"/>
      <c r="N31" s="76"/>
      <c r="O31" s="76"/>
      <c r="P31" s="76"/>
    </row>
    <row r="32" customFormat="false" ht="15.75" hidden="false" customHeight="true" outlineLevel="0" collapsed="false">
      <c r="A32" s="74"/>
      <c r="B32" s="75"/>
      <c r="C32" s="76"/>
      <c r="D32" s="76"/>
      <c r="E32" s="76"/>
      <c r="F32" s="76"/>
      <c r="G32" s="76"/>
      <c r="H32" s="76"/>
      <c r="I32" s="76"/>
      <c r="J32" s="76"/>
      <c r="K32" s="76"/>
      <c r="L32" s="76"/>
      <c r="M32" s="76"/>
      <c r="N32" s="76"/>
      <c r="O32" s="76"/>
      <c r="P32" s="76"/>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137" t="s">
        <v>61</v>
      </c>
      <c r="B35" s="138"/>
      <c r="C35" s="139"/>
      <c r="D35" s="139"/>
      <c r="E35" s="139"/>
      <c r="F35" s="139"/>
      <c r="G35" s="139"/>
      <c r="H35" s="139"/>
      <c r="I35" s="139"/>
      <c r="J35" s="139"/>
      <c r="K35" s="139"/>
      <c r="L35" s="139"/>
      <c r="M35" s="139"/>
      <c r="N35" s="139"/>
      <c r="O35" s="139"/>
      <c r="P35" s="139"/>
      <c r="Q35" s="140"/>
      <c r="R35" s="140"/>
      <c r="S35" s="140"/>
      <c r="T35" s="140"/>
      <c r="U35" s="140"/>
      <c r="V35" s="140"/>
      <c r="W35" s="140"/>
      <c r="X35" s="140"/>
      <c r="Y35" s="140"/>
    </row>
    <row r="36" customFormat="false" ht="15.75" hidden="false" customHeight="true" outlineLevel="0" collapsed="false">
      <c r="A36" s="74"/>
      <c r="B36" s="141" t="s">
        <v>62</v>
      </c>
      <c r="C36" s="141" t="s">
        <v>63</v>
      </c>
      <c r="D36" s="141" t="s">
        <v>64</v>
      </c>
      <c r="E36" s="141" t="s">
        <v>65</v>
      </c>
      <c r="F36" s="141" t="s">
        <v>66</v>
      </c>
      <c r="G36" s="142" t="s">
        <v>67</v>
      </c>
      <c r="H36" s="141" t="s">
        <v>68</v>
      </c>
      <c r="I36" s="141" t="s">
        <v>69</v>
      </c>
      <c r="J36" s="141" t="s">
        <v>70</v>
      </c>
      <c r="K36" s="141" t="s">
        <v>71</v>
      </c>
      <c r="L36" s="141" t="s">
        <v>72</v>
      </c>
      <c r="M36" s="141" t="s">
        <v>73</v>
      </c>
      <c r="N36" s="141" t="s">
        <v>74</v>
      </c>
      <c r="O36" s="141" t="s">
        <v>75</v>
      </c>
      <c r="P36" s="143"/>
    </row>
    <row r="37" customFormat="false" ht="15.75" hidden="false" customHeight="true" outlineLevel="0" collapsed="false">
      <c r="A37" s="74"/>
      <c r="B37" s="141" t="s">
        <v>76</v>
      </c>
      <c r="C37" s="141" t="s">
        <v>77</v>
      </c>
      <c r="D37" s="141" t="s">
        <v>78</v>
      </c>
      <c r="E37" s="141" t="s">
        <v>79</v>
      </c>
      <c r="F37" s="141" t="s">
        <v>80</v>
      </c>
      <c r="G37" s="142" t="s">
        <v>81</v>
      </c>
      <c r="H37" s="141" t="s">
        <v>82</v>
      </c>
      <c r="I37" s="141" t="s">
        <v>83</v>
      </c>
      <c r="J37" s="141" t="s">
        <v>84</v>
      </c>
      <c r="K37" s="143"/>
      <c r="L37" s="141" t="s">
        <v>85</v>
      </c>
      <c r="M37" s="141" t="s">
        <v>86</v>
      </c>
      <c r="N37" s="141" t="s">
        <v>87</v>
      </c>
      <c r="O37" s="141" t="s">
        <v>88</v>
      </c>
      <c r="P37" s="143"/>
    </row>
    <row r="38" customFormat="false" ht="15.75" hidden="false" customHeight="true" outlineLevel="0" collapsed="false">
      <c r="A38" s="74"/>
      <c r="B38" s="141" t="s">
        <v>89</v>
      </c>
      <c r="C38" s="141" t="s">
        <v>90</v>
      </c>
      <c r="D38" s="141" t="s">
        <v>91</v>
      </c>
      <c r="E38" s="141" t="s">
        <v>92</v>
      </c>
      <c r="F38" s="141" t="s">
        <v>93</v>
      </c>
      <c r="G38" s="142" t="s">
        <v>94</v>
      </c>
      <c r="H38" s="141" t="s">
        <v>95</v>
      </c>
      <c r="I38" s="143"/>
      <c r="J38" s="141" t="s">
        <v>96</v>
      </c>
      <c r="K38" s="143"/>
      <c r="L38" s="141" t="s">
        <v>97</v>
      </c>
      <c r="M38" s="141" t="s">
        <v>98</v>
      </c>
      <c r="N38" s="141" t="s">
        <v>99</v>
      </c>
      <c r="O38" s="141" t="s">
        <v>100</v>
      </c>
      <c r="P38" s="143"/>
    </row>
    <row r="39" customFormat="false" ht="15.75" hidden="false" customHeight="true" outlineLevel="0" collapsed="false">
      <c r="A39" s="74"/>
      <c r="B39" s="141" t="s">
        <v>101</v>
      </c>
      <c r="C39" s="141" t="s">
        <v>102</v>
      </c>
      <c r="D39" s="141" t="s">
        <v>103</v>
      </c>
      <c r="E39" s="141" t="s">
        <v>104</v>
      </c>
      <c r="F39" s="141" t="s">
        <v>105</v>
      </c>
      <c r="G39" s="142" t="s">
        <v>106</v>
      </c>
      <c r="H39" s="141" t="s">
        <v>107</v>
      </c>
      <c r="I39" s="143"/>
      <c r="J39" s="141" t="s">
        <v>108</v>
      </c>
      <c r="K39" s="143"/>
      <c r="L39" s="141" t="s">
        <v>109</v>
      </c>
      <c r="M39" s="141" t="s">
        <v>110</v>
      </c>
      <c r="N39" s="141" t="s">
        <v>111</v>
      </c>
      <c r="O39" s="141" t="s">
        <v>112</v>
      </c>
      <c r="P39" s="143"/>
    </row>
    <row r="40" customFormat="false" ht="15.75" hidden="false" customHeight="true" outlineLevel="0" collapsed="false">
      <c r="A40" s="74"/>
      <c r="B40" s="141" t="s">
        <v>113</v>
      </c>
      <c r="C40" s="141" t="s">
        <v>114</v>
      </c>
      <c r="D40" s="143"/>
      <c r="E40" s="141" t="s">
        <v>115</v>
      </c>
      <c r="F40" s="141" t="s">
        <v>116</v>
      </c>
      <c r="G40" s="142" t="s">
        <v>117</v>
      </c>
      <c r="H40" s="141" t="s">
        <v>118</v>
      </c>
      <c r="I40" s="143"/>
      <c r="J40" s="141" t="s">
        <v>119</v>
      </c>
      <c r="K40" s="143"/>
      <c r="L40" s="141" t="s">
        <v>120</v>
      </c>
      <c r="M40" s="143"/>
      <c r="N40" s="141" t="s">
        <v>121</v>
      </c>
      <c r="O40" s="141" t="s">
        <v>122</v>
      </c>
      <c r="P40" s="143"/>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c r="A232" s="74"/>
      <c r="B232" s="75"/>
      <c r="C232" s="76"/>
      <c r="D232" s="76"/>
      <c r="E232" s="76"/>
      <c r="F232" s="76"/>
      <c r="G232" s="76"/>
      <c r="H232" s="76"/>
      <c r="I232" s="76"/>
      <c r="J232" s="76"/>
      <c r="K232" s="76"/>
      <c r="L232" s="76"/>
      <c r="M232" s="76"/>
      <c r="N232" s="76"/>
      <c r="O232" s="76"/>
      <c r="P232" s="76"/>
    </row>
    <row r="233" customFormat="false" ht="15.75" hidden="false" customHeight="true" outlineLevel="0" collapsed="false">
      <c r="A233" s="74"/>
      <c r="B233" s="75"/>
      <c r="C233" s="76"/>
      <c r="D233" s="76"/>
      <c r="E233" s="76"/>
      <c r="F233" s="76"/>
      <c r="G233" s="76"/>
      <c r="H233" s="76"/>
      <c r="I233" s="76"/>
      <c r="J233" s="76"/>
      <c r="K233" s="76"/>
      <c r="L233" s="76"/>
      <c r="M233" s="76"/>
      <c r="N233" s="76"/>
      <c r="O233" s="76"/>
      <c r="P233" s="76"/>
    </row>
    <row r="234" customFormat="false" ht="15.75" hidden="false" customHeight="true" outlineLevel="0" collapsed="false">
      <c r="A234" s="74"/>
      <c r="B234" s="75"/>
      <c r="C234" s="76"/>
      <c r="D234" s="76"/>
      <c r="E234" s="76"/>
      <c r="F234" s="76"/>
      <c r="G234" s="76"/>
      <c r="H234" s="76"/>
      <c r="I234" s="76"/>
      <c r="J234" s="76"/>
      <c r="K234" s="76"/>
      <c r="L234" s="76"/>
      <c r="M234" s="76"/>
      <c r="N234" s="76"/>
      <c r="O234" s="76"/>
      <c r="P234" s="76"/>
    </row>
    <row r="235" customFormat="false" ht="15.75" hidden="false" customHeight="true" outlineLevel="0" collapsed="false">
      <c r="A235" s="74"/>
      <c r="B235" s="75"/>
      <c r="C235" s="76"/>
      <c r="D235" s="76"/>
      <c r="E235" s="76"/>
      <c r="F235" s="76"/>
      <c r="G235" s="76"/>
      <c r="H235" s="76"/>
      <c r="I235" s="76"/>
      <c r="J235" s="76"/>
      <c r="K235" s="76"/>
      <c r="L235" s="76"/>
      <c r="M235" s="76"/>
      <c r="N235" s="76"/>
      <c r="O235" s="76"/>
      <c r="P235" s="76"/>
    </row>
    <row r="236" customFormat="false" ht="15.75" hidden="false" customHeight="true" outlineLevel="0" collapsed="false">
      <c r="A236" s="74"/>
      <c r="B236" s="75"/>
      <c r="C236" s="76"/>
      <c r="D236" s="76"/>
      <c r="E236" s="76"/>
      <c r="F236" s="76"/>
      <c r="G236" s="76"/>
      <c r="H236" s="76"/>
      <c r="I236" s="76"/>
      <c r="J236" s="76"/>
      <c r="K236" s="76"/>
      <c r="L236" s="76"/>
      <c r="M236" s="76"/>
      <c r="N236" s="76"/>
      <c r="O236" s="76"/>
      <c r="P236" s="76"/>
    </row>
    <row r="237" customFormat="false" ht="15.75" hidden="false" customHeight="true" outlineLevel="0" collapsed="false">
      <c r="A237" s="74"/>
      <c r="B237" s="75"/>
      <c r="C237" s="76"/>
      <c r="D237" s="76"/>
      <c r="E237" s="76"/>
      <c r="F237" s="76"/>
      <c r="G237" s="76"/>
      <c r="H237" s="76"/>
      <c r="I237" s="76"/>
      <c r="J237" s="76"/>
      <c r="K237" s="76"/>
      <c r="L237" s="76"/>
      <c r="M237" s="76"/>
      <c r="N237" s="76"/>
      <c r="O237" s="76"/>
      <c r="P237" s="76"/>
    </row>
    <row r="238" customFormat="false" ht="15.75" hidden="false" customHeight="true" outlineLevel="0" collapsed="false">
      <c r="A238" s="74"/>
      <c r="B238" s="75"/>
      <c r="C238" s="76"/>
      <c r="D238" s="76"/>
      <c r="E238" s="76"/>
      <c r="F238" s="76"/>
      <c r="G238" s="76"/>
      <c r="H238" s="76"/>
      <c r="I238" s="76"/>
      <c r="J238" s="76"/>
      <c r="K238" s="76"/>
      <c r="L238" s="76"/>
      <c r="M238" s="76"/>
      <c r="N238" s="76"/>
      <c r="O238" s="76"/>
      <c r="P238" s="76"/>
    </row>
    <row r="239" customFormat="false" ht="15.75" hidden="false" customHeight="true" outlineLevel="0" collapsed="false">
      <c r="A239" s="74"/>
      <c r="B239" s="75"/>
      <c r="C239" s="76"/>
      <c r="D239" s="76"/>
      <c r="E239" s="76"/>
      <c r="F239" s="76"/>
      <c r="G239" s="76"/>
      <c r="H239" s="76"/>
      <c r="I239" s="76"/>
      <c r="J239" s="76"/>
      <c r="K239" s="76"/>
      <c r="L239" s="76"/>
      <c r="M239" s="76"/>
      <c r="N239" s="76"/>
      <c r="O239" s="76"/>
      <c r="P239" s="76"/>
    </row>
    <row r="240" customFormat="false" ht="15.75" hidden="false" customHeight="true" outlineLevel="0" collapsed="false">
      <c r="A240" s="74"/>
      <c r="B240" s="75"/>
      <c r="C240" s="76"/>
      <c r="D240" s="76"/>
      <c r="E240" s="76"/>
      <c r="F240" s="76"/>
      <c r="G240" s="76"/>
      <c r="H240" s="76"/>
      <c r="I240" s="76"/>
      <c r="J240" s="76"/>
      <c r="K240" s="76"/>
      <c r="L240" s="76"/>
      <c r="M240" s="76"/>
      <c r="N240" s="76"/>
      <c r="O240" s="76"/>
      <c r="P240" s="76"/>
    </row>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J3" r:id="rId7" display="https://brwmania.com.ua/gostinaja/modulnye-gostinye/sistema_nepo/gerbor-gerbor-prihozhaya-nepo-nepo-ppk-dub-sonoma/"/>
    <hyperlink ref="L3" r:id="rId8" display="https://brwmania.com.ua/gostinaja/komplekty-gostinyh/stinka-kvatro-venge-magia/"/>
    <hyperlink ref="M3" r:id="rId9" display="https://brwmania.com.ua/gostinaja/modulnye-gostinye/sistema-vusher-vusher/010-vusher-komod-kom-1w2d2s/"/>
    <hyperlink ref="O3" r:id="rId10" display="https://brwmania.com.ua/gostinaja/modulnye-gostinye/sistema-alisa-alisa-gerbor/gerbor-gerbor-tumba-pod-televizor-alisa-rtv2s2k/"/>
    <hyperlink ref="A4" r:id="rId11" display="http://redlight.com.ua/"/>
    <hyperlink ref="A5" r:id="rId12" display="https://mebli-bristol.com.ua/"/>
    <hyperlink ref="O5" r:id="rId13" display="https://mebli-bristol.com.ua/alisa-tumba-rtv-2s2k-gerbor.html"/>
    <hyperlink ref="A6" r:id="rId14" display="http://gerbor.kiev.ua/"/>
    <hyperlink ref="O6" r:id="rId15" display="https://gerbor.kiev.ua/mebelnye-sistemy/mebel-alisa-gerbor/alisa-tumba-tv-rtv2s2k-gerbor/"/>
    <hyperlink ref="A7" r:id="rId16" display="http://www.brwland.com.ua/"/>
    <hyperlink ref="O7" r:id="rId17" display="https://brwland.com.ua/product/alisa-tumba-tv-rtv2s2k-gerbor/"/>
    <hyperlink ref="A8" r:id="rId18" display="http://gerbor.dp.ua/"/>
    <hyperlink ref="A9" r:id="rId19" display="https://www.dybok.com.ua/"/>
    <hyperlink ref="C9" r:id="rId20" display="https://www.dybok.com.ua/ru/product/detail/35870"/>
    <hyperlink ref="D9" r:id="rId21" display="https://www.dybok.com.ua/ru/product/detail/55516"/>
    <hyperlink ref="E9" r:id="rId22" display="https://www.dybok.com.ua/ru/product/detail/4291"/>
    <hyperlink ref="F9" r:id="rId23" display="https://www.dybok.com.ua/ru/product/detail/9798"/>
    <hyperlink ref="G9" r:id="rId24" display="https://www.dybok.com.ua/ru/product/detail/35840"/>
    <hyperlink ref="H9" r:id="rId25" display="https://www.dybok.com.ua/ru/product/detail/261"/>
    <hyperlink ref="J9" r:id="rId26" display="https://www.dybok.com.ua/ru/product/detail/18085"/>
    <hyperlink ref="K9" r:id="rId27" display="https://www.dybok.com.ua/ru/product/detail/50410"/>
    <hyperlink ref="O9" r:id="rId28" display="https://www.dybok.com.ua/ua/product/detail/80992"/>
    <hyperlink ref="A10" r:id="rId29" display="https://vashamebel.in.ua/"/>
    <hyperlink ref="I10" r:id="rId30" display="0 грн"/>
    <hyperlink ref="A11" r:id="rId31" display="http://mebel-mebel.com.ua/"/>
    <hyperlink ref="K11" r:id="rId32" display="https://mebel-mebel.com.ua/eshop/dom-stenki-dlia-gostinoi/gostinaya_alyaska-id50834.html"/>
    <hyperlink ref="A12" r:id="rId33" display="http://abcmebli.com.ua"/>
    <hyperlink ref="A13" r:id="rId34" display="https://gerbor.mebelok.com/"/>
    <hyperlink ref="A14" r:id="rId35" display="http://maxmebel.com.ua/"/>
    <hyperlink ref="A15" r:id="rId36" display="https://moyamebel.com.ua/ua"/>
    <hyperlink ref="A16" r:id="rId37" display="https://mebel-soyuz.com.ua/"/>
    <hyperlink ref="A17" r:id="rId38" display="https://sofino.ua/"/>
    <hyperlink ref="A18" r:id="rId39" display="https://www.brw-kiev.com.ua/"/>
    <hyperlink ref="A19" r:id="rId40" display="https://brw.kiev.ua/"/>
    <hyperlink ref="A20" r:id="rId41" display="http://brw.com.ua/"/>
    <hyperlink ref="A21" r:id="rId42" display="https://mebelstyle.net/"/>
    <hyperlink ref="A22" r:id="rId43" display="https://lvivmebli.com/"/>
    <hyperlink ref="A23" r:id="rId44" display="http://centrmebliv.com.ua/"/>
    <hyperlink ref="A24" r:id="rId45" display="https://letromebel.com.ua/"/>
    <hyperlink ref="A25" r:id="rId46" display="https://shurup.net.ua/"/>
    <hyperlink ref="A26" r:id="rId47" display="https://www.taburetka.ua"/>
    <hyperlink ref="A27" r:id="rId48" display="http://www.maxidom.com.ua/"/>
    <hyperlink ref="A28" r:id="rId49" display="https://mebel-online.com.ua"/>
    <hyperlink ref="A29" r:id="rId50" display="https://mebelnuy.com.ua/"/>
    <hyperlink ref="A30" r:id="rId51" display="https://amado.com.ua"/>
    <hyperlink ref="B36" r:id="rId52" display="https://prom.ua/p1167879150-tumba-pod-rtv.html?"/>
    <hyperlink ref="C36" r:id="rId53" display="https://prom.ua/p983011265-komod-kom-811.html?"/>
    <hyperlink ref="D36" r:id="rId54" display="https://prom.ua/p544656153-komod-jkom-4s80.html?"/>
    <hyperlink ref="E36" r:id="rId55" display="https://prom.ua/p781599812-indiana-kanon-stol.html?"/>
    <hyperlink ref="F36" r:id="rId56" display="https://prom.ua/p54713987-komod-kom-4s90.html?"/>
    <hyperlink ref="G36" r:id="rId57" display="https://prom.ua/p544657658-shkaf-platyanoj-szf3d2s.html?"/>
    <hyperlink ref="H36" r:id="rId58" display="https://prom.ua/p46283355-komod-sonata-sonata.html?"/>
    <hyperlink ref="I36" r:id="rId59" display="https://prom.ua/p54675546-stol-pismennyj-biu.html?"/>
    <hyperlink ref="J36" r:id="rId60" display="https://prom.ua/p239247927-prihozhaya-ppk-nepo.html?"/>
    <hyperlink ref="K36" r:id="rId61" display="https://prom.ua/p542591704-gostinaya-alyaska-alaska.html?&amp;primelead=MC43NA"/>
    <hyperlink ref="L36" r:id="rId62" display="https://prom.ua/p24569524-gostinaya-kvatro-gerbor.html?"/>
    <hyperlink ref="M36" r:id="rId63" display="https://prom.ua/p553476998-bufet-kom1w2d2s915-gerbor.html?"/>
    <hyperlink ref="N36" r:id="rId64" display="https://prom.ua/p1248775724-komod-brv-german.html?"/>
    <hyperlink ref="O36" r:id="rId65" display="https://prom.ua/p1274217210-tumba-rtv2s2k-alisa.html?"/>
    <hyperlink ref="B37" r:id="rId66" display="https://prom.ua/p181257399-tumba-pod-rtv.html?"/>
    <hyperlink ref="C37" r:id="rId67" display="https://prom.ua/p1280431425-komod-kom4s811-atsteka.html?"/>
    <hyperlink ref="D37" r:id="rId68" display="https://prom.ua/p781599816-indiana-kanon-komod.html?"/>
    <hyperlink ref="E37" r:id="rId69" display="https://prom.ua/p1046920683-stol-pismennyj-indiana.html?"/>
    <hyperlink ref="F37" r:id="rId70" display="https://prom.ua/p553477017-dzhuli-komod-kom4s90.html?"/>
    <hyperlink ref="G37" r:id="rId71" display="https://prom.ua/p664294628-shkaf-szf-3d2s.html?"/>
    <hyperlink ref="H37" r:id="rId72" display="https://prom.ua/p1211287637-komod-gerbor-sonata.html?"/>
    <hyperlink ref="I37" r:id="rId73" display="https://prom.ua/p360359972-stol-pismennyj-biu.html"/>
    <hyperlink ref="J37" r:id="rId74" display="https://prom.ua/p542943976-prihozhaya-ppk-nepo.html?"/>
    <hyperlink ref="L37" r:id="rId75" display="https://prom.ua/p1248753565-gostinaya-gerbor-kvatro.html?"/>
    <hyperlink ref="M37" r:id="rId76" display="https://prom.ua/p106094960-komod-vusher-kom.html?"/>
    <hyperlink ref="N37" r:id="rId77" display="https://prom.ua/p777526967-german-komod-kom3s912.html?"/>
    <hyperlink ref="O37" r:id="rId78" display="https://prom.ua/p1334713993-tumba-pod-rtv2s2k.html?"/>
    <hyperlink ref="B38" r:id="rId79" display="https://prom.ua/p886021256-tumba-pod-atsteka.html?"/>
    <hyperlink ref="C38" r:id="rId80" display="https://prom.ua/p1125567115-komod-azteca-kom4s811.html?"/>
    <hyperlink ref="D38" r:id="rId81" display="https://prom.ua/p1046925343-komod-indiana-jkom4s80.html?"/>
    <hyperlink ref="E38" r:id="rId82" display="https://prom.ua/p544656149-stol-pismennyj-jbiu.html?"/>
    <hyperlink ref="F38" r:id="rId83" display="https://prom.ua/p1248752651-komod-brv-dzhuli.html?"/>
    <hyperlink ref="G38" r:id="rId84" display="https://prom.ua/p644944451-porto-shkaf-szf3d2s.html?"/>
    <hyperlink ref="H38" r:id="rId85" display="https://prom.ua/p1288425504-komod-gerbor-sonata.html?"/>
    <hyperlink ref="J38" r:id="rId86" display="https://prom.ua/p553476454-nepo-prihozhaya-ppk.html?"/>
    <hyperlink ref="L38" r:id="rId87" display="https://prom.ua/p12120301-gostinaya-kvatro-venge.html"/>
    <hyperlink ref="M38" r:id="rId88" display="https://prom.ua/p83295231-komod-kom-1w2d2s.html"/>
    <hyperlink ref="N38" r:id="rId89" display="https://prom.ua/p847003898-german-komod-kom3s912.html?"/>
    <hyperlink ref="O38" r:id="rId90" display="https://prom.ua/p1248803640-tumba-gerbor-alisa.html?"/>
    <hyperlink ref="B39" r:id="rId91" display="https://prom.ua/p1214419043-tumba-pod-atsteka.html?"/>
    <hyperlink ref="C39" r:id="rId92" display="https://prom.ua/p1215683017-komod-atsteka-kom4s811.html?"/>
    <hyperlink ref="D39" r:id="rId93" display="https://prom.ua/p1183266470-komod-jkom-indiana.html"/>
    <hyperlink ref="E39" r:id="rId94" display="https://prom.ua/p1183292769-stol-pismennyj-jbiu.html"/>
    <hyperlink ref="F39" r:id="rId95" display="https://prom.ua/p1045568873-komod-dzhuli-kom4s90.html?"/>
    <hyperlink ref="G39" r:id="rId96" display="https://prom.ua/p1037803293-shkaf-platyanoj-szf.html"/>
    <hyperlink ref="H39" r:id="rId97" display="https://prom.ua/p1334931386-komod-gerbor-sonata.html?"/>
    <hyperlink ref="J39" r:id="rId98" display="https://prom.ua/p223321231-prihozhaya-ppk-nepo.html?"/>
    <hyperlink ref="L39" r:id="rId99" display="https://prom.ua/p18612661-gostinaya-kvatro.html"/>
    <hyperlink ref="M39" r:id="rId100" display="https://prom.ua/p1209395741-komod-vusher-kom1w2d2s.html"/>
    <hyperlink ref="N39" r:id="rId101" display="https://prom.ua/p1045115919-komod-german-kom3s912.html?"/>
    <hyperlink ref="O39" r:id="rId102" display="https://prom.ua/p1248803641-tumba-gerbor-alisa.html?"/>
    <hyperlink ref="B40" r:id="rId103" display="https://prom.ua/p1325973811-tumba-brv-atsteka.html?&amp;primelead=MC43OA"/>
    <hyperlink ref="C40" r:id="rId104" display="https://prom.ua/p1248752621-komod-brv-atsteka.html?"/>
    <hyperlink ref="E40" r:id="rId105" display="https://prom.ua/p372189619-stol-pismennyj-jbiu2d2s140.html"/>
    <hyperlink ref="F40" r:id="rId106" display="https://prom.ua/p1209396495-komod-kom4s90-dzhuli.html"/>
    <hyperlink ref="G40" r:id="rId107" display="https://prom.ua/p663109577-shkaf-platyanoj-szf3d2s.html"/>
    <hyperlink ref="H40" r:id="rId108" display="https://prom.ua/p553479263-komod-gerbor-sonata.html?"/>
    <hyperlink ref="J40" r:id="rId109" display="https://prom.ua/p890543855-prihozhaya-ppk-nepo.html?"/>
    <hyperlink ref="L40" r:id="rId110" display="https://prom.ua/p512224979-gostinaya-kvatro.html"/>
    <hyperlink ref="N40" r:id="rId111" display="https://prom.ua/p1206351035-komod-german-kom3s912.html?"/>
    <hyperlink ref="O40" r:id="rId112" display="https://prom.ua/p1220143520-tumba-pod-televizor.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8" t="n">
        <v>3699</v>
      </c>
      <c r="D2" s="8" t="n">
        <v>4546</v>
      </c>
      <c r="E2" s="8" t="n">
        <v>3755</v>
      </c>
      <c r="F2" s="8" t="n">
        <v>5473</v>
      </c>
      <c r="G2" s="8" t="n">
        <v>2225</v>
      </c>
      <c r="H2" s="8" t="n">
        <v>5666</v>
      </c>
      <c r="I2" s="8" t="n">
        <v>6243</v>
      </c>
      <c r="J2" s="8" t="n">
        <v>3161</v>
      </c>
      <c r="K2" s="10" t="n">
        <v>2046</v>
      </c>
      <c r="L2" s="10" t="n">
        <v>7943</v>
      </c>
      <c r="M2" s="10" t="n">
        <v>3373</v>
      </c>
      <c r="N2" s="10" t="n">
        <v>4520</v>
      </c>
    </row>
    <row r="3" customFormat="false" ht="48" hidden="false" customHeight="true" outlineLevel="0" collapsed="false">
      <c r="A3" s="78" t="s">
        <v>28</v>
      </c>
      <c r="B3" s="147" t="s">
        <v>127</v>
      </c>
      <c r="C3" s="80" t="str">
        <f aca="false">HYPERLINK("https://brwmania.com.ua/gostinaja/modulnye-gostinye/sistema-azteka/tumba-pod-tv-acteka-rtv2d2s415/","3699")</f>
        <v>3699</v>
      </c>
      <c r="D3" s="80" t="str">
        <f aca="false">HYPERLINK("https://brwmania.com.ua/gostinaja/modulnye-gostinye/sistema-azteka/komod-acteka-kom4s811/","4546")</f>
        <v>4546</v>
      </c>
      <c r="E3" s="80" t="str">
        <f aca="false">HYPERLINK("https://brwmania.com.ua/gostinaja/modulnye-gostinye/sistema-indiana-indiana---dub-shuter/indiana-dub-shuter-laminat-j-011-komod-jkom-4s-80/","3755")</f>
        <v>3755</v>
      </c>
      <c r="F3" s="80" t="str">
        <f aca="false">HYPERLINK("https://brwmania.com.ua/gostinaja/modulnye-gostinye/sistema-indiana-indiana---dub-shuter/indiana-dub-shuter-laminat-j-007-stol-pismennyy-jbiu-2d2s-140/","5473")</f>
        <v>5473</v>
      </c>
      <c r="G3" s="80" t="str">
        <f aca="false">HYPERLINK("https://brwmania.com.ua/gostinaja/modulnye-gostinye/sistema_dzhuli/komod-dzhuli-july-kom4s-90/","2225")</f>
        <v>2225</v>
      </c>
      <c r="H3" s="80" t="str">
        <f aca="false">HYPERLINK("https://brwmania.com.ua/gostinaja/modulnye-gostinye/tovar-novij/shkaf-platjanoj-porto-szf3d2s/","5666")</f>
        <v>5666</v>
      </c>
      <c r="I3" s="80" t="str">
        <f aca="false">HYPERLINK("https://brwmania.com.ua/gostinaja/modulnye-gostinye/sistema-sonata-sonata/s-015-sonata-komod-8-s/","6243")</f>
        <v>6243</v>
      </c>
      <c r="J3" s="80" t="str">
        <f aca="false">HYPERLINK("https://brwmania.com.ua/gostinaja/modulnye-gostinye/sistema_kaspian_dub_sonoma/kaspian-dub-sonoma-jm-007-stol-pismennyy-biu-1d1s/","3161")</f>
        <v>3161</v>
      </c>
      <c r="K3" s="15" t="n">
        <v>2046</v>
      </c>
      <c r="L3" s="80" t="str">
        <f aca="false">HYPERLINK("https://brwmania.com.ua/gostinaja/komplekty-gostinyh/aljaska-alaska-gostinaja/","7943")</f>
        <v>7943</v>
      </c>
      <c r="M3" s="80" t="str">
        <f aca="false">HYPERLINK("https://brwmania.com.ua/gostinaja/komplekty-gostinyh/stinka-kvatro-venge-magia/","3373")</f>
        <v>3373</v>
      </c>
      <c r="N3" s="80" t="str">
        <f aca="false">HYPERLINK("https://brwmania.com.ua/gostinaja/modulnye-gostinye/sistema-vusher-vusher/010-vusher-komod-kom-1w2d2s/","4520")</f>
        <v>4520</v>
      </c>
    </row>
    <row r="4" customFormat="false" ht="60.75" hidden="false" customHeight="true" outlineLevel="0" collapsed="false">
      <c r="A4" s="78" t="s">
        <v>29</v>
      </c>
      <c r="B4" s="147" t="s">
        <v>128</v>
      </c>
      <c r="C4" s="35" t="str">
        <f aca="false">HYPERLINK("http://redlight.com.ua/tv-stands/item-tumba-tv-rtv2d2s-4-15-atsteka","3699")</f>
        <v>3699</v>
      </c>
      <c r="D4" s="32" t="str">
        <f aca="false">HYPERLINK("http://redlight.com.ua/komod/item-komod-kom4s-8-11-atsteka","4546")</f>
        <v>4546</v>
      </c>
      <c r="E4" s="32" t="str">
        <f aca="false">HYPERLINK("http://redlight.com.ua/komod/item-komod-jkom-4s-80-indiana","3755")</f>
        <v>3755</v>
      </c>
      <c r="F4" s="32" t="str">
        <f aca="false">HYPERLINK("http://redlight.com.ua/stoly/item-stol-pismenniy-jbiu-2d2s-indiana","5473")</f>
        <v>5473</v>
      </c>
      <c r="G4" s="32" t="str">
        <f aca="false">HYPERLINK("http://redlight.com.ua/komod/item-komod-kom4s-90-dzhuli","2225")</f>
        <v>2225</v>
      </c>
      <c r="H4" s="32" t="str">
        <f aca="false">HYPERLINK("http://redlight.com.ua/raspashnyye-shkafy/item-porto-shkaf-szf3d2s","5666")</f>
        <v>5666</v>
      </c>
      <c r="I4" s="32" t="str">
        <f aca="false">HYPERLINK("http://redlight.com.ua/komod/item-komod-8s-sonata-","6243")</f>
        <v>6243</v>
      </c>
      <c r="J4" s="30" t="str">
        <f aca="false">HYPERLINK("http://redlight.com.ua/stoly/item-kaspian-pismenniy-stol-biu-1d1s-120-kaspian","3161")</f>
        <v>3161</v>
      </c>
      <c r="K4" s="32" t="str">
        <f aca="false">HYPERLINK("http://redlight.com.ua/prihozhie/item-nepo-prihozhaya-rrk-","2046")</f>
        <v>2046</v>
      </c>
      <c r="L4" s="95" t="str">
        <f aca="false">HYPERLINK("http://redlight.com.ua/stenki/item-stenka-alyaska","7644")</f>
        <v>7644</v>
      </c>
      <c r="M4" s="32" t="str">
        <f aca="false">HYPERLINK("http://redlight.com.ua/stenki/item-stenka-kvatro","3373")</f>
        <v>3373</v>
      </c>
      <c r="N4" s="19" t="str">
        <f aca="false">HYPERLINK("https://redlight.com.ua/komod/item-tumba-kom-1w2d2s-9-15-vusher","4520")</f>
        <v>4520</v>
      </c>
    </row>
    <row r="5" customFormat="false" ht="63" hidden="false" customHeight="true" outlineLevel="0" collapsed="false">
      <c r="A5" s="78" t="s">
        <v>30</v>
      </c>
      <c r="B5" s="148" t="s">
        <v>129</v>
      </c>
      <c r="C5" s="32" t="str">
        <f aca="false">HYPERLINK("https://mebli-bristol.com.ua/acteka-tumba-rtv-2d2s-4-15-brv-ukraina.html","3699")</f>
        <v>3699</v>
      </c>
      <c r="D5" s="32" t="str">
        <f aca="false">HYPERLINK("https://mebli-bristol.com.ua/acteka-komod-kom-4s-8-11-brv-ukraina.html","4586")</f>
        <v>4586</v>
      </c>
      <c r="E5" s="32" t="str">
        <f aca="false">HYPERLINK("https://mebli-bristol.com.ua/indiana-komod-jkom-4s-80-sosna-kan-jon-brv-ukraina.html","3755")</f>
        <v>3755</v>
      </c>
      <c r="F5" s="32" t="str">
        <f aca="false">HYPERLINK("https://mebli-bristol.com.ua/indiana-stil-pis-movij-jbiu-2d2s-140-sosna-kan-jon-brv-ukraina.html","5473")</f>
        <v>5473</v>
      </c>
      <c r="G5" s="32" t="str">
        <f aca="false">HYPERLINK("https://mebli-bristol.com.ua/dzhuli-komod-kom-4s-90-brv-ukraina.html","2225")</f>
        <v>2225</v>
      </c>
      <c r="H5" s="32" t="str">
        <f aca="false">HYPERLINK("https://mebli-bristol.com.ua/porto-shafa-szf-3d2s-brv-ukraina.html","5666")</f>
        <v>5666</v>
      </c>
      <c r="I5" s="32" t="str">
        <f aca="false">HYPERLINK("https://mebli-bristol.com.ua/sonata-komod-8s-gerbor.html","6243")</f>
        <v>6243</v>
      </c>
      <c r="J5" s="32" t="str">
        <f aca="false">HYPERLINK("https://mebli-bristol.com.ua/kaspian-stil-pis-movij-biu-1d1s-120-dub-sonoma-brv-ukraina.html","3161")</f>
        <v>3161</v>
      </c>
      <c r="K5" s="95" t="str">
        <f aca="false">HYPERLINK("https://mebli-bristol.com.ua/nepo-peredpokij-ppk-gerbor-9728.html","1971")</f>
        <v>1971</v>
      </c>
      <c r="L5" s="32" t="str">
        <f aca="false">HYPERLINK("https://mebli-bristol.com.ua/aljaska-brv-ukraina.html","7964")</f>
        <v>7964</v>
      </c>
      <c r="M5" s="32" t="str">
        <f aca="false">HYPERLINK("https://mebli-bristol.com.ua/kvatro-gerbor.html","3373")</f>
        <v>3373</v>
      </c>
      <c r="N5" s="32" t="str">
        <f aca="false">HYPERLINK("https://mebli-bristol.com.ua/vusher-komod-kom-1w-2d2s-gerbor.html","4520")</f>
        <v>4520</v>
      </c>
    </row>
    <row r="6" customFormat="false" ht="60" hidden="false" customHeight="true" outlineLevel="0" collapsed="false">
      <c r="A6" s="78" t="s">
        <v>17</v>
      </c>
      <c r="B6" s="149" t="s">
        <v>130</v>
      </c>
      <c r="C6" s="32" t="str">
        <f aca="false">HYPERLINK("https://gerbor.kiev.ua/mebelnye-sistemy/mebel-brw-azteca/azteca-tumba-tv-rtv2d2s-brv/","3699")</f>
        <v>3699</v>
      </c>
      <c r="D6" s="32" t="str">
        <f aca="false">HYPERLINK("https://gerbor.kiev.ua/mebelnye-sistemy/mebel-brw-azteca/azteca-komod-kom4s-brv/","4546")</f>
        <v>4546</v>
      </c>
      <c r="E6" s="32" t="str">
        <f aca="false">HYPERLINK("https://gerbor.kiev.ua/mebelnye-sistemy/mebel-indiana-brw/indiana-komod-jkom4s80-brv/","3755")</f>
        <v>3755</v>
      </c>
      <c r="F6" s="32" t="str">
        <f aca="false">HYPERLINK("https://gerbor.kiev.ua/mebelnye-sistemy/mebel-indiana-brw/indiana-stol-pismennyy-jbiu2d2s140-brv/","5473")</f>
        <v>5473</v>
      </c>
      <c r="G6" s="32" t="str">
        <f aca="false">HYPERLINK("https://gerbor.kiev.ua/mebelnye-sistemy/mebel-july-brw/july-komod-kom4s90-brv/","2225")</f>
        <v>2225</v>
      </c>
      <c r="H6" s="32" t="str">
        <f aca="false">HYPERLINK("https://gerbor.kiev.ua/mebelnye-sistemy/mebel-porto-brv/porto-shkaf-szf3d2s-brv/","5666")</f>
        <v>5666</v>
      </c>
      <c r="I6" s="32" t="str">
        <f aca="false">HYPERLINK("https://gerbor.kiev.ua/mebelnye-sistemy/mebel-sonata-gerbor/sonata-komod-8s-gerbor/","6243")</f>
        <v>6243</v>
      </c>
      <c r="J6" s="32" t="str">
        <f aca="false">HYPERLINK("https://gerbor.kiev.ua/mebelnye-sistemy/mebel-kaspian-sonoma-brw/kaspian-sonoma-stol-pismennyy-biu1d1s-brv/","3161")</f>
        <v>3161</v>
      </c>
      <c r="K6" s="32" t="str">
        <f aca="false">HYPERLINK("https://gerbor.kiev.ua/mebelnye-sistemy/mebel-nepo-gerbor/nepo-prikhozhaya-ppk-gerbor/","2046")</f>
        <v>2046</v>
      </c>
      <c r="L6" s="32" t="str">
        <f aca="false">HYPERLINK("https://gerbor.kiev.ua/mebelnye-sistemy/mebel-alaska-brw/alaska-gostinaya-brw/","7964")</f>
        <v>7964</v>
      </c>
      <c r="M6" s="83"/>
      <c r="N6" s="32" t="str">
        <f aca="false">HYPERLINK("https://gerbor.kiev.ua/mebelnye-sistemy/mebel-vusher-gerbor/vusher-komod-kom1w2d2s-gerbor/","4520")</f>
        <v>4520</v>
      </c>
    </row>
    <row r="7" customFormat="false" ht="63" hidden="false" customHeight="true" outlineLevel="0" collapsed="false">
      <c r="A7" s="78" t="s">
        <v>18</v>
      </c>
      <c r="B7" s="150" t="s">
        <v>131</v>
      </c>
      <c r="C7" s="32" t="str">
        <f aca="false">HYPERLINK("http://www.brwland.com.ua/product/azteca-tumba-tv-rtv2d2s415-brv-ukraina/","3699")</f>
        <v>3699</v>
      </c>
      <c r="D7" s="32" t="str">
        <f aca="false">HYPERLINK("http://www.brwland.com.ua/product/azteca-komod-kom4s811-brv-ukraina/","4546")</f>
        <v>4546</v>
      </c>
      <c r="E7" s="32" t="str">
        <f aca="false">HYPERLINK("http://www.brwland.com.ua/product/mebel-indiana-komod-jkom-4s-80-gerbor/","3755")</f>
        <v>3755</v>
      </c>
      <c r="F7" s="32" t="str">
        <f aca="false">HYPERLINK("http://www.brwland.com.ua/product/mebel-indiana-stol-pismennyj-jbiu-2d2s-140-gerbor/","5473")</f>
        <v>5473</v>
      </c>
      <c r="G7" s="32" t="str">
        <f aca="false">HYPERLINK("http://www.brwland.com.ua/product/dzhuli-komod-kom4s90-brv-ukraina/","2225")</f>
        <v>2225</v>
      </c>
      <c r="H7" s="32" t="str">
        <f aca="false">HYPERLINK("http://www.brwland.com.ua/product/porto-shkaf-szf3d2s-brv-ukraina/","5666")</f>
        <v>5666</v>
      </c>
      <c r="I7" s="32" t="str">
        <f aca="false">HYPERLINK("http://www.brwland.com.ua/product/komod-8s-sonata-gerbor/","6243")</f>
        <v>6243</v>
      </c>
      <c r="J7" s="32" t="str">
        <f aca="false">HYPERLINK("http://www.brwland.com.ua/product/kaspian-sonoma-stol-pismennyj-biu1d1s-brv-ukraina/","3161")</f>
        <v>3161</v>
      </c>
      <c r="K7" s="32" t="str">
        <f aca="false">HYPERLINK("http://www.brwland.com.ua/product/nepo-prihozhaja-ppk-gerbor/","2046")</f>
        <v>2046</v>
      </c>
      <c r="L7" s="32" t="str">
        <f aca="false">HYPERLINK("http://www.brwland.com.ua/product/gostinaja-aljaska-brv-ukraina/","7964")</f>
        <v>7964</v>
      </c>
      <c r="M7" s="95" t="str">
        <f aca="false">HYPERLINK("http://www.brwland.com.ua/product/komplekt-quatro/","3151")</f>
        <v>3151</v>
      </c>
      <c r="N7" s="32" t="str">
        <f aca="false">HYPERLINK("http://www.brwland.com.ua/product/vusher-bufet-kom1w2d2s915-gerbor/","4520")</f>
        <v>4520</v>
      </c>
    </row>
    <row r="8" customFormat="false" ht="60" hidden="false" customHeight="true" outlineLevel="0" collapsed="false">
      <c r="A8" s="78" t="s">
        <v>31</v>
      </c>
      <c r="B8" s="147" t="s">
        <v>128</v>
      </c>
      <c r="C8" s="32" t="str">
        <f aca="false">HYPERLINK("http://gerbor.dp.ua/index.php?route=product/product&amp;product_id=3138","3343")</f>
        <v>3343</v>
      </c>
      <c r="D8" s="32" t="str">
        <f aca="false">HYPERLINK("http://gerbor.dp.ua/index.php?route=product/product&amp;product_id=3131","3924")</f>
        <v>3924</v>
      </c>
      <c r="E8" s="32" t="str">
        <f aca="false">HYPERLINK("http://gerbor.dp.ua/index.php?route=product/product&amp;product_id=1730","3562")</f>
        <v>3562</v>
      </c>
      <c r="F8" s="32" t="str">
        <f aca="false">HYPERLINK("http://gerbor.dp.ua/index.php?route=product/product&amp;product_id=1725","5158")</f>
        <v>5158</v>
      </c>
      <c r="G8" s="32" t="str">
        <f aca="false">HYPERLINK("http://gerbor.dp.ua/index.php?route=product/product&amp;product_id=1755","2098")</f>
        <v>2098</v>
      </c>
      <c r="H8" s="32" t="str">
        <f aca="false">HYPERLINK("http://gerbor.dp.ua/index.php?route=product/product&amp;product_id=3905","5377")</f>
        <v>5377</v>
      </c>
      <c r="I8" s="32" t="str">
        <f aca="false">HYPERLINK("http://gerbor.dp.ua/index.php?route=product/product&amp;product_id=2156","5683")</f>
        <v>5683</v>
      </c>
      <c r="J8" s="32" t="str">
        <f aca="false">HYPERLINK("http://gerbor.dp.ua/index.php?route=product/product&amp;product_id=2819","3002")</f>
        <v>3002</v>
      </c>
      <c r="K8" s="32" t="str">
        <f aca="false">HYPERLINK("http://gerbor.dp.ua/index.php?route=product/product&amp;product_id=3473&amp;search=%D0%BD%D0%B5%D0%BF%D0%BE","1963")</f>
        <v>1963</v>
      </c>
      <c r="L8" s="32" t="str">
        <f aca="false">HYPERLINK("http://gerbor.dp.ua/index.php?route=product/product&amp;product_id=3031","7644")</f>
        <v>7644</v>
      </c>
      <c r="M8" s="32" t="str">
        <f aca="false">HYPERLINK("http://gerbor.dp.ua/index.php?route=product/product&amp;product_id=2040","3007")</f>
        <v>3007</v>
      </c>
      <c r="N8" s="32" t="str">
        <f aca="false">HYPERLINK("http://gerbor.dp.ua/index.php?route=product/product&amp;product_id=2775","4195")</f>
        <v>4195</v>
      </c>
    </row>
    <row r="9" customFormat="false" ht="56.25" hidden="false" customHeight="true" outlineLevel="0" collapsed="false">
      <c r="A9" s="105" t="s">
        <v>32</v>
      </c>
      <c r="B9" s="151" t="s">
        <v>132</v>
      </c>
      <c r="C9" s="34" t="str">
        <f aca="false">HYPERLINK("https://www.dybok.com.ua/ru/product/detail/35816","3693")</f>
        <v>3693</v>
      </c>
      <c r="D9" s="90" t="n">
        <v>4240</v>
      </c>
      <c r="E9" s="90" t="n">
        <v>3229</v>
      </c>
      <c r="F9" s="152" t="n">
        <v>5334</v>
      </c>
      <c r="G9" s="82" t="n">
        <v>2230</v>
      </c>
      <c r="H9" s="82" t="n">
        <v>5675</v>
      </c>
      <c r="I9" s="152" t="n">
        <v>5880</v>
      </c>
      <c r="J9" s="95" t="str">
        <f aca="false">HYPERLINK("https://www.dybok.com.ua/","3006")</f>
        <v>3006</v>
      </c>
      <c r="K9" s="90" t="n">
        <v>1931</v>
      </c>
      <c r="L9" s="16" t="n">
        <v>7959</v>
      </c>
      <c r="M9" s="153" t="str">
        <f aca="false">HYPERLINK("https://www.dybok.com.ua/ru/product/detail/6077","3249")</f>
        <v>3249</v>
      </c>
      <c r="N9" s="153" t="str">
        <f aca="false">HYPERLINK("https://www.dybok.com.ua/ru/product/detail/7086","4267")</f>
        <v>4267</v>
      </c>
    </row>
    <row r="10" customFormat="false" ht="61.5" hidden="false" customHeight="true" outlineLevel="0" collapsed="false">
      <c r="A10" s="78" t="s">
        <v>19</v>
      </c>
      <c r="B10" s="154" t="s">
        <v>133</v>
      </c>
      <c r="C10" s="155" t="str">
        <f aca="false">HYPERLINK("https://vashamebel.in.ua/tumba-tv-brv-atsteka-rtv2d2s415/p12722","3686")</f>
        <v>3686</v>
      </c>
      <c r="D10" s="30" t="str">
        <f aca="false">HYPERLINK("https://vashamebel.in.ua/komod-brv-atsteka-kom4s811/p12731","4233")</f>
        <v>4233</v>
      </c>
      <c r="E10" s="30" t="str">
        <f aca="false">HYPERLINK("https://vashamebel.in.ua/komod-brv-indiana-jkom4s80/p921","3755")</f>
        <v>3755</v>
      </c>
      <c r="F10" s="30" t="str">
        <f aca="false">HYPERLINK("https://vashamebel.in.ua/stol-pismennyij-brv-indiana-jbiu-2d2s/p916","5473")</f>
        <v>5473</v>
      </c>
      <c r="G10" s="32" t="str">
        <f aca="false">HYPERLINK("https://vashamebel.in.ua/komod-brv-dzhuli-kom4s90/p7958","2225")</f>
        <v>2225</v>
      </c>
      <c r="H10" s="32" t="str">
        <f aca="false">HYPERLINK("https://vashamebel.in.ua/shkaf-brv-porto-szf3d2s/p12560","5666")</f>
        <v>5666</v>
      </c>
      <c r="I10" s="30" t="str">
        <f aca="false">HYPERLINK("https://vashamebel.in.ua/komod-gerbor-sonata-8s/p845","6343")</f>
        <v>6343</v>
      </c>
      <c r="J10" s="30" t="s">
        <v>33</v>
      </c>
      <c r="K10" s="30" t="str">
        <f aca="false">HYPERLINK("https://vashamebel.in.ua/prihozhaya-gerbor-nepo-ppk/p12249","2046")</f>
        <v>2046</v>
      </c>
      <c r="L10" s="34" t="str">
        <f aca="false">HYPERLINK("https://vashamebel.in.ua/gostinaya-brv-alyaska/p4420","7644")</f>
        <v>7644</v>
      </c>
      <c r="M10" s="30" t="str">
        <f aca="false">HYPERLINK("https://vashamebel.in.ua/stenka-gerbor-kvatro/p2359","3373")</f>
        <v>3373</v>
      </c>
      <c r="N10" s="32" t="str">
        <f aca="false">HYPERLINK("https://vashamebel.in.ua/komod-gerbor-vusher-kom1w2d2s/p4762","4520")</f>
        <v>4520</v>
      </c>
    </row>
    <row r="11" customFormat="false" ht="70.5" hidden="false" customHeight="true" outlineLevel="0" collapsed="false">
      <c r="A11" s="78" t="s">
        <v>20</v>
      </c>
      <c r="B11" s="154" t="s">
        <v>134</v>
      </c>
      <c r="C11" s="32" t="str">
        <f aca="false">HYPERLINK("https://mebel-mebel.com.ua/eshop/dom-tumby-dlia-tv/tumba_rtv2d2s_4_15_atsteka-id461.html","3699")</f>
        <v>3699</v>
      </c>
      <c r="D11" s="32" t="str">
        <f aca="false">HYPERLINK("https://mebel-mebel.com.ua/eshop/dom-komody/komod_kom4s_8_11_atsteka-id496.html","4546")</f>
        <v>4546</v>
      </c>
      <c r="E11" s="32" t="str">
        <f aca="false">HYPERLINK("https://mebel-mebel.com.ua/eshop/dom-komody/komod_jkom_4s80_indiana-id663.html","3755")</f>
        <v>3755</v>
      </c>
      <c r="F11" s="32" t="str">
        <f aca="false">HYPERLINK("https://mebel-mebel.com.ua/eshop/dom-stoly-kompiuternye/stol_pismenniy_jbiu_2d2s_140_indiana-id659.html","5473")</f>
        <v>5473</v>
      </c>
      <c r="G11" s="32" t="str">
        <f aca="false">HYPERLINK("https://mebel-mebel.com.ua/eshop/dom-komody/komod_kom_4s_90_dzhuli-id569.html","2225")</f>
        <v>2225</v>
      </c>
      <c r="H11" s="30" t="str">
        <f aca="false">HYPERLINK("https://mebel-mebel.com.ua/eshop/detskie-shkafy/shkaf_szf3d2s_porto-id35136.html","5666")</f>
        <v>5666</v>
      </c>
      <c r="I11" s="32" t="str">
        <f aca="false">HYPERLINK("https://mebel-mebel.com.ua/eshop/dom-komody/komod_8s_s_015_sonata-id1567.html","6243")</f>
        <v>6243</v>
      </c>
      <c r="J11" s="32" t="str">
        <f aca="false">HYPERLINK("https://mebel-mebel.com.ua/eshop/dom-stoly-kompiuternye/stol_pismenniy_biu_1d1s_120_kaspian-id797.html","3161")</f>
        <v>3161</v>
      </c>
      <c r="K11" s="32" t="str">
        <f aca="false">HYPERLINK("https://mebel-mebel.com.ua/eshop/dom-prihozhie/prihozhaya_ppk_nepo-id28028.html","2046")</f>
        <v>2046</v>
      </c>
      <c r="L11" s="82" t="n">
        <v>7964</v>
      </c>
      <c r="M11" s="32" t="str">
        <f aca="false">HYPERLINK("https://mebel-mebel.com.ua/eshop/dom-stenki-dlia-gostinoi/gostinaya_kvatro-id152.html","3373")</f>
        <v>3373</v>
      </c>
      <c r="N11" s="32" t="str">
        <f aca="false">HYPERLINK("https://mebel-mebel.com.ua/eshop/dom-komody/komod_kom_1w2d2s_vusher-id560.html","4520")</f>
        <v>4520</v>
      </c>
    </row>
    <row r="12" customFormat="false" ht="75.75" hidden="false" customHeight="true" outlineLevel="0" collapsed="false">
      <c r="A12" s="78" t="s">
        <v>21</v>
      </c>
      <c r="B12" s="150" t="s">
        <v>135</v>
      </c>
      <c r="C12" s="153" t="str">
        <f aca="false">HYPERLINK("https://abcmebli.com.ua/p14992-tumba_tv_rtv2d2s-4-15_atsteka","3686")</f>
        <v>3686</v>
      </c>
      <c r="D12" s="153" t="str">
        <f aca="false">HYPERLINK("https://abcmebli.com.ua/p15683-atsteka_komod_kom4s-8-11_brv","4233")</f>
        <v>4233</v>
      </c>
      <c r="E12" s="32" t="str">
        <f aca="false">HYPERLINK("https://abcmebli.com.ua/p1896-komod_jkom4s_80_indiana","3755")</f>
        <v>3755</v>
      </c>
      <c r="F12" s="153" t="str">
        <f aca="false">HYPERLINK("https://abcmebli.com.ua/p1892-stol_pismenniy_jbiu2d2s_140_indiana","5323")</f>
        <v>5323</v>
      </c>
      <c r="G12" s="32" t="str">
        <f aca="false">HYPERLINK("https://abcmebli.com.ua/p8553-komod_kom4s-90_july","2225")</f>
        <v>2225</v>
      </c>
      <c r="H12" s="32" t="str">
        <f aca="false">HYPERLINK("https://abcmebli.com.ua/p15039-shkaf_platyanoy_szf3d2s_porto","5666")</f>
        <v>5666</v>
      </c>
      <c r="I12" s="153" t="str">
        <f aca="false">HYPERLINK("https://abcmebli.com.ua/p2225-komod_8-s_sonata","5870")</f>
        <v>5870</v>
      </c>
      <c r="J12" s="153" t="str">
        <f aca="false">HYPERLINK("https://abcmebli.com.ua/p14308-stol_pismenniy_biu_1d1s_120_kaspian","3141")</f>
        <v>3141</v>
      </c>
      <c r="K12" s="30" t="str">
        <f aca="false">HYPERLINK("https://abcmebli.com.ua/p15897-nepo_prihozhaya_ppk_gerbor","2046")</f>
        <v>2046</v>
      </c>
      <c r="L12" s="153" t="str">
        <f aca="false">HYPERLINK("https://abcmebli.com.ua/p15950-gostinaya_alyaska_brv-ukraina","7644")</f>
        <v>7644</v>
      </c>
      <c r="M12" s="32" t="str">
        <f aca="false">HYPERLINK("https://abcmebli.com.ua/p2515-stenka_kvatro_gerbor","3373")</f>
        <v>3373</v>
      </c>
      <c r="N12" s="32" t="str">
        <f aca="false">HYPERLINK("https://abcmebli.com.ua/p4993-komod_kom1w2d2s_9_15_vusher","4520")</f>
        <v>4520</v>
      </c>
    </row>
    <row r="13" customFormat="false" ht="56.25" hidden="false" customHeight="true" outlineLevel="0" collapsed="false">
      <c r="A13" s="78" t="s">
        <v>22</v>
      </c>
      <c r="B13" s="156" t="s">
        <v>136</v>
      </c>
      <c r="C13" s="19" t="str">
        <f aca="false">HYPERLINK("https://www.mebelok.com/tymba-tv-rtv2d2s415-acteka/","3700")</f>
        <v>3700</v>
      </c>
      <c r="D13" s="22" t="str">
        <f aca="false">HYPERLINK("https://www.mebelok.com/komod-kom4s811-acteka/","4550")</f>
        <v>4550</v>
      </c>
      <c r="E13" s="22" t="str">
        <f aca="false">HYPERLINK("https://www.mebelok.com/komod-jkom-4s-80/","3760")</f>
        <v>3760</v>
      </c>
      <c r="F13" s="19" t="str">
        <f aca="false">HYPERLINK("https://www.mebelok.com/stol-pismennyy-jbiu-2d2s-140/","5480")</f>
        <v>5480</v>
      </c>
      <c r="G13" s="22" t="str">
        <f aca="false">HYPERLINK("https://www.mebelok.com/komod-kom-4s-90-juli/","2230")</f>
        <v>2230</v>
      </c>
      <c r="H13" s="22" t="str">
        <f aca="false">HYPERLINK("https://www.mebelok.com/shkaf-szf3d2s-porto/","5670")</f>
        <v>5670</v>
      </c>
      <c r="I13" s="47"/>
      <c r="J13" s="19" t="str">
        <f aca="false">HYPERLINK("https://www.mebelok.com/stol-pismennyy-biu1d1s-120-kaspian/","3170")</f>
        <v>3170</v>
      </c>
      <c r="K13" s="32" t="str">
        <f aca="false">HYPERLINK("https://www.mebelok.com/prihojaya-ppk-nepo/","2050")</f>
        <v>2050</v>
      </c>
      <c r="L13" s="95" t="str">
        <f aca="false">HYPERLINK("https://www.mebelok.com/gostinaya-alyaska/","7655")</f>
        <v>7655</v>
      </c>
      <c r="M13" s="30" t="str">
        <f aca="false">HYPERLINK("https://www.mebelok.com/gostinaya-kvatro","3380")</f>
        <v>3380</v>
      </c>
      <c r="N13" s="30" t="str">
        <f aca="false">HYPERLINK("https://www.mebelok.com/komod-kom-1w2d2s-vusher/","4520")</f>
        <v>4520</v>
      </c>
    </row>
    <row r="14" customFormat="false" ht="48" hidden="false" customHeight="true" outlineLevel="0" collapsed="false">
      <c r="A14" s="78" t="s">
        <v>23</v>
      </c>
      <c r="B14" s="150" t="s">
        <v>137</v>
      </c>
      <c r="C14" s="32" t="str">
        <f aca="false">HYPERLINK("https://maxmebel.com.ua/atsteka_tumba_rtv2d2s","3699")</f>
        <v>3699</v>
      </c>
      <c r="D14" s="32" t="str">
        <f aca="false">HYPERLINK("https://maxmebel.com.ua/atsteka_komod_kom4s-8-11","4546")</f>
        <v>4546</v>
      </c>
      <c r="E14" s="32" t="str">
        <f aca="false">HYPERLINK("https://maxmebel.com.ua/indiana_komod_jkom_4s_80","3755")</f>
        <v>3755</v>
      </c>
      <c r="F14" s="32" t="str">
        <f aca="false">HYPERLINK("https://maxmebel.com.ua/indiana_pismenniy_stol_jbiu_2d2s","5473")</f>
        <v>5473</v>
      </c>
      <c r="G14" s="32" t="str">
        <f aca="false">HYPERLINK("https://maxmebel.com.ua/dzhuli_komod_kom4s-90","2225")</f>
        <v>2225</v>
      </c>
      <c r="H14" s="32" t="str">
        <f aca="false">HYPERLINK("https://maxmebel.com.ua/porto_shkaf_platyanoy_szf3d2s","5666")</f>
        <v>5666</v>
      </c>
      <c r="I14" s="32" t="str">
        <f aca="false">HYPERLINK("https://maxmebel.com.ua/sonata_komod_8-s","6243")</f>
        <v>6243</v>
      </c>
      <c r="J14" s="32" t="str">
        <f aca="false">HYPERLINK("https://maxmebel.com.ua/kaspian_stol_pismenniy_biu_1d1s","3161")</f>
        <v>3161</v>
      </c>
      <c r="K14" s="32" t="str">
        <f aca="false">HYPERLINK("https://maxmebel.com.ua/nepo_prihozhaya_rrk","2046")</f>
        <v>2046</v>
      </c>
      <c r="L14" s="32" t="str">
        <f aca="false">HYPERLINK("https://maxmebel.com.ua/stenka_alyaska","7964")</f>
        <v>7964</v>
      </c>
      <c r="M14" s="30" t="str">
        <f aca="false">HYPERLINK("https://maxmebel.com.ua/stenka_kvatro","3373")</f>
        <v>3373</v>
      </c>
      <c r="N14" s="32" t="str">
        <f aca="false">HYPERLINK("https://maxmebel.com.ua/vusher_komod_kom_1w2d2s","4520")</f>
        <v>4520</v>
      </c>
    </row>
    <row r="15" customFormat="false" ht="39" hidden="false" customHeight="true" outlineLevel="0" collapsed="false">
      <c r="A15" s="78" t="s">
        <v>24</v>
      </c>
      <c r="B15" s="147" t="s">
        <v>128</v>
      </c>
      <c r="C15" s="153" t="str">
        <f aca="false">HYPERLINK("https://moyamebel.com.ua/ua/products/tumba-rtv-atsteka","3686")</f>
        <v>3686</v>
      </c>
      <c r="D15" s="153" t="str">
        <f aca="false">HYPERLINK("https://moyamebel.com.ua/ua/products/komod-atsteka","4233")</f>
        <v>4233</v>
      </c>
      <c r="E15" s="32" t="str">
        <f aca="false">HYPERLINK("https://moyamebel.com.ua/ua/products/komod-4s-80-indiana","3755")</f>
        <v>3755</v>
      </c>
      <c r="F15" s="153" t="str">
        <f aca="false">HYPERLINK("https://moyamebel.com.ua/ua/products/stol-pismennyj-2d2s-indiana","5323")</f>
        <v>5323</v>
      </c>
      <c r="G15" s="32" t="str">
        <f aca="false">HYPERLINK("https://moyamebel.com.ua/ua/products/komod-dzhuli-90","2225")</f>
        <v>2225</v>
      </c>
      <c r="H15" s="32" t="str">
        <f aca="false">HYPERLINK("https://moyamebel.com.ua/ua/products/shkaf-3d2sporto","5666")</f>
        <v>5666</v>
      </c>
      <c r="I15" s="83"/>
      <c r="J15" s="32" t="str">
        <f aca="false">HYPERLINK("https://moyamebel.com.ua/ua/products/stol-pismennyj-120-kaspian","3141")</f>
        <v>3141</v>
      </c>
      <c r="K15" s="96" t="str">
        <f aca="false">HYPERLINK("https://moyamebel.com.ua/ua/products/prihozhaya-nepo","1963")</f>
        <v>1963</v>
      </c>
      <c r="L15" s="27" t="str">
        <f aca="false">HYPERLINK("https://moyamebel.com.ua/ua/products/gostinaya-alyaska","7644")</f>
        <v>7644</v>
      </c>
      <c r="M15" s="155" t="str">
        <f aca="false">HYPERLINK("https://moyamebel.com.ua/ua/products/gostinaya-kvatro","3242")</f>
        <v>3242</v>
      </c>
      <c r="N15" s="83"/>
    </row>
    <row r="16" customFormat="false" ht="31.5" hidden="false" customHeight="true" outlineLevel="0" collapsed="false">
      <c r="A16" s="78" t="s">
        <v>35</v>
      </c>
      <c r="B16" s="157" t="s">
        <v>138</v>
      </c>
      <c r="C16" s="32" t="str">
        <f aca="false">HYPERLINK("https://mebel-soyuz.com.ua/12896.html","3699")</f>
        <v>3699</v>
      </c>
      <c r="D16" s="32" t="str">
        <f aca="false">HYPERLINK("https://mebel-soyuz.com.ua/12903.html","4546")</f>
        <v>4546</v>
      </c>
      <c r="E16" s="32" t="str">
        <f aca="false">HYPERLINK("https://mebel-soyuz.com.ua/2266.html","3755")</f>
        <v>3755</v>
      </c>
      <c r="F16" s="32" t="str">
        <f aca="false">HYPERLINK("https://mebel-soyuz.com.ua/stol-pismennyj-jbiu-2d2s-140-indiana.html","5473")</f>
        <v>5473</v>
      </c>
      <c r="G16" s="32" t="str">
        <f aca="false">HYPERLINK("https://mebel-soyuz.com.ua/komod-kom-4s-90-dzhuli.html","2225")</f>
        <v>2225</v>
      </c>
      <c r="H16" s="32" t="str">
        <f aca="false">HYPERLINK("https://mebel-soyuz.com.ua/shkaf-szf3d2s-porto.html","5666")</f>
        <v>5666</v>
      </c>
      <c r="I16" s="32" t="str">
        <f aca="false">HYPERLINK("https://mebel-soyuz.com.ua/473.html","6243")</f>
        <v>6243</v>
      </c>
      <c r="J16" s="30" t="str">
        <f aca="false">HYPERLINK("https://mebel-soyuz.com.ua/8687.html","3161")</f>
        <v>3161</v>
      </c>
      <c r="K16" s="32" t="str">
        <f aca="false">HYPERLINK("https://mebel-soyuz.com.ua/8926.html","2046")</f>
        <v>2046</v>
      </c>
      <c r="L16" s="32" t="str">
        <f aca="false">HYPERLINK("https://mebel-soyuz.com.ua/10995.html","7964")</f>
        <v>7964</v>
      </c>
      <c r="M16" s="32" t="str">
        <f aca="false">HYPERLINK("https://mebel-soyuz.com.ua/gostinaya-kvatro.html","3373")</f>
        <v>3373</v>
      </c>
      <c r="N16" s="32" t="str">
        <f aca="false">HYPERLINK("https://mebel-soyuz.com.ua/3933.html","4520")</f>
        <v>4520</v>
      </c>
    </row>
    <row r="17" customFormat="false" ht="33.75" hidden="false" customHeight="true" outlineLevel="0" collapsed="false">
      <c r="A17" s="78" t="s">
        <v>36</v>
      </c>
      <c r="B17" s="147" t="s">
        <v>128</v>
      </c>
      <c r="C17" s="158"/>
      <c r="D17" s="30" t="str">
        <f aca="false">HYPERLINK("https://sofino.ua/brw-ukraina-komod-kom4s811-acteka/g-95386","4546")</f>
        <v>4546</v>
      </c>
      <c r="E17" s="30" t="str">
        <f aca="false">HYPERLINK("https://sofino.ua/brw-ukraina-komod-jkom4s80-indiana/g-40903","3755")</f>
        <v>3755</v>
      </c>
      <c r="F17" s="30" t="str">
        <f aca="false">HYPERLINK("https://sofino.ua/brw-ukraina-stol-pismennyjj-jbiu2d2s140-indiana/g-40899","5473")</f>
        <v>5473</v>
      </c>
      <c r="G17" s="30" t="str">
        <f aca="false">HYPERLINK("https://sofino.ua/brw-ukraina-komod-kom4s90-dzhuli-akacija-mali-bronz/g-40377","2225")</f>
        <v>2225</v>
      </c>
      <c r="H17" s="30" t="str">
        <f aca="false">HYPERLINK("https://sofino.ua/brw-ukraina-shkaf-platjanojj-szf3d2s-porto-dzhanni-sosna-lariko/g-264368","5666")</f>
        <v>5666</v>
      </c>
      <c r="I17" s="30" t="str">
        <f aca="false">HYPERLINK("https://sofino.ua/gerbor-komod-8s-sonata/g-19192","6243")</f>
        <v>6243</v>
      </c>
      <c r="J17" s="32" t="str">
        <f aca="false">HYPERLINK("https://sofino.ua/brw-ukraina-stol-pismennyjj-biu-1d1s-kaspian/g-264409","3161")</f>
        <v>3161</v>
      </c>
      <c r="K17" s="30" t="str">
        <f aca="false">HYPERLINK("https://sofino.ua/gerbor-prikhozhaja-ppk-nepo/g-287089","2046")</f>
        <v>2046</v>
      </c>
      <c r="L17" s="30" t="str">
        <f aca="false">HYPERLINK("https://sofino.ua/brw-ukraina-stenka-aljaska-belyjj-gljanec/g-454107","7964")</f>
        <v>7964</v>
      </c>
      <c r="M17" s="30" t="str">
        <f aca="false">HYPERLINK("https://sofino.ua/gerbor-stenka-s-podsvetkojj-kvatro/g-18955","3373")</f>
        <v>3373</v>
      </c>
      <c r="N17" s="30" t="str">
        <f aca="false">HYPERLINK("https://sofino.ua/gerbor-bufet-kom1w2d2s-s-podsvetkojj-vusher/g-176785","4520")</f>
        <v>4520</v>
      </c>
    </row>
    <row r="18" customFormat="false" ht="54.75" hidden="false" customHeight="true" outlineLevel="0" collapsed="false">
      <c r="A18" s="78" t="s">
        <v>37</v>
      </c>
      <c r="B18" s="147" t="s">
        <v>139</v>
      </c>
      <c r="C18" s="83"/>
      <c r="D18" s="153" t="str">
        <f aca="false">HYPERLINK("https://www.brw-kiev.com.ua/catalog/mebel/azteca-komod-kom4s_8_11-000004816.html","4239")</f>
        <v>4239</v>
      </c>
      <c r="E18" s="32" t="str">
        <f aca="false">HYPERLINK("https://www.brw-kiev.com.ua/catalog/mebel/indiana-komod-jkom4s_80-000000261.html","3759")</f>
        <v>3759</v>
      </c>
      <c r="F18" s="153" t="str">
        <f aca="false">HYPERLINK("https://www.brw-kiev.com.ua/catalog/mebel/indiana-stil_pis_moviy-jbiu2d2s-000000254.html","5329")</f>
        <v>5329</v>
      </c>
      <c r="G18" s="32" t="str">
        <f aca="false">HYPERLINK("https://www.brw-kiev.com.ua/catalog/mebel/july-komod-kom4s_90-000005407.html","2229")</f>
        <v>2229</v>
      </c>
      <c r="H18" s="32" t="str">
        <f aca="false">HYPERLINK("https://www.brw-kiev.com.ua/catalog/mebel/porto-shafa-szf3d2s-000006440.html","5669")</f>
        <v>5669</v>
      </c>
      <c r="I18" s="99"/>
      <c r="J18" s="155" t="str">
        <f aca="false">HYPERLINK("https://www.brw-kiev.com.ua/catalog/mebel/kaspian-stil_pis_moviy-biu1d1s_120-000006188.html","3149")</f>
        <v>3149</v>
      </c>
      <c r="K18" s="155" t="str">
        <f aca="false">HYPERLINK("https://www.brw-kiev.com.ua/catalog/mebel/prihozhaya/nepo-peredpokiy-ppk-000006567.html?sphrase_id=84980","1979")</f>
        <v>1979</v>
      </c>
      <c r="L18" s="30" t="str">
        <f aca="false">HYPERLINK("https://www.brw-kiev.com.ua/catalog/mebel/gostinaya/stinki-vital_nya-alaska-000006901.html?sphrase_id=84981","7949")</f>
        <v>7949</v>
      </c>
      <c r="M18" s="83"/>
      <c r="N18" s="83"/>
    </row>
    <row r="19" customFormat="false" ht="38.25" hidden="false" customHeight="true" outlineLevel="0" collapsed="false">
      <c r="A19" s="78" t="s">
        <v>25</v>
      </c>
      <c r="B19" s="159" t="s">
        <v>140</v>
      </c>
      <c r="C19" s="32" t="str">
        <f aca="false">HYPERLINK("https://brw.kiev.ua/mebel-brw-ukraina/azteca/tumba-tv-rtv2d2s-azteca-brv/","3699")</f>
        <v>3699</v>
      </c>
      <c r="D19" s="32" t="str">
        <f aca="false">HYPERLINK("https://brw.kiev.ua/mebel-brw-ukraina/azteca/komod-kom4s-azteca-brv/","4546")</f>
        <v>4546</v>
      </c>
      <c r="E19" s="32" t="str">
        <f aca="false">HYPERLINK("https://brw.kiev.ua/mebel-brw-ukraina/indiana-kanjon/komod-jkom4s80-indiana-brv-kanjon/","3755")</f>
        <v>3755</v>
      </c>
      <c r="F19" s="32" t="str">
        <f aca="false">HYPERLINK("https://brw.kiev.ua/mebel-brw-ukraina/indiana-shutter/stol-pismennyy-jbiu2d2s140-indiana-brv-shutter/","5473")</f>
        <v>5473</v>
      </c>
      <c r="G19" s="32" t="str">
        <f aca="false">HYPERLINK("https://brw.kiev.ua/mebel-brw-ukraina/july/komod-kom4s90-july-brv/","2225")</f>
        <v>2225</v>
      </c>
      <c r="H19" s="32" t="str">
        <f aca="false">HYPERLINK("https://brw.kiev.ua/mebel-brw-ukraina/porto/shkaf-szf3d2s-porto-brv/","5666")</f>
        <v>5666</v>
      </c>
      <c r="I19" s="32" t="str">
        <f aca="false">HYPERLINK("https://brw.kiev.ua/mebel-gerbor/sonata/komod-8s-sonata-gerbor/","6243")</f>
        <v>6243</v>
      </c>
      <c r="J19" s="32" t="str">
        <f aca="false">HYPERLINK("https://brw.kiev.ua/mebel-brw-ukraina/kaspian-venge/stol-pismennyy-biu1d1s-kaspian-brv-venge/","3161")</f>
        <v>3161</v>
      </c>
      <c r="K19" s="32" t="str">
        <f aca="false">HYPERLINK("https://brw.kiev.ua/mebel-gerbor/nepo/prikhozhaya-ppk-nepo-gerbor/","2046")</f>
        <v>2046</v>
      </c>
      <c r="L19" s="32" t="str">
        <f aca="false">HYPERLINK("https://brw.kiev.ua/mebel-brw-ukraina/alaska/stenka-alaska-brv/","7943")</f>
        <v>7943</v>
      </c>
      <c r="M19" s="83"/>
      <c r="N19" s="32" t="str">
        <f aca="false">HYPERLINK("https://brw.kiev.ua/mebel-gerbor/vusher/komod-kom1w2d2s-vusher-gerbor/","4520")</f>
        <v>4520</v>
      </c>
    </row>
    <row r="20" customFormat="false" ht="15.75" hidden="false" customHeight="true" outlineLevel="0" collapsed="false">
      <c r="A20" s="78" t="s">
        <v>123</v>
      </c>
      <c r="B20" s="160" t="s">
        <v>141</v>
      </c>
      <c r="C20" s="83"/>
      <c r="D20" s="83"/>
      <c r="E20" s="83"/>
      <c r="F20" s="83"/>
      <c r="G20" s="83"/>
      <c r="H20" s="83"/>
      <c r="I20" s="83"/>
      <c r="J20" s="83"/>
      <c r="K20" s="83"/>
      <c r="L20" s="83"/>
      <c r="M20" s="83"/>
      <c r="N20" s="83"/>
    </row>
    <row r="21" customFormat="false" ht="25.5" hidden="false" customHeight="true" outlineLevel="0" collapsed="false">
      <c r="A21" s="78" t="s">
        <v>124</v>
      </c>
      <c r="B21" s="147" t="s">
        <v>139</v>
      </c>
      <c r="C21" s="96" t="str">
        <f aca="false">HYPERLINK("https://mebelstyle.net/tumby-pod-tv/tumba-pod-tv-brw-ukraina-azteca-rtv2d2s415-82546.html","3294")</f>
        <v>3294</v>
      </c>
      <c r="D21" s="96" t="str">
        <f aca="false">HYPERLINK("https://mebelstyle.net/komody/komod-brw-ukraina-azteca-kom4s811-82553.html","3735")</f>
        <v>3735</v>
      </c>
      <c r="E21" s="96" t="str">
        <f aca="false">HYPERLINK("https://mebelstyle.net/komody/komod-brw-ukraina-indiana-011-jkom4s80-1274.html","3442")</f>
        <v>3442</v>
      </c>
      <c r="F21" s="96" t="str">
        <f aca="false">HYPERLINK("https://mebelstyle.net/ofisnye-stoly/pismennyj-stol-brw-ukraina-indiana-007-jbiu2d2s-1255.html","4979")</f>
        <v>4979</v>
      </c>
      <c r="G21" s="93"/>
      <c r="H21" s="93"/>
      <c r="I21" s="96" t="str">
        <f aca="false">HYPERLINK("https://mebelstyle.net/komody/komod-gerbor-sonata-s-015-8s-38625.html","5125")</f>
        <v>5125</v>
      </c>
      <c r="J21" s="96" t="str">
        <f aca="false">HYPERLINK("https://mebelstyle.net/ofisnye-stoly/ofisnyj-stol-brw-ukraina-kaspian-007-biu1d1s-58596.html","2783")</f>
        <v>2783</v>
      </c>
      <c r="K21" s="96" t="str">
        <f aca="false">HYPERLINK("https://mebelstyle.net/prikhozhie/prikhozhaja-gerbor-nepo-ppk-83649.html","1808")</f>
        <v>1808</v>
      </c>
      <c r="L21" s="93"/>
      <c r="M21" s="96" t="str">
        <f aca="false">HYPERLINK("https://mebelstyle.net/gostinye/gostinaja-gerbor-kvatro-venge-56219.html","2840")</f>
        <v>2840</v>
      </c>
      <c r="N21" s="96" t="str">
        <f aca="false">HYPERLINK("https://mebelstyle.net/komody/komod-gerbor-vusher-kom-1w2d2s-83553.html","4022")</f>
        <v>4022</v>
      </c>
    </row>
    <row r="22" customFormat="false" ht="34.5" hidden="false" customHeight="true" outlineLevel="0" collapsed="false">
      <c r="A22" s="78" t="s">
        <v>38</v>
      </c>
      <c r="B22" s="147" t="s">
        <v>139</v>
      </c>
      <c r="C22" s="32" t="str">
        <f aca="false">HYPERLINK("https://lvivmebli.com/13319/","3900")</f>
        <v>3900</v>
      </c>
      <c r="D22" s="32" t="str">
        <f aca="false">HYPERLINK("https://lvivmebli.com/13320/","4675")</f>
        <v>4675</v>
      </c>
      <c r="E22" s="32" t="str">
        <f aca="false">HYPERLINK("https://lvivmebli.com/5030/","4255")</f>
        <v>4255</v>
      </c>
      <c r="F22" s="32" t="str">
        <f aca="false">HYPERLINK("https://lvivmebli.com/5039/","5911")</f>
        <v>5911</v>
      </c>
      <c r="G22" s="95" t="str">
        <f aca="false">HYPERLINK("https://lvivmebli.com/11483/","2300")</f>
        <v>2300</v>
      </c>
      <c r="H22" s="32" t="str">
        <f aca="false">HYPERLINK("https://lvivmebli.com/18473/","6800")</f>
        <v>6800</v>
      </c>
      <c r="I22" s="83"/>
      <c r="J22" s="99"/>
      <c r="K22" s="83"/>
      <c r="L22" s="83"/>
      <c r="M22" s="83"/>
      <c r="N22" s="83"/>
    </row>
    <row r="23" customFormat="false" ht="36.75" hidden="false" customHeight="true" outlineLevel="0" collapsed="false">
      <c r="A23" s="78" t="s">
        <v>39</v>
      </c>
      <c r="B23" s="157" t="s">
        <v>142</v>
      </c>
      <c r="C23" s="27" t="str">
        <f aca="false">HYPERLINK("http://centrmebliv.com.ua/modulni-mebli/brw-azteca/mebli-brw-brv-azteca-tumba-rtv2d2s?keyword=%D0%B0%D1%86%D1%82%D0%B5%D0%BA%D0%B0","3343")</f>
        <v>3343</v>
      </c>
      <c r="D23" s="27" t="str">
        <f aca="false">HYPERLINK("http://centrmebliv.com.ua/modulni-mebli/brw-azteca/mebli-brw-brv-azteca-komod-4s?keyword=%D0%B0%D1%86%D1%82%D0%B5%D0%BA%D0%B0","3924")</f>
        <v>3924</v>
      </c>
      <c r="E23" s="27" t="str">
        <f aca="false">HYPERLINK("http://centrmebliv.com.ua/mebli-dlya-spalni/komody/mebli-brw-brv-indiana-komod-jkom4s_80?keyword=%D1%96%D0%BD%D0%B4%D1%96%D0%B0%D0%BD%D0%B0","3562")</f>
        <v>3562</v>
      </c>
      <c r="F23" s="161" t="str">
        <f aca="false">HYPERLINK("http://centrmebliv.com.ua/modulni-mebli/brw-ukrayina-indiana/mebli-brw-brv-indiana-stil-pysmovyy-jbiu2d2s_140?keyword=%D1%96%D0%BD%D0%B4%D1%96%D0%B0%D0%BD%D0%B0","5158")</f>
        <v>5158</v>
      </c>
      <c r="G23" s="27" t="str">
        <f aca="false">HYPERLINK("http://centrmebliv.com.ua/spalni/komody/mebli-brw-brv-july-komod-kom4s/90?keyword=july","2098")</f>
        <v>2098</v>
      </c>
      <c r="H23" s="27" t="str">
        <f aca="false">HYPERLINK("http://centrmebliv.com.ua/modulni-mebli/brw-ukrayina-porto/mebli-brw-brv-porto-shafa-dlya-odyagu-sf3d2s?keyword=szf3d2s","5377")</f>
        <v>5377</v>
      </c>
      <c r="I23" s="27" t="str">
        <f aca="false">HYPERLINK("http://centrmebliv.com.ua/mebli-dlya-spalni/komody/mebli-gerbor-gerbor-s-015-sonata-_komod-8/s?keyword=%D1%81%D0%BE%D0%BD%D0%B0%D1%82%D0%B0","5683")</f>
        <v>5683</v>
      </c>
      <c r="J23" s="27" t="str">
        <f aca="false">HYPERLINK("http://centrmebliv.com.ua/ofisni-mebli/ofisni-stoly-vid-modulnyh-system/gerbor/brw-kaspian-stil-pysmovyy-biu-1d1s-120?keyword=%D0%BA%D0%B0%D1%81%D0%BF%D1%96%D0%B0%D0%BD","3002")</f>
        <v>3002</v>
      </c>
      <c r="K23" s="83"/>
      <c r="L23" s="83"/>
      <c r="M23" s="27" t="str">
        <f aca="false">HYPERLINK("http://centrmebliv.com.ua/mebli-dlya-vitalni/stinky/mebli-gerbor-gerbor-kvatro","3007")</f>
        <v>3007</v>
      </c>
      <c r="N23" s="27"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32" t="str">
        <f aca="false">HYPERLINK("https://letromebel.com.ua/p566111870-tumba-rtv2d2s415-atsteka.html","3699")</f>
        <v>3699</v>
      </c>
      <c r="D24" s="32" t="str">
        <f aca="false">HYPERLINK("https://letromebel.com.ua/p566126810-komod-kom4s811-atsteka.html","4546")</f>
        <v>4546</v>
      </c>
      <c r="E24" s="32" t="str">
        <f aca="false">HYPERLINK("https://letromebel.com.ua/p566921861-komod-jkom4s80-indiana.html","3755")</f>
        <v>3755</v>
      </c>
      <c r="F24" s="32" t="str">
        <f aca="false">HYPERLINK("https://letromebel.com.ua/p566921329-stol-pismennyj-jbiu2d2s140.html","5473")</f>
        <v>5473</v>
      </c>
      <c r="G24" s="32" t="str">
        <f aca="false">HYPERLINK("https://letromebel.com.ua/p445989920-komod-kom-dzhuli.html","2225")</f>
        <v>2225</v>
      </c>
      <c r="H24" s="32" t="str">
        <f aca="false">HYPERLINK("https://letromebel.com.ua/p567177190-shkaf-szf3d2s-porto.html","5666")</f>
        <v>5666</v>
      </c>
      <c r="I24" s="83"/>
      <c r="J24" s="83"/>
      <c r="K24" s="96" t="str">
        <f aca="false">HYPERLINK("https://letromebel.com.ua/p441285622-prihozhaya-ppk-nepo.html","1963")</f>
        <v>1963</v>
      </c>
      <c r="L24" s="95" t="str">
        <f aca="false">HYPERLINK("https://letromebel.com.ua/p822866700-stenka-gostinuyu-alyaska.html","7644")</f>
        <v>7644</v>
      </c>
      <c r="M24" s="30" t="str">
        <f aca="false">HYPERLINK("https://letromebel.com.ua/p436378844-stenka-kvatro-venge.html","3373")</f>
        <v>3373</v>
      </c>
      <c r="N24" s="32" t="str">
        <f aca="false">HYPERLINK("https://letromebel.com.ua/p332640892-bufet-kom1w2d2s-vusher.html","4520")</f>
        <v>4520</v>
      </c>
    </row>
    <row r="25" customFormat="false" ht="27" hidden="false" customHeight="true" outlineLevel="0" collapsed="false">
      <c r="A25" s="78" t="s">
        <v>26</v>
      </c>
      <c r="B25" s="147" t="s">
        <v>139</v>
      </c>
      <c r="C25" s="153" t="str">
        <f aca="false">HYPERLINK("https://shurup.net.ua/azteca-acteka-tumba-rtv2d2s415.p17205","3686")</f>
        <v>3686</v>
      </c>
      <c r="D25" s="153" t="str">
        <f aca="false">HYPERLINK("https://shurup.net.ua/azteca-acteka-komod-kom4s811.p17200","4233")</f>
        <v>4233</v>
      </c>
      <c r="E25" s="32" t="str">
        <f aca="false">HYPERLINK("https://shurup.net.ua/komod-jkom-4s80-indiana-sosna-kanon.p9412","3755")</f>
        <v>3755</v>
      </c>
      <c r="F25" s="153" t="str">
        <f aca="false">HYPERLINK("https://shurup.net.ua/stol-pismennyj-jbiu-2d2s-140-indiana-dub-shutter.p5488","5323")</f>
        <v>5323</v>
      </c>
      <c r="G25" s="32" t="str">
        <f aca="false">HYPERLINK("https://shurup.net.ua/komod-kom-4s-90-dzhuli.p7011","2225")</f>
        <v>2225</v>
      </c>
      <c r="H25" s="32" t="str">
        <f aca="false">HYPERLINK("https://shurup.net.ua/shkaf-szf3d2s-porto.p24169","5666")</f>
        <v>5666</v>
      </c>
      <c r="I25" s="32" t="str">
        <f aca="false">HYPERLINK("https://shurup.net.ua/komod-8s-sonata.p1034","6243")</f>
        <v>6243</v>
      </c>
      <c r="J25" s="155" t="str">
        <f aca="false">HYPERLINK("https://shurup.net.ua/stol-pismennyj-biu-1d1s-120-kaspian-dub-sonoma.p6492","3141")</f>
        <v>3141</v>
      </c>
      <c r="K25" s="32" t="str">
        <f aca="false">HYPERLINK("https://shurup.net.ua/prihozhaya-rrk-nepo.p13611","2046")</f>
        <v>2046</v>
      </c>
      <c r="L25" s="32" t="str">
        <f aca="false">HYPERLINK("https://shurup.net.ua/gostinaja-aljaska.p28551","7943")</f>
        <v>7943</v>
      </c>
      <c r="M25" s="32" t="str">
        <f aca="false">HYPERLINK("https://shurup.net.ua/gostinaya-kvatro-venge-magiya.p836","3373")</f>
        <v>3373</v>
      </c>
      <c r="N25" s="32" t="str">
        <f aca="false">HYPERLINK("https://shurup.net.ua/komod-kom1w2d2s-9-15-vusher.p1953","4520")</f>
        <v>4520</v>
      </c>
    </row>
    <row r="26" customFormat="false" ht="36.75" hidden="false" customHeight="true" outlineLevel="0" collapsed="false">
      <c r="A26" s="105" t="s">
        <v>41</v>
      </c>
      <c r="B26" s="162" t="s">
        <v>143</v>
      </c>
      <c r="C26" s="83"/>
      <c r="D26" s="83"/>
      <c r="E26" s="83"/>
      <c r="F26" s="83"/>
      <c r="G26" s="83"/>
      <c r="H26" s="83"/>
      <c r="I26" s="83"/>
      <c r="J26" s="83"/>
      <c r="K26" s="44" t="str">
        <f aca="false">HYPERLINK("https://www.taburetka.ua/prihozhie-40/prihozhaya-ppk-nepo-2914","1925")</f>
        <v>1925</v>
      </c>
      <c r="L26" s="83"/>
      <c r="M26" s="95" t="str">
        <f aca="false">HYPERLINK("https://www.taburetka.ua/gostinye-600/gostinaya-kvatro-2834","3060")</f>
        <v>3060</v>
      </c>
      <c r="N26" s="27" t="str">
        <f aca="false">HYPERLINK("https://www.taburetka.ua/komody-i-tumby-35/komod-kom1w2d2s-vusher-2974","4255")</f>
        <v>4255</v>
      </c>
    </row>
    <row r="27" customFormat="false" ht="37.5" hidden="false" customHeight="true" outlineLevel="0" collapsed="false">
      <c r="A27" s="106" t="s">
        <v>42</v>
      </c>
      <c r="B27" s="163" t="s">
        <v>144</v>
      </c>
      <c r="C27" s="153" t="str">
        <f aca="false">HYPERLINK("http://www.maxidom.com.ua/tumba-rtv-atsteka-2d2s415.html?search_string=%D2%F3%EC%E1%E0+%D0%D2%C2+%C0%F6%F2%E5%EA%E0+2D2S%2F4%2F15","3686")</f>
        <v>3686</v>
      </c>
      <c r="D27" s="164" t="str">
        <f aca="false">HYPERLINK("http://www.maxidom.com.ua/komod-atsteka-kom4s811.html?search_string=%CA%EE%EC%EE%E4+%C0%F6%F2%E5%EA%E0+KOM4S%2F8%2F11","4233")</f>
        <v>4233</v>
      </c>
      <c r="E27" s="44" t="str">
        <f aca="false">HYPERLINK("http://www.maxidom.com.ua/komod_indiana_jkom4s80.html?search_string=%CA%EE%EC%EE%E4+%C8%ED%E4%E8%E0%ED%E0+JKOM4s%2F80","3562")</f>
        <v>3562</v>
      </c>
      <c r="F27" s="44" t="str">
        <f aca="false">HYPERLINK("http://www.maxidom.com.ua/stol_pismenniy_indiana_jbiu2d2s.html?search_string=%D1%F2%EE%EB+%EF%E8%F1%FC%EC%E5%ED%ED%FB%E9+%C8%ED%E4%E8%E0%ED%E0+JBIU2d2s","5158")</f>
        <v>5158</v>
      </c>
      <c r="G27" s="39" t="str">
        <f aca="false">HYPERLINK("http://www.maxidom.com.ua/komod-kom4s90-dzhuli.html?search_string=%CA%EE%EC%EE%E4+KOM4S%2F90+%C4%E6%F3%EB%E8","2225")</f>
        <v>2225</v>
      </c>
      <c r="H27" s="39" t="str">
        <f aca="false">HYPERLINK("http://www.maxidom.com.ua/shkaf-porto-porto-szf3d2s.html?search_string=%D8%EA%E0%F4+%CF%EE%F0%F2%EE+%28Porto%29+SZF3D2S","5666")</f>
        <v>5666</v>
      </c>
      <c r="I27" s="164" t="str">
        <f aca="false">HYPERLINK("http://www.maxidom.com.ua/komod-sonata-8s.html?search_string=%CA%EE%EC%EE%E4+%D1%EE%ED%E0%F2%E0+8s","5870")</f>
        <v>5870</v>
      </c>
      <c r="J27" s="164" t="str">
        <f aca="false">HYPERLINK("http://www.maxidom.com.ua/stol-pismenniy-biu-1d1s-kaspian-kaspian.html?search_string=%D1%F2%EE%EB+%EF%E8%F1%FC%EC%E5%ED%ED%FB%E9+BIU+1D1S+%CA%E0%F1%EF%E8%E0%ED+%28Kaspian%29","3002")</f>
        <v>3002</v>
      </c>
      <c r="K27" s="44" t="str">
        <f aca="false">HYPERLINK("http://www.maxidom.com.ua/prihozhaya-nepo-ppk.html?search_string=%CF%F0%E8%F5%EE%E6%E0%FF+%CD%E5%EF%EE+PPK","1963")</f>
        <v>1963</v>
      </c>
      <c r="L27" s="44" t="str">
        <f aca="false">HYPERLINK("http://www.maxidom.com.ua/stenka-alyaska.html?search_string=%D1%F2%E5%ED%EA%E0+%C0%EB%FF%F1%EA%E0","7644")</f>
        <v>7644</v>
      </c>
      <c r="M27" s="27" t="str">
        <f aca="false">HYPERLINK("http://www.maxidom.com.ua/stenka-kvatro.html?search_string=%D1%F2%E5%ED%EA%E0+%CA%E2%E0%F2%F0%EE","3002")</f>
        <v>3002</v>
      </c>
      <c r="N27" s="27" t="str">
        <f aca="false">HYPERLINK("http://www.maxidom.com.ua/komod-kom-1w2d2s-vusher.html?search_string=%CA%EE%EC%EE%E4+KOM+1W2D2S+%C2%F3%F8%E5%F0","4195")</f>
        <v>4195</v>
      </c>
    </row>
    <row r="28" customFormat="false" ht="42" hidden="false" customHeight="true" outlineLevel="0" collapsed="false">
      <c r="A28" s="106" t="s">
        <v>27</v>
      </c>
      <c r="B28" s="165" t="s">
        <v>145</v>
      </c>
      <c r="C28" s="32" t="str">
        <f aca="false">HYPERLINK("https://mebel-online.com.ua/tymba-rtv2d2s-4-15-azteca?filter_name=azteca","3699")</f>
        <v>3699</v>
      </c>
      <c r="D28" s="39" t="str">
        <f aca="false">HYPERLINK("https://mebel-online.com.ua/komod-kom4s-8-11-azteca?filter_name=azteca","4546")</f>
        <v>4546</v>
      </c>
      <c r="E28" s="32" t="str">
        <f aca="false">HYPERLINK("https://mebel-online.com.ua/p5228-komod_jkom_4s_80_indiana_brw?filter_name=%D0%B8%D0%BD%D0%B4%D0%B8%D0%B0%D0%BD%D0%B0","3755")</f>
        <v>3755</v>
      </c>
      <c r="F28" s="164" t="str">
        <f aca="false">HYPERLINK("https://mebel-online.com.ua/p5223-stol_pismenniy_jbiu_2d2s_140_indiana_brw?filter_name=%D0%B8%D0%BD%D0%B4%D0%B8%D0%B0%D0%BD%D0%B0","5323")</f>
        <v>5323</v>
      </c>
      <c r="G28" s="39" t="str">
        <f aca="false">HYPERLINK("https://mebel-online.com.ua/komod-kom4s-90-july?filter_name=july","2225")</f>
        <v>2225</v>
      </c>
      <c r="H28" s="39" t="str">
        <f aca="false">HYPERLINK("https://mebel-online.com.ua/shkaf-szf3d2s-porto?filter_name=SZF3D2S","5666")</f>
        <v>5666</v>
      </c>
      <c r="I28" s="39" t="str">
        <f aca="false">HYPERLINK("https://mebel-online.com.ua/p1728-gerbor_sonata_komod_8-s?filter_name=%D1%81%D0%BE%D0%BD%D0%B0%D1%82%D0%B0","6243")</f>
        <v>6243</v>
      </c>
      <c r="J28" s="111"/>
      <c r="K28" s="32" t="str">
        <f aca="false">HYPERLINK("https://mebel-online.com.ua/prihozhaya-gerbor-ppk-nepo?filter_name=%D0%BD%D0%B5%D0%BF%D0%BE","2046")</f>
        <v>2046</v>
      </c>
      <c r="L28" s="45" t="str">
        <f aca="false">HYPERLINK("https://mebel-online.com.ua/stenka-aliaska-brw%20?filter_name=%D0%B0%D0%BB%D1%8F%D1%81%D0%BA%D0%B0","7644")</f>
        <v>7644</v>
      </c>
      <c r="M28" s="32" t="str">
        <f aca="false">HYPERLINK("https://mebel-online.com.ua/stenka-kvatro-gerbor?filter_name=%D0%BA%D0%B2%D0%B0%D1%82%D1%80%D0%BE","3373")</f>
        <v>3373</v>
      </c>
      <c r="N28" s="32" t="str">
        <f aca="false">HYPERLINK("https://mebel-online.com.ua/komod-kom-1w2d2s-vusher-gerbor?filter_name=%D0%B2%D1%83%D1%88%D0%B5%D1%80","4520")</f>
        <v>4520</v>
      </c>
    </row>
    <row r="29" customFormat="false" ht="15.75" hidden="false" customHeight="true" outlineLevel="0" collapsed="false">
      <c r="A29" s="88" t="s">
        <v>43</v>
      </c>
      <c r="B29" s="146"/>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K3" r:id="rId7" display="https://brwmania.com.ua/gostinaja/modulnye-gostinye/sistema_nepo/gerbor-gerbor-prihozhaya-nepo-nepo-ppk-dub-sonoma/"/>
    <hyperlink ref="A4" r:id="rId8" display="http://redlight.com.ua/"/>
    <hyperlink ref="A5" r:id="rId9" display="https://mebli-bristol.com.ua/"/>
    <hyperlink ref="A6" r:id="rId10" display="http://gerbor.kiev.ua/"/>
    <hyperlink ref="A7" r:id="rId11" display="http://www.brwland.com.ua/"/>
    <hyperlink ref="A8" r:id="rId12" display="http://gerbor.dp.ua/"/>
    <hyperlink ref="A9" r:id="rId13" display="https://www.dybok.com.ua/"/>
    <hyperlink ref="D9" r:id="rId14" display="https://www.dybok.com.ua/ru/product/detail/35870"/>
    <hyperlink ref="E9" r:id="rId15" display="https://www.dybok.com.ua/ru/product/detail/55516"/>
    <hyperlink ref="F9" r:id="rId16" display="https://www.dybok.com.ua/ru/product/detail/4291"/>
    <hyperlink ref="G9" r:id="rId17" display="https://www.dybok.com.ua/ru/product/detail/9798"/>
    <hyperlink ref="H9" r:id="rId18" display="https://www.dybok.com.ua/ru/product/detail/35840"/>
    <hyperlink ref="I9" r:id="rId19" display="https://www.dybok.com.ua/ru/product/detail/261"/>
    <hyperlink ref="K9" r:id="rId20" display="https://www.dybok.com.ua/ru/product/detail/18085"/>
    <hyperlink ref="L9" r:id="rId21" display="https://www.dybok.com.ua/ru/product/detail/50410"/>
    <hyperlink ref="A10" r:id="rId22" display="https://vashamebel.in.ua/"/>
    <hyperlink ref="J10" r:id="rId23" display="0 грн"/>
    <hyperlink ref="A11" r:id="rId24" display="http://mebel-mebel.com.ua/"/>
    <hyperlink ref="L11" r:id="rId25" display="https://mebel-mebel.com.ua/eshop/dom-stenki-dlia-gostinoi/gostinaya_alyaska-id50834.html"/>
    <hyperlink ref="A12" r:id="rId26" display="http://abcmebli.com.ua"/>
    <hyperlink ref="A13" r:id="rId27" display="https://gerbor.mebelok.com/"/>
    <hyperlink ref="A14" r:id="rId28" display="http://maxmebel.com.ua/"/>
    <hyperlink ref="A15" r:id="rId29" display="https://moyamebel.com.ua/ua"/>
    <hyperlink ref="A16" r:id="rId30" display="https://mebel-soyuz.com.ua/"/>
    <hyperlink ref="A17" r:id="rId31" display="https://sofino.ua/"/>
    <hyperlink ref="A18" r:id="rId32" display="https://www.brw-kiev.com.ua/"/>
    <hyperlink ref="A19" r:id="rId33" display="https://brw.kiev.ua/"/>
    <hyperlink ref="A20" r:id="rId34" display="http://brw.com.ua/"/>
    <hyperlink ref="A21" r:id="rId35" display="https://mebelstyle.net/"/>
    <hyperlink ref="A22" r:id="rId36" display="https://lvivmebli.com/"/>
    <hyperlink ref="A23" r:id="rId37" display="http://centrmebliv.com.ua/"/>
    <hyperlink ref="A24" r:id="rId38" display="https://letromebel.com.ua/"/>
    <hyperlink ref="A25" r:id="rId39" display="https://shurup.net.ua/"/>
    <hyperlink ref="A26" r:id="rId40" display="https://www.taburetka.ua"/>
    <hyperlink ref="A27" r:id="rId41" display="http://www.maxidom.com.ua/"/>
    <hyperlink ref="A28" r:id="rId42" display="https://mebel-online.com.ua"/>
    <hyperlink ref="A29" r:id="rId43" display="https://mebelnuy.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 collapsed="false" customWidth="true" hidden="false" outlineLevel="0" max="15" min="15" style="0" width="20.43"/>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8" t="n">
        <v>3699</v>
      </c>
      <c r="D2" s="8" t="n">
        <v>4546</v>
      </c>
      <c r="E2" s="8" t="n">
        <v>3755</v>
      </c>
      <c r="F2" s="8" t="n">
        <v>5473</v>
      </c>
      <c r="G2" s="8" t="n">
        <v>2225</v>
      </c>
      <c r="H2" s="8" t="n">
        <v>5666</v>
      </c>
      <c r="I2" s="8" t="n">
        <v>6243</v>
      </c>
      <c r="J2" s="8" t="n">
        <v>3161</v>
      </c>
      <c r="K2" s="10" t="n">
        <v>2046</v>
      </c>
      <c r="L2" s="10" t="n">
        <v>7943</v>
      </c>
      <c r="M2" s="10" t="n">
        <v>3373</v>
      </c>
      <c r="N2" s="10" t="n">
        <v>4520</v>
      </c>
    </row>
    <row r="3" customFormat="false" ht="48" hidden="false" customHeight="true" outlineLevel="0" collapsed="false">
      <c r="A3" s="78" t="s">
        <v>28</v>
      </c>
      <c r="B3" s="147" t="s">
        <v>127</v>
      </c>
      <c r="C3" s="80" t="str">
        <f aca="false">HYPERLINK("https://brwmania.com.ua/gostinaja/modulnye-gostinye/sistema-azteka/tumba-pod-tv-acteka-rtv2d2s415/","3699")</f>
        <v>3699</v>
      </c>
      <c r="D3" s="80" t="str">
        <f aca="false">HYPERLINK("https://brwmania.com.ua/gostinaja/modulnye-gostinye/sistema-azteka/komod-acteka-kom4s811/","4546")</f>
        <v>4546</v>
      </c>
      <c r="E3" s="80" t="str">
        <f aca="false">HYPERLINK("https://brwmania.com.ua/gostinaja/modulnye-gostinye/sistema-indiana-indiana---dub-shuter/indiana-dub-shuter-laminat-j-011-komod-jkom-4s-80/","3755")</f>
        <v>3755</v>
      </c>
      <c r="F3" s="80" t="str">
        <f aca="false">HYPERLINK("https://brwmania.com.ua/gostinaja/modulnye-gostinye/sistema-indiana-indiana---dub-shuter/indiana-dub-shuter-laminat-j-007-stol-pismennyy-jbiu-2d2s-140/","5473")</f>
        <v>5473</v>
      </c>
      <c r="G3" s="80" t="str">
        <f aca="false">HYPERLINK("https://brwmania.com.ua/gostinaja/modulnye-gostinye/sistema_dzhuli/komod-dzhuli-july-kom4s-90/","2225")</f>
        <v>2225</v>
      </c>
      <c r="H3" s="80" t="str">
        <f aca="false">HYPERLINK("https://brwmania.com.ua/gostinaja/modulnye-gostinye/tovar-novij/shkaf-platjanoj-porto-szf3d2s/","5666")</f>
        <v>5666</v>
      </c>
      <c r="I3" s="80" t="str">
        <f aca="false">HYPERLINK("https://brwmania.com.ua/gostinaja/modulnye-gostinye/sistema-sonata-sonata/s-015-sonata-komod-8-s/","6243")</f>
        <v>6243</v>
      </c>
      <c r="J3" s="80" t="str">
        <f aca="false">HYPERLINK("https://brwmania.com.ua/gostinaja/modulnye-gostinye/sistema_kaspian_dub_sonoma/kaspian-dub-sonoma-jm-007-stol-pismennyy-biu-1d1s/","3161")</f>
        <v>3161</v>
      </c>
      <c r="K3" s="15" t="n">
        <v>2046</v>
      </c>
      <c r="L3" s="80" t="str">
        <f aca="false">HYPERLINK("https://brwmania.com.ua/gostinaja/komplekty-gostinyh/aljaska-alaska-gostinaja/","7943")</f>
        <v>7943</v>
      </c>
      <c r="M3" s="80" t="str">
        <f aca="false">HYPERLINK("https://brwmania.com.ua/gostinaja/komplekty-gostinyh/stinka-kvatro-venge-magia/","3373")</f>
        <v>3373</v>
      </c>
      <c r="N3" s="80" t="str">
        <f aca="false">HYPERLINK("https://brwmania.com.ua/gostinaja/modulnye-gostinye/sistema-vusher-vusher/010-vusher-komod-kom-1w2d2s/","4520")</f>
        <v>4520</v>
      </c>
    </row>
    <row r="4" customFormat="false" ht="60.75" hidden="false" customHeight="true" outlineLevel="0" collapsed="false">
      <c r="A4" s="78" t="s">
        <v>29</v>
      </c>
      <c r="B4" s="147" t="s">
        <v>128</v>
      </c>
      <c r="C4" s="35" t="str">
        <f aca="false">HYPERLINK("http://redlight.com.ua/tv-stands/item-tumba-tv-rtv2d2s-4-15-atsteka","3699")</f>
        <v>3699</v>
      </c>
      <c r="D4" s="32" t="str">
        <f aca="false">HYPERLINK("http://redlight.com.ua/komod/item-komod-kom4s-8-11-atsteka","4546")</f>
        <v>4546</v>
      </c>
      <c r="E4" s="32" t="str">
        <f aca="false">HYPERLINK("http://redlight.com.ua/komod/item-komod-jkom-4s-80-indiana","3755")</f>
        <v>3755</v>
      </c>
      <c r="F4" s="32" t="str">
        <f aca="false">HYPERLINK("http://redlight.com.ua/stoly/item-stol-pismenniy-jbiu-2d2s-indiana","5473")</f>
        <v>5473</v>
      </c>
      <c r="G4" s="32" t="str">
        <f aca="false">HYPERLINK("http://redlight.com.ua/komod/item-komod-kom4s-90-dzhuli","2225")</f>
        <v>2225</v>
      </c>
      <c r="H4" s="32" t="str">
        <f aca="false">HYPERLINK("http://redlight.com.ua/raspashnyye-shkafy/item-porto-shkaf-szf3d2s","5666")</f>
        <v>5666</v>
      </c>
      <c r="I4" s="32" t="str">
        <f aca="false">HYPERLINK("http://redlight.com.ua/komod/item-komod-8s-sonata-","6243")</f>
        <v>6243</v>
      </c>
      <c r="J4" s="30" t="str">
        <f aca="false">HYPERLINK("http://redlight.com.ua/stoly/item-kaspian-pismenniy-stol-biu-1d1s-120-kaspian","3161")</f>
        <v>3161</v>
      </c>
      <c r="K4" s="32" t="str">
        <f aca="false">HYPERLINK("http://redlight.com.ua/prihozhie/item-nepo-prihozhaya-rrk-","2046")</f>
        <v>2046</v>
      </c>
      <c r="L4" s="95" t="str">
        <f aca="false">HYPERLINK("http://redlight.com.ua/stenki/item-stenka-alyaska","7644")</f>
        <v>7644</v>
      </c>
      <c r="M4" s="32" t="str">
        <f aca="false">HYPERLINK("http://redlight.com.ua/stenki/item-stenka-kvatro","3373")</f>
        <v>3373</v>
      </c>
      <c r="N4" s="19" t="str">
        <f aca="false">HYPERLINK("https://redlight.com.ua/komod/item-tumba-kom-1w2d2s-9-15-vusher","4520")</f>
        <v>4520</v>
      </c>
    </row>
    <row r="5" customFormat="false" ht="63" hidden="false" customHeight="true" outlineLevel="0" collapsed="false">
      <c r="A5" s="78" t="s">
        <v>30</v>
      </c>
      <c r="B5" s="148" t="s">
        <v>129</v>
      </c>
      <c r="C5" s="32" t="str">
        <f aca="false">HYPERLINK("https://mebli-bristol.com.ua/acteka-tumba-rtv-2d2s-4-15-brv-ukraina.html","3699")</f>
        <v>3699</v>
      </c>
      <c r="D5" s="32" t="str">
        <f aca="false">HYPERLINK("https://mebli-bristol.com.ua/acteka-komod-kom-4s-8-11-brv-ukraina.html","4586")</f>
        <v>4586</v>
      </c>
      <c r="E5" s="32" t="str">
        <f aca="false">HYPERLINK("https://mebli-bristol.com.ua/indiana-komod-jkom-4s-80-sosna-kan-jon-brv-ukraina.html","3755")</f>
        <v>3755</v>
      </c>
      <c r="F5" s="32" t="str">
        <f aca="false">HYPERLINK("https://mebli-bristol.com.ua/indiana-stil-pis-movij-jbiu-2d2s-140-sosna-kan-jon-brv-ukraina.html","5473")</f>
        <v>5473</v>
      </c>
      <c r="G5" s="32" t="str">
        <f aca="false">HYPERLINK("https://mebli-bristol.com.ua/dzhuli-komod-kom-4s-90-brv-ukraina.html","2225")</f>
        <v>2225</v>
      </c>
      <c r="H5" s="32" t="str">
        <f aca="false">HYPERLINK("https://mebli-bristol.com.ua/porto-shafa-szf-3d2s-brv-ukraina.html","5666")</f>
        <v>5666</v>
      </c>
      <c r="I5" s="32" t="str">
        <f aca="false">HYPERLINK("https://mebli-bristol.com.ua/sonata-komod-8s-gerbor.html","6243")</f>
        <v>6243</v>
      </c>
      <c r="J5" s="32" t="str">
        <f aca="false">HYPERLINK("https://mebli-bristol.com.ua/kaspian-stil-pis-movij-biu-1d1s-120-dub-sonoma-brv-ukraina.html","3161")</f>
        <v>3161</v>
      </c>
      <c r="K5" s="95" t="str">
        <f aca="false">HYPERLINK("https://mebli-bristol.com.ua/nepo-peredpokij-ppk-gerbor-9728.html","1971")</f>
        <v>1971</v>
      </c>
      <c r="L5" s="32" t="str">
        <f aca="false">HYPERLINK("https://mebli-bristol.com.ua/aljaska-brv-ukraina.html","7964")</f>
        <v>7964</v>
      </c>
      <c r="M5" s="32" t="str">
        <f aca="false">HYPERLINK("https://mebli-bristol.com.ua/kvatro-gerbor.html","3373")</f>
        <v>3373</v>
      </c>
      <c r="N5" s="32" t="str">
        <f aca="false">HYPERLINK("https://mebli-bristol.com.ua/vusher-komod-kom-1w-2d2s-gerbor.html","4520")</f>
        <v>4520</v>
      </c>
    </row>
    <row r="6" customFormat="false" ht="60" hidden="false" customHeight="true" outlineLevel="0" collapsed="false">
      <c r="A6" s="78" t="s">
        <v>17</v>
      </c>
      <c r="B6" s="149" t="s">
        <v>130</v>
      </c>
      <c r="C6" s="32" t="str">
        <f aca="false">HYPERLINK("https://gerbor.kiev.ua/mebelnye-sistemy/mebel-brw-azteca/azteca-tumba-tv-rtv2d2s-brv/","3699")</f>
        <v>3699</v>
      </c>
      <c r="D6" s="32" t="str">
        <f aca="false">HYPERLINK("https://gerbor.kiev.ua/mebelnye-sistemy/mebel-brw-azteca/azteca-komod-kom4s-brv/","4546")</f>
        <v>4546</v>
      </c>
      <c r="E6" s="32" t="str">
        <f aca="false">HYPERLINK("https://gerbor.kiev.ua/mebelnye-sistemy/mebel-indiana-brw/indiana-komod-jkom4s80-brv/","3755")</f>
        <v>3755</v>
      </c>
      <c r="F6" s="32" t="str">
        <f aca="false">HYPERLINK("https://gerbor.kiev.ua/mebelnye-sistemy/mebel-indiana-brw/indiana-stol-pismennyy-jbiu2d2s140-brv/","5473")</f>
        <v>5473</v>
      </c>
      <c r="G6" s="32" t="str">
        <f aca="false">HYPERLINK("https://gerbor.kiev.ua/mebelnye-sistemy/mebel-july-brw/july-komod-kom4s90-brv/","2225")</f>
        <v>2225</v>
      </c>
      <c r="H6" s="32" t="str">
        <f aca="false">HYPERLINK("https://gerbor.kiev.ua/mebelnye-sistemy/mebel-porto-brv/porto-shkaf-szf3d2s-brv/","5666")</f>
        <v>5666</v>
      </c>
      <c r="I6" s="32" t="str">
        <f aca="false">HYPERLINK("https://gerbor.kiev.ua/mebelnye-sistemy/mebel-sonata-gerbor/sonata-komod-8s-gerbor/","6243")</f>
        <v>6243</v>
      </c>
      <c r="J6" s="32" t="str">
        <f aca="false">HYPERLINK("https://gerbor.kiev.ua/mebelnye-sistemy/mebel-kaspian-sonoma-brw/kaspian-sonoma-stol-pismennyy-biu1d1s-brv/","3161")</f>
        <v>3161</v>
      </c>
      <c r="K6" s="32" t="str">
        <f aca="false">HYPERLINK("https://gerbor.kiev.ua/mebelnye-sistemy/mebel-nepo-gerbor/nepo-prikhozhaya-ppk-gerbor/","2046")</f>
        <v>2046</v>
      </c>
      <c r="L6" s="32" t="str">
        <f aca="false">HYPERLINK("https://gerbor.kiev.ua/mebelnye-sistemy/mebel-alaska-brw/alaska-gostinaya-brw/","7964")</f>
        <v>7964</v>
      </c>
      <c r="M6" s="83"/>
      <c r="N6" s="32" t="str">
        <f aca="false">HYPERLINK("https://gerbor.kiev.ua/mebelnye-sistemy/mebel-vusher-gerbor/vusher-komod-kom1w2d2s-gerbor/","4520")</f>
        <v>4520</v>
      </c>
    </row>
    <row r="7" customFormat="false" ht="63" hidden="false" customHeight="true" outlineLevel="0" collapsed="false">
      <c r="A7" s="78" t="s">
        <v>18</v>
      </c>
      <c r="B7" s="150" t="s">
        <v>131</v>
      </c>
      <c r="C7" s="32" t="str">
        <f aca="false">HYPERLINK("http://www.brwland.com.ua/product/azteca-tumba-tv-rtv2d2s415-brv-ukraina/","3699")</f>
        <v>3699</v>
      </c>
      <c r="D7" s="32" t="str">
        <f aca="false">HYPERLINK("http://www.brwland.com.ua/product/azteca-komod-kom4s811-brv-ukraina/","4546")</f>
        <v>4546</v>
      </c>
      <c r="E7" s="32" t="str">
        <f aca="false">HYPERLINK("http://www.brwland.com.ua/product/mebel-indiana-komod-jkom-4s-80-gerbor/","3755")</f>
        <v>3755</v>
      </c>
      <c r="F7" s="32" t="str">
        <f aca="false">HYPERLINK("http://www.brwland.com.ua/product/mebel-indiana-stol-pismennyj-jbiu-2d2s-140-gerbor/","5473")</f>
        <v>5473</v>
      </c>
      <c r="G7" s="32" t="str">
        <f aca="false">HYPERLINK("http://www.brwland.com.ua/product/dzhuli-komod-kom4s90-brv-ukraina/","2225")</f>
        <v>2225</v>
      </c>
      <c r="H7" s="32" t="str">
        <f aca="false">HYPERLINK("http://www.brwland.com.ua/product/porto-shkaf-szf3d2s-brv-ukraina/","5666")</f>
        <v>5666</v>
      </c>
      <c r="I7" s="32" t="str">
        <f aca="false">HYPERLINK("http://www.brwland.com.ua/product/komod-8s-sonata-gerbor/","6243")</f>
        <v>6243</v>
      </c>
      <c r="J7" s="32" t="str">
        <f aca="false">HYPERLINK("http://www.brwland.com.ua/product/kaspian-sonoma-stol-pismennyj-biu1d1s-brv-ukraina/","3161")</f>
        <v>3161</v>
      </c>
      <c r="K7" s="32" t="str">
        <f aca="false">HYPERLINK("http://www.brwland.com.ua/product/nepo-prihozhaja-ppk-gerbor/","2046")</f>
        <v>2046</v>
      </c>
      <c r="L7" s="32" t="str">
        <f aca="false">HYPERLINK("http://www.brwland.com.ua/product/gostinaja-aljaska-brv-ukraina/","7964")</f>
        <v>7964</v>
      </c>
      <c r="M7" s="95" t="str">
        <f aca="false">HYPERLINK("http://www.brwland.com.ua/product/komplekt-quatro/","3151")</f>
        <v>3151</v>
      </c>
      <c r="N7" s="32" t="str">
        <f aca="false">HYPERLINK("http://www.brwland.com.ua/product/vusher-bufet-kom1w2d2s915-gerbor/","4520")</f>
        <v>4520</v>
      </c>
    </row>
    <row r="8" customFormat="false" ht="60" hidden="false" customHeight="true" outlineLevel="0" collapsed="false">
      <c r="A8" s="78" t="s">
        <v>31</v>
      </c>
      <c r="B8" s="147" t="s">
        <v>128</v>
      </c>
      <c r="C8" s="32" t="str">
        <f aca="false">HYPERLINK("http://gerbor.dp.ua/index.php?route=product/product&amp;product_id=3138","3343")</f>
        <v>3343</v>
      </c>
      <c r="D8" s="32" t="str">
        <f aca="false">HYPERLINK("http://gerbor.dp.ua/index.php?route=product/product&amp;product_id=3131","3924")</f>
        <v>3924</v>
      </c>
      <c r="E8" s="32" t="str">
        <f aca="false">HYPERLINK("http://gerbor.dp.ua/index.php?route=product/product&amp;product_id=1730","3562")</f>
        <v>3562</v>
      </c>
      <c r="F8" s="32" t="str">
        <f aca="false">HYPERLINK("http://gerbor.dp.ua/index.php?route=product/product&amp;product_id=1725","5158")</f>
        <v>5158</v>
      </c>
      <c r="G8" s="32" t="str">
        <f aca="false">HYPERLINK("http://gerbor.dp.ua/index.php?route=product/product&amp;product_id=1755","2098")</f>
        <v>2098</v>
      </c>
      <c r="H8" s="32" t="str">
        <f aca="false">HYPERLINK("http://gerbor.dp.ua/index.php?route=product/product&amp;product_id=3905","5377")</f>
        <v>5377</v>
      </c>
      <c r="I8" s="32" t="str">
        <f aca="false">HYPERLINK("http://gerbor.dp.ua/index.php?route=product/product&amp;product_id=2156","5683")</f>
        <v>5683</v>
      </c>
      <c r="J8" s="32" t="str">
        <f aca="false">HYPERLINK("http://gerbor.dp.ua/index.php?route=product/product&amp;product_id=2819","3002")</f>
        <v>3002</v>
      </c>
      <c r="K8" s="32" t="str">
        <f aca="false">HYPERLINK("http://gerbor.dp.ua/index.php?route=product/product&amp;product_id=3473&amp;search=%D0%BD%D0%B5%D0%BF%D0%BE","1963")</f>
        <v>1963</v>
      </c>
      <c r="L8" s="32" t="str">
        <f aca="false">HYPERLINK("http://gerbor.dp.ua/index.php?route=product/product&amp;product_id=3031","7644")</f>
        <v>7644</v>
      </c>
      <c r="M8" s="32" t="str">
        <f aca="false">HYPERLINK("http://gerbor.dp.ua/index.php?route=product/product&amp;product_id=2040","3007")</f>
        <v>3007</v>
      </c>
      <c r="N8" s="32" t="str">
        <f aca="false">HYPERLINK("http://gerbor.dp.ua/index.php?route=product/product&amp;product_id=2775","4195")</f>
        <v>4195</v>
      </c>
      <c r="O8" s="166" t="s">
        <v>146</v>
      </c>
    </row>
    <row r="9" customFormat="false" ht="56.25" hidden="false" customHeight="true" outlineLevel="0" collapsed="false">
      <c r="A9" s="105" t="s">
        <v>32</v>
      </c>
      <c r="B9" s="151" t="s">
        <v>132</v>
      </c>
      <c r="C9" s="34" t="str">
        <f aca="false">HYPERLINK("https://www.dybok.com.ua/ru/product/detail/35816","3693")</f>
        <v>3693</v>
      </c>
      <c r="D9" s="90" t="n">
        <v>4240</v>
      </c>
      <c r="E9" s="90" t="n">
        <v>3229</v>
      </c>
      <c r="F9" s="152" t="n">
        <v>5334</v>
      </c>
      <c r="G9" s="82" t="n">
        <v>2230</v>
      </c>
      <c r="H9" s="82" t="n">
        <v>5675</v>
      </c>
      <c r="I9" s="152" t="n">
        <v>5880</v>
      </c>
      <c r="J9" s="95" t="str">
        <f aca="false">HYPERLINK("https://www.dybok.com.ua/","3006")</f>
        <v>3006</v>
      </c>
      <c r="K9" s="90" t="n">
        <v>1931</v>
      </c>
      <c r="L9" s="16" t="n">
        <v>7959</v>
      </c>
      <c r="M9" s="153" t="str">
        <f aca="false">HYPERLINK("https://www.dybok.com.ua/ru/product/detail/6077","3249")</f>
        <v>3249</v>
      </c>
      <c r="N9" s="153" t="str">
        <f aca="false">HYPERLINK("https://www.dybok.com.ua/ru/product/detail/7086","4268")</f>
        <v>4268</v>
      </c>
    </row>
    <row r="10" customFormat="false" ht="61.5" hidden="false" customHeight="true" outlineLevel="0" collapsed="false">
      <c r="A10" s="78" t="s">
        <v>19</v>
      </c>
      <c r="B10" s="154" t="s">
        <v>133</v>
      </c>
      <c r="C10" s="155" t="str">
        <f aca="false">HYPERLINK("https://vashamebel.in.ua/tumba-tv-brv-atsteka-rtv2d2s415/p12722","3686")</f>
        <v>3686</v>
      </c>
      <c r="D10" s="30" t="str">
        <f aca="false">HYPERLINK("https://vashamebel.in.ua/komod-brv-atsteka-kom4s811/p12731","4233")</f>
        <v>4233</v>
      </c>
      <c r="E10" s="30" t="str">
        <f aca="false">HYPERLINK("https://vashamebel.in.ua/komod-brv-indiana-jkom4s80/p921","3755")</f>
        <v>3755</v>
      </c>
      <c r="F10" s="30" t="str">
        <f aca="false">HYPERLINK("https://vashamebel.in.ua/stol-pismennyij-brv-indiana-jbiu-2d2s/p916","5473")</f>
        <v>5473</v>
      </c>
      <c r="G10" s="32" t="str">
        <f aca="false">HYPERLINK("https://vashamebel.in.ua/komod-brv-dzhuli-kom4s90/p7958","2225")</f>
        <v>2225</v>
      </c>
      <c r="H10" s="32" t="str">
        <f aca="false">HYPERLINK("https://vashamebel.in.ua/shkaf-brv-porto-szf3d2s/p12560","5666")</f>
        <v>5666</v>
      </c>
      <c r="I10" s="30" t="str">
        <f aca="false">HYPERLINK("https://vashamebel.in.ua/komod-gerbor-sonata-8s/p845","6343")</f>
        <v>6343</v>
      </c>
      <c r="J10" s="30" t="s">
        <v>33</v>
      </c>
      <c r="K10" s="30" t="str">
        <f aca="false">HYPERLINK("https://vashamebel.in.ua/prihozhaya-gerbor-nepo-ppk/p12249","2046")</f>
        <v>2046</v>
      </c>
      <c r="L10" s="34" t="str">
        <f aca="false">HYPERLINK("https://vashamebel.in.ua/gostinaya-brv-alyaska/p4420","7644")</f>
        <v>7644</v>
      </c>
      <c r="M10" s="30" t="str">
        <f aca="false">HYPERLINK("https://vashamebel.in.ua/stenka-gerbor-kvatro/p2359","3373")</f>
        <v>3373</v>
      </c>
      <c r="N10" s="32" t="str">
        <f aca="false">HYPERLINK("https://vashamebel.in.ua/komod-gerbor-vusher-kom1w2d2s/p4762","4520")</f>
        <v>4520</v>
      </c>
    </row>
    <row r="11" customFormat="false" ht="70.5" hidden="false" customHeight="true" outlineLevel="0" collapsed="false">
      <c r="A11" s="78" t="s">
        <v>20</v>
      </c>
      <c r="B11" s="154" t="s">
        <v>134</v>
      </c>
      <c r="C11" s="32" t="str">
        <f aca="false">HYPERLINK("https://mebel-mebel.com.ua/eshop/dom-tumby-dlia-tv/tumba_rtv2d2s_4_15_atsteka-id461.html","3699")</f>
        <v>3699</v>
      </c>
      <c r="D11" s="32" t="str">
        <f aca="false">HYPERLINK("https://mebel-mebel.com.ua/eshop/dom-komody/komod_kom4s_8_11_atsteka-id496.html","4546")</f>
        <v>4546</v>
      </c>
      <c r="E11" s="32" t="str">
        <f aca="false">HYPERLINK("https://mebel-mebel.com.ua/eshop/dom-komody/komod_jkom_4s80_indiana-id663.html","3755")</f>
        <v>3755</v>
      </c>
      <c r="F11" s="32" t="str">
        <f aca="false">HYPERLINK("https://mebel-mebel.com.ua/eshop/dom-stoly-kompiuternye/stol_pismenniy_jbiu_2d2s_140_indiana-id659.html","5473")</f>
        <v>5473</v>
      </c>
      <c r="G11" s="32" t="str">
        <f aca="false">HYPERLINK("https://mebel-mebel.com.ua/eshop/dom-komody/komod_kom_4s_90_dzhuli-id569.html","2225")</f>
        <v>2225</v>
      </c>
      <c r="H11" s="30" t="str">
        <f aca="false">HYPERLINK("https://mebel-mebel.com.ua/eshop/detskie-shkafy/shkaf_szf3d2s_porto-id35136.html","5666")</f>
        <v>5666</v>
      </c>
      <c r="I11" s="32" t="str">
        <f aca="false">HYPERLINK("https://mebel-mebel.com.ua/eshop/dom-komody/komod_8s_s_015_sonata-id1567.html","6243")</f>
        <v>6243</v>
      </c>
      <c r="J11" s="32" t="str">
        <f aca="false">HYPERLINK("https://mebel-mebel.com.ua/eshop/dom-stoly-kompiuternye/stol_pismenniy_biu_1d1s_120_kaspian-id797.html","3161")</f>
        <v>3161</v>
      </c>
      <c r="K11" s="32" t="str">
        <f aca="false">HYPERLINK("https://mebel-mebel.com.ua/eshop/dom-prihozhie/prihozhaya_ppk_nepo-id28028.html","2046")</f>
        <v>2046</v>
      </c>
      <c r="L11" s="82" t="n">
        <v>7964</v>
      </c>
      <c r="M11" s="32" t="str">
        <f aca="false">HYPERLINK("https://mebel-mebel.com.ua/eshop/dom-stenki-dlia-gostinoi/gostinaya_kvatro-id152.html","3373")</f>
        <v>3373</v>
      </c>
      <c r="N11" s="32" t="str">
        <f aca="false">HYPERLINK("https://mebel-mebel.com.ua/eshop/dom-komody/komod_kom_1w2d2s_vusher-id560.html","4520")</f>
        <v>4520</v>
      </c>
    </row>
    <row r="12" customFormat="false" ht="75.75" hidden="false" customHeight="true" outlineLevel="0" collapsed="false">
      <c r="A12" s="78" t="s">
        <v>21</v>
      </c>
      <c r="B12" s="150" t="s">
        <v>135</v>
      </c>
      <c r="C12" s="153" t="str">
        <f aca="false">HYPERLINK("https://abcmebli.com.ua/p14992-tumba_tv_rtv2d2s-4-15_atsteka","3686")</f>
        <v>3686</v>
      </c>
      <c r="D12" s="153" t="str">
        <f aca="false">HYPERLINK("https://abcmebli.com.ua/p15683-atsteka_komod_kom4s-8-11_brv","4233")</f>
        <v>4233</v>
      </c>
      <c r="E12" s="32" t="str">
        <f aca="false">HYPERLINK("https://abcmebli.com.ua/p1896-komod_jkom4s_80_indiana","3755")</f>
        <v>3755</v>
      </c>
      <c r="F12" s="153" t="str">
        <f aca="false">HYPERLINK("https://abcmebli.com.ua/p1892-stol_pismenniy_jbiu2d2s_140_indiana","5323")</f>
        <v>5323</v>
      </c>
      <c r="G12" s="32" t="str">
        <f aca="false">HYPERLINK("https://abcmebli.com.ua/p8553-komod_kom4s-90_july","2225")</f>
        <v>2225</v>
      </c>
      <c r="H12" s="32" t="str">
        <f aca="false">HYPERLINK("https://abcmebli.com.ua/p15039-shkaf_platyanoy_szf3d2s_porto","5666")</f>
        <v>5666</v>
      </c>
      <c r="I12" s="153" t="str">
        <f aca="false">HYPERLINK("https://abcmebli.com.ua/p2225-komod_8-s_sonata","5870")</f>
        <v>5870</v>
      </c>
      <c r="J12" s="153" t="str">
        <f aca="false">HYPERLINK("https://abcmebli.com.ua/p14308-stol_pismenniy_biu_1d1s_120_kaspian","3141")</f>
        <v>3141</v>
      </c>
      <c r="K12" s="155" t="str">
        <f aca="false">HYPERLINK("https://abcmebli.com.ua/p15897-nepo_prihozhaya_ppk_gerbor","1971")</f>
        <v>1971</v>
      </c>
      <c r="L12" s="153" t="str">
        <f aca="false">HYPERLINK("https://abcmebli.com.ua/p15950-gostinaya_alyaska_brv-ukraina","7644")</f>
        <v>7644</v>
      </c>
      <c r="M12" s="153" t="str">
        <f aca="false">HYPERLINK("https://abcmebli.com.ua/p2515-stenka_kvatro_gerbor","3007")</f>
        <v>3007</v>
      </c>
      <c r="N12" s="153" t="str">
        <f aca="false">HYPERLINK("https://abcmebli.com.ua/p4993-komod_kom1w2d2s_9_15_vusher","4258")</f>
        <v>4258</v>
      </c>
    </row>
    <row r="13" customFormat="false" ht="56.25" hidden="false" customHeight="true" outlineLevel="0" collapsed="false">
      <c r="A13" s="78" t="s">
        <v>22</v>
      </c>
      <c r="B13" s="156" t="s">
        <v>136</v>
      </c>
      <c r="C13" s="19" t="str">
        <f aca="false">HYPERLINK("https://www.mebelok.com/tymba-tv-rtv2d2s415-acteka/","3700")</f>
        <v>3700</v>
      </c>
      <c r="D13" s="22" t="str">
        <f aca="false">HYPERLINK("https://www.mebelok.com/komod-kom4s811-acteka/","4550")</f>
        <v>4550</v>
      </c>
      <c r="E13" s="22" t="str">
        <f aca="false">HYPERLINK("https://www.mebelok.com/komod-jkom-4s-80/","3760")</f>
        <v>3760</v>
      </c>
      <c r="F13" s="19" t="str">
        <f aca="false">HYPERLINK("https://www.mebelok.com/stol-pismennyy-jbiu-2d2s-140/","5480")</f>
        <v>5480</v>
      </c>
      <c r="G13" s="22" t="str">
        <f aca="false">HYPERLINK("https://www.mebelok.com/komod-kom-4s-90-juli/","2230")</f>
        <v>2230</v>
      </c>
      <c r="H13" s="22" t="str">
        <f aca="false">HYPERLINK("https://www.mebelok.com/shkaf-szf3d2s-porto/","5670")</f>
        <v>5670</v>
      </c>
      <c r="I13" s="47"/>
      <c r="J13" s="19" t="str">
        <f aca="false">HYPERLINK("https://www.mebelok.com/stol-pismennyy-biu1d1s-120-kaspian/","3170")</f>
        <v>3170</v>
      </c>
      <c r="K13" s="32" t="str">
        <f aca="false">HYPERLINK("https://www.mebelok.com/prihojaya-ppk-nepo/","2050")</f>
        <v>2050</v>
      </c>
      <c r="L13" s="95" t="str">
        <f aca="false">HYPERLINK("https://www.mebelok.com/gostinaya-alyaska/","7655")</f>
        <v>7655</v>
      </c>
      <c r="M13" s="30" t="str">
        <f aca="false">HYPERLINK("https://www.mebelok.com/gostinaya-kvatro","3380")</f>
        <v>3380</v>
      </c>
      <c r="N13" s="30" t="str">
        <f aca="false">HYPERLINK("https://www.mebelok.com/komod-kom-1w2d2s-vusher/","4520")</f>
        <v>4520</v>
      </c>
    </row>
    <row r="14" customFormat="false" ht="48" hidden="false" customHeight="true" outlineLevel="0" collapsed="false">
      <c r="A14" s="78" t="s">
        <v>23</v>
      </c>
      <c r="B14" s="150" t="s">
        <v>137</v>
      </c>
      <c r="C14" s="32" t="str">
        <f aca="false">HYPERLINK("https://maxmebel.com.ua/atsteka_tumba_rtv2d2s","3699")</f>
        <v>3699</v>
      </c>
      <c r="D14" s="32" t="str">
        <f aca="false">HYPERLINK("https://maxmebel.com.ua/atsteka_komod_kom4s-8-11","4546")</f>
        <v>4546</v>
      </c>
      <c r="E14" s="32" t="str">
        <f aca="false">HYPERLINK("https://maxmebel.com.ua/indiana_komod_jkom_4s_80","3755")</f>
        <v>3755</v>
      </c>
      <c r="F14" s="32" t="str">
        <f aca="false">HYPERLINK("https://maxmebel.com.ua/indiana_pismenniy_stol_jbiu_2d2s","5473")</f>
        <v>5473</v>
      </c>
      <c r="G14" s="32" t="str">
        <f aca="false">HYPERLINK("https://maxmebel.com.ua/dzhuli_komod_kom4s-90","2225")</f>
        <v>2225</v>
      </c>
      <c r="H14" s="32" t="str">
        <f aca="false">HYPERLINK("https://maxmebel.com.ua/porto_shkaf_platyanoy_szf3d2s","5666")</f>
        <v>5666</v>
      </c>
      <c r="I14" s="32" t="str">
        <f aca="false">HYPERLINK("https://maxmebel.com.ua/sonata_komod_8-s","6243")</f>
        <v>6243</v>
      </c>
      <c r="J14" s="32" t="str">
        <f aca="false">HYPERLINK("https://maxmebel.com.ua/kaspian_stol_pismenniy_biu_1d1s","3161")</f>
        <v>3161</v>
      </c>
      <c r="K14" s="32" t="str">
        <f aca="false">HYPERLINK("https://maxmebel.com.ua/nepo_prihozhaya_rrk","2046")</f>
        <v>2046</v>
      </c>
      <c r="L14" s="32" t="str">
        <f aca="false">HYPERLINK("https://maxmebel.com.ua/stenka_alyaska","7964")</f>
        <v>7964</v>
      </c>
      <c r="M14" s="30" t="str">
        <f aca="false">HYPERLINK("https://maxmebel.com.ua/stenka_kvatro","3373")</f>
        <v>3373</v>
      </c>
      <c r="N14" s="32" t="str">
        <f aca="false">HYPERLINK("https://maxmebel.com.ua/vusher_komod_kom_1w2d2s","4520")</f>
        <v>4520</v>
      </c>
    </row>
    <row r="15" customFormat="false" ht="39" hidden="false" customHeight="true" outlineLevel="0" collapsed="false">
      <c r="A15" s="78" t="s">
        <v>24</v>
      </c>
      <c r="B15" s="147" t="s">
        <v>128</v>
      </c>
      <c r="C15" s="153" t="str">
        <f aca="false">HYPERLINK("https://moyamebel.com.ua/ua/products/tumba-rtv-atsteka","3686")</f>
        <v>3686</v>
      </c>
      <c r="D15" s="153" t="str">
        <f aca="false">HYPERLINK("https://moyamebel.com.ua/ua/products/komod-atsteka","4233")</f>
        <v>4233</v>
      </c>
      <c r="E15" s="32" t="str">
        <f aca="false">HYPERLINK("https://moyamebel.com.ua/ua/products/komod-4s-80-indiana","3755")</f>
        <v>3755</v>
      </c>
      <c r="F15" s="153" t="str">
        <f aca="false">HYPERLINK("https://moyamebel.com.ua/ua/products/stol-pismennyj-2d2s-indiana","5323")</f>
        <v>5323</v>
      </c>
      <c r="G15" s="32" t="str">
        <f aca="false">HYPERLINK("https://moyamebel.com.ua/ua/products/komod-dzhuli-90","2225")</f>
        <v>2225</v>
      </c>
      <c r="H15" s="32" t="str">
        <f aca="false">HYPERLINK("https://moyamebel.com.ua/ua/products/shkaf-3d2sporto","5666")</f>
        <v>5666</v>
      </c>
      <c r="I15" s="83"/>
      <c r="J15" s="32" t="str">
        <f aca="false">HYPERLINK("https://moyamebel.com.ua/ua/products/stol-pismennyj-120-kaspian","3141")</f>
        <v>3141</v>
      </c>
      <c r="K15" s="96" t="str">
        <f aca="false">HYPERLINK("https://moyamebel.com.ua/ua/products/prihozhaya-nepo","1963")</f>
        <v>1963</v>
      </c>
      <c r="L15" s="27" t="str">
        <f aca="false">HYPERLINK("https://moyamebel.com.ua/ua/products/gostinaya-alyaska","7644")</f>
        <v>7644</v>
      </c>
      <c r="M15" s="155" t="str">
        <f aca="false">HYPERLINK("https://moyamebel.com.ua/ua/products/gostinaya-kvatro","3242")</f>
        <v>3242</v>
      </c>
      <c r="N15" s="83"/>
    </row>
    <row r="16" customFormat="false" ht="31.5" hidden="false" customHeight="true" outlineLevel="0" collapsed="false">
      <c r="A16" s="78" t="s">
        <v>35</v>
      </c>
      <c r="B16" s="157" t="s">
        <v>138</v>
      </c>
      <c r="C16" s="32" t="str">
        <f aca="false">HYPERLINK("https://mebel-soyuz.com.ua/12896.html","3699")</f>
        <v>3699</v>
      </c>
      <c r="D16" s="32" t="str">
        <f aca="false">HYPERLINK("https://mebel-soyuz.com.ua/12903.html","4546")</f>
        <v>4546</v>
      </c>
      <c r="E16" s="32" t="str">
        <f aca="false">HYPERLINK("https://mebel-soyuz.com.ua/2266.html","3755")</f>
        <v>3755</v>
      </c>
      <c r="F16" s="32" t="str">
        <f aca="false">HYPERLINK("https://mebel-soyuz.com.ua/stol-pismennyj-jbiu-2d2s-140-indiana.html","5473")</f>
        <v>5473</v>
      </c>
      <c r="G16" s="32" t="str">
        <f aca="false">HYPERLINK("https://mebel-soyuz.com.ua/komod-kom-4s-90-dzhuli.html","2225")</f>
        <v>2225</v>
      </c>
      <c r="H16" s="32" t="str">
        <f aca="false">HYPERLINK("https://mebel-soyuz.com.ua/shkaf-szf3d2s-porto.html","5666")</f>
        <v>5666</v>
      </c>
      <c r="I16" s="32" t="str">
        <f aca="false">HYPERLINK("https://mebel-soyuz.com.ua/473.html","6243")</f>
        <v>6243</v>
      </c>
      <c r="J16" s="30" t="str">
        <f aca="false">HYPERLINK("https://mebel-soyuz.com.ua/8687.html","3161")</f>
        <v>3161</v>
      </c>
      <c r="K16" s="32" t="str">
        <f aca="false">HYPERLINK("https://mebel-soyuz.com.ua/8926.html","2046")</f>
        <v>2046</v>
      </c>
      <c r="L16" s="32" t="str">
        <f aca="false">HYPERLINK("https://mebel-soyuz.com.ua/10995.html","7964")</f>
        <v>7964</v>
      </c>
      <c r="M16" s="32" t="str">
        <f aca="false">HYPERLINK("https://mebel-soyuz.com.ua/gostinaya-kvatro.html","3373")</f>
        <v>3373</v>
      </c>
      <c r="N16" s="32" t="str">
        <f aca="false">HYPERLINK("https://mebel-soyuz.com.ua/3933.html","4520")</f>
        <v>4520</v>
      </c>
    </row>
    <row r="17" customFormat="false" ht="33.75" hidden="false" customHeight="true" outlineLevel="0" collapsed="false">
      <c r="A17" s="78" t="s">
        <v>36</v>
      </c>
      <c r="B17" s="147" t="s">
        <v>128</v>
      </c>
      <c r="C17" s="158"/>
      <c r="D17" s="30" t="str">
        <f aca="false">HYPERLINK("https://sofino.ua/brw-ukraina-komod-kom4s811-acteka/g-95386","4546")</f>
        <v>4546</v>
      </c>
      <c r="E17" s="30" t="str">
        <f aca="false">HYPERLINK("https://sofino.ua/brw-ukraina-komod-jkom4s80-indiana/g-40903","3755")</f>
        <v>3755</v>
      </c>
      <c r="F17" s="30" t="str">
        <f aca="false">HYPERLINK("https://sofino.ua/brw-ukraina-stol-pismennyjj-jbiu2d2s140-indiana/g-40899","5473")</f>
        <v>5473</v>
      </c>
      <c r="G17" s="30" t="str">
        <f aca="false">HYPERLINK("https://sofino.ua/brw-ukraina-komod-kom4s90-dzhuli-akacija-mali-bronz/g-40377","2225")</f>
        <v>2225</v>
      </c>
      <c r="H17" s="30" t="str">
        <f aca="false">HYPERLINK("https://sofino.ua/brw-ukraina-shkaf-platjanojj-szf3d2s-porto-dzhanni-sosna-lariko/g-264368","5666")</f>
        <v>5666</v>
      </c>
      <c r="I17" s="30" t="str">
        <f aca="false">HYPERLINK("https://sofino.ua/gerbor-komod-8s-sonata/g-19192","6243")</f>
        <v>6243</v>
      </c>
      <c r="J17" s="32" t="str">
        <f aca="false">HYPERLINK("https://sofino.ua/brw-ukraina-stol-pismennyjj-biu-1d1s-kaspian/g-264409","3161")</f>
        <v>3161</v>
      </c>
      <c r="K17" s="30" t="str">
        <f aca="false">HYPERLINK("https://sofino.ua/gerbor-prikhozhaja-ppk-nepo/g-287089","2046")</f>
        <v>2046</v>
      </c>
      <c r="L17" s="30" t="str">
        <f aca="false">HYPERLINK("https://sofino.ua/brw-ukraina-stenka-aljaska-belyjj-gljanec/g-454107","7964")</f>
        <v>7964</v>
      </c>
      <c r="M17" s="30" t="str">
        <f aca="false">HYPERLINK("https://sofino.ua/gerbor-stenka-s-podsvetkojj-kvatro/g-18955","3373")</f>
        <v>3373</v>
      </c>
      <c r="N17" s="30" t="str">
        <f aca="false">HYPERLINK("https://sofino.ua/gerbor-bufet-kom1w2d2s-s-podsvetkojj-vusher/g-176785","4520")</f>
        <v>4520</v>
      </c>
    </row>
    <row r="18" customFormat="false" ht="54.75" hidden="false" customHeight="true" outlineLevel="0" collapsed="false">
      <c r="A18" s="78" t="s">
        <v>37</v>
      </c>
      <c r="B18" s="147" t="s">
        <v>139</v>
      </c>
      <c r="C18" s="83"/>
      <c r="D18" s="153" t="str">
        <f aca="false">HYPERLINK("https://www.brw-kiev.com.ua/catalog/mebel/azteca-komod-kom4s_8_11-000004816.html","4239")</f>
        <v>4239</v>
      </c>
      <c r="E18" s="32" t="str">
        <f aca="false">HYPERLINK("https://www.brw-kiev.com.ua/catalog/mebel/indiana-komod-jkom4s_80-000000261.html","3759")</f>
        <v>3759</v>
      </c>
      <c r="F18" s="153" t="str">
        <f aca="false">HYPERLINK("https://www.brw-kiev.com.ua/catalog/mebel/indiana-stil_pis_moviy-jbiu2d2s-000000254.html","5329")</f>
        <v>5329</v>
      </c>
      <c r="G18" s="32" t="str">
        <f aca="false">HYPERLINK("https://www.brw-kiev.com.ua/catalog/mebel/july-komod-kom4s_90-000005407.html","2229")</f>
        <v>2229</v>
      </c>
      <c r="H18" s="32" t="str">
        <f aca="false">HYPERLINK("https://www.brw-kiev.com.ua/catalog/mebel/porto-shafa-szf3d2s-000006440.html","5669")</f>
        <v>5669</v>
      </c>
      <c r="I18" s="99"/>
      <c r="J18" s="155" t="str">
        <f aca="false">HYPERLINK("https://www.brw-kiev.com.ua/catalog/mebel/kaspian-stil_pis_moviy-biu1d1s_120-000006188.html","3149")</f>
        <v>3149</v>
      </c>
      <c r="K18" s="155" t="str">
        <f aca="false">HYPERLINK("https://www.brw-kiev.com.ua/catalog/mebel/prihozhaya/nepo-peredpokiy-ppk-000006567.html?sphrase_id=84980","1979")</f>
        <v>1979</v>
      </c>
      <c r="L18" s="30" t="str">
        <f aca="false">HYPERLINK("https://www.brw-kiev.com.ua/catalog/mebel/gostinaya/stinki-vital_nya-alaska-000006901.html?sphrase_id=84981","7949")</f>
        <v>7949</v>
      </c>
      <c r="M18" s="83"/>
      <c r="N18" s="83"/>
    </row>
    <row r="19" customFormat="false" ht="38.25" hidden="false" customHeight="true" outlineLevel="0" collapsed="false">
      <c r="A19" s="78" t="s">
        <v>25</v>
      </c>
      <c r="B19" s="159" t="s">
        <v>140</v>
      </c>
      <c r="C19" s="32" t="str">
        <f aca="false">HYPERLINK("https://brw.kiev.ua/mebel-brw-ukraina/azteca/tumba-tv-rtv2d2s-azteca-brv/","3699")</f>
        <v>3699</v>
      </c>
      <c r="D19" s="32" t="str">
        <f aca="false">HYPERLINK("https://brw.kiev.ua/mebel-brw-ukraina/azteca/komod-kom4s-azteca-brv/","4546")</f>
        <v>4546</v>
      </c>
      <c r="E19" s="32" t="str">
        <f aca="false">HYPERLINK("https://brw.kiev.ua/mebel-brw-ukraina/indiana-kanjon/komod-jkom4s80-indiana-brv-kanjon/","3755")</f>
        <v>3755</v>
      </c>
      <c r="F19" s="32" t="str">
        <f aca="false">HYPERLINK("https://brw.kiev.ua/mebel-brw-ukraina/indiana-shutter/stol-pismennyy-jbiu2d2s140-indiana-brv-shutter/","5473")</f>
        <v>5473</v>
      </c>
      <c r="G19" s="32" t="str">
        <f aca="false">HYPERLINK("https://brw.kiev.ua/mebel-brw-ukraina/july/komod-kom4s90-july-brv/","2225")</f>
        <v>2225</v>
      </c>
      <c r="H19" s="32" t="str">
        <f aca="false">HYPERLINK("https://brw.kiev.ua/mebel-brw-ukraina/porto/shkaf-szf3d2s-porto-brv/","5666")</f>
        <v>5666</v>
      </c>
      <c r="I19" s="32" t="str">
        <f aca="false">HYPERLINK("https://brw.kiev.ua/mebel-gerbor/sonata/komod-8s-sonata-gerbor/","6243")</f>
        <v>6243</v>
      </c>
      <c r="J19" s="32" t="str">
        <f aca="false">HYPERLINK("https://brw.kiev.ua/mebel-brw-ukraina/kaspian-venge/stol-pismennyy-biu1d1s-kaspian-brv-venge/","3161")</f>
        <v>3161</v>
      </c>
      <c r="K19" s="32" t="str">
        <f aca="false">HYPERLINK("https://brw.kiev.ua/mebel-gerbor/nepo/prikhozhaya-ppk-nepo-gerbor/","2046")</f>
        <v>2046</v>
      </c>
      <c r="L19" s="32" t="str">
        <f aca="false">HYPERLINK("https://brw.kiev.ua/mebel-brw-ukraina/alaska/stenka-alaska-brv/","7943")</f>
        <v>7943</v>
      </c>
      <c r="M19" s="83"/>
      <c r="N19" s="32" t="str">
        <f aca="false">HYPERLINK("https://brw.kiev.ua/mebel-gerbor/vusher/komod-kom1w2d2s-vusher-gerbor/","4520")</f>
        <v>4520</v>
      </c>
    </row>
    <row r="20" customFormat="false" ht="15.75" hidden="false" customHeight="true" outlineLevel="0" collapsed="false">
      <c r="A20" s="78" t="s">
        <v>123</v>
      </c>
      <c r="B20" s="160" t="s">
        <v>141</v>
      </c>
      <c r="C20" s="83"/>
      <c r="D20" s="83"/>
      <c r="E20" s="83"/>
      <c r="F20" s="83"/>
      <c r="G20" s="83"/>
      <c r="H20" s="83"/>
      <c r="I20" s="83"/>
      <c r="J20" s="83"/>
      <c r="K20" s="83"/>
      <c r="L20" s="83"/>
      <c r="M20" s="83"/>
      <c r="N20" s="83"/>
    </row>
    <row r="21" customFormat="false" ht="25.5" hidden="false" customHeight="true" outlineLevel="0" collapsed="false">
      <c r="A21" s="78" t="s">
        <v>124</v>
      </c>
      <c r="B21" s="147" t="s">
        <v>139</v>
      </c>
      <c r="C21" s="96" t="str">
        <f aca="false">HYPERLINK("https://mebelstyle.net/tumby-pod-tv/tumba-pod-tv-brw-ukraina-azteca-rtv2d2s415-82546.html","3294")</f>
        <v>3294</v>
      </c>
      <c r="D21" s="96" t="str">
        <f aca="false">HYPERLINK("https://mebelstyle.net/komody/komod-brw-ukraina-azteca-kom4s811-82553.html","3735")</f>
        <v>3735</v>
      </c>
      <c r="E21" s="96" t="str">
        <f aca="false">HYPERLINK("https://mebelstyle.net/komody/komod-brw-ukraina-indiana-011-jkom4s80-1274.html","3442")</f>
        <v>3442</v>
      </c>
      <c r="F21" s="96" t="str">
        <f aca="false">HYPERLINK("https://mebelstyle.net/ofisnye-stoly/pismennyj-stol-brw-ukraina-indiana-007-jbiu2d2s-1255.html","4979")</f>
        <v>4979</v>
      </c>
      <c r="G21" s="93"/>
      <c r="H21" s="93"/>
      <c r="I21" s="96" t="str">
        <f aca="false">HYPERLINK("https://mebelstyle.net/komody/komod-gerbor-sonata-s-015-8s-38625.html","5125")</f>
        <v>5125</v>
      </c>
      <c r="J21" s="96" t="str">
        <f aca="false">HYPERLINK("https://mebelstyle.net/ofisnye-stoly/ofisnyj-stol-brw-ukraina-kaspian-007-biu1d1s-58596.html","2783")</f>
        <v>2783</v>
      </c>
      <c r="K21" s="96" t="str">
        <f aca="false">HYPERLINK("https://mebelstyle.net/prikhozhie/prikhozhaja-gerbor-nepo-ppk-83649.html","1808")</f>
        <v>1808</v>
      </c>
      <c r="L21" s="93"/>
      <c r="M21" s="96" t="str">
        <f aca="false">HYPERLINK("https://mebelstyle.net/gostinye/gostinaja-gerbor-kvatro-venge-56219.html","2840")</f>
        <v>2840</v>
      </c>
      <c r="N21" s="96" t="str">
        <f aca="false">HYPERLINK("https://mebelstyle.net/komody/komod-gerbor-vusher-kom-1w2d2s-83553.html","4022")</f>
        <v>4022</v>
      </c>
    </row>
    <row r="22" customFormat="false" ht="34.5" hidden="false" customHeight="true" outlineLevel="0" collapsed="false">
      <c r="A22" s="78" t="s">
        <v>38</v>
      </c>
      <c r="B22" s="147" t="s">
        <v>139</v>
      </c>
      <c r="C22" s="32" t="str">
        <f aca="false">HYPERLINK("https://lvivmebli.com/13319/","3900")</f>
        <v>3900</v>
      </c>
      <c r="D22" s="32" t="str">
        <f aca="false">HYPERLINK("https://lvivmebli.com/13320/","4675")</f>
        <v>4675</v>
      </c>
      <c r="E22" s="32" t="str">
        <f aca="false">HYPERLINK("https://lvivmebli.com/5030/","4255")</f>
        <v>4255</v>
      </c>
      <c r="F22" s="32" t="str">
        <f aca="false">HYPERLINK("https://lvivmebli.com/5039/","5911")</f>
        <v>5911</v>
      </c>
      <c r="G22" s="95" t="str">
        <f aca="false">HYPERLINK("https://lvivmebli.com/11483/","2300")</f>
        <v>2300</v>
      </c>
      <c r="H22" s="32" t="str">
        <f aca="false">HYPERLINK("https://lvivmebli.com/18473/","6800")</f>
        <v>6800</v>
      </c>
      <c r="I22" s="83"/>
      <c r="J22" s="99"/>
      <c r="K22" s="83"/>
      <c r="L22" s="83"/>
      <c r="M22" s="83"/>
      <c r="N22" s="83"/>
    </row>
    <row r="23" customFormat="false" ht="36.75" hidden="false" customHeight="true" outlineLevel="0" collapsed="false">
      <c r="A23" s="78" t="s">
        <v>39</v>
      </c>
      <c r="B23" s="157" t="s">
        <v>142</v>
      </c>
      <c r="C23" s="27" t="str">
        <f aca="false">HYPERLINK("http://centrmebliv.com.ua/modulni-mebli/brw-azteca/mebli-brw-brv-azteca-tumba-rtv2d2s?keyword=%D0%B0%D1%86%D1%82%D0%B5%D0%BA%D0%B0","3343")</f>
        <v>3343</v>
      </c>
      <c r="D23" s="27" t="str">
        <f aca="false">HYPERLINK("http://centrmebliv.com.ua/modulni-mebli/brw-azteca/mebli-brw-brv-azteca-komod-4s?keyword=%D0%B0%D1%86%D1%82%D0%B5%D0%BA%D0%B0","3924")</f>
        <v>3924</v>
      </c>
      <c r="E23" s="27" t="str">
        <f aca="false">HYPERLINK("http://centrmebliv.com.ua/mebli-dlya-spalni/komody/mebli-brw-brv-indiana-komod-jkom4s_80?keyword=%D1%96%D0%BD%D0%B4%D1%96%D0%B0%D0%BD%D0%B0","3562")</f>
        <v>3562</v>
      </c>
      <c r="F23" s="161" t="str">
        <f aca="false">HYPERLINK("http://centrmebliv.com.ua/modulni-mebli/brw-ukrayina-indiana/mebli-brw-brv-indiana-stil-pysmovyy-jbiu2d2s_140?keyword=%D1%96%D0%BD%D0%B4%D1%96%D0%B0%D0%BD%D0%B0","5158")</f>
        <v>5158</v>
      </c>
      <c r="G23" s="27" t="str">
        <f aca="false">HYPERLINK("http://centrmebliv.com.ua/spalni/komody/mebli-brw-brv-july-komod-kom4s/90?keyword=july","2098")</f>
        <v>2098</v>
      </c>
      <c r="H23" s="27" t="str">
        <f aca="false">HYPERLINK("http://centrmebliv.com.ua/modulni-mebli/brw-ukrayina-porto/mebli-brw-brv-porto-shafa-dlya-odyagu-sf3d2s?keyword=szf3d2s","5377")</f>
        <v>5377</v>
      </c>
      <c r="I23" s="27" t="str">
        <f aca="false">HYPERLINK("http://centrmebliv.com.ua/mebli-dlya-spalni/komody/mebli-gerbor-gerbor-s-015-sonata-_komod-8/s?keyword=%D1%81%D0%BE%D0%BD%D0%B0%D1%82%D0%B0","5683")</f>
        <v>5683</v>
      </c>
      <c r="J23" s="27" t="str">
        <f aca="false">HYPERLINK("http://centrmebliv.com.ua/ofisni-mebli/ofisni-stoly-vid-modulnyh-system/gerbor/brw-kaspian-stil-pysmovyy-biu-1d1s-120?keyword=%D0%BA%D0%B0%D1%81%D0%BF%D1%96%D0%B0%D0%BD","3002")</f>
        <v>3002</v>
      </c>
      <c r="K23" s="83"/>
      <c r="L23" s="83"/>
      <c r="M23" s="27" t="str">
        <f aca="false">HYPERLINK("http://centrmebliv.com.ua/mebli-dlya-vitalni/stinky/mebli-gerbor-gerbor-kvatro","3007")</f>
        <v>3007</v>
      </c>
      <c r="N23" s="27"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153" t="str">
        <f aca="false">HYPERLINK("https://letromebel.com.ua/p566111870-tumba-rtv2d2s415-atsteka.html","3686")</f>
        <v>3686</v>
      </c>
      <c r="D24" s="153" t="str">
        <f aca="false">HYPERLINK("https://letromebel.com.ua/p566126810-komod-kom4s811-atsteka.html","4233")</f>
        <v>4233</v>
      </c>
      <c r="E24" s="32" t="str">
        <f aca="false">HYPERLINK("https://letromebel.com.ua/p566921861-komod-jkom4s80-indiana.html","3755")</f>
        <v>3755</v>
      </c>
      <c r="F24" s="153" t="str">
        <f aca="false">HYPERLINK("https://letromebel.com.ua/p566921329-stol-pismennyj-jbiu2d2s140.html","5323")</f>
        <v>5323</v>
      </c>
      <c r="G24" s="32" t="str">
        <f aca="false">HYPERLINK("https://letromebel.com.ua/p445989920-komod-kom-dzhuli.html","2225")</f>
        <v>2225</v>
      </c>
      <c r="H24" s="32" t="str">
        <f aca="false">HYPERLINK("https://letromebel.com.ua/p567177190-shkaf-szf3d2s-porto.html","5666")</f>
        <v>5666</v>
      </c>
      <c r="I24" s="83"/>
      <c r="J24" s="83"/>
      <c r="K24" s="96" t="str">
        <f aca="false">HYPERLINK("https://letromebel.com.ua/p441285622-prihozhaya-ppk-nepo.html","1963")</f>
        <v>1963</v>
      </c>
      <c r="L24" s="95" t="str">
        <f aca="false">HYPERLINK("https://letromebel.com.ua/p822866700-stenka-gostinuyu-alyaska.html","7644")</f>
        <v>7644</v>
      </c>
      <c r="M24" s="34" t="str">
        <f aca="false">HYPERLINK("https://letromebel.com.ua/p436378844-stenka-kvatro-venge.html","3002")</f>
        <v>3002</v>
      </c>
      <c r="N24" s="153" t="str">
        <f aca="false">HYPERLINK("https://letromebel.com.ua/p332640892-bufet-kom1w2d2s-vusher.html","4258")</f>
        <v>4258</v>
      </c>
    </row>
    <row r="25" customFormat="false" ht="27" hidden="false" customHeight="true" outlineLevel="0" collapsed="false">
      <c r="A25" s="78" t="s">
        <v>26</v>
      </c>
      <c r="B25" s="147" t="s">
        <v>139</v>
      </c>
      <c r="C25" s="153" t="str">
        <f aca="false">HYPERLINK("https://shurup.net.ua/azteca-acteka-tumba-rtv2d2s415.p17205","3686")</f>
        <v>3686</v>
      </c>
      <c r="D25" s="153" t="str">
        <f aca="false">HYPERLINK("https://shurup.net.ua/azteca-acteka-komod-kom4s811.p17200","4233")</f>
        <v>4233</v>
      </c>
      <c r="E25" s="32" t="str">
        <f aca="false">HYPERLINK("https://shurup.net.ua/komod-jkom-4s80-indiana-sosna-kanon.p9412","3755")</f>
        <v>3755</v>
      </c>
      <c r="F25" s="153" t="str">
        <f aca="false">HYPERLINK("https://shurup.net.ua/stol-pismennyj-jbiu-2d2s-140-indiana-dub-shutter.p5488","5323")</f>
        <v>5323</v>
      </c>
      <c r="G25" s="32" t="str">
        <f aca="false">HYPERLINK("https://shurup.net.ua/komod-kom-4s-90-dzhuli.p7011","2225")</f>
        <v>2225</v>
      </c>
      <c r="H25" s="32" t="str">
        <f aca="false">HYPERLINK("https://shurup.net.ua/shkaf-szf3d2s-porto.p24169","5666")</f>
        <v>5666</v>
      </c>
      <c r="I25" s="153" t="str">
        <f aca="false">HYPERLINK("https://shurup.net.ua/komod-8s-sonata.p1034","5870")</f>
        <v>5870</v>
      </c>
      <c r="J25" s="155" t="str">
        <f aca="false">HYPERLINK("https://shurup.net.ua/stol-pismennyj-biu-1d1s-120-kaspian-dub-sonoma.p6492","3141")</f>
        <v>3141</v>
      </c>
      <c r="K25" s="153" t="str">
        <f aca="false">HYPERLINK("https://shurup.net.ua/prihozhaya-rrk-nepo.p13611","1971")</f>
        <v>1971</v>
      </c>
      <c r="L25" s="32" t="str">
        <f aca="false">HYPERLINK("https://shurup.net.ua/gostinaja-aljaska.p28551","7943")</f>
        <v>7943</v>
      </c>
      <c r="M25" s="27" t="str">
        <f aca="false">HYPERLINK("https://shurup.net.ua/gostinaya-kvatro-venge-magiya.p836","3002")</f>
        <v>3002</v>
      </c>
      <c r="N25" s="153" t="str">
        <f aca="false">HYPERLINK("https://shurup.net.ua/komod-kom1w2d2s-9-15-vusher.p1953","4258")</f>
        <v>4258</v>
      </c>
    </row>
    <row r="26" customFormat="false" ht="36.75" hidden="false" customHeight="true" outlineLevel="0" collapsed="false">
      <c r="A26" s="105" t="s">
        <v>41</v>
      </c>
      <c r="B26" s="162" t="s">
        <v>143</v>
      </c>
      <c r="C26" s="83"/>
      <c r="D26" s="83"/>
      <c r="E26" s="83"/>
      <c r="F26" s="83"/>
      <c r="G26" s="83"/>
      <c r="H26" s="83"/>
      <c r="I26" s="83"/>
      <c r="J26" s="83"/>
      <c r="K26" s="44" t="str">
        <f aca="false">HYPERLINK("https://www.taburetka.ua/prihozhie-40/prihozhaya-ppk-nepo-2914","1945")</f>
        <v>1945</v>
      </c>
      <c r="L26" s="83"/>
      <c r="M26" s="95" t="str">
        <f aca="false">HYPERLINK("https://www.taburetka.ua/gostinye-600/gostinaya-kvatro-2834","3060")</f>
        <v>3060</v>
      </c>
      <c r="N26" s="27" t="str">
        <f aca="false">HYPERLINK("https://www.taburetka.ua/komody-i-tumby-35/komod-kom1w2d2s-vusher-2974","4305")</f>
        <v>4305</v>
      </c>
    </row>
    <row r="27" customFormat="false" ht="37.5" hidden="false" customHeight="true" outlineLevel="0" collapsed="false">
      <c r="A27" s="106" t="s">
        <v>42</v>
      </c>
      <c r="B27" s="163" t="s">
        <v>144</v>
      </c>
      <c r="C27" s="153" t="str">
        <f aca="false">HYPERLINK("http://www.maxidom.com.ua/tumba-rtv-atsteka-2d2s415.html?search_string=%D2%F3%EC%E1%E0+%D0%D2%C2+%C0%F6%F2%E5%EA%E0+2D2S%2F4%2F15","3686")</f>
        <v>3686</v>
      </c>
      <c r="D27" s="164" t="str">
        <f aca="false">HYPERLINK("http://www.maxidom.com.ua/komod-atsteka-kom4s811.html?search_string=%CA%EE%EC%EE%E4+%C0%F6%F2%E5%EA%E0+KOM4S%2F8%2F11","4233")</f>
        <v>4233</v>
      </c>
      <c r="E27" s="44" t="str">
        <f aca="false">HYPERLINK("http://www.maxidom.com.ua/komod_indiana_jkom4s80.html?search_string=%CA%EE%EC%EE%E4+%C8%ED%E4%E8%E0%ED%E0+JKOM4s%2F80","3562")</f>
        <v>3562</v>
      </c>
      <c r="F27" s="44" t="str">
        <f aca="false">HYPERLINK("http://www.maxidom.com.ua/stol_pismenniy_indiana_jbiu2d2s.html?search_string=%D1%F2%EE%EB+%EF%E8%F1%FC%EC%E5%ED%ED%FB%E9+%C8%ED%E4%E8%E0%ED%E0+JBIU2d2s","5158")</f>
        <v>5158</v>
      </c>
      <c r="G27" s="39" t="str">
        <f aca="false">HYPERLINK("http://www.maxidom.com.ua/komod-kom4s90-dzhuli.html?search_string=%CA%EE%EC%EE%E4+KOM4S%2F90+%C4%E6%F3%EB%E8","2225")</f>
        <v>2225</v>
      </c>
      <c r="H27" s="39" t="str">
        <f aca="false">HYPERLINK("http://www.maxidom.com.ua/shkaf-porto-porto-szf3d2s.html?search_string=%D8%EA%E0%F4+%CF%EE%F0%F2%EE+%28Porto%29+SZF3D2S","5666")</f>
        <v>5666</v>
      </c>
      <c r="I27" s="164" t="str">
        <f aca="false">HYPERLINK("http://www.maxidom.com.ua/komod-sonata-8s.html?search_string=%CA%EE%EC%EE%E4+%D1%EE%ED%E0%F2%E0+8s","5870")</f>
        <v>5870</v>
      </c>
      <c r="J27" s="164" t="str">
        <f aca="false">HYPERLINK("http://www.maxidom.com.ua/stol-pismenniy-biu-1d1s-kaspian-kaspian.html?search_string=%D1%F2%EE%EB+%EF%E8%F1%FC%EC%E5%ED%ED%FB%E9+BIU+1D1S+%CA%E0%F1%EF%E8%E0%ED+%28Kaspian%29","3002")</f>
        <v>3002</v>
      </c>
      <c r="K27" s="44" t="str">
        <f aca="false">HYPERLINK("http://www.maxidom.com.ua/prihozhaya-nepo-ppk.html?search_string=%CF%F0%E8%F5%EE%E6%E0%FF+%CD%E5%EF%EE+PPK","1963")</f>
        <v>1963</v>
      </c>
      <c r="L27" s="44" t="str">
        <f aca="false">HYPERLINK("http://www.maxidom.com.ua/stenka-alyaska.html?search_string=%D1%F2%E5%ED%EA%E0+%C0%EB%FF%F1%EA%E0","7644")</f>
        <v>7644</v>
      </c>
      <c r="M27" s="27" t="str">
        <f aca="false">HYPERLINK("http://www.maxidom.com.ua/stenka-kvatro.html?search_string=%D1%F2%E5%ED%EA%E0+%CA%E2%E0%F2%F0%EE","3002")</f>
        <v>3002</v>
      </c>
      <c r="N27" s="27" t="str">
        <f aca="false">HYPERLINK("http://www.maxidom.com.ua/komod-kom-1w2d2s-vusher.html?search_string=%CA%EE%EC%EE%E4+KOM+1W2D2S+%C2%F3%F8%E5%F0","4195")</f>
        <v>4195</v>
      </c>
    </row>
    <row r="28" customFormat="false" ht="42" hidden="false" customHeight="true" outlineLevel="0" collapsed="false">
      <c r="A28" s="106" t="s">
        <v>27</v>
      </c>
      <c r="B28" s="165" t="s">
        <v>145</v>
      </c>
      <c r="C28" s="32" t="str">
        <f aca="false">HYPERLINK("https://mebel-online.com.ua/tymba-rtv2d2s-4-15-azteca?filter_name=azteca","3699")</f>
        <v>3699</v>
      </c>
      <c r="D28" s="39" t="str">
        <f aca="false">HYPERLINK("https://mebel-online.com.ua/komod-kom4s-8-11-azteca?filter_name=azteca","4546")</f>
        <v>4546</v>
      </c>
      <c r="E28" s="32" t="str">
        <f aca="false">HYPERLINK("https://mebel-online.com.ua/p5228-komod_jkom_4s_80_indiana_brw?filter_name=%D0%B8%D0%BD%D0%B4%D0%B8%D0%B0%D0%BD%D0%B0","3755")</f>
        <v>3755</v>
      </c>
      <c r="F28" s="39" t="str">
        <f aca="false">HYPERLINK("https://mebel-online.com.ua/p5223-stol_pismenniy_jbiu_2d2s_140_indiana_brw?filter_name=%D0%B8%D0%BD%D0%B4%D0%B8%D0%B0%D0%BD%D0%B0","5323")</f>
        <v>5323</v>
      </c>
      <c r="G28" s="39" t="str">
        <f aca="false">HYPERLINK("https://mebel-online.com.ua/komod-kom4s-90-july?filter_name=july","2225")</f>
        <v>2225</v>
      </c>
      <c r="H28" s="39" t="str">
        <f aca="false">HYPERLINK("https://mebel-online.com.ua/shkaf-szf3d2s-porto?filter_name=SZF3D2S","5666")</f>
        <v>5666</v>
      </c>
      <c r="I28" s="39" t="str">
        <f aca="false">HYPERLINK("https://mebel-online.com.ua/p1728-gerbor_sonata_komod_8-s?filter_name=%D1%81%D0%BE%D0%BD%D0%B0%D1%82%D0%B0","6243")</f>
        <v>6243</v>
      </c>
      <c r="J28" s="111"/>
      <c r="K28" s="32" t="str">
        <f aca="false">HYPERLINK("https://mebel-online.com.ua/prihozhaya-gerbor-ppk-nepo?filter_name=%D0%BD%D0%B5%D0%BF%D0%BE","2046")</f>
        <v>2046</v>
      </c>
      <c r="L28" s="45" t="str">
        <f aca="false">HYPERLINK("https://mebel-online.com.ua/stenka-aliaska-brw%20?filter_name=%D0%B0%D0%BB%D1%8F%D1%81%D0%BA%D0%B0","7644")</f>
        <v>7644</v>
      </c>
      <c r="M28" s="32" t="str">
        <f aca="false">HYPERLINK("https://mebel-online.com.ua/stenka-kvatro-gerbor?filter_name=%D0%BA%D0%B2%D0%B0%D1%82%D1%80%D0%BE","3373")</f>
        <v>3373</v>
      </c>
      <c r="N28" s="32" t="str">
        <f aca="false">HYPERLINK("https://mebel-online.com.ua/komod-kom-1w2d2s-vusher-gerbor?filter_name=%D0%B2%D1%83%D1%88%D0%B5%D1%80","4258")</f>
        <v>4258</v>
      </c>
    </row>
    <row r="29" customFormat="false" ht="15.75" hidden="false" customHeight="true" outlineLevel="0" collapsed="false">
      <c r="A29" s="74"/>
      <c r="B29" s="146"/>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K3" r:id="rId7" display="https://brwmania.com.ua/gostinaja/modulnye-gostinye/sistema_nepo/gerbor-gerbor-prihozhaya-nepo-nepo-ppk-dub-sonoma/"/>
    <hyperlink ref="A4" r:id="rId8" display="http://redlight.com.ua/"/>
    <hyperlink ref="A5" r:id="rId9" display="https://mebli-bristol.com.ua/"/>
    <hyperlink ref="A6" r:id="rId10" display="http://gerbor.kiev.ua/"/>
    <hyperlink ref="A7" r:id="rId11" display="http://www.brwland.com.ua/"/>
    <hyperlink ref="A8" r:id="rId12" display="http://gerbor.dp.ua/"/>
    <hyperlink ref="A9" r:id="rId13" display="https://www.dybok.com.ua/"/>
    <hyperlink ref="D9" r:id="rId14" display="https://www.dybok.com.ua/ru/product/detail/35870"/>
    <hyperlink ref="E9" r:id="rId15" display="https://www.dybok.com.ua/ru/product/detail/55516"/>
    <hyperlink ref="F9" r:id="rId16" display="https://www.dybok.com.ua/ru/product/detail/4291"/>
    <hyperlink ref="G9" r:id="rId17" display="https://www.dybok.com.ua/ru/product/detail/9798"/>
    <hyperlink ref="H9" r:id="rId18" display="https://www.dybok.com.ua/ru/product/detail/35840"/>
    <hyperlink ref="I9" r:id="rId19" display="https://www.dybok.com.ua/ru/product/detail/261"/>
    <hyperlink ref="K9" r:id="rId20" display="https://www.dybok.com.ua/ru/product/detail/18085"/>
    <hyperlink ref="L9" r:id="rId21" display="https://www.dybok.com.ua/ru/product/detail/50410"/>
    <hyperlink ref="A10" r:id="rId22" display="https://vashamebel.in.ua/"/>
    <hyperlink ref="J10" r:id="rId23" display="0 грн"/>
    <hyperlink ref="A11" r:id="rId24" display="http://mebel-mebel.com.ua/"/>
    <hyperlink ref="L11" r:id="rId25" display="https://mebel-mebel.com.ua/eshop/dom-stenki-dlia-gostinoi/gostinaya_alyaska-id50834.html"/>
    <hyperlink ref="A12" r:id="rId26" display="http://abcmebli.com.ua"/>
    <hyperlink ref="A13" r:id="rId27" display="https://gerbor.mebelok.com/"/>
    <hyperlink ref="A14" r:id="rId28" display="http://maxmebel.com.ua/"/>
    <hyperlink ref="A15" r:id="rId29" display="https://moyamebel.com.ua/ua"/>
    <hyperlink ref="A16" r:id="rId30" display="https://mebel-soyuz.com.ua/"/>
    <hyperlink ref="A17" r:id="rId31" display="https://sofino.ua/"/>
    <hyperlink ref="A18" r:id="rId32" display="https://www.brw-kiev.com.ua/"/>
    <hyperlink ref="A19" r:id="rId33" display="https://brw.kiev.ua/"/>
    <hyperlink ref="A20" r:id="rId34" display="http://brw.com.ua/"/>
    <hyperlink ref="A21" r:id="rId35" display="https://mebelstyle.net/"/>
    <hyperlink ref="A22" r:id="rId36" display="https://lvivmebli.com/"/>
    <hyperlink ref="A23" r:id="rId37" display="http://centrmebliv.com.ua/"/>
    <hyperlink ref="A24" r:id="rId38" display="https://letromebel.com.ua/"/>
    <hyperlink ref="A25" r:id="rId39" display="https://shurup.net.ua/"/>
    <hyperlink ref="A26" r:id="rId40" display="https://www.taburetka.ua"/>
    <hyperlink ref="A27" r:id="rId41" display="http://www.maxidom.com.ua/"/>
    <hyperlink ref="A28" r:id="rId42" display="https://mebel-online.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 collapsed="false" customWidth="true" hidden="false" outlineLevel="0" max="15" min="15" style="0" width="20.43"/>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8" t="n">
        <v>3686</v>
      </c>
      <c r="D2" s="8" t="n">
        <v>4233</v>
      </c>
      <c r="E2" s="8" t="n">
        <v>3755</v>
      </c>
      <c r="F2" s="8" t="n">
        <v>5323</v>
      </c>
      <c r="G2" s="8" t="n">
        <v>2225</v>
      </c>
      <c r="H2" s="8" t="n">
        <v>5666</v>
      </c>
      <c r="I2" s="8" t="n">
        <v>5870</v>
      </c>
      <c r="J2" s="8" t="n">
        <v>3141</v>
      </c>
      <c r="K2" s="10" t="n">
        <v>1971</v>
      </c>
      <c r="L2" s="10" t="n">
        <v>7943</v>
      </c>
      <c r="M2" s="10" t="n">
        <v>3242</v>
      </c>
      <c r="N2" s="10" t="n">
        <v>4258</v>
      </c>
    </row>
    <row r="3" customFormat="false" ht="48" hidden="false" customHeight="true" outlineLevel="0" collapsed="false">
      <c r="A3" s="78" t="s">
        <v>28</v>
      </c>
      <c r="B3" s="147" t="s">
        <v>127</v>
      </c>
      <c r="C3" s="80" t="str">
        <f aca="false">HYPERLINK("https://brwmania.com.ua/gostinaja/modulnye-gostinye/sistema-azteka/tumba-pod-tv-acteka-rtv2d2s415/","3686")</f>
        <v>3686</v>
      </c>
      <c r="D3" s="80" t="str">
        <f aca="false">HYPERLINK("https://brwmania.com.ua/gostinaja/modulnye-gostinye/sistema-azteka/komod-acteka-kom4s811/","4233")</f>
        <v>4233</v>
      </c>
      <c r="E3" s="80" t="str">
        <f aca="false">HYPERLINK("https://brwmania.com.ua/gostinaja/modulnye-gostinye/sistema-indiana-indiana---dub-shuter/indiana-dub-shuter-laminat-j-011-komod-jkom-4s-80/","3755")</f>
        <v>3755</v>
      </c>
      <c r="F3" s="80" t="str">
        <f aca="false">HYPERLINK("https://brwmania.com.ua/gostinaja/modulnye-gostinye/sistema-indiana-indiana---dub-shuter/indiana-dub-shuter-laminat-j-007-stol-pismennyy-jbiu-2d2s-140/","5323")</f>
        <v>5323</v>
      </c>
      <c r="G3" s="80" t="str">
        <f aca="false">HYPERLINK("https://brwmania.com.ua/gostinaja/modulnye-gostinye/sistema_dzhuli/komod-dzhuli-july-kom4s-90/","2225")</f>
        <v>2225</v>
      </c>
      <c r="H3" s="80" t="str">
        <f aca="false">HYPERLINK("https://brwmania.com.ua/gostinaja/modulnye-gostinye/tovar-novij/shkaf-platjanoj-porto-szf3d2s/","5666")</f>
        <v>5666</v>
      </c>
      <c r="I3" s="80" t="str">
        <f aca="false">HYPERLINK("https://brwmania.com.ua/gostinaja/modulnye-gostinye/sistema-sonata-sonata/s-015-sonata-komod-8-s/","5870")</f>
        <v>5870</v>
      </c>
      <c r="J3" s="80" t="str">
        <f aca="false">HYPERLINK("https://brwmania.com.ua/gostinaja/modulnye-gostinye/sistema_kaspian_dub_sonoma/kaspian-dub-sonoma-jm-007-stol-pismennyy-biu-1d1s/","3141")</f>
        <v>3141</v>
      </c>
      <c r="K3" s="15" t="n">
        <v>1971</v>
      </c>
      <c r="L3" s="80" t="str">
        <f aca="false">HYPERLINK("https://brwmania.com.ua/gostinaja/komplekty-gostinyh/aljaska-alaska-gostinaja/","7943")</f>
        <v>7943</v>
      </c>
      <c r="M3" s="80" t="str">
        <f aca="false">HYPERLINK("https://brwmania.com.ua/gostinaja/komplekty-gostinyh/stinka-kvatro-venge-magia/","3242")</f>
        <v>3242</v>
      </c>
      <c r="N3" s="80" t="str">
        <f aca="false">HYPERLINK("https://brwmania.com.ua/gostinaja/modulnye-gostinye/sistema-vusher-vusher/010-vusher-komod-kom-1w2d2s/","4258")</f>
        <v>4258</v>
      </c>
    </row>
    <row r="4" customFormat="false" ht="60.75" hidden="false" customHeight="true" outlineLevel="0" collapsed="false">
      <c r="A4" s="78" t="s">
        <v>29</v>
      </c>
      <c r="B4" s="147" t="s">
        <v>128</v>
      </c>
      <c r="C4" s="35" t="str">
        <f aca="false">HYPERLINK("http://redlight.com.ua/tv-stands/item-tumba-tv-rtv2d2s-4-15-atsteka","3686")</f>
        <v>3686</v>
      </c>
      <c r="D4" s="32" t="str">
        <f aca="false">HYPERLINK("http://redlight.com.ua/komod/item-komod-kom4s-8-11-atsteka","4233")</f>
        <v>4233</v>
      </c>
      <c r="E4" s="32" t="str">
        <f aca="false">HYPERLINK("http://redlight.com.ua/komod/item-komod-jkom-4s-80-indiana","3755")</f>
        <v>3755</v>
      </c>
      <c r="F4" s="32" t="str">
        <f aca="false">HYPERLINK("http://redlight.com.ua/stoly/item-stol-pismenniy-jbiu-2d2s-indiana","5323")</f>
        <v>5323</v>
      </c>
      <c r="G4" s="32" t="str">
        <f aca="false">HYPERLINK("http://redlight.com.ua/komod/item-komod-kom4s-90-dzhuli","2225")</f>
        <v>2225</v>
      </c>
      <c r="H4" s="32" t="str">
        <f aca="false">HYPERLINK("http://redlight.com.ua/raspashnyye-shkafy/item-porto-shkaf-szf3d2s","5666")</f>
        <v>5666</v>
      </c>
      <c r="I4" s="32" t="str">
        <f aca="false">HYPERLINK("http://redlight.com.ua/komod/item-komod-8s-sonata-","5870")</f>
        <v>5870</v>
      </c>
      <c r="J4" s="30" t="str">
        <f aca="false">HYPERLINK("http://redlight.com.ua/stoly/item-kaspian-pismenniy-stol-biu-1d1s-120-kaspian","3141")</f>
        <v>3141</v>
      </c>
      <c r="K4" s="32" t="str">
        <f aca="false">HYPERLINK("http://redlight.com.ua/prihozhie/item-nepo-prihozhaya-rrk-","1971")</f>
        <v>1971</v>
      </c>
      <c r="L4" s="167" t="str">
        <f aca="false">HYPERLINK("http://redlight.com.ua/stenki/item-stenka-alyaska","7644")</f>
        <v>7644</v>
      </c>
      <c r="M4" s="32" t="str">
        <f aca="false">HYPERLINK("http://redlight.com.ua/stenki/item-stenka-kvatro","3242")</f>
        <v>3242</v>
      </c>
      <c r="N4" s="19" t="str">
        <f aca="false">HYPERLINK("https://redlight.com.ua/komod/item-tumba-kom-1w2d2s-9-15-vusher","4258")</f>
        <v>4258</v>
      </c>
    </row>
    <row r="5" customFormat="false" ht="63" hidden="false" customHeight="true" outlineLevel="0" collapsed="false">
      <c r="A5" s="78" t="s">
        <v>30</v>
      </c>
      <c r="B5" s="148" t="s">
        <v>129</v>
      </c>
      <c r="C5" s="32" t="str">
        <f aca="false">HYPERLINK("https://mebli-bristol.com.ua/acteka-tumba-rtv-2d2s-4-15-brv-ukraina.html","3686")</f>
        <v>3686</v>
      </c>
      <c r="D5" s="32" t="str">
        <f aca="false">HYPERLINK("https://mebli-bristol.com.ua/acteka-komod-kom-4s-8-11-brv-ukraina.html","4233")</f>
        <v>4233</v>
      </c>
      <c r="E5" s="32" t="str">
        <f aca="false">HYPERLINK("https://mebli-bristol.com.ua/indiana-komod-jkom-4s-80-sosna-kan-jon-brv-ukraina.html","3755")</f>
        <v>3755</v>
      </c>
      <c r="F5" s="32" t="str">
        <f aca="false">HYPERLINK("https://mebli-bristol.com.ua/indiana-stil-pis-movij-jbiu-2d2s-140-sosna-kan-jon-brv-ukraina.html","5323")</f>
        <v>5323</v>
      </c>
      <c r="G5" s="32" t="str">
        <f aca="false">HYPERLINK("https://mebli-bristol.com.ua/dzhuli-komod-kom-4s-90-brv-ukraina.html","2225")</f>
        <v>2225</v>
      </c>
      <c r="H5" s="32" t="str">
        <f aca="false">HYPERLINK("https://mebli-bristol.com.ua/porto-shafa-szf-3d2s-brv-ukraina.html","5666")</f>
        <v>5666</v>
      </c>
      <c r="I5" s="32" t="str">
        <f aca="false">HYPERLINK("https://mebli-bristol.com.ua/sonata-komod-8s-gerbor.html","5870")</f>
        <v>5870</v>
      </c>
      <c r="J5" s="32" t="str">
        <f aca="false">HYPERLINK("https://mebli-bristol.com.ua/kaspian-stil-pis-movij-biu-1d1s-120-dub-sonoma-brv-ukraina.html","3141")</f>
        <v>3141</v>
      </c>
      <c r="K5" s="168" t="str">
        <f aca="false">HYPERLINK("https://mebli-bristol.com.ua/nepo-peredpokij-ppk-gerbor-9728.html","1971")</f>
        <v>1971</v>
      </c>
      <c r="L5" s="32" t="str">
        <f aca="false">HYPERLINK("https://mebli-bristol.com.ua/aljaska-brv-ukraina.html","7943")</f>
        <v>7943</v>
      </c>
      <c r="M5" s="32" t="str">
        <f aca="false">HYPERLINK("https://mebli-bristol.com.ua/kvatro-gerbor.html","3242")</f>
        <v>3242</v>
      </c>
      <c r="N5" s="32" t="str">
        <f aca="false">HYPERLINK("https://mebli-bristol.com.ua/vusher-komod-kom-1w-2d2s-gerbor.html","4258")</f>
        <v>4258</v>
      </c>
    </row>
    <row r="6" customFormat="false" ht="60" hidden="false" customHeight="true" outlineLevel="0" collapsed="false">
      <c r="A6" s="78" t="s">
        <v>17</v>
      </c>
      <c r="B6" s="149" t="s">
        <v>130</v>
      </c>
      <c r="C6" s="32" t="str">
        <f aca="false">HYPERLINK("https://gerbor.kiev.ua/mebelnye-sistemy/mebel-brw-azteca/azteca-tumba-tv-rtv2d2s-brv/","3686")</f>
        <v>3686</v>
      </c>
      <c r="D6" s="32" t="str">
        <f aca="false">HYPERLINK("https://gerbor.kiev.ua/mebelnye-sistemy/mebel-brw-azteca/azteca-komod-kom4s-brv/","4233")</f>
        <v>4233</v>
      </c>
      <c r="E6" s="32" t="str">
        <f aca="false">HYPERLINK("https://gerbor.kiev.ua/mebelnye-sistemy/mebel-indiana-brw/indiana-komod-jkom4s80-brv/","3755")</f>
        <v>3755</v>
      </c>
      <c r="F6" s="32" t="str">
        <f aca="false">HYPERLINK("https://gerbor.kiev.ua/mebelnye-sistemy/mebel-indiana-brw/indiana-stol-pismennyy-jbiu2d2s140-brv/","5323")</f>
        <v>5323</v>
      </c>
      <c r="G6" s="32" t="str">
        <f aca="false">HYPERLINK("https://gerbor.kiev.ua/mebelnye-sistemy/mebel-july-brw/july-komod-kom4s90-brv/","2225")</f>
        <v>2225</v>
      </c>
      <c r="H6" s="32" t="str">
        <f aca="false">HYPERLINK("https://gerbor.kiev.ua/mebelnye-sistemy/mebel-porto-brv/porto-shkaf-szf3d2s-brv/","5666")</f>
        <v>5666</v>
      </c>
      <c r="I6" s="32" t="str">
        <f aca="false">HYPERLINK("https://gerbor.kiev.ua/mebelnye-sistemy/mebel-sonata-gerbor/sonata-komod-8s-gerbor/","5870")</f>
        <v>5870</v>
      </c>
      <c r="J6" s="32" t="str">
        <f aca="false">HYPERLINK("https://gerbor.kiev.ua/mebelnye-sistemy/mebel-kaspian-sonoma-brw/kaspian-sonoma-stol-pismennyy-biu1d1s-brv/","3141")</f>
        <v>3141</v>
      </c>
      <c r="K6" s="32" t="str">
        <f aca="false">HYPERLINK("https://gerbor.kiev.ua/mebelnye-sistemy/mebel-nepo-gerbor/nepo-prikhozhaya-ppk-gerbor/","1971")</f>
        <v>1971</v>
      </c>
      <c r="L6" s="32" t="str">
        <f aca="false">HYPERLINK("https://gerbor.kiev.ua/mebelnye-sistemy/mebel-alaska-brw/alaska-gostinaya-brw/","7943")</f>
        <v>7943</v>
      </c>
      <c r="M6" s="83"/>
      <c r="N6" s="32" t="str">
        <f aca="false">HYPERLINK("https://gerbor.kiev.ua/mebelnye-sistemy/mebel-vusher-gerbor/vusher-komod-kom1w2d2s-gerbor/","4258")</f>
        <v>4258</v>
      </c>
    </row>
    <row r="7" customFormat="false" ht="63" hidden="false" customHeight="true" outlineLevel="0" collapsed="false">
      <c r="A7" s="78" t="s">
        <v>18</v>
      </c>
      <c r="B7" s="150" t="s">
        <v>131</v>
      </c>
      <c r="C7" s="32" t="str">
        <f aca="false">HYPERLINK("http://www.brwland.com.ua/product/azteca-tumba-tv-rtv2d2s415-brv-ukraina/","3686")</f>
        <v>3686</v>
      </c>
      <c r="D7" s="32" t="str">
        <f aca="false">HYPERLINK("http://www.brwland.com.ua/product/azteca-komod-kom4s811-brv-ukraina/","4233")</f>
        <v>4233</v>
      </c>
      <c r="E7" s="32" t="str">
        <f aca="false">HYPERLINK("http://www.brwland.com.ua/product/mebel-indiana-komod-jkom-4s-80-gerbor/","3755")</f>
        <v>3755</v>
      </c>
      <c r="F7" s="32" t="str">
        <f aca="false">HYPERLINK("http://www.brwland.com.ua/product/mebel-indiana-stol-pismennyj-jbiu-2d2s-140-gerbor/","5323")</f>
        <v>5323</v>
      </c>
      <c r="G7" s="32" t="str">
        <f aca="false">HYPERLINK("http://www.brwland.com.ua/product/dzhuli-komod-kom4s90-brv-ukraina/","2225")</f>
        <v>2225</v>
      </c>
      <c r="H7" s="32" t="str">
        <f aca="false">HYPERLINK("http://www.brwland.com.ua/product/porto-shkaf-szf3d2s-brv-ukraina/","5666")</f>
        <v>5666</v>
      </c>
      <c r="I7" s="32" t="str">
        <f aca="false">HYPERLINK("http://www.brwland.com.ua/product/komod-8s-sonata-gerbor/","5870")</f>
        <v>5870</v>
      </c>
      <c r="J7" s="32" t="str">
        <f aca="false">HYPERLINK("http://www.brwland.com.ua/product/kaspian-sonoma-stol-pismennyj-biu1d1s-brv-ukraina/","3141")</f>
        <v>3141</v>
      </c>
      <c r="K7" s="32" t="str">
        <f aca="false">HYPERLINK("http://www.brwland.com.ua/product/nepo-prihozhaja-ppk-gerbor/","1971")</f>
        <v>1971</v>
      </c>
      <c r="L7" s="32" t="str">
        <f aca="false">HYPERLINK("http://www.brwland.com.ua/product/gostinaja-aljaska-brv-ukraina/","7943")</f>
        <v>7943</v>
      </c>
      <c r="M7" s="27" t="str">
        <f aca="false">HYPERLINK("http://www.brwland.com.ua/product/komplekt-quatro/","3151")</f>
        <v>3151</v>
      </c>
      <c r="N7" s="32" t="str">
        <f aca="false">HYPERLINK("http://www.brwland.com.ua/product/vusher-bufet-kom1w2d2s915-gerbor/","4258")</f>
        <v>4258</v>
      </c>
    </row>
    <row r="8" customFormat="false" ht="60" hidden="false" customHeight="true" outlineLevel="0" collapsed="false">
      <c r="A8" s="78" t="s">
        <v>31</v>
      </c>
      <c r="B8" s="147" t="s">
        <v>128</v>
      </c>
      <c r="C8" s="32" t="str">
        <f aca="false">HYPERLINK("http://gerbor.dp.ua/index.php?route=product/product&amp;product_id=3138","3343")</f>
        <v>3343</v>
      </c>
      <c r="D8" s="32" t="str">
        <f aca="false">HYPERLINK("http://gerbor.dp.ua/index.php?route=product/product&amp;product_id=3131","3924")</f>
        <v>3924</v>
      </c>
      <c r="E8" s="32" t="str">
        <f aca="false">HYPERLINK("http://gerbor.dp.ua/index.php?route=product/product&amp;product_id=1730","3562")</f>
        <v>3562</v>
      </c>
      <c r="F8" s="32" t="str">
        <f aca="false">HYPERLINK("http://gerbor.dp.ua/index.php?route=product/product&amp;product_id=1725","5158")</f>
        <v>5158</v>
      </c>
      <c r="G8" s="32" t="str">
        <f aca="false">HYPERLINK("http://gerbor.dp.ua/index.php?route=product/product&amp;product_id=1755","2098")</f>
        <v>2098</v>
      </c>
      <c r="H8" s="32" t="str">
        <f aca="false">HYPERLINK("http://gerbor.dp.ua/index.php?route=product/product&amp;product_id=3905","5377")</f>
        <v>5377</v>
      </c>
      <c r="I8" s="32" t="str">
        <f aca="false">HYPERLINK("http://gerbor.dp.ua/index.php?route=product/product&amp;product_id=2156","5683")</f>
        <v>5683</v>
      </c>
      <c r="J8" s="32" t="str">
        <f aca="false">HYPERLINK("http://gerbor.dp.ua/index.php?route=product/product&amp;product_id=2819","3002")</f>
        <v>3002</v>
      </c>
      <c r="K8" s="32" t="str">
        <f aca="false">HYPERLINK("http://gerbor.dp.ua/index.php?route=product/product&amp;product_id=3473&amp;search=%D0%BD%D0%B5%D0%BF%D0%BE","1963")</f>
        <v>1963</v>
      </c>
      <c r="L8" s="32" t="str">
        <f aca="false">HYPERLINK("http://gerbor.dp.ua/index.php?route=product/product&amp;product_id=3031","7644")</f>
        <v>7644</v>
      </c>
      <c r="M8" s="32" t="str">
        <f aca="false">HYPERLINK("http://gerbor.dp.ua/index.php?route=product/product&amp;product_id=2040","3007")</f>
        <v>3007</v>
      </c>
      <c r="N8" s="32" t="str">
        <f aca="false">HYPERLINK("http://gerbor.dp.ua/index.php?route=product/product&amp;product_id=2775","4195")</f>
        <v>4195</v>
      </c>
      <c r="O8" s="166" t="s">
        <v>146</v>
      </c>
    </row>
    <row r="9" customFormat="false" ht="56.25" hidden="false" customHeight="true" outlineLevel="0" collapsed="false">
      <c r="A9" s="105" t="s">
        <v>32</v>
      </c>
      <c r="B9" s="151" t="s">
        <v>132</v>
      </c>
      <c r="C9" s="30" t="str">
        <f aca="false">HYPERLINK("https://www.dybok.com.ua/ru/product/detail/35816","3693")</f>
        <v>3693</v>
      </c>
      <c r="D9" s="82" t="n">
        <v>4240</v>
      </c>
      <c r="E9" s="90" t="n">
        <v>3229</v>
      </c>
      <c r="F9" s="82" t="n">
        <v>5334</v>
      </c>
      <c r="G9" s="82" t="n">
        <v>2230</v>
      </c>
      <c r="H9" s="82" t="n">
        <v>5675</v>
      </c>
      <c r="I9" s="82" t="n">
        <v>5880</v>
      </c>
      <c r="J9" s="167" t="str">
        <f aca="false">HYPERLINK("https://www.dybok.com.ua/","3006")</f>
        <v>3006</v>
      </c>
      <c r="K9" s="90" t="n">
        <v>1931</v>
      </c>
      <c r="L9" s="16" t="n">
        <v>7959</v>
      </c>
      <c r="M9" s="32" t="str">
        <f aca="false">HYPERLINK("https://www.dybok.com.ua/ru/product/detail/6077","3249")</f>
        <v>3249</v>
      </c>
      <c r="N9" s="32" t="str">
        <f aca="false">HYPERLINK("https://www.dybok.com.ua/ru/product/detail/7086","4268")</f>
        <v>4268</v>
      </c>
    </row>
    <row r="10" customFormat="false" ht="61.5" hidden="false" customHeight="true" outlineLevel="0" collapsed="false">
      <c r="A10" s="78" t="s">
        <v>19</v>
      </c>
      <c r="B10" s="154" t="s">
        <v>133</v>
      </c>
      <c r="C10" s="30" t="str">
        <f aca="false">HYPERLINK("https://vashamebel.in.ua/tumba-tv-brv-atsteka-rtv2d2s415/p12722","3686")</f>
        <v>3686</v>
      </c>
      <c r="D10" s="30" t="str">
        <f aca="false">HYPERLINK("https://vashamebel.in.ua/komod-brv-atsteka-kom4s811/p12731","4233")</f>
        <v>4233</v>
      </c>
      <c r="E10" s="30" t="str">
        <f aca="false">HYPERLINK("https://vashamebel.in.ua/komod-brv-indiana-jkom4s80/p921","3755")</f>
        <v>3755</v>
      </c>
      <c r="F10" s="30" t="str">
        <f aca="false">HYPERLINK("https://vashamebel.in.ua/stol-pismennyij-brv-indiana-jbiu-2d2s/p916","5323")</f>
        <v>5323</v>
      </c>
      <c r="G10" s="32" t="str">
        <f aca="false">HYPERLINK("https://vashamebel.in.ua/komod-brv-dzhuli-kom4s90/p7958","2225")</f>
        <v>2225</v>
      </c>
      <c r="H10" s="32" t="str">
        <f aca="false">HYPERLINK("https://vashamebel.in.ua/shkaf-brv-porto-szf3d2s/p12560","5666")</f>
        <v>5666</v>
      </c>
      <c r="I10" s="30" t="str">
        <f aca="false">HYPERLINK("https://vashamebel.in.ua/komod-gerbor-sonata-8s/p845","5870")</f>
        <v>5870</v>
      </c>
      <c r="J10" s="30" t="s">
        <v>33</v>
      </c>
      <c r="K10" s="30" t="str">
        <f aca="false">HYPERLINK("https://vashamebel.in.ua/prihozhaya-gerbor-nepo-ppk/p12249","1971")</f>
        <v>1971</v>
      </c>
      <c r="L10" s="34" t="str">
        <f aca="false">HYPERLINK("https://vashamebel.in.ua/gostinaya-brv-alyaska/p4420","7644")</f>
        <v>7644</v>
      </c>
      <c r="M10" s="34" t="str">
        <f aca="false">HYPERLINK("https://vashamebel.in.ua/stenka-gerbor-kvatro/p2359","3002")</f>
        <v>3002</v>
      </c>
      <c r="N10" s="32" t="str">
        <f aca="false">HYPERLINK("https://vashamebel.in.ua/komod-gerbor-vusher-kom1w2d2s/p4762","4258")</f>
        <v>4258</v>
      </c>
    </row>
    <row r="11" customFormat="false" ht="70.5" hidden="false" customHeight="true" outlineLevel="0" collapsed="false">
      <c r="A11" s="78" t="s">
        <v>20</v>
      </c>
      <c r="B11" s="154" t="s">
        <v>134</v>
      </c>
      <c r="C11" s="32" t="str">
        <f aca="false">HYPERLINK("https://mebel-mebel.com.ua/eshop/dom-tumby-dlia-tv/tumba_rtv2d2s_4_15_atsteka-id461.html","3686")</f>
        <v>3686</v>
      </c>
      <c r="D11" s="32" t="str">
        <f aca="false">HYPERLINK("https://mebel-mebel.com.ua/eshop/dom-komody/komod_kom4s_8_11_atsteka-id496.html","4233")</f>
        <v>4233</v>
      </c>
      <c r="E11" s="32" t="str">
        <f aca="false">HYPERLINK("https://mebel-mebel.com.ua/eshop/dom-komody/komod_jkom_4s80_indiana-id663.html","3755")</f>
        <v>3755</v>
      </c>
      <c r="F11" s="32" t="str">
        <f aca="false">HYPERLINK("https://mebel-mebel.com.ua/eshop/dom-stoly-kompiuternye/stol_pismenniy_jbiu_2d2s_140_indiana-id659.html","5323")</f>
        <v>5323</v>
      </c>
      <c r="G11" s="32" t="str">
        <f aca="false">HYPERLINK("https://mebel-mebel.com.ua/eshop/dom-komody/komod_kom_4s_90_dzhuli-id569.html","2225")</f>
        <v>2225</v>
      </c>
      <c r="H11" s="30" t="str">
        <f aca="false">HYPERLINK("https://mebel-mebel.com.ua/eshop/detskie-shkafy/shkaf_szf3d2s_porto-id35136.html","5666")</f>
        <v>5666</v>
      </c>
      <c r="I11" s="32" t="str">
        <f aca="false">HYPERLINK("https://mebel-mebel.com.ua/eshop/dom-komody/komod_8s_s_015_sonata-id1567.html","5870")</f>
        <v>5870</v>
      </c>
      <c r="J11" s="32" t="str">
        <f aca="false">HYPERLINK("https://mebel-mebel.com.ua/eshop/dom-stoly-kompiuternye/stol_pismenniy_biu_1d1s_120_kaspian-id797.html","3141")</f>
        <v>3141</v>
      </c>
      <c r="K11" s="27" t="str">
        <f aca="false">HYPERLINK("https://mebel-mebel.com.ua/eshop/dom-prihozhie/prihozhaya_ppk_nepo-id28028.html","1825")</f>
        <v>1825</v>
      </c>
      <c r="L11" s="169" t="n">
        <v>7943</v>
      </c>
      <c r="M11" s="32" t="str">
        <f aca="false">HYPERLINK("https://mebel-mebel.com.ua/eshop/dom-stenki-dlia-gostinoi/gostinaya_kvatro-id152.html","3242")</f>
        <v>3242</v>
      </c>
      <c r="N11" s="32" t="str">
        <f aca="false">HYPERLINK("https://mebel-mebel.com.ua/eshop/dom-komody/komod_kom_1w2d2s_vusher-id560.html","4258")</f>
        <v>4258</v>
      </c>
    </row>
    <row r="12" customFormat="false" ht="75.75" hidden="false" customHeight="true" outlineLevel="0" collapsed="false">
      <c r="A12" s="78" t="s">
        <v>21</v>
      </c>
      <c r="B12" s="150" t="s">
        <v>135</v>
      </c>
      <c r="C12" s="32" t="str">
        <f aca="false">HYPERLINK("https://abcmebli.com.ua/p14992-tumba_tv_rtv2d2s-4-15_atsteka","3686")</f>
        <v>3686</v>
      </c>
      <c r="D12" s="32" t="str">
        <f aca="false">HYPERLINK("https://abcmebli.com.ua/p15683-atsteka_komod_kom4s-8-11_brv","4233")</f>
        <v>4233</v>
      </c>
      <c r="E12" s="32" t="str">
        <f aca="false">HYPERLINK("https://abcmebli.com.ua/p1896-komod_jkom4s_80_indiana","3755")</f>
        <v>3755</v>
      </c>
      <c r="F12" s="32" t="str">
        <f aca="false">HYPERLINK("https://abcmebli.com.ua/p1892-stol_pismenniy_jbiu2d2s_140_indiana","5323")</f>
        <v>5323</v>
      </c>
      <c r="G12" s="32" t="str">
        <f aca="false">HYPERLINK("https://abcmebli.com.ua/p8553-komod_kom4s-90_july","2225")</f>
        <v>2225</v>
      </c>
      <c r="H12" s="32" t="str">
        <f aca="false">HYPERLINK("https://abcmebli.com.ua/p15039-shkaf_platyanoy_szf3d2s_porto","5666")</f>
        <v>5666</v>
      </c>
      <c r="I12" s="32" t="str">
        <f aca="false">HYPERLINK("https://abcmebli.com.ua/p2225-komod_8-s_sonata","5870")</f>
        <v>5870</v>
      </c>
      <c r="J12" s="32" t="str">
        <f aca="false">HYPERLINK("https://abcmebli.com.ua/p14308-stol_pismenniy_biu_1d1s_120_kaspian","3141")</f>
        <v>3141</v>
      </c>
      <c r="K12" s="30" t="str">
        <f aca="false">HYPERLINK("https://abcmebli.com.ua/p15897-nepo_prihozhaya_ppk_gerbor","1971")</f>
        <v>1971</v>
      </c>
      <c r="L12" s="32" t="str">
        <f aca="false">HYPERLINK("https://abcmebli.com.ua/p15950-gostinaya_alyaska_brv-ukraina","7644")</f>
        <v>7644</v>
      </c>
      <c r="M12" s="27" t="str">
        <f aca="false">HYPERLINK("https://abcmebli.com.ua/p2515-stenka_kvatro_gerbor","3007")</f>
        <v>3007</v>
      </c>
      <c r="N12" s="32" t="str">
        <f aca="false">HYPERLINK("https://abcmebli.com.ua/p4993-komod_kom1w2d2s_9_15_vusher","4258")</f>
        <v>4258</v>
      </c>
    </row>
    <row r="13" customFormat="false" ht="56.25" hidden="false" customHeight="true" outlineLevel="0" collapsed="false">
      <c r="A13" s="78" t="s">
        <v>22</v>
      </c>
      <c r="B13" s="156" t="s">
        <v>136</v>
      </c>
      <c r="C13" s="19" t="str">
        <f aca="false">HYPERLINK("https://www.mebelok.com/tymba-tv-rtv2d2s415-acteka/","3690")</f>
        <v>3690</v>
      </c>
      <c r="D13" s="22" t="str">
        <f aca="false">HYPERLINK("https://www.mebelok.com/komod-kom4s811-acteka/","4240")</f>
        <v>4240</v>
      </c>
      <c r="E13" s="22" t="str">
        <f aca="false">HYPERLINK("https://www.mebelok.com/komod-jkom-4s-80/","3760")</f>
        <v>3760</v>
      </c>
      <c r="F13" s="19" t="str">
        <f aca="false">HYPERLINK("https://www.mebelok.com/stol-pismennyy-jbiu-2d2s-140/","5330")</f>
        <v>5330</v>
      </c>
      <c r="G13" s="22" t="str">
        <f aca="false">HYPERLINK("https://www.mebelok.com/komod-kom-4s-90-juli/","2230")</f>
        <v>2230</v>
      </c>
      <c r="H13" s="22" t="str">
        <f aca="false">HYPERLINK("https://www.mebelok.com/shkaf-szf3d2s-porto/","5670")</f>
        <v>5670</v>
      </c>
      <c r="I13" s="47"/>
      <c r="J13" s="19" t="str">
        <f aca="false">HYPERLINK("https://www.mebelok.com/stol-pismennyy-biu1d1s-120-kaspian/","3150")</f>
        <v>3150</v>
      </c>
      <c r="K13" s="32" t="str">
        <f aca="false">HYPERLINK("https://www.mebelok.com/prihojaya-ppk-nepo/","1980")</f>
        <v>1980</v>
      </c>
      <c r="L13" s="167" t="str">
        <f aca="false">HYPERLINK("https://www.mebelok.com/gostinaya-alyaska/","7655")</f>
        <v>7655</v>
      </c>
      <c r="M13" s="30" t="str">
        <f aca="false">HYPERLINK("https://www.mebelok.com/gostinaya-kvatro","3250")</f>
        <v>3250</v>
      </c>
      <c r="N13" s="30" t="str">
        <f aca="false">HYPERLINK("https://www.mebelok.com/komod-kom-1w2d2s-vusher/","4260")</f>
        <v>4260</v>
      </c>
    </row>
    <row r="14" customFormat="false" ht="48" hidden="false" customHeight="true" outlineLevel="0" collapsed="false">
      <c r="A14" s="78" t="s">
        <v>23</v>
      </c>
      <c r="B14" s="150" t="s">
        <v>137</v>
      </c>
      <c r="C14" s="32" t="str">
        <f aca="false">HYPERLINK("https://maxmebel.com.ua/atsteka_tumba_rtv2d2s","3686")</f>
        <v>3686</v>
      </c>
      <c r="D14" s="32" t="str">
        <f aca="false">HYPERLINK("https://maxmebel.com.ua/atsteka_komod_kom4s-8-11","4233")</f>
        <v>4233</v>
      </c>
      <c r="E14" s="32" t="str">
        <f aca="false">HYPERLINK("https://maxmebel.com.ua/indiana_komod_jkom_4s_80","3755")</f>
        <v>3755</v>
      </c>
      <c r="F14" s="32" t="str">
        <f aca="false">HYPERLINK("https://maxmebel.com.ua/indiana_pismenniy_stol_jbiu_2d2s","5323")</f>
        <v>5323</v>
      </c>
      <c r="G14" s="32" t="str">
        <f aca="false">HYPERLINK("https://maxmebel.com.ua/dzhuli_komod_kom4s-90","2225")</f>
        <v>2225</v>
      </c>
      <c r="H14" s="32" t="str">
        <f aca="false">HYPERLINK("https://maxmebel.com.ua/porto_shkaf_platyanoy_szf3d2s","5666")</f>
        <v>5666</v>
      </c>
      <c r="I14" s="32" t="str">
        <f aca="false">HYPERLINK("https://maxmebel.com.ua/sonata_komod_8-s","5870")</f>
        <v>5870</v>
      </c>
      <c r="J14" s="32" t="str">
        <f aca="false">HYPERLINK("https://maxmebel.com.ua/kaspian_stol_pismenniy_biu_1d1s","3141")</f>
        <v>3141</v>
      </c>
      <c r="K14" s="32" t="str">
        <f aca="false">HYPERLINK("https://maxmebel.com.ua/nepo_prihozhaya_rrk","1971")</f>
        <v>1971</v>
      </c>
      <c r="L14" s="27" t="str">
        <f aca="false">HYPERLINK("https://maxmebel.com.ua/stenka_alyaska","7645")</f>
        <v>7645</v>
      </c>
      <c r="M14" s="34" t="str">
        <f aca="false">HYPERLINK("https://maxmebel.com.ua/stenka_kvatro","3002")</f>
        <v>3002</v>
      </c>
      <c r="N14" s="27" t="str">
        <f aca="false">HYPERLINK("https://maxmebel.com.ua/vusher_komod_kom_1w2d2s","4196")</f>
        <v>4196</v>
      </c>
    </row>
    <row r="15" customFormat="false" ht="39" hidden="false" customHeight="true" outlineLevel="0" collapsed="false">
      <c r="A15" s="78" t="s">
        <v>24</v>
      </c>
      <c r="B15" s="147" t="s">
        <v>128</v>
      </c>
      <c r="C15" s="32" t="str">
        <f aca="false">HYPERLINK("https://moyamebel.com.ua/ua/products/tumba-rtv-atsteka","3686")</f>
        <v>3686</v>
      </c>
      <c r="D15" s="32" t="str">
        <f aca="false">HYPERLINK("https://moyamebel.com.ua/ua/products/komod-atsteka","4233")</f>
        <v>4233</v>
      </c>
      <c r="E15" s="32" t="str">
        <f aca="false">HYPERLINK("https://moyamebel.com.ua/ua/products/komod-4s-80-indiana","3755")</f>
        <v>3755</v>
      </c>
      <c r="F15" s="32" t="str">
        <f aca="false">HYPERLINK("https://moyamebel.com.ua/ua/products/stol-pismennyj-2d2s-indiana","5323")</f>
        <v>5323</v>
      </c>
      <c r="G15" s="32" t="str">
        <f aca="false">HYPERLINK("https://moyamebel.com.ua/ua/products/komod-dzhuli-90","2225")</f>
        <v>2225</v>
      </c>
      <c r="H15" s="32" t="str">
        <f aca="false">HYPERLINK("https://moyamebel.com.ua/ua/products/shkaf-3d2sporto","5666")</f>
        <v>5666</v>
      </c>
      <c r="I15" s="83"/>
      <c r="J15" s="32" t="str">
        <f aca="false">HYPERLINK("https://moyamebel.com.ua/ua/products/stol-pismennyj-120-kaspian","3141")</f>
        <v>3141</v>
      </c>
      <c r="K15" s="96" t="str">
        <f aca="false">HYPERLINK("https://moyamebel.com.ua/ua/products/prihozhaya-nepo","1963")</f>
        <v>1963</v>
      </c>
      <c r="L15" s="27" t="str">
        <f aca="false">HYPERLINK("https://moyamebel.com.ua/ua/products/gostinaya-alyaska","7644")</f>
        <v>7644</v>
      </c>
      <c r="M15" s="30" t="str">
        <f aca="false">HYPERLINK("https://moyamebel.com.ua/ua/products/gostinaya-kvatro","3242")</f>
        <v>3242</v>
      </c>
      <c r="N15" s="83"/>
    </row>
    <row r="16" customFormat="false" ht="31.5" hidden="false" customHeight="true" outlineLevel="0" collapsed="false">
      <c r="A16" s="78" t="s">
        <v>35</v>
      </c>
      <c r="B16" s="157" t="s">
        <v>138</v>
      </c>
      <c r="C16" s="32" t="str">
        <f aca="false">HYPERLINK("https://mebel-soyuz.com.ua/12896.html","3686")</f>
        <v>3686</v>
      </c>
      <c r="D16" s="32" t="str">
        <f aca="false">HYPERLINK("https://mebel-soyuz.com.ua/12903.html","4233")</f>
        <v>4233</v>
      </c>
      <c r="E16" s="32" t="str">
        <f aca="false">HYPERLINK("https://mebel-soyuz.com.ua/2266.html","3755")</f>
        <v>3755</v>
      </c>
      <c r="F16" s="32" t="str">
        <f aca="false">HYPERLINK("https://mebel-soyuz.com.ua/stol-pismennyj-jbiu-2d2s-140-indiana.html","5323")</f>
        <v>5323</v>
      </c>
      <c r="G16" s="32" t="str">
        <f aca="false">HYPERLINK("https://mebel-soyuz.com.ua/komod-kom-4s-90-dzhuli.html","2225")</f>
        <v>2225</v>
      </c>
      <c r="H16" s="32" t="str">
        <f aca="false">HYPERLINK("https://mebel-soyuz.com.ua/shkaf-szf3d2s-porto.html","5666")</f>
        <v>5666</v>
      </c>
      <c r="I16" s="32" t="str">
        <f aca="false">HYPERLINK("https://mebel-soyuz.com.ua/473.html","5870")</f>
        <v>5870</v>
      </c>
      <c r="J16" s="30" t="str">
        <f aca="false">HYPERLINK("https://mebel-soyuz.com.ua/8687.html","3141")</f>
        <v>3141</v>
      </c>
      <c r="K16" s="32" t="str">
        <f aca="false">HYPERLINK("https://mebel-soyuz.com.ua/8926.html","1971")</f>
        <v>1971</v>
      </c>
      <c r="L16" s="32" t="str">
        <f aca="false">HYPERLINK("https://mebel-soyuz.com.ua/10995.html","7943")</f>
        <v>7943</v>
      </c>
      <c r="M16" s="32" t="str">
        <f aca="false">HYPERLINK("https://mebel-soyuz.com.ua/gostinaya-kvatro.html","3242")</f>
        <v>3242</v>
      </c>
      <c r="N16" s="32" t="str">
        <f aca="false">HYPERLINK("https://mebel-soyuz.com.ua/3933.html","4258")</f>
        <v>4258</v>
      </c>
    </row>
    <row r="17" customFormat="false" ht="33.75" hidden="false" customHeight="true" outlineLevel="0" collapsed="false">
      <c r="A17" s="78" t="s">
        <v>36</v>
      </c>
      <c r="B17" s="147" t="s">
        <v>128</v>
      </c>
      <c r="C17" s="158"/>
      <c r="D17" s="30" t="str">
        <f aca="false">HYPERLINK("https://sofino.ua/brw-ukraina-komod-kom4s811-acteka/g-95386","4233")</f>
        <v>4233</v>
      </c>
      <c r="E17" s="30" t="str">
        <f aca="false">HYPERLINK("https://sofino.ua/brw-ukraina-komod-jkom4s80-indiana/g-40903","3755")</f>
        <v>3755</v>
      </c>
      <c r="F17" s="30" t="str">
        <f aca="false">HYPERLINK("https://sofino.ua/brw-ukraina-stol-pismennyjj-jbiu2d2s140-indiana/g-40899","5323")</f>
        <v>5323</v>
      </c>
      <c r="G17" s="30" t="str">
        <f aca="false">HYPERLINK("https://sofino.ua/brw-ukraina-komod-kom4s90-dzhuli-akacija-mali-bronz/g-40377","2225")</f>
        <v>2225</v>
      </c>
      <c r="H17" s="30" t="str">
        <f aca="false">HYPERLINK("https://sofino.ua/brw-ukraina-shkaf-platjanojj-szf3d2s-porto-dzhanni-sosna-lariko/g-264368","5666")</f>
        <v>5666</v>
      </c>
      <c r="I17" s="30" t="str">
        <f aca="false">HYPERLINK("https://sofino.ua/gerbor-komod-8s-sonata/g-19192","5870")</f>
        <v>5870</v>
      </c>
      <c r="J17" s="32" t="str">
        <f aca="false">HYPERLINK("https://sofino.ua/brw-ukraina-stol-pismennyjj-biu-1d1s-kaspian/g-264409","3141")</f>
        <v>3141</v>
      </c>
      <c r="K17" s="30" t="str">
        <f aca="false">HYPERLINK("https://sofino.ua/gerbor-prikhozhaja-ppk-nepo/g-287089","1971")</f>
        <v>1971</v>
      </c>
      <c r="L17" s="30" t="str">
        <f aca="false">HYPERLINK("https://sofino.ua/brw-ukraina-stenka-aljaska-belyjj-gljanec/g-454107","7943")</f>
        <v>7943</v>
      </c>
      <c r="M17" s="34" t="str">
        <f aca="false">HYPERLINK("https://sofino.ua/gerbor-stenka-s-podsvetkojj-kvatro/g-18955","3002")</f>
        <v>3002</v>
      </c>
      <c r="N17" s="30" t="str">
        <f aca="false">HYPERLINK("https://sofino.ua/gerbor-bufet-kom1w2d2s-s-podsvetkojj-vusher/g-176785","4258")</f>
        <v>4258</v>
      </c>
    </row>
    <row r="18" customFormat="false" ht="54.75" hidden="false" customHeight="true" outlineLevel="0" collapsed="false">
      <c r="A18" s="78" t="s">
        <v>37</v>
      </c>
      <c r="B18" s="147" t="s">
        <v>139</v>
      </c>
      <c r="C18" s="83"/>
      <c r="D18" s="32" t="str">
        <f aca="false">HYPERLINK("https://www.brw-kiev.com.ua/catalog/mebel/azteca-komod-kom4s_8_11-000004816.html","4239")</f>
        <v>4239</v>
      </c>
      <c r="E18" s="32" t="str">
        <f aca="false">HYPERLINK("https://www.brw-kiev.com.ua/catalog/mebel/indiana-komod-jkom4s_80-000000261.html","3759")</f>
        <v>3759</v>
      </c>
      <c r="F18" s="32" t="str">
        <f aca="false">HYPERLINK("https://www.brw-kiev.com.ua/catalog/mebel/indiana-stil_pis_moviy-jbiu2d2s-000000254.html","5329")</f>
        <v>5329</v>
      </c>
      <c r="G18" s="32" t="str">
        <f aca="false">HYPERLINK("https://www.brw-kiev.com.ua/catalog/mebel/july-komod-kom4s_90-000005407.html","2229")</f>
        <v>2229</v>
      </c>
      <c r="H18" s="32" t="str">
        <f aca="false">HYPERLINK("https://www.brw-kiev.com.ua/catalog/mebel/porto-shafa-szf3d2s-000006440.html","5669")</f>
        <v>5669</v>
      </c>
      <c r="I18" s="99"/>
      <c r="J18" s="30" t="str">
        <f aca="false">HYPERLINK("https://www.brw-kiev.com.ua/catalog/mebel/kaspian-stil_pis_moviy-biu1d1s_120-000006188.html","3149")</f>
        <v>3149</v>
      </c>
      <c r="K18" s="30" t="str">
        <f aca="false">HYPERLINK("https://www.brw-kiev.com.ua/catalog/mebel/prihozhaya/nepo-peredpokiy-ppk-000006567.html?sphrase_id=84980","1979")</f>
        <v>1979</v>
      </c>
      <c r="L18" s="30" t="str">
        <f aca="false">HYPERLINK("https://www.brw-kiev.com.ua/catalog/mebel/gostinaya/stinki-vital_nya-alaska-000006901.html?sphrase_id=84981","7949")</f>
        <v>7949</v>
      </c>
      <c r="M18" s="83"/>
      <c r="N18" s="83"/>
    </row>
    <row r="19" customFormat="false" ht="38.25" hidden="false" customHeight="true" outlineLevel="0" collapsed="false">
      <c r="A19" s="78" t="s">
        <v>25</v>
      </c>
      <c r="B19" s="159" t="s">
        <v>140</v>
      </c>
      <c r="C19" s="32" t="str">
        <f aca="false">HYPERLINK("https://brw.kiev.ua/mebel-brw-ukraina/azteca/tumba-tv-rtv2d2s-azteca-brv/","3686")</f>
        <v>3686</v>
      </c>
      <c r="D19" s="32" t="str">
        <f aca="false">HYPERLINK("https://brw.kiev.ua/mebel-brw-ukraina/azteca/komod-kom4s-azteca-brv/","4233")</f>
        <v>4233</v>
      </c>
      <c r="E19" s="32" t="str">
        <f aca="false">HYPERLINK("https://brw.kiev.ua/mebel-brw-ukraina/indiana-kanjon/komod-jkom4s80-indiana-brv-kanjon/","3755")</f>
        <v>3755</v>
      </c>
      <c r="F19" s="32" t="str">
        <f aca="false">HYPERLINK("https://brw.kiev.ua/mebel-brw-ukraina/indiana-shutter/stol-pismennyy-jbiu2d2s140-indiana-brv-shutter/","5323")</f>
        <v>5323</v>
      </c>
      <c r="G19" s="32" t="str">
        <f aca="false">HYPERLINK("https://brw.kiev.ua/mebel-brw-ukraina/july/komod-kom4s90-july-brv/","2225")</f>
        <v>2225</v>
      </c>
      <c r="H19" s="32" t="str">
        <f aca="false">HYPERLINK("https://brw.kiev.ua/mebel-brw-ukraina/porto/shkaf-szf3d2s-porto-brv/","5666")</f>
        <v>5666</v>
      </c>
      <c r="I19" s="32" t="str">
        <f aca="false">HYPERLINK("https://brw.kiev.ua/mebel-gerbor/sonata/komod-8s-sonata-gerbor/","5870")</f>
        <v>5870</v>
      </c>
      <c r="J19" s="32" t="str">
        <f aca="false">HYPERLINK("https://brw.kiev.ua/mebel-brw-ukraina/kaspian-venge/stol-pismennyy-biu1d1s-kaspian-brv-venge/","3141")</f>
        <v>3141</v>
      </c>
      <c r="K19" s="32" t="str">
        <f aca="false">HYPERLINK("https://brw.kiev.ua/mebel-gerbor/nepo/prikhozhaya-ppk-nepo-gerbor/","1971")</f>
        <v>1971</v>
      </c>
      <c r="L19" s="32" t="str">
        <f aca="false">HYPERLINK("https://brw.kiev.ua/mebel-brw-ukraina/alaska/stenka-alaska-brv/","7943")</f>
        <v>7943</v>
      </c>
      <c r="M19" s="83"/>
      <c r="N19" s="32" t="str">
        <f aca="false">HYPERLINK("https://brw.kiev.ua/mebel-gerbor/vusher/komod-kom1w2d2s-vusher-gerbor/","4258")</f>
        <v>4258</v>
      </c>
    </row>
    <row r="20" customFormat="false" ht="15.75" hidden="false" customHeight="true" outlineLevel="0" collapsed="false">
      <c r="A20" s="78" t="s">
        <v>123</v>
      </c>
      <c r="B20" s="160" t="s">
        <v>141</v>
      </c>
      <c r="C20" s="83"/>
      <c r="D20" s="83"/>
      <c r="E20" s="83"/>
      <c r="F20" s="83"/>
      <c r="G20" s="83"/>
      <c r="H20" s="83"/>
      <c r="I20" s="83"/>
      <c r="J20" s="83"/>
      <c r="K20" s="83"/>
      <c r="L20" s="83"/>
      <c r="M20" s="83"/>
      <c r="N20" s="83"/>
    </row>
    <row r="21" customFormat="false" ht="25.5" hidden="false" customHeight="true" outlineLevel="0" collapsed="false">
      <c r="A21" s="78" t="s">
        <v>124</v>
      </c>
      <c r="B21" s="147" t="s">
        <v>139</v>
      </c>
      <c r="C21" s="96" t="str">
        <f aca="false">HYPERLINK("https://mebelstyle.net/tumby-pod-tv/tumba-pod-tv-brw-ukraina-azteca-rtv2d2s415-82546.html","3294")</f>
        <v>3294</v>
      </c>
      <c r="D21" s="96" t="str">
        <f aca="false">HYPERLINK("https://mebelstyle.net/komody/komod-brw-ukraina-azteca-kom4s811-82553.html","3735")</f>
        <v>3735</v>
      </c>
      <c r="E21" s="96" t="str">
        <f aca="false">HYPERLINK("https://mebelstyle.net/komody/komod-brw-ukraina-indiana-011-jkom4s80-1274.html","3442")</f>
        <v>3442</v>
      </c>
      <c r="F21" s="96" t="str">
        <f aca="false">HYPERLINK("https://mebelstyle.net/ofisnye-stoly/pismennyj-stol-brw-ukraina-indiana-007-jbiu2d2s-1255.html","4979")</f>
        <v>4979</v>
      </c>
      <c r="G21" s="93"/>
      <c r="H21" s="93"/>
      <c r="I21" s="96" t="str">
        <f aca="false">HYPERLINK("https://mebelstyle.net/komody/komod-gerbor-sonata-s-015-8s-38625.html","5125")</f>
        <v>5125</v>
      </c>
      <c r="J21" s="96" t="str">
        <f aca="false">HYPERLINK("https://mebelstyle.net/ofisnye-stoly/ofisnyj-stol-brw-ukraina-kaspian-007-biu1d1s-58596.html","2783")</f>
        <v>2783</v>
      </c>
      <c r="K21" s="96" t="str">
        <f aca="false">HYPERLINK("https://mebelstyle.net/prikhozhie/prikhozhaja-gerbor-nepo-ppk-83649.html","1808")</f>
        <v>1808</v>
      </c>
      <c r="L21" s="93"/>
      <c r="M21" s="96" t="str">
        <f aca="false">HYPERLINK("https://mebelstyle.net/gostinye/gostinaja-gerbor-kvatro-venge-56219.html","2840")</f>
        <v>2840</v>
      </c>
      <c r="N21" s="96" t="str">
        <f aca="false">HYPERLINK("https://mebelstyle.net/komody/komod-gerbor-vusher-kom-1w2d2s-83553.html","4022")</f>
        <v>4022</v>
      </c>
    </row>
    <row r="22" customFormat="false" ht="34.5" hidden="false" customHeight="true" outlineLevel="0" collapsed="false">
      <c r="A22" s="78" t="s">
        <v>38</v>
      </c>
      <c r="B22" s="147" t="s">
        <v>139</v>
      </c>
      <c r="C22" s="32" t="str">
        <f aca="false">HYPERLINK("https://lvivmebli.com/13319/","3900")</f>
        <v>3900</v>
      </c>
      <c r="D22" s="32" t="str">
        <f aca="false">HYPERLINK("https://lvivmebli.com/13320/","4675")</f>
        <v>4675</v>
      </c>
      <c r="E22" s="32" t="str">
        <f aca="false">HYPERLINK("https://lvivmebli.com/5030/","4255")</f>
        <v>4255</v>
      </c>
      <c r="F22" s="32" t="str">
        <f aca="false">HYPERLINK("https://lvivmebli.com/5039/","5911")</f>
        <v>5911</v>
      </c>
      <c r="G22" s="95" t="str">
        <f aca="false">HYPERLINK("https://lvivmebli.com/11483/","2300")</f>
        <v>2300</v>
      </c>
      <c r="H22" s="32" t="str">
        <f aca="false">HYPERLINK("https://lvivmebli.com/18473/","6800")</f>
        <v>6800</v>
      </c>
      <c r="I22" s="83"/>
      <c r="J22" s="99"/>
      <c r="K22" s="83"/>
      <c r="L22" s="83"/>
      <c r="M22" s="83"/>
      <c r="N22" s="83"/>
    </row>
    <row r="23" customFormat="false" ht="36.75" hidden="false" customHeight="true" outlineLevel="0" collapsed="false">
      <c r="A23" s="78" t="s">
        <v>39</v>
      </c>
      <c r="B23" s="157" t="s">
        <v>142</v>
      </c>
      <c r="C23" s="27" t="str">
        <f aca="false">HYPERLINK("http://centrmebliv.com.ua/modulni-mebli/brw-azteca/mebli-brw-brv-azteca-tumba-rtv2d2s?keyword=%D0%B0%D1%86%D1%82%D0%B5%D0%BA%D0%B0","3343")</f>
        <v>3343</v>
      </c>
      <c r="D23" s="27" t="str">
        <f aca="false">HYPERLINK("http://centrmebliv.com.ua/modulni-mebli/brw-azteca/mebli-brw-brv-azteca-komod-4s?keyword=%D0%B0%D1%86%D1%82%D0%B5%D0%BA%D0%B0","3924")</f>
        <v>3924</v>
      </c>
      <c r="E23" s="27" t="str">
        <f aca="false">HYPERLINK("http://centrmebliv.com.ua/mebli-dlya-spalni/komody/mebli-brw-brv-indiana-komod-jkom4s_80?keyword=%D1%96%D0%BD%D0%B4%D1%96%D0%B0%D0%BD%D0%B0","3562")</f>
        <v>3562</v>
      </c>
      <c r="F23" s="161" t="str">
        <f aca="false">HYPERLINK("http://centrmebliv.com.ua/modulni-mebli/brw-ukrayina-indiana/mebli-brw-brv-indiana-stil-pysmovyy-jbiu2d2s_140?keyword=%D1%96%D0%BD%D0%B4%D1%96%D0%B0%D0%BD%D0%B0","5158")</f>
        <v>5158</v>
      </c>
      <c r="G23" s="27" t="str">
        <f aca="false">HYPERLINK("http://centrmebliv.com.ua/spalni/komody/mebli-brw-brv-july-komod-kom4s/90?keyword=july","2098")</f>
        <v>2098</v>
      </c>
      <c r="H23" s="27" t="str">
        <f aca="false">HYPERLINK("http://centrmebliv.com.ua/modulni-mebli/brw-ukrayina-porto/mebli-brw-brv-porto-shafa-dlya-odyagu-sf3d2s?keyword=szf3d2s","5377")</f>
        <v>5377</v>
      </c>
      <c r="I23" s="27" t="str">
        <f aca="false">HYPERLINK("http://centrmebliv.com.ua/mebli-dlya-spalni/komody/mebli-gerbor-gerbor-s-015-sonata-_komod-8/s?keyword=%D1%81%D0%BE%D0%BD%D0%B0%D1%82%D0%B0","5683")</f>
        <v>5683</v>
      </c>
      <c r="J23" s="27" t="str">
        <f aca="false">HYPERLINK("http://centrmebliv.com.ua/ofisni-mebli/ofisni-stoly-vid-modulnyh-system/gerbor/brw-kaspian-stil-pysmovyy-biu-1d1s-120?keyword=%D0%BA%D0%B0%D1%81%D0%BF%D1%96%D0%B0%D0%BD","3002")</f>
        <v>3002</v>
      </c>
      <c r="K23" s="83"/>
      <c r="L23" s="83"/>
      <c r="M23" s="27" t="str">
        <f aca="false">HYPERLINK("http://centrmebliv.com.ua/mebli-dlya-vitalni/stinky/mebli-gerbor-gerbor-kvatro","3007")</f>
        <v>3007</v>
      </c>
      <c r="N23" s="27"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32" t="str">
        <f aca="false">HYPERLINK("https://letromebel.com.ua/p566111870-tumba-rtv2d2s415-atsteka.html","3686")</f>
        <v>3686</v>
      </c>
      <c r="D24" s="32" t="str">
        <f aca="false">HYPERLINK("https://letromebel.com.ua/p566126810-komod-kom4s811-atsteka.html","4233")</f>
        <v>4233</v>
      </c>
      <c r="E24" s="32" t="str">
        <f aca="false">HYPERLINK("https://letromebel.com.ua/p566921861-komod-jkom4s80-indiana.html","3755")</f>
        <v>3755</v>
      </c>
      <c r="F24" s="32" t="str">
        <f aca="false">HYPERLINK("https://letromebel.com.ua/p566921329-stol-pismennyj-jbiu2d2s140.html","5323")</f>
        <v>5323</v>
      </c>
      <c r="G24" s="32" t="str">
        <f aca="false">HYPERLINK("https://letromebel.com.ua/p445989920-komod-kom-dzhuli.html","2225")</f>
        <v>2225</v>
      </c>
      <c r="H24" s="32" t="str">
        <f aca="false">HYPERLINK("https://letromebel.com.ua/p567177190-shkaf-szf3d2s-porto.html","5666")</f>
        <v>5666</v>
      </c>
      <c r="I24" s="83"/>
      <c r="J24" s="83"/>
      <c r="K24" s="96" t="str">
        <f aca="false">HYPERLINK("https://letromebel.com.ua/p441285622-prihozhaya-ppk-nepo.html","1963")</f>
        <v>1963</v>
      </c>
      <c r="L24" s="95" t="str">
        <f aca="false">HYPERLINK("https://letromebel.com.ua/p822866700-stenka-gostinuyu-alyaska.html","7644")</f>
        <v>7644</v>
      </c>
      <c r="M24" s="34" t="str">
        <f aca="false">HYPERLINK("https://letromebel.com.ua/p436378844-stenka-kvatro-venge.html","3002")</f>
        <v>3002</v>
      </c>
      <c r="N24" s="32" t="str">
        <f aca="false">HYPERLINK("https://letromebel.com.ua/p332640892-bufet-kom1w2d2s-vusher.html","4258")</f>
        <v>4258</v>
      </c>
    </row>
    <row r="25" customFormat="false" ht="27" hidden="false" customHeight="true" outlineLevel="0" collapsed="false">
      <c r="A25" s="78" t="s">
        <v>26</v>
      </c>
      <c r="B25" s="147" t="s">
        <v>139</v>
      </c>
      <c r="C25" s="32" t="str">
        <f aca="false">HYPERLINK("https://shurup.net.ua/azteca-acteka-tumba-rtv2d2s415.p17205","3686")</f>
        <v>3686</v>
      </c>
      <c r="D25" s="32" t="str">
        <f aca="false">HYPERLINK("https://shurup.net.ua/azteca-acteka-komod-kom4s811.p17200","4233")</f>
        <v>4233</v>
      </c>
      <c r="E25" s="32" t="str">
        <f aca="false">HYPERLINK("https://shurup.net.ua/komod-jkom-4s80-indiana-sosna-kanon.p9412","3755")</f>
        <v>3755</v>
      </c>
      <c r="F25" s="32" t="str">
        <f aca="false">HYPERLINK("https://shurup.net.ua/stol-pismennyj-jbiu-2d2s-140-indiana-dub-shutter.p5488","5323")</f>
        <v>5323</v>
      </c>
      <c r="G25" s="32" t="str">
        <f aca="false">HYPERLINK("https://shurup.net.ua/komod-kom-4s-90-dzhuli.p7011","2225")</f>
        <v>2225</v>
      </c>
      <c r="H25" s="32" t="str">
        <f aca="false">HYPERLINK("https://shurup.net.ua/shkaf-szf3d2s-porto.p24169","5666")</f>
        <v>5666</v>
      </c>
      <c r="I25" s="32" t="str">
        <f aca="false">HYPERLINK("https://shurup.net.ua/komod-8s-sonata.p1034","5870")</f>
        <v>5870</v>
      </c>
      <c r="J25" s="30" t="str">
        <f aca="false">HYPERLINK("https://shurup.net.ua/stol-pismennyj-biu-1d1s-120-kaspian-dub-sonoma.p6492","3141")</f>
        <v>3141</v>
      </c>
      <c r="K25" s="32" t="str">
        <f aca="false">HYPERLINK("https://shurup.net.ua/prihozhaya-rrk-nepo.p13611","1971")</f>
        <v>1971</v>
      </c>
      <c r="L25" s="32" t="str">
        <f aca="false">HYPERLINK("https://shurup.net.ua/gostinaja-aljaska.p28551","7943")</f>
        <v>7943</v>
      </c>
      <c r="M25" s="27" t="str">
        <f aca="false">HYPERLINK("https://shurup.net.ua/gostinaya-kvatro-venge-magiya.p836","3002")</f>
        <v>3002</v>
      </c>
      <c r="N25" s="32" t="str">
        <f aca="false">HYPERLINK("https://shurup.net.ua/komod-kom1w2d2s-9-15-vusher.p1953","4258")</f>
        <v>4258</v>
      </c>
    </row>
    <row r="26" customFormat="false" ht="36.75" hidden="false" customHeight="true" outlineLevel="0" collapsed="false">
      <c r="A26" s="105" t="s">
        <v>41</v>
      </c>
      <c r="B26" s="162" t="s">
        <v>143</v>
      </c>
      <c r="C26" s="83"/>
      <c r="D26" s="83"/>
      <c r="E26" s="83"/>
      <c r="F26" s="83"/>
      <c r="G26" s="83"/>
      <c r="H26" s="83"/>
      <c r="I26" s="83"/>
      <c r="J26" s="83"/>
      <c r="K26" s="44" t="str">
        <f aca="false">HYPERLINK("https://www.taburetka.ua/prihozhie-40/prihozhaya-ppk-nepo-2914","1915")</f>
        <v>1915</v>
      </c>
      <c r="L26" s="83"/>
      <c r="M26" s="95" t="str">
        <f aca="false">HYPERLINK("https://www.taburetka.ua/gostinye-600/gostinaya-kvatro-2834","3060")</f>
        <v>3060</v>
      </c>
      <c r="N26" s="27" t="str">
        <f aca="false">HYPERLINK("https://www.taburetka.ua/komody-i-tumby-35/komod-kom1w2d2s-vusher-2974","4145")</f>
        <v>4145</v>
      </c>
    </row>
    <row r="27" customFormat="false" ht="37.5" hidden="false" customHeight="true" outlineLevel="0" collapsed="false">
      <c r="A27" s="106" t="s">
        <v>42</v>
      </c>
      <c r="B27" s="163" t="s">
        <v>144</v>
      </c>
      <c r="C27" s="32" t="str">
        <f aca="false">HYPERLINK("http://www.maxidom.com.ua/tumba-rtv-atsteka-2d2s415.html?search_string=%D2%F3%EC%E1%E0+%D0%D2%C2+%C0%F6%F2%E5%EA%E0+2D2S%2F4%2F15","3686")</f>
        <v>3686</v>
      </c>
      <c r="D27" s="39" t="str">
        <f aca="false">HYPERLINK("http://www.maxidom.com.ua/komod-atsteka-kom4s811.html?search_string=%CA%EE%EC%EE%E4+%C0%F6%F2%E5%EA%E0+KOM4S%2F8%2F11","4233")</f>
        <v>4233</v>
      </c>
      <c r="E27" s="44" t="str">
        <f aca="false">HYPERLINK("http://www.maxidom.com.ua/komod_indiana_jkom4s80.html?search_string=%CA%EE%EC%EE%E4+%C8%ED%E4%E8%E0%ED%E0+JKOM4s%2F80","3562")</f>
        <v>3562</v>
      </c>
      <c r="F27" s="44" t="str">
        <f aca="false">HYPERLINK("http://www.maxidom.com.ua/stol_pismenniy_indiana_jbiu2d2s.html?search_string=%D1%F2%EE%EB+%EF%E8%F1%FC%EC%E5%ED%ED%FB%E9+%C8%ED%E4%E8%E0%ED%E0+JBIU2d2s","5158")</f>
        <v>5158</v>
      </c>
      <c r="G27" s="39" t="str">
        <f aca="false">HYPERLINK("http://www.maxidom.com.ua/komod-kom4s90-dzhuli.html?search_string=%CA%EE%EC%EE%E4+KOM4S%2F90+%C4%E6%F3%EB%E8","2225")</f>
        <v>2225</v>
      </c>
      <c r="H27" s="39" t="str">
        <f aca="false">HYPERLINK("http://www.maxidom.com.ua/shkaf-porto-porto-szf3d2s.html?search_string=%D8%EA%E0%F4+%CF%EE%F0%F2%EE+%28Porto%29+SZF3D2S","5666")</f>
        <v>5666</v>
      </c>
      <c r="I27" s="39" t="str">
        <f aca="false">HYPERLINK("http://www.maxidom.com.ua/komod-sonata-8s.html?search_string=%CA%EE%EC%EE%E4+%D1%EE%ED%E0%F2%E0+8s","5870")</f>
        <v>5870</v>
      </c>
      <c r="J27" s="39" t="str">
        <f aca="false">HYPERLINK("http://www.maxidom.com.ua/stol-pismenniy-biu-1d1s-kaspian-kaspian.html?search_string=%D1%F2%EE%EB+%EF%E8%F1%FC%EC%E5%ED%ED%FB%E9+BIU+1D1S+%CA%E0%F1%EF%E8%E0%ED+%28Kaspian%29","3002")</f>
        <v>3002</v>
      </c>
      <c r="K27" s="44" t="str">
        <f aca="false">HYPERLINK("http://www.maxidom.com.ua/prihozhaya-nepo-ppk.html?search_string=%CF%F0%E8%F5%EE%E6%E0%FF+%CD%E5%EF%EE+PPK","1963")</f>
        <v>1963</v>
      </c>
      <c r="L27" s="44" t="str">
        <f aca="false">HYPERLINK("http://www.maxidom.com.ua/stenka-alyaska.html?search_string=%D1%F2%E5%ED%EA%E0+%C0%EB%FF%F1%EA%E0","7644")</f>
        <v>7644</v>
      </c>
      <c r="M27" s="27" t="str">
        <f aca="false">HYPERLINK("http://www.maxidom.com.ua/stenka-kvatro.html?search_string=%D1%F2%E5%ED%EA%E0+%CA%E2%E0%F2%F0%EE","3002")</f>
        <v>3002</v>
      </c>
      <c r="N27" s="27" t="str">
        <f aca="false">HYPERLINK("http://www.maxidom.com.ua/komod-kom-1w2d2s-vusher.html?search_string=%CA%EE%EC%EE%E4+KOM+1W2D2S+%C2%F3%F8%E5%F0","4195")</f>
        <v>4195</v>
      </c>
    </row>
    <row r="28" customFormat="false" ht="42" hidden="false" customHeight="true" outlineLevel="0" collapsed="false">
      <c r="A28" s="106" t="s">
        <v>27</v>
      </c>
      <c r="B28" s="165" t="s">
        <v>145</v>
      </c>
      <c r="C28" s="32" t="str">
        <f aca="false">HYPERLINK("https://mebel-online.com.ua/tymba-rtv2d2s-4-15-azteca?filter_name=azteca","3686")</f>
        <v>3686</v>
      </c>
      <c r="D28" s="39" t="str">
        <f aca="false">HYPERLINK("https://mebel-online.com.ua/komod-kom4s-8-11-azteca?filter_name=azteca","4233")</f>
        <v>4233</v>
      </c>
      <c r="E28" s="32" t="str">
        <f aca="false">HYPERLINK("https://mebel-online.com.ua/p5228-komod_jkom_4s_80_indiana_brw?filter_name=%D0%B8%D0%BD%D0%B4%D0%B8%D0%B0%D0%BD%D0%B0","3755")</f>
        <v>3755</v>
      </c>
      <c r="F28" s="39" t="str">
        <f aca="false">HYPERLINK("https://mebel-online.com.ua/p5223-stol_pismenniy_jbiu_2d2s_140_indiana_brw?filter_name=%D0%B8%D0%BD%D0%B4%D0%B8%D0%B0%D0%BD%D0%B0","5323")</f>
        <v>5323</v>
      </c>
      <c r="G28" s="39" t="str">
        <f aca="false">HYPERLINK("https://mebel-online.com.ua/komod-kom4s-90-july?filter_name=july","2225")</f>
        <v>2225</v>
      </c>
      <c r="H28" s="39" t="str">
        <f aca="false">HYPERLINK("https://mebel-online.com.ua/shkaf-szf3d2s-porto?filter_name=SZF3D2S","5666")</f>
        <v>5666</v>
      </c>
      <c r="I28" s="39" t="str">
        <f aca="false">HYPERLINK("https://mebel-online.com.ua/p1728-gerbor_sonata_komod_8-s?filter_name=%D1%81%D0%BE%D0%BD%D0%B0%D1%82%D0%B0","5870")</f>
        <v>5870</v>
      </c>
      <c r="J28" s="111"/>
      <c r="K28" s="27" t="str">
        <f aca="false">HYPERLINK("https://mebel-online.com.ua/prihozhaya-gerbor-ppk-nepo?filter_name=%D0%BD%D0%B5%D0%BF%D0%BE","1963")</f>
        <v>1963</v>
      </c>
      <c r="L28" s="45" t="str">
        <f aca="false">HYPERLINK("https://mebel-online.com.ua/stenka-aliaska-brw%20?filter_name=%D0%B0%D0%BB%D1%8F%D1%81%D0%BA%D0%B0","7644")</f>
        <v>7644</v>
      </c>
      <c r="M28" s="27" t="str">
        <f aca="false">HYPERLINK("https://mebel-online.com.ua/stenka-kvatro-gerbor?filter_name=%D0%BA%D0%B2%D0%B0%D1%82%D1%80%D0%BE","3002")</f>
        <v>3002</v>
      </c>
      <c r="N28" s="32" t="str">
        <f aca="false">HYPERLINK("https://mebel-online.com.ua/komod-kom-1w2d2s-vusher-gerbor?filter_name=%D0%B2%D1%83%D1%88%D0%B5%D1%80","4258")</f>
        <v>4258</v>
      </c>
    </row>
    <row r="29" customFormat="false" ht="15.75" hidden="false" customHeight="true" outlineLevel="0" collapsed="false">
      <c r="A29" s="105" t="s">
        <v>147</v>
      </c>
      <c r="B29" s="170" t="s">
        <v>148</v>
      </c>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K3" r:id="rId7" display="https://brwmania.com.ua/gostinaja/modulnye-gostinye/sistema_nepo/gerbor-gerbor-prihozhaya-nepo-nepo-ppk-dub-sonoma/"/>
    <hyperlink ref="A4" r:id="rId8" display="http://redlight.com.ua/"/>
    <hyperlink ref="A5" r:id="rId9" display="https://mebli-bristol.com.ua/"/>
    <hyperlink ref="A6" r:id="rId10" display="http://gerbor.kiev.ua/"/>
    <hyperlink ref="A7" r:id="rId11" display="http://www.brwland.com.ua/"/>
    <hyperlink ref="A8" r:id="rId12" display="http://gerbor.dp.ua/"/>
    <hyperlink ref="A9" r:id="rId13" display="https://www.dybok.com.ua/"/>
    <hyperlink ref="D9" r:id="rId14" display="https://www.dybok.com.ua/ru/product/detail/35870"/>
    <hyperlink ref="E9" r:id="rId15" display="https://www.dybok.com.ua/ru/product/detail/55516"/>
    <hyperlink ref="F9" r:id="rId16" display="https://www.dybok.com.ua/ru/product/detail/4291"/>
    <hyperlink ref="G9" r:id="rId17" display="https://www.dybok.com.ua/ru/product/detail/9798"/>
    <hyperlink ref="H9" r:id="rId18" display="https://www.dybok.com.ua/ru/product/detail/35840"/>
    <hyperlink ref="I9" r:id="rId19" display="https://www.dybok.com.ua/ru/product/detail/261"/>
    <hyperlink ref="K9" r:id="rId20" display="https://www.dybok.com.ua/ru/product/detail/18085"/>
    <hyperlink ref="L9" r:id="rId21" display="https://www.dybok.com.ua/ru/product/detail/50410"/>
    <hyperlink ref="A10" r:id="rId22" display="https://vashamebel.in.ua/"/>
    <hyperlink ref="J10" r:id="rId23" display="0 грн"/>
    <hyperlink ref="A11" r:id="rId24" display="http://mebel-mebel.com.ua/"/>
    <hyperlink ref="L11" r:id="rId25" display="https://mebel-mebel.com.ua/eshop/dom-stenki-dlia-gostinoi/gostinaya_alyaska-id50834.html"/>
    <hyperlink ref="A12" r:id="rId26" display="http://abcmebli.com.ua"/>
    <hyperlink ref="A13" r:id="rId27" display="https://gerbor.mebelok.com/"/>
    <hyperlink ref="A14" r:id="rId28" display="http://maxmebel.com.ua/"/>
    <hyperlink ref="A15" r:id="rId29" display="https://moyamebel.com.ua/ua"/>
    <hyperlink ref="A16" r:id="rId30" display="https://mebel-soyuz.com.ua/"/>
    <hyperlink ref="A17" r:id="rId31" display="https://sofino.ua/"/>
    <hyperlink ref="A18" r:id="rId32" display="https://www.brw-kiev.com.ua/"/>
    <hyperlink ref="A19" r:id="rId33" display="https://brw.kiev.ua/"/>
    <hyperlink ref="A20" r:id="rId34" display="http://brw.com.ua/"/>
    <hyperlink ref="A21" r:id="rId35" display="https://mebelstyle.net/"/>
    <hyperlink ref="A22" r:id="rId36" display="https://lvivmebli.com/"/>
    <hyperlink ref="A23" r:id="rId37" display="http://centrmebliv.com.ua/"/>
    <hyperlink ref="A24" r:id="rId38" display="https://letromebel.com.ua/"/>
    <hyperlink ref="A25" r:id="rId39" display="https://shurup.net.ua/"/>
    <hyperlink ref="A26" r:id="rId40" display="https://www.taburetka.ua"/>
    <hyperlink ref="A27" r:id="rId41" display="http://www.maxidom.com.ua/"/>
    <hyperlink ref="A28" r:id="rId42" display="https://mebel-online.com.ua"/>
    <hyperlink ref="A29" r:id="rId43"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 collapsed="false" customWidth="true" hidden="false" outlineLevel="0" max="15" min="15" style="0" width="20.43"/>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8" t="n">
        <v>3686</v>
      </c>
      <c r="D2" s="8" t="n">
        <v>4233</v>
      </c>
      <c r="E2" s="8" t="n">
        <v>3755</v>
      </c>
      <c r="F2" s="8" t="n">
        <v>5323</v>
      </c>
      <c r="G2" s="8" t="n">
        <v>2225</v>
      </c>
      <c r="H2" s="8" t="n">
        <v>5666</v>
      </c>
      <c r="I2" s="8" t="n">
        <v>5870</v>
      </c>
      <c r="J2" s="8" t="n">
        <v>3141</v>
      </c>
      <c r="K2" s="10" t="n">
        <v>1971</v>
      </c>
      <c r="L2" s="10" t="n">
        <v>7943</v>
      </c>
      <c r="M2" s="10" t="n">
        <v>3242</v>
      </c>
      <c r="N2" s="10" t="n">
        <v>4258</v>
      </c>
    </row>
    <row r="3" customFormat="false" ht="48" hidden="false" customHeight="true" outlineLevel="0" collapsed="false">
      <c r="A3" s="78" t="s">
        <v>28</v>
      </c>
      <c r="B3" s="147" t="s">
        <v>127</v>
      </c>
      <c r="C3" s="80" t="str">
        <f aca="false">HYPERLINK("https://brwmania.com.ua/gostinaja/modulnye-gostinye/sistema-azteka/tumba-pod-tv-acteka-rtv2d2s415/","3686")</f>
        <v>3686</v>
      </c>
      <c r="D3" s="80" t="str">
        <f aca="false">HYPERLINK("https://brwmania.com.ua/gostinaja/modulnye-gostinye/sistema-azteka/komod-acteka-kom4s811/","4233")</f>
        <v>4233</v>
      </c>
      <c r="E3" s="80" t="str">
        <f aca="false">HYPERLINK("https://brwmania.com.ua/gostinaja/modulnye-gostinye/sistema-indiana-indiana---dub-shuter/indiana-dub-shuter-laminat-j-011-komod-jkom-4s-80/","3755")</f>
        <v>3755</v>
      </c>
      <c r="F3" s="80" t="str">
        <f aca="false">HYPERLINK("https://brwmania.com.ua/gostinaja/modulnye-gostinye/sistema-indiana-indiana---dub-shuter/indiana-dub-shuter-laminat-j-007-stol-pismennyy-jbiu-2d2s-140/","5323")</f>
        <v>5323</v>
      </c>
      <c r="G3" s="80" t="str">
        <f aca="false">HYPERLINK("https://brwmania.com.ua/gostinaja/modulnye-gostinye/sistema_dzhuli/komod-dzhuli-july-kom4s-90/","2225")</f>
        <v>2225</v>
      </c>
      <c r="H3" s="80" t="str">
        <f aca="false">HYPERLINK("https://brwmania.com.ua/gostinaja/modulnye-gostinye/tovar-novij/shkaf-platjanoj-porto-szf3d2s/","5666")</f>
        <v>5666</v>
      </c>
      <c r="I3" s="80" t="str">
        <f aca="false">HYPERLINK("https://brwmania.com.ua/gostinaja/modulnye-gostinye/sistema-sonata-sonata/s-015-sonata-komod-8-s/","5870")</f>
        <v>5870</v>
      </c>
      <c r="J3" s="80" t="str">
        <f aca="false">HYPERLINK("https://brwmania.com.ua/gostinaja/modulnye-gostinye/sistema_kaspian_dub_sonoma/kaspian-dub-sonoma-jm-007-stol-pismennyy-biu-1d1s/","3141")</f>
        <v>3141</v>
      </c>
      <c r="K3" s="80" t="str">
        <f aca="false">HYPERLINK("https://mebli-bristol.com.ua/nepo-peredpokij-ppk-gerbor-9730.html/","1971")</f>
        <v>1971</v>
      </c>
      <c r="L3" s="80" t="str">
        <f aca="false">HYPERLINK("https://brwmania.com.ua/gostinaja/komplekty-gostinyh/aljaska-alaska-gostinaja/","7943")</f>
        <v>7943</v>
      </c>
      <c r="M3" s="80" t="str">
        <f aca="false">HYPERLINK("https://brwmania.com.ua/gostinaja/komplekty-gostinyh/stinka-kvatro-venge-magia/","3242")</f>
        <v>3242</v>
      </c>
      <c r="N3" s="80" t="str">
        <f aca="false">HYPERLINK("https://brwmania.com.ua/gostinaja/modulnye-gostinye/sistema-vusher-vusher/010-vusher-komod-kom-1w2d2s/","4258")</f>
        <v>4258</v>
      </c>
    </row>
    <row r="4" customFormat="false" ht="60.75" hidden="false" customHeight="true" outlineLevel="0" collapsed="false">
      <c r="A4" s="78" t="s">
        <v>29</v>
      </c>
      <c r="B4" s="147" t="s">
        <v>128</v>
      </c>
      <c r="C4" s="35" t="str">
        <f aca="false">HYPERLINK("http://redlight.com.ua/tv-stands/item-tumba-tv-rtv2d2s-4-15-atsteka","3686")</f>
        <v>3686</v>
      </c>
      <c r="D4" s="32" t="str">
        <f aca="false">HYPERLINK("http://redlight.com.ua/komod/item-komod-kom4s-8-11-atsteka","4233")</f>
        <v>4233</v>
      </c>
      <c r="E4" s="32" t="str">
        <f aca="false">HYPERLINK("http://redlight.com.ua/komod/item-komod-jkom-4s-80-indiana","3755")</f>
        <v>3755</v>
      </c>
      <c r="F4" s="32" t="str">
        <f aca="false">HYPERLINK("http://redlight.com.ua/stoly/item-stol-pismenniy-jbiu-2d2s-indiana","5323")</f>
        <v>5323</v>
      </c>
      <c r="G4" s="32" t="str">
        <f aca="false">HYPERLINK("http://redlight.com.ua/komod/item-komod-kom4s-90-dzhuli","2225")</f>
        <v>2225</v>
      </c>
      <c r="H4" s="32" t="str">
        <f aca="false">HYPERLINK("http://redlight.com.ua/raspashnyye-shkafy/item-porto-shkaf-szf3d2s","5666")</f>
        <v>5666</v>
      </c>
      <c r="I4" s="32" t="str">
        <f aca="false">HYPERLINK("http://redlight.com.ua/komod/item-komod-8s-sonata-","5870")</f>
        <v>5870</v>
      </c>
      <c r="J4" s="30" t="str">
        <f aca="false">HYPERLINK("http://redlight.com.ua/stoly/item-kaspian-pismenniy-stol-biu-1d1s-120-kaspian","3141")</f>
        <v>3141</v>
      </c>
      <c r="K4" s="32" t="str">
        <f aca="false">HYPERLINK("http://redlight.com.ua/prihozhie/item-nepo-prihozhaya-rrk-","1971")</f>
        <v>1971</v>
      </c>
      <c r="L4" s="95" t="str">
        <f aca="false">HYPERLINK("http://redlight.com.ua/stenki/item-stenka-alyaska","7644")</f>
        <v>7644</v>
      </c>
      <c r="M4" s="32" t="str">
        <f aca="false">HYPERLINK("http://redlight.com.ua/stenki/item-stenka-kvatro","3242")</f>
        <v>3242</v>
      </c>
      <c r="N4" s="19" t="str">
        <f aca="false">HYPERLINK("https://redlight.com.ua/komod/item-tumba-kom-1w2d2s-9-15-vusher","4258")</f>
        <v>4258</v>
      </c>
    </row>
    <row r="5" customFormat="false" ht="63" hidden="false" customHeight="true" outlineLevel="0" collapsed="false">
      <c r="A5" s="78" t="s">
        <v>30</v>
      </c>
      <c r="B5" s="171" t="s">
        <v>129</v>
      </c>
      <c r="C5" s="32" t="str">
        <f aca="false">HYPERLINK("https://mebli-bristol.com.ua/acteka-tumba-rtv-2d2s-4-15-brv-ukraina.html","3686")</f>
        <v>3686</v>
      </c>
      <c r="D5" s="32" t="str">
        <f aca="false">HYPERLINK("https://mebli-bristol.com.ua/acteka-komod-kom-4s-8-11-brv-ukraina.html","4233")</f>
        <v>4233</v>
      </c>
      <c r="E5" s="32" t="str">
        <f aca="false">HYPERLINK("https://mebli-bristol.com.ua/indiana-komod-jkom-4s-80-sosna-kan-jon-brv-ukraina.html","3755")</f>
        <v>3755</v>
      </c>
      <c r="F5" s="32" t="str">
        <f aca="false">HYPERLINK("https://mebli-bristol.com.ua/indiana-stil-pis-movij-jbiu-2d2s-140-sosna-kan-jon-brv-ukraina.html","5323")</f>
        <v>5323</v>
      </c>
      <c r="G5" s="32" t="str">
        <f aca="false">HYPERLINK("https://mebli-bristol.com.ua/dzhuli-komod-kom-4s-90-brv-ukraina.html","2225")</f>
        <v>2225</v>
      </c>
      <c r="H5" s="32" t="str">
        <f aca="false">HYPERLINK("https://mebli-bristol.com.ua/porto-shafa-szf-3d2s-brv-ukraina.html","5666")</f>
        <v>5666</v>
      </c>
      <c r="I5" s="32" t="str">
        <f aca="false">HYPERLINK("https://mebli-bristol.com.ua/sonata-komod-8s-gerbor.html","5870")</f>
        <v>5870</v>
      </c>
      <c r="J5" s="32" t="str">
        <f aca="false">HYPERLINK("https://mebli-bristol.com.ua/kaspian-stil-pis-movij-biu-1d1s-120-dub-sonoma-brv-ukraina.html","3141")</f>
        <v>3141</v>
      </c>
      <c r="K5" s="32" t="str">
        <f aca="false">HYPERLINK("https://mebli-bristol.com.ua/nepo-peredpokij-ppk-gerbor-9728.html","1971")</f>
        <v>1971</v>
      </c>
      <c r="L5" s="32" t="str">
        <f aca="false">HYPERLINK("https://mebli-bristol.com.ua/aljaska-brv-ukraina.html","7943")</f>
        <v>7943</v>
      </c>
      <c r="M5" s="32" t="str">
        <f aca="false">HYPERLINK("https://mebli-bristol.com.ua/kvatro-gerbor.html","3242")</f>
        <v>3242</v>
      </c>
      <c r="N5" s="32" t="str">
        <f aca="false">HYPERLINK("https://mebli-bristol.com.ua/vusher-komod-kom-1w-2d2s-gerbor.html","4258")</f>
        <v>4258</v>
      </c>
    </row>
    <row r="6" customFormat="false" ht="60" hidden="false" customHeight="true" outlineLevel="0" collapsed="false">
      <c r="A6" s="78" t="s">
        <v>17</v>
      </c>
      <c r="B6" s="149" t="s">
        <v>130</v>
      </c>
      <c r="C6" s="32" t="str">
        <f aca="false">HYPERLINK("https://gerbor.kiev.ua/mebelnye-sistemy/mebel-brw-azteca/azteca-tumba-tv-rtv2d2s-brv/","3686")</f>
        <v>3686</v>
      </c>
      <c r="D6" s="32" t="str">
        <f aca="false">HYPERLINK("https://gerbor.kiev.ua/mebelnye-sistemy/mebel-brw-azteca/azteca-komod-kom4s-brv/","4233")</f>
        <v>4233</v>
      </c>
      <c r="E6" s="32" t="str">
        <f aca="false">HYPERLINK("https://gerbor.kiev.ua/mebelnye-sistemy/mebel-indiana-brw/indiana-komod-jkom4s80-brv/","3755")</f>
        <v>3755</v>
      </c>
      <c r="F6" s="32" t="str">
        <f aca="false">HYPERLINK("https://gerbor.kiev.ua/mebelnye-sistemy/mebel-indiana-brw/indiana-stol-pismennyy-jbiu2d2s140-brv/","5323")</f>
        <v>5323</v>
      </c>
      <c r="G6" s="32" t="str">
        <f aca="false">HYPERLINK("https://gerbor.kiev.ua/mebelnye-sistemy/mebel-july-brw/july-komod-kom4s90-brv/","2225")</f>
        <v>2225</v>
      </c>
      <c r="H6" s="32" t="str">
        <f aca="false">HYPERLINK("https://gerbor.kiev.ua/mebelnye-sistemy/mebel-porto-brv/porto-shkaf-szf3d2s-brv/","5666")</f>
        <v>5666</v>
      </c>
      <c r="I6" s="32" t="str">
        <f aca="false">HYPERLINK("https://gerbor.kiev.ua/mebelnye-sistemy/mebel-sonata-gerbor/sonata-komod-8s-gerbor/","5870")</f>
        <v>5870</v>
      </c>
      <c r="J6" s="32" t="str">
        <f aca="false">HYPERLINK("https://gerbor.kiev.ua/mebelnye-sistemy/mebel-kaspian-sonoma-brw/kaspian-sonoma-stol-pismennyy-biu1d1s-brv/","3141")</f>
        <v>3141</v>
      </c>
      <c r="K6" s="32" t="str">
        <f aca="false">HYPERLINK("https://gerbor.kiev.ua/mebelnye-sistemy/mebel-nepo-gerbor/nepo-prikhozhaya-ppk-gerbor/","1971")</f>
        <v>1971</v>
      </c>
      <c r="L6" s="32" t="str">
        <f aca="false">HYPERLINK("https://gerbor.kiev.ua/mebelnye-sistemy/mebel-alaska-brw/alaska-gostinaya-brw/","7943")</f>
        <v>7943</v>
      </c>
      <c r="M6" s="83"/>
      <c r="N6" s="32" t="str">
        <f aca="false">HYPERLINK("https://gerbor.kiev.ua/mebelnye-sistemy/mebel-vusher-gerbor/vusher-komod-kom1w2d2s-gerbor/","4258")</f>
        <v>4258</v>
      </c>
    </row>
    <row r="7" customFormat="false" ht="63" hidden="false" customHeight="true" outlineLevel="0" collapsed="false">
      <c r="A7" s="78" t="s">
        <v>18</v>
      </c>
      <c r="B7" s="150" t="s">
        <v>131</v>
      </c>
      <c r="C7" s="32" t="str">
        <f aca="false">HYPERLINK("http://www.brwland.com.ua/product/azteca-tumba-tv-rtv2d2s415-brv-ukraina/","3686")</f>
        <v>3686</v>
      </c>
      <c r="D7" s="32" t="str">
        <f aca="false">HYPERLINK("http://www.brwland.com.ua/product/azteca-komod-kom4s811-brv-ukraina/","4233")</f>
        <v>4233</v>
      </c>
      <c r="E7" s="32" t="str">
        <f aca="false">HYPERLINK("http://www.brwland.com.ua/product/mebel-indiana-komod-jkom-4s-80-gerbor/","3755")</f>
        <v>3755</v>
      </c>
      <c r="F7" s="32" t="str">
        <f aca="false">HYPERLINK("http://www.brwland.com.ua/product/mebel-indiana-stol-pismennyj-jbiu-2d2s-140-gerbor/","5323")</f>
        <v>5323</v>
      </c>
      <c r="G7" s="32" t="str">
        <f aca="false">HYPERLINK("http://www.brwland.com.ua/product/dzhuli-komod-kom4s90-brv-ukraina/","2225")</f>
        <v>2225</v>
      </c>
      <c r="H7" s="32" t="str">
        <f aca="false">HYPERLINK("http://www.brwland.com.ua/product/porto-shkaf-szf3d2s-brv-ukraina/","5666")</f>
        <v>5666</v>
      </c>
      <c r="I7" s="32" t="str">
        <f aca="false">HYPERLINK("http://www.brwland.com.ua/product/komod-8s-sonata-gerbor/","5870")</f>
        <v>5870</v>
      </c>
      <c r="J7" s="32" t="str">
        <f aca="false">HYPERLINK("http://www.brwland.com.ua/product/kaspian-sonoma-stol-pismennyj-biu1d1s-brv-ukraina/","3141")</f>
        <v>3141</v>
      </c>
      <c r="K7" s="32" t="str">
        <f aca="false">HYPERLINK("http://www.brwland.com.ua/product/nepo-prihozhaja-ppk-gerbor/","1971")</f>
        <v>1971</v>
      </c>
      <c r="L7" s="32" t="str">
        <f aca="false">HYPERLINK("http://www.brwland.com.ua/product/gostinaja-aljaska-brv-ukraina/","7943")</f>
        <v>7943</v>
      </c>
      <c r="M7" s="27" t="str">
        <f aca="false">HYPERLINK("http://www.brwland.com.ua/product/komplekt-quatro/","3151")</f>
        <v>3151</v>
      </c>
      <c r="N7" s="32" t="str">
        <f aca="false">HYPERLINK("http://www.brwland.com.ua/product/vusher-bufet-kom1w2d2s915-gerbor/","4258")</f>
        <v>4258</v>
      </c>
    </row>
    <row r="8" customFormat="false" ht="60" hidden="false" customHeight="true" outlineLevel="0" collapsed="false">
      <c r="A8" s="78" t="s">
        <v>31</v>
      </c>
      <c r="B8" s="147" t="s">
        <v>128</v>
      </c>
      <c r="C8" s="27" t="str">
        <f aca="false">HYPERLINK("http://gerbor.dp.ua/index.php?route=product/product&amp;product_id=3138","3343")</f>
        <v>3343</v>
      </c>
      <c r="D8" s="27" t="str">
        <f aca="false">HYPERLINK("http://gerbor.dp.ua/index.php?route=product/product&amp;product_id=3131","3924")</f>
        <v>3924</v>
      </c>
      <c r="E8" s="27" t="str">
        <f aca="false">HYPERLINK("http://gerbor.dp.ua/index.php?route=product/product&amp;product_id=1730","3562")</f>
        <v>3562</v>
      </c>
      <c r="F8" s="27" t="str">
        <f aca="false">HYPERLINK("http://gerbor.dp.ua/index.php?route=product/product&amp;product_id=1725","5158")</f>
        <v>5158</v>
      </c>
      <c r="G8" s="27" t="str">
        <f aca="false">HYPERLINK("http://gerbor.dp.ua/index.php?route=product/product&amp;product_id=1755","2098")</f>
        <v>2098</v>
      </c>
      <c r="H8" s="27" t="str">
        <f aca="false">HYPERLINK("http://gerbor.dp.ua/index.php?route=product/product&amp;product_id=3905","5377")</f>
        <v>5377</v>
      </c>
      <c r="I8" s="27" t="str">
        <f aca="false">HYPERLINK("http://gerbor.dp.ua/index.php?route=product/product&amp;product_id=2156","5683")</f>
        <v>5683</v>
      </c>
      <c r="J8" s="27" t="str">
        <f aca="false">HYPERLINK("http://gerbor.dp.ua/index.php?route=product/product&amp;product_id=2819","3002")</f>
        <v>3002</v>
      </c>
      <c r="K8" s="27" t="str">
        <f aca="false">HYPERLINK("http://gerbor.dp.ua/index.php?route=product/product&amp;product_id=3473&amp;search=%D0%BD%D0%B5%D0%BF%D0%BE","1963")</f>
        <v>1963</v>
      </c>
      <c r="L8" s="27" t="str">
        <f aca="false">HYPERLINK("http://gerbor.dp.ua/index.php?route=product/product&amp;product_id=3031","7644")</f>
        <v>7644</v>
      </c>
      <c r="M8" s="27" t="str">
        <f aca="false">HYPERLINK("http://gerbor.dp.ua/index.php?route=product/product&amp;product_id=2040","3007")</f>
        <v>3007</v>
      </c>
      <c r="N8" s="27" t="str">
        <f aca="false">HYPERLINK("http://gerbor.dp.ua/index.php?route=product/product&amp;product_id=2775","4195")</f>
        <v>4195</v>
      </c>
      <c r="O8" s="166" t="s">
        <v>149</v>
      </c>
    </row>
    <row r="9" customFormat="false" ht="56.25" hidden="false" customHeight="true" outlineLevel="0" collapsed="false">
      <c r="A9" s="105" t="s">
        <v>32</v>
      </c>
      <c r="B9" s="151" t="s">
        <v>132</v>
      </c>
      <c r="C9" s="34" t="str">
        <f aca="false">HYPERLINK("https://www.dybok.com.ua/ru/product/detail/35816","3693")</f>
        <v>3693</v>
      </c>
      <c r="D9" s="27" t="str">
        <f aca="false">HYPERLINK("https://www.dybok.com.ua/ru/product/detail/35870","3815")</f>
        <v>3815</v>
      </c>
      <c r="E9" s="95" t="str">
        <f aca="false">HYPERLINK("https://www.dybok.com.ua/ru/product/detail/55516","3532")</f>
        <v>3532</v>
      </c>
      <c r="F9" s="27" t="str">
        <f aca="false">HYPERLINK("https://www.dybok.com.ua/ru/product/detail/4291","5329")</f>
        <v>5329</v>
      </c>
      <c r="G9" s="27" t="str">
        <f aca="false">HYPERLINK("https://www.dybok.com.ua/ru/product/detail/9798","2229")</f>
        <v>2229</v>
      </c>
      <c r="H9" s="27" t="str">
        <f aca="false">HYPERLINK("https://www.dybok.com.ua/ru/product/detail/35840","5676")</f>
        <v>5676</v>
      </c>
      <c r="I9" s="27" t="str">
        <f aca="false">HYPERLINK("https://www.dybok.com.ua/ru/product/detail/261","5879")</f>
        <v>5879</v>
      </c>
      <c r="J9" s="95" t="str">
        <f aca="false">HYPERLINK("https://www.dybok.com.ua/","3006")</f>
        <v>3006</v>
      </c>
      <c r="K9" s="96" t="str">
        <f aca="false">HYPERLINK("https://www.dybok.com.ua/ru/product/detail/18085","1968")</f>
        <v>1968</v>
      </c>
      <c r="L9" s="27" t="str">
        <f aca="false">HYPERLINK("https://www.dybok.com.ua/ru/product/detail/50410","7949")</f>
        <v>7949</v>
      </c>
      <c r="M9" s="27" t="str">
        <f aca="false">HYPERLINK("https://www.dybok.com.ua/ru/product/detail/6077","3249")</f>
        <v>3249</v>
      </c>
      <c r="N9" s="27" t="str">
        <f aca="false">HYPERLINK("https://www.dybok.com.ua/ru/product/detail/7086","4268")</f>
        <v>4268</v>
      </c>
    </row>
    <row r="10" customFormat="false" ht="61.5" hidden="false" customHeight="true" outlineLevel="0" collapsed="false">
      <c r="A10" s="78" t="s">
        <v>19</v>
      </c>
      <c r="B10" s="154" t="s">
        <v>133</v>
      </c>
      <c r="C10" s="30" t="str">
        <f aca="false">HYPERLINK("https://vashamebel.in.ua/tumba-tv-brv-atsteka-rtv2d2s415/p12722","3686")</f>
        <v>3686</v>
      </c>
      <c r="D10" s="30" t="str">
        <f aca="false">HYPERLINK("https://vashamebel.in.ua/komod-brv-atsteka-kom4s811/p12731","4233")</f>
        <v>4233</v>
      </c>
      <c r="E10" s="30" t="str">
        <f aca="false">HYPERLINK("https://vashamebel.in.ua/komod-brv-indiana-jkom4s80/p921","3755")</f>
        <v>3755</v>
      </c>
      <c r="F10" s="30" t="str">
        <f aca="false">HYPERLINK("https://vashamebel.in.ua/stol-pismennyij-brv-indiana-jbiu-2d2s/p916","5323")</f>
        <v>5323</v>
      </c>
      <c r="G10" s="32" t="str">
        <f aca="false">HYPERLINK("https://vashamebel.in.ua/komod-brv-dzhuli-kom4s90/p7958","2225")</f>
        <v>2225</v>
      </c>
      <c r="H10" s="32" t="str">
        <f aca="false">HYPERLINK("https://vashamebel.in.ua/shkaf-brv-porto-szf3d2s/p12560","5666")</f>
        <v>5666</v>
      </c>
      <c r="I10" s="30" t="str">
        <f aca="false">HYPERLINK("https://vashamebel.in.ua/komod-gerbor-sonata-8s/p845","5870")</f>
        <v>5870</v>
      </c>
      <c r="J10" s="96" t="str">
        <f aca="false">HYPERLINK("https://vashamebel.in.ua/stol-pismennyij-kaspian-ii-biu1d1s-120/p488","3002")</f>
        <v>3002</v>
      </c>
      <c r="K10" s="30" t="str">
        <f aca="false">HYPERLINK("https://vashamebel.in.ua/prihozhaya-gerbor-nepo-ppk/p12249","1971")</f>
        <v>1971</v>
      </c>
      <c r="L10" s="34" t="str">
        <f aca="false">HYPERLINK("https://vashamebel.in.ua/gostinaya-brv-alyaska/p4420","7644")</f>
        <v>7644</v>
      </c>
      <c r="M10" s="34" t="str">
        <f aca="false">HYPERLINK("https://vashamebel.in.ua/stenka-gerbor-kvatro/p2359","3002")</f>
        <v>3002</v>
      </c>
      <c r="N10" s="32" t="str">
        <f aca="false">HYPERLINK("https://vashamebel.in.ua/komod-gerbor-vusher-kom1w2d2s/p4762","4258")</f>
        <v>4258</v>
      </c>
    </row>
    <row r="11" customFormat="false" ht="70.5" hidden="false" customHeight="true" outlineLevel="0" collapsed="false">
      <c r="A11" s="78" t="s">
        <v>20</v>
      </c>
      <c r="B11" s="154" t="s">
        <v>134</v>
      </c>
      <c r="C11" s="32" t="str">
        <f aca="false">HYPERLINK("https://mebel-mebel.com.ua/eshop/dom-tumby-dlia-tv/tumba_rtv2d2s_4_15_atsteka-id461.html","3686")</f>
        <v>3686</v>
      </c>
      <c r="D11" s="32" t="str">
        <f aca="false">HYPERLINK("https://mebel-mebel.com.ua/eshop/dom-komody/komod_kom4s_8_11_atsteka-id496.html","4233")</f>
        <v>4233</v>
      </c>
      <c r="E11" s="32" t="str">
        <f aca="false">HYPERLINK("https://mebel-mebel.com.ua/eshop/dom-komody/komod_jkom_4s80_indiana-id663.html","3755")</f>
        <v>3755</v>
      </c>
      <c r="F11" s="32" t="str">
        <f aca="false">HYPERLINK("https://mebel-mebel.com.ua/eshop/dom-stoly-kompiuternye/stol_pismenniy_jbiu_2d2s_140_indiana-id659.html","5323")</f>
        <v>5323</v>
      </c>
      <c r="G11" s="32" t="str">
        <f aca="false">HYPERLINK("https://mebel-mebel.com.ua/eshop/dom-komody/komod_kom_4s_90_dzhuli-id569.html","2225")</f>
        <v>2225</v>
      </c>
      <c r="H11" s="30" t="str">
        <f aca="false">HYPERLINK("https://mebel-mebel.com.ua/eshop/detskie-shkafy/shkaf_szf3d2s_porto-id35136.html","5666")</f>
        <v>5666</v>
      </c>
      <c r="I11" s="32" t="str">
        <f aca="false">HYPERLINK("https://mebel-mebel.com.ua/eshop/dom-komody/komod_8s_s_015_sonata-id1567.html","5870")</f>
        <v>5870</v>
      </c>
      <c r="J11" s="32" t="str">
        <f aca="false">HYPERLINK("https://mebel-mebel.com.ua/eshop/dom-stoly-kompiuternye/stol_pismenniy_biu_1d1s_120_kaspian-id797.html","3141")</f>
        <v>3141</v>
      </c>
      <c r="K11" s="32" t="str">
        <f aca="false">HYPERLINK("https://mebel-mebel.com.ua/eshop/dom-prihozhie/prihozhaya_ppk_nepo-id28028.html","1825")</f>
        <v>1825</v>
      </c>
      <c r="L11" s="34" t="str">
        <f aca="false">HYPERLINK("https://mebel-mebel.com.ua/eshop/dom-stenki-dlia-gostinoi/gostinaya_alyaska-id50834.html","7043")</f>
        <v>7043</v>
      </c>
      <c r="M11" s="32" t="str">
        <f aca="false">HYPERLINK("https://mebel-mebel.com.ua/eshop/dom-stenki-dlia-gostinoi/gostinaya_kvatro-id152.html","3242")</f>
        <v>3242</v>
      </c>
      <c r="N11" s="32" t="str">
        <f aca="false">HYPERLINK("https://mebel-mebel.com.ua/eshop/dom-komody/komod_kom_1w2d2s_vusher-id560.html","4258")</f>
        <v>4258</v>
      </c>
    </row>
    <row r="12" customFormat="false" ht="75.75" hidden="false" customHeight="true" outlineLevel="0" collapsed="false">
      <c r="A12" s="78" t="s">
        <v>21</v>
      </c>
      <c r="B12" s="150" t="s">
        <v>135</v>
      </c>
      <c r="C12" s="19" t="str">
        <f aca="false">HYPERLINK("https://abcmebli.com.ua/p14992-tumba_tv_rtv2d2s-4-15_atsteka","3686")</f>
        <v>3686</v>
      </c>
      <c r="D12" s="19" t="str">
        <f aca="false">HYPERLINK("https://abcmebli.com.ua/p15683-atsteka_komod_kom4s-8-11_brv","4233")</f>
        <v>4233</v>
      </c>
      <c r="E12" s="32" t="str">
        <f aca="false">HYPERLINK("https://abcmebli.com.ua/p1896-komod_jkom4s_80_indiana","3755")</f>
        <v>3755</v>
      </c>
      <c r="F12" s="32" t="str">
        <f aca="false">HYPERLINK("https://abcmebli.com.ua/p1892-stol_pismenniy_jbiu2d2s_140_indiana","5323")</f>
        <v>5323</v>
      </c>
      <c r="G12" s="32" t="str">
        <f aca="false">HYPERLINK("https://abcmebli.com.ua/p8553-komod_kom4s-90_july","2225")</f>
        <v>2225</v>
      </c>
      <c r="H12" s="32" t="str">
        <f aca="false">HYPERLINK("https://abcmebli.com.ua/p15039-shkaf_platyanoy_szf3d2s_porto","5666")</f>
        <v>5666</v>
      </c>
      <c r="I12" s="19" t="str">
        <f aca="false">HYPERLINK("https://abcmebli.com.ua/p2225-komod_8-s_sonata","5870")</f>
        <v>5870</v>
      </c>
      <c r="J12" s="32" t="str">
        <f aca="false">HYPERLINK("https://abcmebli.com.ua/p14308-stol_pismenniy_biu_1d1s_120_kaspian","3141")</f>
        <v>3141</v>
      </c>
      <c r="K12" s="22" t="str">
        <f aca="false">HYPERLINK("https://abcmebli.com.ua/p15897-nepo_prihozhaya_ppk_gerbor","1971")</f>
        <v>1971</v>
      </c>
      <c r="L12" s="19" t="str">
        <f aca="false">HYPERLINK("https://abcmebli.com.ua/p15950-gostinaya_alyaska_brv-ukraina","7644")</f>
        <v>7644</v>
      </c>
      <c r="M12" s="32" t="str">
        <f aca="false">HYPERLINK("https://abcmebli.com.ua/p2515-stenka_kvatro_gerbor","3007")</f>
        <v>3007</v>
      </c>
      <c r="N12" s="19" t="str">
        <f aca="false">HYPERLINK("https://abcmebli.com.ua/p4993-komod_kom1w2d2s_9_15_vusher","4258")</f>
        <v>4258</v>
      </c>
    </row>
    <row r="13" customFormat="false" ht="56.25" hidden="false" customHeight="true" outlineLevel="0" collapsed="false">
      <c r="A13" s="78" t="s">
        <v>22</v>
      </c>
      <c r="B13" s="156" t="s">
        <v>136</v>
      </c>
      <c r="C13" s="32" t="str">
        <f aca="false">HYPERLINK("https://www.mebelok.com/tymba-tv-rtv2d2s415-acteka/","3690")</f>
        <v>3690</v>
      </c>
      <c r="D13" s="30" t="str">
        <f aca="false">HYPERLINK("https://www.mebelok.com/komod-kom4s811-acteka/","4240")</f>
        <v>4240</v>
      </c>
      <c r="E13" s="30" t="str">
        <f aca="false">HYPERLINK("https://www.mebelok.com/komod-jkom-4s-80/","3760")</f>
        <v>3760</v>
      </c>
      <c r="F13" s="32" t="str">
        <f aca="false">HYPERLINK("https://www.mebelok.com/stol-pismennyy-jbiu-2d2s-140/","5330")</f>
        <v>5330</v>
      </c>
      <c r="G13" s="30" t="str">
        <f aca="false">HYPERLINK("https://www.mebelok.com/komod-kom-4s-90-juli/","2230")</f>
        <v>2230</v>
      </c>
      <c r="H13" s="30" t="str">
        <f aca="false">HYPERLINK("https://www.mebelok.com/shkaf-szf3d2s-porto/","5670")</f>
        <v>5670</v>
      </c>
      <c r="I13" s="83"/>
      <c r="J13" s="32" t="str">
        <f aca="false">HYPERLINK("https://www.mebelok.com/stol-pismennyy-biu1d1s-120-kaspian/","3150")</f>
        <v>3150</v>
      </c>
      <c r="K13" s="32" t="str">
        <f aca="false">HYPERLINK("https://www.mebelok.com/prihojaya-ppk-nepo/","1980")</f>
        <v>1980</v>
      </c>
      <c r="L13" s="95" t="str">
        <f aca="false">HYPERLINK("https://www.mebelok.com/gostinaya-alyaska/","7655")</f>
        <v>7655</v>
      </c>
      <c r="M13" s="30" t="str">
        <f aca="false">HYPERLINK("https://www.mebelok.com/gostinaya-kvatro","3250")</f>
        <v>3250</v>
      </c>
      <c r="N13" s="30" t="str">
        <f aca="false">HYPERLINK("https://www.mebelok.com/komod-kom-1w2d2s-vusher/","4260")</f>
        <v>4260</v>
      </c>
    </row>
    <row r="14" customFormat="false" ht="48" hidden="false" customHeight="true" outlineLevel="0" collapsed="false">
      <c r="A14" s="78" t="s">
        <v>23</v>
      </c>
      <c r="B14" s="150" t="s">
        <v>137</v>
      </c>
      <c r="C14" s="32" t="str">
        <f aca="false">HYPERLINK("https://maxmebel.com.ua/atsteka_tumba_rtv2d2s","3686")</f>
        <v>3686</v>
      </c>
      <c r="D14" s="32" t="str">
        <f aca="false">HYPERLINK("https://maxmebel.com.ua/atsteka_komod_kom4s-8-11","4233")</f>
        <v>4233</v>
      </c>
      <c r="E14" s="32" t="str">
        <f aca="false">HYPERLINK("https://maxmebel.com.ua/indiana_komod_jkom_4s_80","3755")</f>
        <v>3755</v>
      </c>
      <c r="F14" s="32" t="str">
        <f aca="false">HYPERLINK("https://maxmebel.com.ua/indiana_pismenniy_stol_jbiu_2d2s","5323")</f>
        <v>5323</v>
      </c>
      <c r="G14" s="32" t="str">
        <f aca="false">HYPERLINK("https://maxmebel.com.ua/dzhuli_komod_kom4s-90","2225")</f>
        <v>2225</v>
      </c>
      <c r="H14" s="32" t="str">
        <f aca="false">HYPERLINK("https://maxmebel.com.ua/porto_shkaf_platyanoy_szf3d2s","5666")</f>
        <v>5666</v>
      </c>
      <c r="I14" s="32" t="str">
        <f aca="false">HYPERLINK("https://maxmebel.com.ua/sonata_komod_8-s","5870")</f>
        <v>5870</v>
      </c>
      <c r="J14" s="32" t="str">
        <f aca="false">HYPERLINK("https://maxmebel.com.ua/kaspian_stol_pismenniy_biu_1d1s","3141")</f>
        <v>3141</v>
      </c>
      <c r="K14" s="32" t="str">
        <f aca="false">HYPERLINK("https://maxmebel.com.ua/nepo_prihozhaya_rrk","1971")</f>
        <v>1971</v>
      </c>
      <c r="L14" s="27" t="str">
        <f aca="false">HYPERLINK("https://maxmebel.com.ua/stenka_alyaska","7645")</f>
        <v>7645</v>
      </c>
      <c r="M14" s="34" t="str">
        <f aca="false">HYPERLINK("https://maxmebel.com.ua/stenka_kvatro","3002")</f>
        <v>3002</v>
      </c>
      <c r="N14" s="27" t="str">
        <f aca="false">HYPERLINK("https://maxmebel.com.ua/vusher_komod_kom_1w2d2s","4196")</f>
        <v>4196</v>
      </c>
    </row>
    <row r="15" customFormat="false" ht="39" hidden="false" customHeight="true" outlineLevel="0" collapsed="false">
      <c r="A15" s="78" t="s">
        <v>24</v>
      </c>
      <c r="B15" s="147" t="s">
        <v>128</v>
      </c>
      <c r="C15" s="19" t="str">
        <f aca="false">HYPERLINK("https://moyamebel.com.ua/ua/products/tumba-rtv-atsteka","3686")</f>
        <v>3686</v>
      </c>
      <c r="D15" s="32" t="str">
        <f aca="false">HYPERLINK("https://moyamebel.com.ua/ua/products/komod-atsteka","4233")</f>
        <v>4233</v>
      </c>
      <c r="E15" s="32" t="str">
        <f aca="false">HYPERLINK("https://moyamebel.com.ua/ua/products/komod-4s-80-indiana","3755")</f>
        <v>3755</v>
      </c>
      <c r="F15" s="32" t="str">
        <f aca="false">HYPERLINK("https://moyamebel.com.ua/ua/products/stol-pismennyj-2d2s-indiana","5323")</f>
        <v>5323</v>
      </c>
      <c r="G15" s="32" t="str">
        <f aca="false">HYPERLINK("https://moyamebel.com.ua/ua/products/komod-dzhuli-90","2225")</f>
        <v>2225</v>
      </c>
      <c r="H15" s="32" t="str">
        <f aca="false">HYPERLINK("https://moyamebel.com.ua/ua/products/shkaf-3d2sporto","5666")</f>
        <v>5666</v>
      </c>
      <c r="I15" s="83"/>
      <c r="J15" s="32" t="str">
        <f aca="false">HYPERLINK("https://moyamebel.com.ua/ua/products/stol-pismennyj-120-kaspian","3141")</f>
        <v>3141</v>
      </c>
      <c r="K15" s="96" t="str">
        <f aca="false">HYPERLINK("https://moyamebel.com.ua/ua/products/prihozhaya-nepo","1963")</f>
        <v>1963</v>
      </c>
      <c r="L15" s="27" t="str">
        <f aca="false">HYPERLINK("https://moyamebel.com.ua/ua/products/gostinaya-alyaska","7644")</f>
        <v>7644</v>
      </c>
      <c r="M15" s="30" t="str">
        <f aca="false">HYPERLINK("https://moyamebel.com.ua/ua/products/gostinaya-kvatro","3242")</f>
        <v>3242</v>
      </c>
      <c r="N15" s="83"/>
    </row>
    <row r="16" customFormat="false" ht="31.5" hidden="false" customHeight="true" outlineLevel="0" collapsed="false">
      <c r="A16" s="78" t="s">
        <v>35</v>
      </c>
      <c r="B16" s="157" t="s">
        <v>138</v>
      </c>
      <c r="C16" s="32" t="str">
        <f aca="false">HYPERLINK("https://mebel-soyuz.com.ua/12896.html","3686")</f>
        <v>3686</v>
      </c>
      <c r="D16" s="32" t="str">
        <f aca="false">HYPERLINK("https://mebel-soyuz.com.ua/12903.html","4233")</f>
        <v>4233</v>
      </c>
      <c r="E16" s="32" t="str">
        <f aca="false">HYPERLINK("https://mebel-soyuz.com.ua/2266.html","3755")</f>
        <v>3755</v>
      </c>
      <c r="F16" s="32" t="str">
        <f aca="false">HYPERLINK("https://mebel-soyuz.com.ua/stol-pismennyj-jbiu-2d2s-140-indiana.html","5323")</f>
        <v>5323</v>
      </c>
      <c r="G16" s="32" t="str">
        <f aca="false">HYPERLINK("https://mebel-soyuz.com.ua/komod-kom-4s-90-dzhuli.html","2225")</f>
        <v>2225</v>
      </c>
      <c r="H16" s="32" t="str">
        <f aca="false">HYPERLINK("https://mebel-soyuz.com.ua/shkaf-szf3d2s-porto.html","5666")</f>
        <v>5666</v>
      </c>
      <c r="I16" s="32" t="str">
        <f aca="false">HYPERLINK("https://mebel-soyuz.com.ua/473.html","5870")</f>
        <v>5870</v>
      </c>
      <c r="J16" s="22" t="str">
        <f aca="false">HYPERLINK("https://mebel-soyuz.com.ua/8687.html","3141")</f>
        <v>3141</v>
      </c>
      <c r="K16" s="32" t="str">
        <f aca="false">HYPERLINK("https://mebel-soyuz.com.ua/8926.html","1971")</f>
        <v>1971</v>
      </c>
      <c r="L16" s="32" t="str">
        <f aca="false">HYPERLINK("https://mebel-soyuz.com.ua/10995.html","7943")</f>
        <v>7943</v>
      </c>
      <c r="M16" s="32" t="str">
        <f aca="false">HYPERLINK("https://mebel-soyuz.com.ua/gostinaya-kvatro.html","3242")</f>
        <v>3242</v>
      </c>
      <c r="N16" s="32" t="str">
        <f aca="false">HYPERLINK("https://mebel-soyuz.com.ua/3933.html","4258")</f>
        <v>4258</v>
      </c>
    </row>
    <row r="17" customFormat="false" ht="33.75" hidden="false" customHeight="true" outlineLevel="0" collapsed="false">
      <c r="A17" s="78" t="s">
        <v>36</v>
      </c>
      <c r="B17" s="147" t="s">
        <v>128</v>
      </c>
      <c r="C17" s="158"/>
      <c r="D17" s="30" t="str">
        <f aca="false">HYPERLINK("https://sofino.ua/brw-ukraina-komod-kom4s811-acteka/g-95386","4233")</f>
        <v>4233</v>
      </c>
      <c r="E17" s="30" t="str">
        <f aca="false">HYPERLINK("https://sofino.ua/brw-ukraina-komod-jkom4s80-indiana/g-40903","3755")</f>
        <v>3755</v>
      </c>
      <c r="F17" s="30" t="str">
        <f aca="false">HYPERLINK("https://sofino.ua/brw-ukraina-stol-pismennyjj-jbiu2d2s140-indiana/g-40899","5323")</f>
        <v>5323</v>
      </c>
      <c r="G17" s="30" t="str">
        <f aca="false">HYPERLINK("https://sofino.ua/brw-ukraina-komod-kom4s90-dzhuli-akacija-mali-bronz/g-40377","2225")</f>
        <v>2225</v>
      </c>
      <c r="H17" s="30" t="str">
        <f aca="false">HYPERLINK("https://sofino.ua/brw-ukraina-shkaf-platjanojj-szf3d2s-porto-dzhanni-sosna-lariko/g-264368","5666")</f>
        <v>5666</v>
      </c>
      <c r="I17" s="30" t="str">
        <f aca="false">HYPERLINK("https://sofino.ua/gerbor-komod-8s-sonata/g-19192","5870")</f>
        <v>5870</v>
      </c>
      <c r="J17" s="32" t="str">
        <f aca="false">HYPERLINK("https://sofino.ua/brw-ukraina-stol-pismennyjj-biu-1d1s-kaspian/g-264409","3141")</f>
        <v>3141</v>
      </c>
      <c r="K17" s="30" t="str">
        <f aca="false">HYPERLINK("https://sofino.ua/gerbor-prikhozhaja-ppk-nepo/g-287089","1971")</f>
        <v>1971</v>
      </c>
      <c r="L17" s="30" t="str">
        <f aca="false">HYPERLINK("https://sofino.ua/brw-ukraina-stenka-aljaska-belyjj-gljanec/g-454107","7943")</f>
        <v>7943</v>
      </c>
      <c r="M17" s="30" t="str">
        <f aca="false">HYPERLINK("https://sofino.ua/gerbor-stenka-s-podsvetkojj-kvatro/g-18955","3002")</f>
        <v>3002</v>
      </c>
      <c r="N17" s="30" t="str">
        <f aca="false">HYPERLINK("https://sofino.ua/gerbor-bufet-kom1w2d2s-s-podsvetkojj-vusher/g-176785","4258")</f>
        <v>4258</v>
      </c>
    </row>
    <row r="18" customFormat="false" ht="54.75" hidden="false" customHeight="true" outlineLevel="0" collapsed="false">
      <c r="A18" s="78" t="s">
        <v>37</v>
      </c>
      <c r="B18" s="147" t="s">
        <v>139</v>
      </c>
      <c r="C18" s="83"/>
      <c r="D18" s="32" t="str">
        <f aca="false">HYPERLINK("https://www.brw-kiev.com.ua/catalog/mebel/azteca-komod-kom4s_8_11-000004816.html","4239")</f>
        <v>4239</v>
      </c>
      <c r="E18" s="32" t="str">
        <f aca="false">HYPERLINK("https://www.brw-kiev.com.ua/catalog/mebel/indiana-komod-jkom4s_80-000000261.html","3759")</f>
        <v>3759</v>
      </c>
      <c r="F18" s="32" t="str">
        <f aca="false">HYPERLINK("https://www.brw-kiev.com.ua/catalog/mebel/indiana-stil_pis_moviy-jbiu2d2s-000000254.html","5329")</f>
        <v>5329</v>
      </c>
      <c r="G18" s="32" t="str">
        <f aca="false">HYPERLINK("https://www.brw-kiev.com.ua/catalog/mebel/july-komod-kom4s_90-000005407.html","2229")</f>
        <v>2229</v>
      </c>
      <c r="H18" s="32" t="str">
        <f aca="false">HYPERLINK("https://www.brw-kiev.com.ua/catalog/mebel/porto-shafa-szf3d2s-000006440.html","5669")</f>
        <v>5669</v>
      </c>
      <c r="I18" s="99"/>
      <c r="J18" s="30" t="str">
        <f aca="false">HYPERLINK("https://www.brw-kiev.com.ua/catalog/mebel/kaspian-stil_pis_moviy-biu1d1s_120-000006188.html","3149")</f>
        <v>3149</v>
      </c>
      <c r="K18" s="30" t="str">
        <f aca="false">HYPERLINK("https://www.brw-kiev.com.ua/catalog/mebel/prihozhaya/nepo-peredpokiy-ppk-000006567.html?sphrase_id=84980","1979")</f>
        <v>1979</v>
      </c>
      <c r="L18" s="30" t="str">
        <f aca="false">HYPERLINK("https://www.brw-kiev.com.ua/catalog/mebel/gostinaya/stinki-vital_nya-alaska-000006901.html?sphrase_id=84981","7949")</f>
        <v>7949</v>
      </c>
      <c r="M18" s="83"/>
      <c r="N18" s="83"/>
    </row>
    <row r="19" customFormat="false" ht="38.25" hidden="false" customHeight="true" outlineLevel="0" collapsed="false">
      <c r="A19" s="78" t="s">
        <v>25</v>
      </c>
      <c r="B19" s="159" t="s">
        <v>140</v>
      </c>
      <c r="C19" s="32" t="str">
        <f aca="false">HYPERLINK("https://brw.kiev.ua/mebel-brw-ukraina/azteca/tumba-tv-rtv2d2s-azteca-brv/","3686")</f>
        <v>3686</v>
      </c>
      <c r="D19" s="32" t="str">
        <f aca="false">HYPERLINK("https://brw.kiev.ua/mebel-brw-ukraina/azteca/komod-kom4s-azteca-brv/","4233")</f>
        <v>4233</v>
      </c>
      <c r="E19" s="32" t="str">
        <f aca="false">HYPERLINK("https://brw.kiev.ua/mebel-brw-ukraina/indiana-kanjon/komod-jkom4s80-indiana-brv-kanjon/","3755")</f>
        <v>3755</v>
      </c>
      <c r="F19" s="32" t="str">
        <f aca="false">HYPERLINK("https://brw.kiev.ua/mebel-brw-ukraina/indiana-shutter/stol-pismennyy-jbiu2d2s140-indiana-brv-shutter/","5323")</f>
        <v>5323</v>
      </c>
      <c r="G19" s="32" t="str">
        <f aca="false">HYPERLINK("https://brw.kiev.ua/mebel-brw-ukraina/july/komod-kom4s90-july-brv/","2225")</f>
        <v>2225</v>
      </c>
      <c r="H19" s="32" t="str">
        <f aca="false">HYPERLINK("https://brw.kiev.ua/mebel-brw-ukraina/porto/shkaf-szf3d2s-porto-brv/","5666")</f>
        <v>5666</v>
      </c>
      <c r="I19" s="32" t="str">
        <f aca="false">HYPERLINK("https://brw.kiev.ua/mebel-gerbor/sonata/komod-8s-sonata-gerbor/","5870")</f>
        <v>5870</v>
      </c>
      <c r="J19" s="32" t="str">
        <f aca="false">HYPERLINK("https://brw.kiev.ua/mebel-brw-ukraina/kaspian-venge/stol-pismennyy-biu1d1s-kaspian-brv-venge/","3141")</f>
        <v>3141</v>
      </c>
      <c r="K19" s="32" t="str">
        <f aca="false">HYPERLINK("https://brw.kiev.ua/mebel-gerbor/nepo/prikhozhaya-ppk-nepo-gerbor/","1971")</f>
        <v>1971</v>
      </c>
      <c r="L19" s="32" t="str">
        <f aca="false">HYPERLINK("https://brw.kiev.ua/mebel-brw-ukraina/alaska/stenka-alaska-brv/","7943")</f>
        <v>7943</v>
      </c>
      <c r="M19" s="83"/>
      <c r="N19" s="32" t="str">
        <f aca="false">HYPERLINK("https://brw.kiev.ua/mebel-gerbor/vusher/komod-kom1w2d2s-vusher-gerbor/","4258")</f>
        <v>4258</v>
      </c>
    </row>
    <row r="20" customFormat="false" ht="15.75" hidden="false" customHeight="true" outlineLevel="0" collapsed="false">
      <c r="A20" s="78" t="s">
        <v>123</v>
      </c>
      <c r="B20" s="160" t="s">
        <v>141</v>
      </c>
      <c r="C20" s="83"/>
      <c r="D20" s="83"/>
      <c r="E20" s="83"/>
      <c r="F20" s="83"/>
      <c r="G20" s="83"/>
      <c r="H20" s="83"/>
      <c r="I20" s="83"/>
      <c r="J20" s="83"/>
      <c r="K20" s="83"/>
      <c r="L20" s="83"/>
      <c r="M20" s="83"/>
      <c r="N20" s="83"/>
    </row>
    <row r="21" customFormat="false" ht="25.5" hidden="false" customHeight="true" outlineLevel="0" collapsed="false">
      <c r="A21" s="78" t="s">
        <v>124</v>
      </c>
      <c r="B21" s="147" t="s">
        <v>139</v>
      </c>
      <c r="C21" s="96" t="str">
        <f aca="false">HYPERLINK("https://mebelstyle.net/tumby-pod-tv/tumba-pod-tv-brw-ukraina-azteca-rtv2d2s415-82546.html","3294")</f>
        <v>3294</v>
      </c>
      <c r="D21" s="96" t="str">
        <f aca="false">HYPERLINK("https://mebelstyle.net/komody/komod-brw-ukraina-azteca-kom4s811-82553.html","3735")</f>
        <v>3735</v>
      </c>
      <c r="E21" s="96" t="str">
        <f aca="false">HYPERLINK("https://mebelstyle.net/komody/komod-brw-ukraina-indiana-011-jkom4s80-1274.html","3442")</f>
        <v>3442</v>
      </c>
      <c r="F21" s="96" t="str">
        <f aca="false">HYPERLINK("https://mebelstyle.net/ofisnye-stoly/pismennyj-stol-brw-ukraina-indiana-007-jbiu2d2s-1255.html","4979")</f>
        <v>4979</v>
      </c>
      <c r="G21" s="93"/>
      <c r="H21" s="93"/>
      <c r="I21" s="96" t="str">
        <f aca="false">HYPERLINK("https://mebelstyle.net/komody/komod-gerbor-sonata-s-015-8s-38625.html","5125")</f>
        <v>5125</v>
      </c>
      <c r="J21" s="96" t="str">
        <f aca="false">HYPERLINK("https://mebelstyle.net/ofisnye-stoly/ofisnyj-stol-brw-ukraina-kaspian-007-biu1d1s-58596.html","2783")</f>
        <v>2783</v>
      </c>
      <c r="K21" s="96" t="str">
        <f aca="false">HYPERLINK("https://mebelstyle.net/prikhozhie/prikhozhaja-gerbor-nepo-ppk-83649.html","1808")</f>
        <v>1808</v>
      </c>
      <c r="L21" s="93"/>
      <c r="M21" s="96" t="str">
        <f aca="false">HYPERLINK("https://mebelstyle.net/gostinye/gostinaja-gerbor-kvatro-venge-56219.html","2840")</f>
        <v>2840</v>
      </c>
      <c r="N21" s="96" t="str">
        <f aca="false">HYPERLINK("https://mebelstyle.net/komody/komod-gerbor-vusher-kom-1w2d2s-83553.html","4022")</f>
        <v>4022</v>
      </c>
    </row>
    <row r="22" customFormat="false" ht="34.5" hidden="false" customHeight="true" outlineLevel="0" collapsed="false">
      <c r="A22" s="78" t="s">
        <v>38</v>
      </c>
      <c r="B22" s="147" t="s">
        <v>139</v>
      </c>
      <c r="C22" s="32" t="str">
        <f aca="false">HYPERLINK("https://lvivmebli.com/13319/","3900")</f>
        <v>3900</v>
      </c>
      <c r="D22" s="27" t="str">
        <f aca="false">HYPERLINK("https://lvivmebli.com/13320/","4675")</f>
        <v>4675</v>
      </c>
      <c r="E22" s="27" t="str">
        <f aca="false">HYPERLINK("https://lvivmebli.com/5030/","4255")</f>
        <v>4255</v>
      </c>
      <c r="F22" s="27" t="str">
        <f aca="false">HYPERLINK("https://lvivmebli.com/5039/","5911")</f>
        <v>5911</v>
      </c>
      <c r="G22" s="95" t="str">
        <f aca="false">HYPERLINK("https://lvivmebli.com/11483/","2300")</f>
        <v>2300</v>
      </c>
      <c r="H22" s="27" t="str">
        <f aca="false">HYPERLINK("https://lvivmebli.com/18473/","6800")</f>
        <v>6800</v>
      </c>
      <c r="I22" s="83"/>
      <c r="J22" s="99"/>
      <c r="K22" s="83"/>
      <c r="L22" s="83"/>
      <c r="M22" s="83"/>
      <c r="N22" s="83"/>
    </row>
    <row r="23" customFormat="false" ht="36.75" hidden="false" customHeight="true" outlineLevel="0" collapsed="false">
      <c r="A23" s="78" t="s">
        <v>39</v>
      </c>
      <c r="B23" s="157" t="s">
        <v>142</v>
      </c>
      <c r="C23" s="27" t="str">
        <f aca="false">HYPERLINK("http://centrmebliv.com.ua/modulni-mebli/brw-azteca/mebli-brw-brv-azteca-tumba-rtv2d2s?keyword=%D0%B0%D1%86%D1%82%D0%B5%D0%BA%D0%B0","3343")</f>
        <v>3343</v>
      </c>
      <c r="D23" s="27" t="str">
        <f aca="false">HYPERLINK("http://centrmebliv.com.ua/modulni-mebli/brw-azteca/mebli-brw-brv-azteca-komod-4s?keyword=%D0%B0%D1%86%D1%82%D0%B5%D0%BA%D0%B0","3924")</f>
        <v>3924</v>
      </c>
      <c r="E23" s="27" t="str">
        <f aca="false">HYPERLINK("http://centrmebliv.com.ua/mebli-dlya-spalni/komody/mebli-brw-brv-indiana-komod-jkom4s_80?keyword=%D1%96%D0%BD%D0%B4%D1%96%D0%B0%D0%BD%D0%B0","3562")</f>
        <v>3562</v>
      </c>
      <c r="F23" s="27" t="str">
        <f aca="false">HYPERLINK("http://centrmebliv.com.ua/modulni-mebli/brw-ukrayina-indiana/mebli-brw-brv-indiana-stil-pysmovyy-jbiu2d2s_140?keyword=%D1%96%D0%BD%D0%B4%D1%96%D0%B0%D0%BD%D0%B0","5158")</f>
        <v>5158</v>
      </c>
      <c r="G23" s="27" t="str">
        <f aca="false">HYPERLINK("http://centrmebliv.com.ua/spalni/komody/mebli-brw-brv-july-komod-kom4s/90?keyword=july","2098")</f>
        <v>2098</v>
      </c>
      <c r="H23" s="27" t="str">
        <f aca="false">HYPERLINK("http://centrmebliv.com.ua/modulni-mebli/brw-ukrayina-porto/mebli-brw-brv-porto-shafa-dlya-odyagu-sf3d2s?keyword=szf3d2s","5377")</f>
        <v>5377</v>
      </c>
      <c r="I23" s="27" t="str">
        <f aca="false">HYPERLINK("http://centrmebliv.com.ua/mebli-dlya-spalni/komody/mebli-gerbor-gerbor-s-015-sonata-_komod-8/s?keyword=%D1%81%D0%BE%D0%BD%D0%B0%D1%82%D0%B0","5683")</f>
        <v>5683</v>
      </c>
      <c r="J23" s="27" t="str">
        <f aca="false">HYPERLINK("http://centrmebliv.com.ua/ofisni-mebli/ofisni-stoly-vid-modulnyh-system/gerbor/brw-kaspian-stil-pysmovyy-biu-1d1s-120?keyword=%D0%BA%D0%B0%D1%81%D0%BF%D1%96%D0%B0%D0%BD","3002")</f>
        <v>3002</v>
      </c>
      <c r="K23" s="83"/>
      <c r="L23" s="83"/>
      <c r="M23" s="27" t="str">
        <f aca="false">HYPERLINK("http://centrmebliv.com.ua/mebli-dlya-vitalni/stinky/mebli-gerbor-gerbor-kvatro","3007")</f>
        <v>3007</v>
      </c>
      <c r="N23" s="27"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32" t="str">
        <f aca="false">HYPERLINK("https://letromebel.com.ua/p566111870-tumba-rtv2d2s415-atsteka.html","3686")</f>
        <v>3686</v>
      </c>
      <c r="D24" s="32" t="str">
        <f aca="false">HYPERLINK("https://letromebel.com.ua/p566126810-komod-kom4s811-atsteka.html","4233")</f>
        <v>4233</v>
      </c>
      <c r="E24" s="32" t="str">
        <f aca="false">HYPERLINK("https://letromebel.com.ua/p566921861-komod-jkom4s80-indiana.html","3755")</f>
        <v>3755</v>
      </c>
      <c r="F24" s="32" t="str">
        <f aca="false">HYPERLINK("https://letromebel.com.ua/p566921329-stol-pismennyj-jbiu2d2s140.html","5323")</f>
        <v>5323</v>
      </c>
      <c r="G24" s="32" t="str">
        <f aca="false">HYPERLINK("https://letromebel.com.ua/p445989920-komod-kom-dzhuli.html","2225")</f>
        <v>2225</v>
      </c>
      <c r="H24" s="32" t="str">
        <f aca="false">HYPERLINK("https://letromebel.com.ua/p567177190-shkaf-szf3d2s-porto.html","5666")</f>
        <v>5666</v>
      </c>
      <c r="I24" s="83"/>
      <c r="J24" s="83"/>
      <c r="K24" s="48" t="str">
        <f aca="false">HYPERLINK("https://letromebel.com.ua/p441285622-prihozhaya-ppk-nepo.html","1963")</f>
        <v>1963</v>
      </c>
      <c r="L24" s="95" t="str">
        <f aca="false">HYPERLINK("https://letromebel.com.ua/p822866700-stenka-gostinuyu-alyaska.html","7644")</f>
        <v>7644</v>
      </c>
      <c r="M24" s="34" t="str">
        <f aca="false">HYPERLINK("https://letromebel.com.ua/p436378844-stenka-kvatro-venge.html","3002")</f>
        <v>3002</v>
      </c>
      <c r="N24" s="32" t="str">
        <f aca="false">HYPERLINK("https://letromebel.com.ua/p332640892-bufet-kom1w2d2s-vusher.html","4258")</f>
        <v>4258</v>
      </c>
    </row>
    <row r="25" customFormat="false" ht="27" hidden="false" customHeight="true" outlineLevel="0" collapsed="false">
      <c r="A25" s="78" t="s">
        <v>26</v>
      </c>
      <c r="B25" s="147" t="s">
        <v>139</v>
      </c>
      <c r="C25" s="19" t="str">
        <f aca="false">HYPERLINK("https://shurup.net.ua/azteca-acteka-tumba-rtv2d2s415.p17205","3686")</f>
        <v>3686</v>
      </c>
      <c r="D25" s="19" t="str">
        <f aca="false">HYPERLINK("https://shurup.net.ua/azteca-acteka-komod-kom4s811.p17200","4233")</f>
        <v>4233</v>
      </c>
      <c r="E25" s="19" t="str">
        <f aca="false">HYPERLINK("https://shurup.net.ua/komod-jkom-4s80-indiana-sosna-kanon.p9412","3755")</f>
        <v>3755</v>
      </c>
      <c r="F25" s="19" t="str">
        <f aca="false">HYPERLINK("https://shurup.net.ua/stol-pismennyj-jbiu-2d2s-140-indiana-dub-shutter.p5488","5323")</f>
        <v>5323</v>
      </c>
      <c r="G25" s="19" t="str">
        <f aca="false">HYPERLINK("https://shurup.net.ua/komod-kom-4s-90-dzhuli.p7011","2225")</f>
        <v>2225</v>
      </c>
      <c r="H25" s="19" t="str">
        <f aca="false">HYPERLINK("https://shurup.net.ua/shkaf-szf3d2s-porto.p24169","5666")</f>
        <v>5666</v>
      </c>
      <c r="I25" s="19" t="str">
        <f aca="false">HYPERLINK("https://shurup.net.ua/komod-8s-sonata.p1034","5870")</f>
        <v>5870</v>
      </c>
      <c r="J25" s="22" t="str">
        <f aca="false">HYPERLINK("https://shurup.net.ua/stol-pismennyj-biu-1d1s-120-kaspian-dub-sonoma.p6492","3141")</f>
        <v>3141</v>
      </c>
      <c r="K25" s="19" t="str">
        <f aca="false">HYPERLINK("https://shurup.net.ua/prihozhaya-rrk-nepo.p13611","1971")</f>
        <v>1971</v>
      </c>
      <c r="L25" s="19" t="str">
        <f aca="false">HYPERLINK("https://shurup.net.ua/gostinaja-aljaska.p28551","7943")</f>
        <v>7943</v>
      </c>
      <c r="M25" s="27" t="str">
        <f aca="false">HYPERLINK("https://shurup.net.ua/gostinaya-kvatro-venge-magiya.p836","3002")</f>
        <v>3002</v>
      </c>
      <c r="N25" s="19" t="str">
        <f aca="false">HYPERLINK("https://shurup.net.ua/komod-kom1w2d2s-9-15-vusher.p1953","4258")</f>
        <v>4258</v>
      </c>
    </row>
    <row r="26" customFormat="false" ht="36.75" hidden="false" customHeight="true" outlineLevel="0" collapsed="false">
      <c r="A26" s="105" t="s">
        <v>41</v>
      </c>
      <c r="B26" s="162" t="s">
        <v>143</v>
      </c>
      <c r="C26" s="83"/>
      <c r="D26" s="83"/>
      <c r="E26" s="83"/>
      <c r="F26" s="83"/>
      <c r="G26" s="83"/>
      <c r="H26" s="83"/>
      <c r="I26" s="83"/>
      <c r="J26" s="83"/>
      <c r="K26" s="44" t="str">
        <f aca="false">HYPERLINK("https://www.taburetka.ua/prihozhie-40/prihozhaya-ppk-nepo-2914","1895")</f>
        <v>1895</v>
      </c>
      <c r="L26" s="83"/>
      <c r="M26" s="95" t="str">
        <f aca="false">HYPERLINK("https://www.taburetka.ua/gostinye-600/gostinaya-kvatro-2834","3060")</f>
        <v>3060</v>
      </c>
      <c r="N26" s="27" t="str">
        <f aca="false">HYPERLINK("https://www.taburetka.ua/komody-i-tumby-35/komod-kom1w2d2s-vusher-2974","4100")</f>
        <v>4100</v>
      </c>
    </row>
    <row r="27" customFormat="false" ht="37.5" hidden="false" customHeight="true" outlineLevel="0" collapsed="false">
      <c r="A27" s="106" t="s">
        <v>42</v>
      </c>
      <c r="B27" s="163" t="s">
        <v>144</v>
      </c>
      <c r="C27" s="32" t="str">
        <f aca="false">HYPERLINK("http://www.maxidom.com.ua/tumba-rtv-atsteka-2d2s415.html?search_string=%D2%F3%EC%E1%E0+%D0%D2%C2+%C0%F6%F2%E5%EA%E0+2D2S%2F4%2F15","3686")</f>
        <v>3686</v>
      </c>
      <c r="D27" s="39" t="str">
        <f aca="false">HYPERLINK("http://www.maxidom.com.ua/komod-atsteka-kom4s811.html?search_string=%CA%EE%EC%EE%E4+%C0%F6%F2%E5%EA%E0+KOM4S%2F8%2F11","4233")</f>
        <v>4233</v>
      </c>
      <c r="E27" s="39" t="str">
        <f aca="false">HYPERLINK("http://www.maxidom.com.ua/komod_indiana_jkom4s80.html?search_string=%CA%EE%EC%EE%E4+%C8%ED%E4%E8%E0%ED%E0+JKOM4s%2F80","3562")</f>
        <v>3562</v>
      </c>
      <c r="F27" s="39" t="str">
        <f aca="false">HYPERLINK("http://www.maxidom.com.ua/stol_pismenniy_indiana_jbiu2d2s.html?search_string=%D1%F2%EE%EB+%EF%E8%F1%FC%EC%E5%ED%ED%FB%E9+%C8%ED%E4%E8%E0%ED%E0+JBIU2d2s","5158")</f>
        <v>5158</v>
      </c>
      <c r="G27" s="39" t="str">
        <f aca="false">HYPERLINK("http://www.maxidom.com.ua/komod-kom4s90-dzhuli.html?search_string=%CA%EE%EC%EE%E4+KOM4S%2F90+%C4%E6%F3%EB%E8","2225")</f>
        <v>2225</v>
      </c>
      <c r="H27" s="39" t="str">
        <f aca="false">HYPERLINK("http://www.maxidom.com.ua/shkaf-porto-porto-szf3d2s.html?search_string=%D8%EA%E0%F4+%CF%EE%F0%F2%EE+%28Porto%29+SZF3D2S","5666")</f>
        <v>5666</v>
      </c>
      <c r="I27" s="39" t="str">
        <f aca="false">HYPERLINK("http://www.maxidom.com.ua/komod-sonata-8s.html?search_string=%CA%EE%EC%EE%E4+%D1%EE%ED%E0%F2%E0+8s","5870")</f>
        <v>5870</v>
      </c>
      <c r="J27" s="39" t="str">
        <f aca="false">HYPERLINK("http://www.maxidom.com.ua/stol-pismenniy-biu-1d1s-kaspian-kaspian.html?search_string=%D1%F2%EE%EB+%EF%E8%F1%FC%EC%E5%ED%ED%FB%E9+BIU+1D1S+%CA%E0%F1%EF%E8%E0%ED+%28Kaspian%29","3002")</f>
        <v>3002</v>
      </c>
      <c r="K27" s="39" t="str">
        <f aca="false">HYPERLINK("http://www.maxidom.com.ua/prihozhaya-nepo-ppk.html?search_string=%CF%F0%E8%F5%EE%E6%E0%FF+%CD%E5%EF%EE+PPK","1963")</f>
        <v>1963</v>
      </c>
      <c r="L27" s="44" t="str">
        <f aca="false">HYPERLINK("http://www.maxidom.com.ua/stenka-alyaska.html?search_string=%D1%F2%E5%ED%EA%E0+%C0%EB%FF%F1%EA%E0","7644")</f>
        <v>7644</v>
      </c>
      <c r="M27" s="27" t="str">
        <f aca="false">HYPERLINK("http://www.maxidom.com.ua/stenka-kvatro.html?search_string=%D1%F2%E5%ED%EA%E0+%CA%E2%E0%F2%F0%EE","3002")</f>
        <v>3002</v>
      </c>
      <c r="N27" s="27" t="str">
        <f aca="false">HYPERLINK("http://www.maxidom.com.ua/komod-kom-1w2d2s-vusher.html?search_string=%CA%EE%EC%EE%E4+KOM+1W2D2S+%C2%F3%F8%E5%F0","4195")</f>
        <v>4195</v>
      </c>
    </row>
    <row r="28" customFormat="false" ht="42" hidden="false" customHeight="true" outlineLevel="0" collapsed="false">
      <c r="A28" s="106" t="s">
        <v>27</v>
      </c>
      <c r="B28" s="165" t="s">
        <v>145</v>
      </c>
      <c r="C28" s="19" t="str">
        <f aca="false">HYPERLINK("https://mebel-online.com.ua/tymba-rtv2d2s-4-15-azteca?filter_name=azteca","3686")</f>
        <v>3686</v>
      </c>
      <c r="D28" s="65" t="str">
        <f aca="false">HYPERLINK("https://mebel-online.com.ua/komod-kom4s-8-11-azteca?filter_name=azteca","4233")</f>
        <v>4233</v>
      </c>
      <c r="E28" s="19" t="str">
        <f aca="false">HYPERLINK("https://mebel-online.com.ua/p5228-komod_jkom_4s_80_indiana_brw?filter_name=%D0%B8%D0%BD%D0%B4%D0%B8%D0%B0%D0%BD%D0%B0","3755")</f>
        <v>3755</v>
      </c>
      <c r="F28" s="65" t="str">
        <f aca="false">HYPERLINK("https://mebel-online.com.ua/p5223-stol_pismenniy_jbiu_2d2s_140_indiana_brw?filter_name=%D0%B8%D0%BD%D0%B4%D0%B8%D0%B0%D0%BD%D0%B0","5323")</f>
        <v>5323</v>
      </c>
      <c r="G28" s="65" t="str">
        <f aca="false">HYPERLINK("https://mebel-online.com.ua/komod-kom4s-90-july?filter_name=july","2225")</f>
        <v>2225</v>
      </c>
      <c r="H28" s="65" t="str">
        <f aca="false">HYPERLINK("https://mebel-online.com.ua/shkaf-szf3d2s-porto?filter_name=SZF3D2S","5666")</f>
        <v>5666</v>
      </c>
      <c r="I28" s="65" t="str">
        <f aca="false">HYPERLINK("https://mebel-online.com.ua/p1728-gerbor_sonata_komod_8-s?filter_name=%D1%81%D0%BE%D0%BD%D0%B0%D1%82%D0%B0","5870")</f>
        <v>5870</v>
      </c>
      <c r="J28" s="111"/>
      <c r="K28" s="19" t="str">
        <f aca="false">HYPERLINK("https://mebel-online.com.ua/prihozhaya-gerbor-ppk-nepo?filter_name=%D0%BD%D0%B5%D0%BF%D0%BE","1963")</f>
        <v>1963</v>
      </c>
      <c r="L28" s="45" t="str">
        <f aca="false">HYPERLINK("https://mebel-online.com.ua/stenka-aliaska-brw%20?filter_name=%D0%B0%D0%BB%D1%8F%D1%81%D0%BA%D0%B0","7644")</f>
        <v>7644</v>
      </c>
      <c r="M28" s="27" t="str">
        <f aca="false">HYPERLINK("https://mebel-online.com.ua/stenka-kvatro-gerbor?filter_name=%D0%BA%D0%B2%D0%B0%D1%82%D1%80%D0%BE","3002")</f>
        <v>3002</v>
      </c>
      <c r="N28" s="19" t="str">
        <f aca="false">HYPERLINK("https://mebel-online.com.ua/komod-kom-1w2d2s-vusher-gerbor?filter_name=%D0%B2%D1%83%D1%88%D0%B5%D1%80","4258")</f>
        <v>4258</v>
      </c>
    </row>
    <row r="29" customFormat="false" ht="15.75" hidden="false" customHeight="true" outlineLevel="0" collapsed="false">
      <c r="A29" s="105" t="s">
        <v>147</v>
      </c>
      <c r="B29" s="170" t="s">
        <v>148</v>
      </c>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s://www.brw-kiev.com.ua/"/>
    <hyperlink ref="A19" r:id="rId22" display="https://brw.kiev.ua/"/>
    <hyperlink ref="A20" r:id="rId23" display="http://brw.com.ua/"/>
    <hyperlink ref="A21" r:id="rId24" display="https://mebelstyle.net/"/>
    <hyperlink ref="A22" r:id="rId25" display="https://lvivmebli.com/"/>
    <hyperlink ref="A23" r:id="rId26" display="http://centrmebliv.com.ua/"/>
    <hyperlink ref="A24" r:id="rId27" display="https://letromebel.com.ua/"/>
    <hyperlink ref="A25" r:id="rId28" display="https://shurup.net.ua/"/>
    <hyperlink ref="A26" r:id="rId29" display="https://www.taburetka.ua"/>
    <hyperlink ref="A27" r:id="rId30" display="http://www.maxidom.com.ua/"/>
    <hyperlink ref="A28" r:id="rId31" display="https://mebel-online.com.ua"/>
    <hyperlink ref="A29" r:id="rId32"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172" t="n">
        <v>3686</v>
      </c>
      <c r="D2" s="172" t="n">
        <v>4233</v>
      </c>
      <c r="E2" s="172" t="n">
        <v>3755</v>
      </c>
      <c r="F2" s="172" t="n">
        <v>5323</v>
      </c>
      <c r="G2" s="172" t="n">
        <v>2225</v>
      </c>
      <c r="H2" s="172" t="n">
        <v>5666</v>
      </c>
      <c r="I2" s="172" t="n">
        <v>5870</v>
      </c>
      <c r="J2" s="172" t="n">
        <v>3141</v>
      </c>
      <c r="K2" s="173" t="n">
        <v>1971</v>
      </c>
      <c r="L2" s="173" t="n">
        <v>7943</v>
      </c>
      <c r="M2" s="173" t="n">
        <v>3002</v>
      </c>
      <c r="N2" s="173" t="n">
        <v>4258</v>
      </c>
    </row>
    <row r="3" customFormat="false" ht="48" hidden="false" customHeight="true" outlineLevel="0" collapsed="false">
      <c r="A3" s="78" t="s">
        <v>28</v>
      </c>
      <c r="B3" s="147" t="s">
        <v>127</v>
      </c>
      <c r="C3" s="174" t="str">
        <f aca="false">HYPERLINK("https://brwmania.com.ua/gostinaja/modulnye-gostinye/sistema-azteka/tumba-pod-tv-acteka-rtv2d2s415/","3686")</f>
        <v>3686</v>
      </c>
      <c r="D3" s="174" t="str">
        <f aca="false">HYPERLINK("https://brwmania.com.ua/gostinaja/modulnye-gostinye/sistema-azteka/komod-acteka-kom4s811/","4233")</f>
        <v>4233</v>
      </c>
      <c r="E3" s="174" t="str">
        <f aca="false">HYPERLINK("https://brwmania.com.ua/gostinaja/modulnye-gostinye/sistema-indiana-indiana---dub-shuter/indiana-dub-shuter-laminat-j-011-komod-jkom-4s-80/","3755")</f>
        <v>3755</v>
      </c>
      <c r="F3" s="174" t="str">
        <f aca="false">HYPERLINK("https://brwmania.com.ua/gostinaja/modulnye-gostinye/sistema-indiana-indiana---dub-shuter/indiana-dub-shuter-laminat-j-007-stol-pismennyy-jbiu-2d2s-140/","5323")</f>
        <v>5323</v>
      </c>
      <c r="G3" s="174" t="str">
        <f aca="false">HYPERLINK("https://brwmania.com.ua/gostinaja/modulnye-gostinye/sistema_dzhuli/komod-dzhuli-july-kom4s-90/","2225")</f>
        <v>2225</v>
      </c>
      <c r="H3" s="174" t="str">
        <f aca="false">HYPERLINK("https://brwmania.com.ua/gostinaja/modulnye-gostinye/tovar-novij/shkaf-platjanoj-porto-szf3d2s/","5666")</f>
        <v>5666</v>
      </c>
      <c r="I3" s="174" t="str">
        <f aca="false">HYPERLINK("https://brwmania.com.ua/gostinaja/modulnye-gostinye/sistema-sonata-sonata/s-015-sonata-komod-8-s/","5870")</f>
        <v>5870</v>
      </c>
      <c r="J3" s="174" t="str">
        <f aca="false">HYPERLINK("https://brwmania.com.ua/gostinaja/modulnye-gostinye/sistema_kaspian_dub_sonoma/kaspian-dub-sonoma-jm-007-stol-pismennyy-biu-1d1s/","3141")</f>
        <v>3141</v>
      </c>
      <c r="K3" s="174" t="str">
        <f aca="false">HYPERLINK("https://brwmania.com.ua/gostinaja/modulnye-gostinye/sistema_nepo/gerbor-gerbor-prihozhaya-nepo-nepo-ppk-dub-sonoma/","1971")</f>
        <v>1971</v>
      </c>
      <c r="L3" s="174" t="str">
        <f aca="false">HYPERLINK("https://brwmania.com.ua/gostinaja/komplekty-gostinyh/aljaska-alaska-gostinaja/","7943")</f>
        <v>7943</v>
      </c>
      <c r="M3" s="174" t="str">
        <f aca="false">HYPERLINK("https://brwmania.com.ua/gostinaja/komplekty-gostinyh/stinka-kvatro-venge-magia/","3002")</f>
        <v>3002</v>
      </c>
      <c r="N3" s="174" t="str">
        <f aca="false">HYPERLINK("https://brwmania.com.ua/gostinaja/modulnye-gostinye/sistema-vusher-vusher/010-vusher-komod-kom-1w2d2s/","4258")</f>
        <v>4258</v>
      </c>
    </row>
    <row r="4" customFormat="false" ht="60.75" hidden="false" customHeight="true" outlineLevel="0" collapsed="false">
      <c r="A4" s="78" t="s">
        <v>29</v>
      </c>
      <c r="B4" s="147" t="s">
        <v>128</v>
      </c>
      <c r="C4" s="120" t="str">
        <f aca="false">HYPERLINK("http://redlight.com.ua/tv-stands/item-tumba-tv-rtv2d2s-4-15-atsteka","3686")</f>
        <v>3686</v>
      </c>
      <c r="D4" s="175" t="str">
        <f aca="false">HYPERLINK("http://redlight.com.ua/komod/item-komod-kom4s-8-11-atsteka","4233")</f>
        <v>4233</v>
      </c>
      <c r="E4" s="175" t="str">
        <f aca="false">HYPERLINK("http://redlight.com.ua/komod/item-komod-jkom-4s-80-indiana","3755")</f>
        <v>3755</v>
      </c>
      <c r="F4" s="175" t="str">
        <f aca="false">HYPERLINK("http://redlight.com.ua/stoly/item-stol-pismenniy-jbiu-2d2s-indiana","5323")</f>
        <v>5323</v>
      </c>
      <c r="G4" s="175" t="str">
        <f aca="false">HYPERLINK("http://redlight.com.ua/komod/item-komod-kom4s-90-dzhuli","2225")</f>
        <v>2225</v>
      </c>
      <c r="H4" s="175" t="str">
        <f aca="false">HYPERLINK("http://redlight.com.ua/raspashnyye-shkafy/item-porto-shkaf-szf3d2s","5666")</f>
        <v>5666</v>
      </c>
      <c r="I4" s="175" t="str">
        <f aca="false">HYPERLINK("http://redlight.com.ua/komod/item-komod-8s-sonata-","5870")</f>
        <v>5870</v>
      </c>
      <c r="J4" s="176" t="str">
        <f aca="false">HYPERLINK("http://redlight.com.ua/stoly/item-kaspian-pismenniy-stol-biu-1d1s-120-kaspian","3141")</f>
        <v>3141</v>
      </c>
      <c r="K4" s="175" t="str">
        <f aca="false">HYPERLINK("http://redlight.com.ua/prihozhie/item-nepo-prihozhaya-rrk-","1971")</f>
        <v>1971</v>
      </c>
      <c r="L4" s="177" t="str">
        <f aca="false">HYPERLINK("http://redlight.com.ua/stenki/item-stenka-alyaska","7644")</f>
        <v>7644</v>
      </c>
      <c r="M4" s="175" t="str">
        <f aca="false">HYPERLINK("http://redlight.com.ua/stenki/item-stenka-kvatro","3002")</f>
        <v>3002</v>
      </c>
      <c r="N4" s="178" t="str">
        <f aca="false">HYPERLINK("https://redlight.com.ua/komod/item-tumba-kom-1w2d2s-9-15-vusher","4195")</f>
        <v>4195</v>
      </c>
    </row>
    <row r="5" customFormat="false" ht="63" hidden="false" customHeight="true" outlineLevel="0" collapsed="false">
      <c r="A5" s="78" t="s">
        <v>30</v>
      </c>
      <c r="B5" s="171" t="s">
        <v>129</v>
      </c>
      <c r="C5" s="175" t="str">
        <f aca="false">HYPERLINK("https://mebli-bristol.com.ua/acteka-tumba-rtv-2d2s-4-15-brv-ukraina.html","3686")</f>
        <v>3686</v>
      </c>
      <c r="D5" s="175" t="str">
        <f aca="false">HYPERLINK("https://mebli-bristol.com.ua/acteka-komod-kom-4s-8-11-brv-ukraina.html","4233")</f>
        <v>4233</v>
      </c>
      <c r="E5" s="175" t="str">
        <f aca="false">HYPERLINK("https://mebli-bristol.com.ua/indiana-komod-jkom-4s-80-sosna-kan-jon-brv-ukraina.html","3755")</f>
        <v>3755</v>
      </c>
      <c r="F5" s="175" t="str">
        <f aca="false">HYPERLINK("https://mebli-bristol.com.ua/indiana-stil-pis-movij-jbiu-2d2s-140-sosna-kan-jon-brv-ukraina.html","5323")</f>
        <v>5323</v>
      </c>
      <c r="G5" s="175" t="str">
        <f aca="false">HYPERLINK("https://mebli-bristol.com.ua/dzhuli-komod-kom-4s-90-brv-ukraina.html","2225")</f>
        <v>2225</v>
      </c>
      <c r="H5" s="175" t="str">
        <f aca="false">HYPERLINK("https://mebli-bristol.com.ua/porto-shafa-szf-3d2s-brv-ukraina.html","5666")</f>
        <v>5666</v>
      </c>
      <c r="I5" s="175" t="str">
        <f aca="false">HYPERLINK("https://mebli-bristol.com.ua/sonata-komod-8s-gerbor.html","5870")</f>
        <v>5870</v>
      </c>
      <c r="J5" s="175" t="str">
        <f aca="false">HYPERLINK("https://mebli-bristol.com.ua/kaspian-stil-pis-movij-biu-1d1s-120-dub-sonoma-brv-ukraina.html","3141")</f>
        <v>3141</v>
      </c>
      <c r="K5" s="175" t="str">
        <f aca="false">HYPERLINK("https://mebli-bristol.com.ua/nepo-peredpokij-ppk-gerbor-9728.html","1971")</f>
        <v>1971</v>
      </c>
      <c r="L5" s="178" t="str">
        <f aca="false">HYPERLINK("https://mebli-bristol.com.ua/aljaska-brv-ukraina.html","7644")</f>
        <v>7644</v>
      </c>
      <c r="M5" s="175" t="str">
        <f aca="false">HYPERLINK("https://mebli-bristol.com.ua/kvatro-gerbor.html","3007")</f>
        <v>3007</v>
      </c>
      <c r="N5" s="175" t="str">
        <f aca="false">HYPERLINK("https://mebli-bristol.com.ua/vusher-komod-kom-1w-2d2s-gerbor.html","4258")</f>
        <v>4258</v>
      </c>
    </row>
    <row r="6" customFormat="false" ht="60" hidden="false" customHeight="true" outlineLevel="0" collapsed="false">
      <c r="A6" s="78" t="s">
        <v>17</v>
      </c>
      <c r="B6" s="149" t="s">
        <v>130</v>
      </c>
      <c r="C6" s="179" t="str">
        <f aca="false">HYPERLINK("https://gerbor.kiev.ua/mebelnye-sistemy/mebel-brw-azteca/azteca-tumba-tv-rtv2d2s-brv/","3686")</f>
        <v>3686</v>
      </c>
      <c r="D6" s="175" t="str">
        <f aca="false">HYPERLINK("https://gerbor.kiev.ua/mebelnye-sistemy/mebel-brw-azteca/azteca-komod-kom4s-brv/","4233")</f>
        <v>4233</v>
      </c>
      <c r="E6" s="175" t="str">
        <f aca="false">HYPERLINK("https://gerbor.kiev.ua/mebelnye-sistemy/mebel-indiana-brw/indiana-komod-jkom4s80-brv/","3755")</f>
        <v>3755</v>
      </c>
      <c r="F6" s="175" t="str">
        <f aca="false">HYPERLINK("https://gerbor.kiev.ua/mebelnye-sistemy/mebel-indiana-brw/indiana-stol-pismennyy-jbiu2d2s140-brv/","5323")</f>
        <v>5323</v>
      </c>
      <c r="G6" s="175" t="str">
        <f aca="false">HYPERLINK("https://gerbor.kiev.ua/mebelnye-sistemy/mebel-july-brw/july-komod-kom4s90-brv/","2225")</f>
        <v>2225</v>
      </c>
      <c r="H6" s="175" t="str">
        <f aca="false">HYPERLINK("https://gerbor.kiev.ua/mebelnye-sistemy/mebel-porto-brv/porto-shkaf-szf3d2s-brv/","5666")</f>
        <v>5666</v>
      </c>
      <c r="I6" s="175" t="str">
        <f aca="false">HYPERLINK("https://gerbor.kiev.ua/mebelnye-sistemy/mebel-sonata-gerbor/sonata-komod-8s-gerbor/","5870")</f>
        <v>5870</v>
      </c>
      <c r="J6" s="175" t="str">
        <f aca="false">HYPERLINK("https://gerbor.kiev.ua/mebelnye-sistemy/mebel-kaspian-sonoma-brw/kaspian-sonoma-stol-pismennyy-biu1d1s-brv/","3141")</f>
        <v>3141</v>
      </c>
      <c r="K6" s="175" t="str">
        <f aca="false">HYPERLINK("https://gerbor.kiev.ua/mebelnye-sistemy/mebel-nepo-gerbor/nepo-prikhozhaya-ppk-gerbor/","1971")</f>
        <v>1971</v>
      </c>
      <c r="L6" s="175" t="str">
        <f aca="false">HYPERLINK("https://gerbor.kiev.ua/mebelnye-sistemy/mebel-alaska-brw/alaska-gostinaya-brw/","7943")</f>
        <v>7943</v>
      </c>
      <c r="M6" s="84"/>
      <c r="N6" s="175" t="str">
        <f aca="false">HYPERLINK("https://gerbor.kiev.ua/mebelnye-sistemy/mebel-vusher-gerbor/vusher-komod-kom1w2d2s-gerbor/","4258")</f>
        <v>4258</v>
      </c>
    </row>
    <row r="7" customFormat="false" ht="63" hidden="false" customHeight="true" outlineLevel="0" collapsed="false">
      <c r="A7" s="78" t="s">
        <v>18</v>
      </c>
      <c r="B7" s="150" t="s">
        <v>131</v>
      </c>
      <c r="C7" s="175" t="str">
        <f aca="false">HYPERLINK("http://www.brwland.com.ua/product/azteca-tumba-tv-rtv2d2s415-brv-ukraina/","3686")</f>
        <v>3686</v>
      </c>
      <c r="D7" s="175" t="str">
        <f aca="false">HYPERLINK("http://www.brwland.com.ua/product/azteca-komod-kom4s811-brv-ukraina/","4233")</f>
        <v>4233</v>
      </c>
      <c r="E7" s="175" t="str">
        <f aca="false">HYPERLINK("http://www.brwland.com.ua/product/mebel-indiana-komod-jkom-4s-80-gerbor/","3755")</f>
        <v>3755</v>
      </c>
      <c r="F7" s="175" t="str">
        <f aca="false">HYPERLINK("http://www.brwland.com.ua/product/mebel-indiana-stol-pismennyj-jbiu-2d2s-140-gerbor/","5323")</f>
        <v>5323</v>
      </c>
      <c r="G7" s="175" t="str">
        <f aca="false">HYPERLINK("http://www.brwland.com.ua/product/dzhuli-komod-kom4s90-brv-ukraina/","2225")</f>
        <v>2225</v>
      </c>
      <c r="H7" s="175" t="str">
        <f aca="false">HYPERLINK("http://www.brwland.com.ua/product/porto-shkaf-szf3d2s-brv-ukraina/","5666")</f>
        <v>5666</v>
      </c>
      <c r="I7" s="175" t="str">
        <f aca="false">HYPERLINK("http://www.brwland.com.ua/product/komod-8s-sonata-gerbor/","5870")</f>
        <v>5870</v>
      </c>
      <c r="J7" s="175" t="str">
        <f aca="false">HYPERLINK("http://www.brwland.com.ua/product/kaspian-sonoma-stol-pismennyj-biu1d1s-brv-ukraina/","3141")</f>
        <v>3141</v>
      </c>
      <c r="K7" s="175" t="str">
        <f aca="false">HYPERLINK("http://www.brwland.com.ua/product/nepo-prihozhaja-ppk-gerbor/","1971")</f>
        <v>1971</v>
      </c>
      <c r="L7" s="175" t="str">
        <f aca="false">HYPERLINK("http://www.brwland.com.ua/product/gostinaja-aljaska-brv-ukraina/","7943")</f>
        <v>7943</v>
      </c>
      <c r="M7" s="175" t="str">
        <f aca="false">HYPERLINK("http://www.brwland.com.ua/product/komplekt-quatro/","3151")</f>
        <v>3151</v>
      </c>
      <c r="N7" s="175" t="str">
        <f aca="false">HYPERLINK("http://www.brwland.com.ua/product/vusher-bufet-kom1w2d2s915-gerbor/","4258")</f>
        <v>4258</v>
      </c>
    </row>
    <row r="8" customFormat="false" ht="60" hidden="false" customHeight="true" outlineLevel="0" collapsed="false">
      <c r="A8" s="78" t="s">
        <v>31</v>
      </c>
      <c r="B8" s="147" t="s">
        <v>128</v>
      </c>
      <c r="C8" s="178" t="str">
        <f aca="false">HYPERLINK("http://gerbor.dp.ua/index.php?route=product/product&amp;product_id=3138","3343")</f>
        <v>3343</v>
      </c>
      <c r="D8" s="178" t="str">
        <f aca="false">HYPERLINK("http://gerbor.dp.ua/index.php?route=product/product&amp;product_id=3131","3924")</f>
        <v>3924</v>
      </c>
      <c r="E8" s="178" t="str">
        <f aca="false">HYPERLINK("http://gerbor.dp.ua/index.php?route=product/product&amp;product_id=1730","3562")</f>
        <v>3562</v>
      </c>
      <c r="F8" s="178" t="str">
        <f aca="false">HYPERLINK("http://gerbor.dp.ua/index.php?route=product/product&amp;product_id=1725","5158")</f>
        <v>5158</v>
      </c>
      <c r="G8" s="178" t="str">
        <f aca="false">HYPERLINK("http://gerbor.dp.ua/index.php?route=product/product&amp;product_id=1755","2098")</f>
        <v>2098</v>
      </c>
      <c r="H8" s="178" t="str">
        <f aca="false">HYPERLINK("http://gerbor.dp.ua/index.php?route=product/product&amp;product_id=3905","5377")</f>
        <v>5377</v>
      </c>
      <c r="I8" s="178" t="str">
        <f aca="false">HYPERLINK("http://gerbor.dp.ua/index.php?route=product/product&amp;product_id=2156","5683")</f>
        <v>5683</v>
      </c>
      <c r="J8" s="178" t="str">
        <f aca="false">HYPERLINK("http://gerbor.dp.ua/index.php?route=product/product&amp;product_id=2819","3002")</f>
        <v>3002</v>
      </c>
      <c r="K8" s="178" t="str">
        <f aca="false">HYPERLINK("http://gerbor.dp.ua/index.php?route=product/product&amp;product_id=3473&amp;search=%D0%BD%D0%B5%D0%BF%D0%BE","1963")</f>
        <v>1963</v>
      </c>
      <c r="L8" s="178" t="str">
        <f aca="false">HYPERLINK("http://gerbor.dp.ua/index.php?route=product/product&amp;product_id=3031","7644")</f>
        <v>7644</v>
      </c>
      <c r="M8" s="175" t="str">
        <f aca="false">HYPERLINK("http://gerbor.dp.ua/index.php?route=product/product&amp;product_id=2040","3007")</f>
        <v>3007</v>
      </c>
      <c r="N8" s="178" t="str">
        <f aca="false">HYPERLINK("http://gerbor.dp.ua/index.php?route=product/product&amp;product_id=2775","4195")</f>
        <v>4195</v>
      </c>
    </row>
    <row r="9" customFormat="false" ht="56.25" hidden="false" customHeight="true" outlineLevel="0" collapsed="false">
      <c r="A9" s="105" t="s">
        <v>32</v>
      </c>
      <c r="B9" s="151" t="s">
        <v>132</v>
      </c>
      <c r="C9" s="180" t="str">
        <f aca="false">HYPERLINK("https://www.dybok.com.ua/ru/product/detail/35816","3692")</f>
        <v>3692</v>
      </c>
      <c r="D9" s="179" t="str">
        <f aca="false">HYPERLINK("https://www.dybok.com.ua/ru/product/detail/35870","4239")</f>
        <v>4239</v>
      </c>
      <c r="E9" s="181" t="str">
        <f aca="false">HYPERLINK("https://www.dybok.com.ua/ru/product/detail/55516","3532")</f>
        <v>3532</v>
      </c>
      <c r="F9" s="179" t="str">
        <f aca="false">HYPERLINK("https://www.dybok.com.ua/ru/product/detail/4291","5334")</f>
        <v>5334</v>
      </c>
      <c r="G9" s="179" t="str">
        <f aca="false">HYPERLINK("https://www.dybok.com.ua/ru/product/detail/9798","2226")</f>
        <v>2226</v>
      </c>
      <c r="H9" s="182" t="str">
        <f aca="false">HYPERLINK("https://www.dybok.com.ua/ru/product/detail/35840","5649")</f>
        <v>5649</v>
      </c>
      <c r="I9" s="179" t="str">
        <f aca="false">HYPERLINK("https://www.dybok.com.ua/ru/product/detail/261","5878")</f>
        <v>5878</v>
      </c>
      <c r="J9" s="181" t="str">
        <f aca="false">HYPERLINK("https://www.dybok.com.ua/","3006")</f>
        <v>3006</v>
      </c>
      <c r="K9" s="183" t="str">
        <f aca="false">HYPERLINK("https://www.dybok.com.ua/ru/product/detail/18085","1787")</f>
        <v>1787</v>
      </c>
      <c r="L9" s="179" t="str">
        <f aca="false">HYPERLINK("https://www.dybok.com.ua/ru/product/detail/50410","7949")</f>
        <v>7949</v>
      </c>
      <c r="M9" s="179" t="str">
        <f aca="false">HYPERLINK("https://www.dybok.com.ua/ru/product/detail/6077","3003")</f>
        <v>3003</v>
      </c>
      <c r="N9" s="179" t="str">
        <f aca="false">HYPERLINK("https://www.dybok.com.ua/ru/product/detail/7086","4263")</f>
        <v>4263</v>
      </c>
    </row>
    <row r="10" customFormat="false" ht="61.5" hidden="false" customHeight="true" outlineLevel="0" collapsed="false">
      <c r="A10" s="78" t="s">
        <v>19</v>
      </c>
      <c r="B10" s="154" t="s">
        <v>133</v>
      </c>
      <c r="C10" s="176" t="str">
        <f aca="false">HYPERLINK("https://vashamebel.in.ua/tumba-tv-brv-atsteka-rtv2d2s415/p12722","3686")</f>
        <v>3686</v>
      </c>
      <c r="D10" s="176" t="str">
        <f aca="false">HYPERLINK("https://vashamebel.in.ua/komod-brv-atsteka-kom4s811/p12731","4233")</f>
        <v>4233</v>
      </c>
      <c r="E10" s="176" t="str">
        <f aca="false">HYPERLINK("https://vashamebel.in.ua/komod-brv-indiana-jkom4s80/p921","3755")</f>
        <v>3755</v>
      </c>
      <c r="F10" s="176" t="str">
        <f aca="false">HYPERLINK("https://vashamebel.in.ua/stol-pismennyij-brv-indiana-jbiu-2d2s/p916","5323")</f>
        <v>5323</v>
      </c>
      <c r="G10" s="175" t="str">
        <f aca="false">HYPERLINK("https://vashamebel.in.ua/komod-brv-dzhuli-kom4s90/p7958","2225")</f>
        <v>2225</v>
      </c>
      <c r="H10" s="175" t="str">
        <f aca="false">HYPERLINK("https://vashamebel.in.ua/shkaf-brv-porto-szf3d2s/p12560","5666")</f>
        <v>5666</v>
      </c>
      <c r="I10" s="176" t="str">
        <f aca="false">HYPERLINK("https://vashamebel.in.ua/komod-gerbor-sonata-8s/p845","5870")</f>
        <v>5870</v>
      </c>
      <c r="J10" s="184" t="str">
        <f aca="false">HYPERLINK("https://vashamebel.in.ua/stol-pismennyij-kaspian-ii-biu1d1s-120/p488","3002")</f>
        <v>3002</v>
      </c>
      <c r="K10" s="176" t="str">
        <f aca="false">HYPERLINK("https://vashamebel.in.ua/prihozhaya-gerbor-nepo-ppk/p12249","1971")</f>
        <v>1971</v>
      </c>
      <c r="L10" s="185" t="str">
        <f aca="false">HYPERLINK("https://vashamebel.in.ua/gostinaya-brv-alyaska/p4420","7644")</f>
        <v>7644</v>
      </c>
      <c r="M10" s="176" t="str">
        <f aca="false">HYPERLINK("https://vashamebel.in.ua/stenka-gerbor-kvatro/p2359","3007")</f>
        <v>3007</v>
      </c>
      <c r="N10" s="175" t="str">
        <f aca="false">HYPERLINK("https://vashamebel.in.ua/komod-gerbor-vusher-kom1w2d2s/p4762","4258")</f>
        <v>4258</v>
      </c>
    </row>
    <row r="11" customFormat="false" ht="70.5" hidden="false" customHeight="true" outlineLevel="0" collapsed="false">
      <c r="A11" s="78" t="s">
        <v>20</v>
      </c>
      <c r="B11" s="154" t="s">
        <v>134</v>
      </c>
      <c r="C11" s="178" t="str">
        <f aca="false">HYPERLINK("https://mebel-mebel.com.ua/eshop/dom-tumby-dlia-tv/tumba_rtv2d2s_4_15_atsteka-id461.html","3317 до 31.05")</f>
        <v>3317 до 31.05</v>
      </c>
      <c r="D11" s="178" t="str">
        <f aca="false">HYPERLINK("https://mebel-mebel.com.ua/eshop/dom-komody/komod_kom4s_8_11_atsteka-id496.html","3810 до 31.05")</f>
        <v>3810 до 31.05</v>
      </c>
      <c r="E11" s="178" t="str">
        <f aca="false">HYPERLINK("https://mebel-mebel.com.ua/eshop/dom-komody/komod_jkom_4s80_indiana-id663.html","3192 до 31.05")</f>
        <v>3192 до 31.05</v>
      </c>
      <c r="F11" s="178" t="str">
        <f aca="false">HYPERLINK("https://mebel-mebel.com.ua/eshop/dom-stoly-kompiuternye/stol_pismenniy_jbiu_2d2s_140_indiana-id659.html","4525 до 31.05")</f>
        <v>4525 до 31.05</v>
      </c>
      <c r="G11" s="178" t="str">
        <f aca="false">HYPERLINK("https://mebel-mebel.com.ua/eshop/dom-komody/komod_kom_4s_90_dzhuli-id569.html","2002 до 31.05")</f>
        <v>2002 до 31.05</v>
      </c>
      <c r="H11" s="185" t="str">
        <f aca="false">HYPERLINK("https://mebel-mebel.com.ua/eshop/detskie-shkafy/shkaf_szf3d2s_porto-id35136.html","4816 до 31.05")</f>
        <v>4816 до 31.05</v>
      </c>
      <c r="I11" s="178" t="str">
        <f aca="false">HYPERLINK("https://mebel-mebel.com.ua/eshop/dom-komody/komod_8s_s_015_sonata-id1567.html","4989 до 31.05")</f>
        <v>4989 до 31.05</v>
      </c>
      <c r="J11" s="178" t="str">
        <f aca="false">HYPERLINK("https://mebel-mebel.com.ua/eshop/dom-stoly-kompiuternye/stol_pismenniy_biu_1d1s_120_kaspian-id797.html","2827 до 31.05")</f>
        <v>2827 до 31.05</v>
      </c>
      <c r="K11" s="178" t="str">
        <f aca="false">HYPERLINK("https://mebel-mebel.com.ua/eshop/dom-prihozhie/prihozhaya_ppk_nepo-id28028.html","1774 до 31.05")</f>
        <v>1774 до 31.05</v>
      </c>
      <c r="L11" s="185" t="str">
        <f aca="false">HYPERLINK("https://mebel-mebel.com.ua/eshop/dom-stenki-dlia-gostinoi/gostinaya_alyaska-id50834.html","7043")</f>
        <v>7043</v>
      </c>
      <c r="M11" s="175" t="str">
        <f aca="false">HYPERLINK("https://mebel-mebel.com.ua/eshop/dom-stenki-dlia-gostinoi/gostinaya_kvatro-id152.html","3002")</f>
        <v>3002</v>
      </c>
      <c r="N11" s="178" t="str">
        <f aca="false">HYPERLINK("https://mebel-mebel.com.ua/eshop/dom-komody/komod_kom_1w2d2s_vusher-id560.html","3619 до 31.05")</f>
        <v>3619 до 31.05</v>
      </c>
    </row>
    <row r="12" customFormat="false" ht="75.75" hidden="false" customHeight="true" outlineLevel="0" collapsed="false">
      <c r="A12" s="78" t="s">
        <v>21</v>
      </c>
      <c r="B12" s="150" t="s">
        <v>135</v>
      </c>
      <c r="C12" s="178" t="str">
        <f aca="false">HYPERLINK("https://abcmebli.com.ua/p14992-tumba_tv_rtv2d2s-4-15_atsteka","3343")</f>
        <v>3343</v>
      </c>
      <c r="D12" s="178" t="str">
        <f aca="false">HYPERLINK("https://abcmebli.com.ua/p15683-atsteka_komod_kom4s-8-11_brv","3924")</f>
        <v>3924</v>
      </c>
      <c r="E12" s="178" t="str">
        <f aca="false">HYPERLINK("https://abcmebli.com.ua/p1896-komod_jkom4s_80_indiana","3562")</f>
        <v>3562</v>
      </c>
      <c r="F12" s="178" t="str">
        <f aca="false">HYPERLINK("https://abcmebli.com.ua/p1892-stol_pismenniy_jbiu2d2s_140_indiana","5158")</f>
        <v>5158</v>
      </c>
      <c r="G12" s="178" t="str">
        <f aca="false">HYPERLINK("https://abcmebli.com.ua/p8553-komod_kom4s-90_july","2098")</f>
        <v>2098</v>
      </c>
      <c r="H12" s="178" t="str">
        <f aca="false">HYPERLINK("https://abcmebli.com.ua/p15039-shkaf_platyanoy_szf3d2s_porto","5377")</f>
        <v>5377</v>
      </c>
      <c r="I12" s="178" t="str">
        <f aca="false">HYPERLINK("https://abcmebli.com.ua/p2225-komod_8-s_sonata","5683")</f>
        <v>5683</v>
      </c>
      <c r="J12" s="178" t="str">
        <f aca="false">HYPERLINK("https://abcmebli.com.ua/p14308-stol_pismenniy_biu_1d1s_120_kaspian","3002")</f>
        <v>3002</v>
      </c>
      <c r="K12" s="185" t="str">
        <f aca="false">HYPERLINK("https://abcmebli.com.ua/p15897-nepo_prihozhaya_ppk_gerbor","1963")</f>
        <v>1963</v>
      </c>
      <c r="L12" s="178" t="str">
        <f aca="false">HYPERLINK("https://abcmebli.com.ua/p15950-gostinaya_alyaska_brv-ukraina","7644")</f>
        <v>7644</v>
      </c>
      <c r="M12" s="175" t="str">
        <f aca="false">HYPERLINK("https://abcmebli.com.ua/p2515-stenka_kvatro_gerbor","3007")</f>
        <v>3007</v>
      </c>
      <c r="N12" s="178" t="str">
        <f aca="false">HYPERLINK("https://abcmebli.com.ua/p4993-komod_kom1w2d2s_9_15_vusher","4195")</f>
        <v>4195</v>
      </c>
    </row>
    <row r="13" customFormat="false" ht="56.25" hidden="false" customHeight="true" outlineLevel="0" collapsed="false">
      <c r="A13" s="78" t="s">
        <v>22</v>
      </c>
      <c r="B13" s="156" t="s">
        <v>136</v>
      </c>
      <c r="C13" s="175" t="str">
        <f aca="false">HYPERLINK("https://www.mebelok.com/tymba-tv-rtv2d2s415-acteka/","3690")</f>
        <v>3690</v>
      </c>
      <c r="D13" s="176" t="str">
        <f aca="false">HYPERLINK("https://www.mebelok.com/komod-kom4s811-acteka/","4240")</f>
        <v>4240</v>
      </c>
      <c r="E13" s="186" t="str">
        <f aca="false">HYPERLINK("https://www.mebelok.com/komod-jkom-4s-80/","3760")</f>
        <v>3760</v>
      </c>
      <c r="F13" s="175" t="str">
        <f aca="false">HYPERLINK("https://www.mebelok.com/stol-pismennyy-jbiu-2d2s-140/","5330")</f>
        <v>5330</v>
      </c>
      <c r="G13" s="176" t="str">
        <f aca="false">HYPERLINK("https://www.mebelok.com/komod-kom-4s-90-juli/","2230")</f>
        <v>2230</v>
      </c>
      <c r="H13" s="176" t="str">
        <f aca="false">HYPERLINK("https://www.mebelok.com/shkaf-szf3d2s-porto/","5670")</f>
        <v>5670</v>
      </c>
      <c r="I13" s="187"/>
      <c r="J13" s="175" t="str">
        <f aca="false">HYPERLINK("https://www.mebelok.com/stol-pismennyy-biu1d1s-120-kaspian/","3150")</f>
        <v>3150</v>
      </c>
      <c r="K13" s="175" t="str">
        <f aca="false">HYPERLINK("https://www.mebelok.com/prihojaya-ppk-nepo/","1980")</f>
        <v>1980</v>
      </c>
      <c r="L13" s="177" t="str">
        <f aca="false">HYPERLINK("https://www.mebelok.com/gostinaya-alyaska/","7655")</f>
        <v>7655</v>
      </c>
      <c r="M13" s="176" t="str">
        <f aca="false">HYPERLINK("https://www.mebelok.com/gostinaya-kvatro","3010")</f>
        <v>3010</v>
      </c>
      <c r="N13" s="176" t="str">
        <f aca="false">HYPERLINK("https://www.mebelok.com/komod-kom-1w2d2s-vusher/","4260")</f>
        <v>4260</v>
      </c>
    </row>
    <row r="14" customFormat="false" ht="48" hidden="false" customHeight="true" outlineLevel="0" collapsed="false">
      <c r="A14" s="78" t="s">
        <v>23</v>
      </c>
      <c r="B14" s="150" t="s">
        <v>137</v>
      </c>
      <c r="C14" s="175" t="str">
        <f aca="false">HYPERLINK("https://maxmebel.com.ua/atsteka_tumba_rtv2d2s","3686")</f>
        <v>3686</v>
      </c>
      <c r="D14" s="175" t="str">
        <f aca="false">HYPERLINK("https://maxmebel.com.ua/atsteka_komod_kom4s-8-11","4233")</f>
        <v>4233</v>
      </c>
      <c r="E14" s="175" t="str">
        <f aca="false">HYPERLINK("https://maxmebel.com.ua/indiana_komod_jkom_4s_80","3755")</f>
        <v>3755</v>
      </c>
      <c r="F14" s="175" t="str">
        <f aca="false">HYPERLINK("https://maxmebel.com.ua/indiana_pismenniy_stol_jbiu_2d2s","5323")</f>
        <v>5323</v>
      </c>
      <c r="G14" s="175" t="str">
        <f aca="false">HYPERLINK("https://maxmebel.com.ua/dzhuli_komod_kom4s-90","2225")</f>
        <v>2225</v>
      </c>
      <c r="H14" s="175" t="str">
        <f aca="false">HYPERLINK("https://maxmebel.com.ua/porto_shkaf_platyanoy_szf3d2s","5666")</f>
        <v>5666</v>
      </c>
      <c r="I14" s="175" t="str">
        <f aca="false">HYPERLINK("https://maxmebel.com.ua/sonata_komod_8-s","5870")</f>
        <v>5870</v>
      </c>
      <c r="J14" s="175" t="str">
        <f aca="false">HYPERLINK("https://maxmebel.com.ua/kaspian_stol_pismenniy_biu_1d1s","3141")</f>
        <v>3141</v>
      </c>
      <c r="K14" s="175" t="str">
        <f aca="false">HYPERLINK("https://maxmebel.com.ua/nepo_prihozhaya_rrk","1971")</f>
        <v>1971</v>
      </c>
      <c r="L14" s="178" t="str">
        <f aca="false">HYPERLINK("https://maxmebel.com.ua/stenka_alyaska","7645")</f>
        <v>7645</v>
      </c>
      <c r="M14" s="176" t="str">
        <f aca="false">HYPERLINK("https://maxmebel.com.ua/stenka_kvatro","3002")</f>
        <v>3002</v>
      </c>
      <c r="N14" s="175" t="str">
        <f aca="false">HYPERLINK("https://maxmebel.com.ua/vusher_komod_kom_1w2d2s","4196")</f>
        <v>4196</v>
      </c>
    </row>
    <row r="15" customFormat="false" ht="39" hidden="false" customHeight="true" outlineLevel="0" collapsed="false">
      <c r="A15" s="78" t="s">
        <v>24</v>
      </c>
      <c r="B15" s="147" t="s">
        <v>128</v>
      </c>
      <c r="C15" s="178" t="str">
        <f aca="false">HYPERLINK("https://moyamebel.com.ua/ua/products/tumba-rtv-atsteka","3343")</f>
        <v>3343</v>
      </c>
      <c r="D15" s="178" t="str">
        <f aca="false">HYPERLINK("https://moyamebel.com.ua/ua/products/komod-atsteka","3924")</f>
        <v>3924</v>
      </c>
      <c r="E15" s="178" t="str">
        <f aca="false">HYPERLINK("https://moyamebel.com.ua/ua/products/komod-4s-80-indiana","3562")</f>
        <v>3562</v>
      </c>
      <c r="F15" s="178" t="str">
        <f aca="false">HYPERLINK("https://moyamebel.com.ua/ua/products/stol-pismennyj-2d2s-indiana","5158")</f>
        <v>5158</v>
      </c>
      <c r="G15" s="178" t="str">
        <f aca="false">HYPERLINK("https://moyamebel.com.ua/ua/products/komod-dzhuli-90","2098")</f>
        <v>2098</v>
      </c>
      <c r="H15" s="178" t="str">
        <f aca="false">HYPERLINK("https://moyamebel.com.ua/ua/products/shkaf-3d2sporto","5377")</f>
        <v>5377</v>
      </c>
      <c r="I15" s="187"/>
      <c r="J15" s="178" t="str">
        <f aca="false">HYPERLINK("https://moyamebel.com.ua/ua/products/stol-pismennyj-120-kaspian","3002")</f>
        <v>3002</v>
      </c>
      <c r="K15" s="184" t="str">
        <f aca="false">HYPERLINK("https://moyamebel.com.ua/ua/products/prihozhaya-nepo","1963")</f>
        <v>1963</v>
      </c>
      <c r="L15" s="178"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138</v>
      </c>
      <c r="C16" s="175" t="str">
        <f aca="false">HYPERLINK("https://mebel-soyuz.com.ua/12896.html","3686")</f>
        <v>3686</v>
      </c>
      <c r="D16" s="175" t="str">
        <f aca="false">HYPERLINK("https://mebel-soyuz.com.ua/12903.html","4233")</f>
        <v>4233</v>
      </c>
      <c r="E16" s="175" t="str">
        <f aca="false">HYPERLINK("https://mebel-soyuz.com.ua/2266.html","3755")</f>
        <v>3755</v>
      </c>
      <c r="F16" s="175" t="str">
        <f aca="false">HYPERLINK("https://mebel-soyuz.com.ua/stol-pismennyj-jbiu-2d2s-140-indiana.html","5323")</f>
        <v>5323</v>
      </c>
      <c r="G16" s="175" t="str">
        <f aca="false">HYPERLINK("https://mebel-soyuz.com.ua/komod-kom-4s-90-dzhuli.html","2225")</f>
        <v>2225</v>
      </c>
      <c r="H16" s="175" t="str">
        <f aca="false">HYPERLINK("https://mebel-soyuz.com.ua/shkaf-szf3d2s-porto.html","5666")</f>
        <v>5666</v>
      </c>
      <c r="I16" s="175" t="str">
        <f aca="false">HYPERLINK("https://mebel-soyuz.com.ua/473.html","5870")</f>
        <v>5870</v>
      </c>
      <c r="J16" s="185" t="str">
        <f aca="false">HYPERLINK("https://mebel-soyuz.com.ua/8687.html","3002")</f>
        <v>3002</v>
      </c>
      <c r="K16" s="175" t="str">
        <f aca="false">HYPERLINK("https://mebel-soyuz.com.ua/8926.html","1971")</f>
        <v>1971</v>
      </c>
      <c r="L16" s="175" t="str">
        <f aca="false">HYPERLINK("https://mebel-soyuz.com.ua/10995.html","7943")</f>
        <v>7943</v>
      </c>
      <c r="M16" s="175" t="str">
        <f aca="false">HYPERLINK("https://mebel-soyuz.com.ua/gostinaya-kvatro.html","3002")</f>
        <v>3002</v>
      </c>
      <c r="N16" s="175" t="str">
        <f aca="false">HYPERLINK("https://mebel-soyuz.com.ua/3933.html","4258")</f>
        <v>4258</v>
      </c>
    </row>
    <row r="17" customFormat="false" ht="33.75" hidden="false" customHeight="true" outlineLevel="0" collapsed="false">
      <c r="A17" s="78" t="s">
        <v>36</v>
      </c>
      <c r="B17" s="147" t="s">
        <v>128</v>
      </c>
      <c r="C17" s="188"/>
      <c r="D17" s="176" t="str">
        <f aca="false">HYPERLINK("https://sofino.ua/brw-ukraina-komod-kom4s811-acteka/g-95386","4233")</f>
        <v>4233</v>
      </c>
      <c r="E17" s="176" t="str">
        <f aca="false">HYPERLINK("https://sofino.ua/brw-ukraina-komod-jkom4s80-indiana/g-40903","3755")</f>
        <v>3755</v>
      </c>
      <c r="F17" s="176" t="str">
        <f aca="false">HYPERLINK("https://sofino.ua/brw-ukraina-stol-pismennyjj-jbiu2d2s140-indiana/g-40899","5323")</f>
        <v>5323</v>
      </c>
      <c r="G17" s="176" t="str">
        <f aca="false">HYPERLINK("https://sofino.ua/brw-ukraina-komod-kom4s90-dzhuli-akacija-mali-bronz/g-40377","2225")</f>
        <v>2225</v>
      </c>
      <c r="H17" s="176" t="str">
        <f aca="false">HYPERLINK("https://sofino.ua/brw-ukraina-shkaf-platjanojj-szf3d2s-porto-dzhanni-sosna-lariko/g-264368","5666")</f>
        <v>5666</v>
      </c>
      <c r="I17" s="176" t="str">
        <f aca="false">HYPERLINK("https://sofino.ua/gerbor-komod-8s-sonata/g-19192","5870")</f>
        <v>5870</v>
      </c>
      <c r="J17" s="179" t="str">
        <f aca="false">HYPERLINK("https://sofino.ua/brw-ukraina-stol-pismennyjj-biu-1d1s-kaspian/g-264409","3141")</f>
        <v>3141</v>
      </c>
      <c r="K17" s="176" t="str">
        <f aca="false">HYPERLINK("https://sofino.ua/gerbor-prikhozhaja-ppk-nepo/g-287089","1971")</f>
        <v>1971</v>
      </c>
      <c r="L17" s="176" t="str">
        <f aca="false">HYPERLINK("https://sofino.ua/brw-ukraina-stenka-aljaska-belyjj-gljanec/g-454107","7943")</f>
        <v>7943</v>
      </c>
      <c r="M17" s="176" t="str">
        <f aca="false">HYPERLINK("https://sofino.ua/gerbor-stenka-s-podsvetkojj-kvatro/g-18955","3007")</f>
        <v>3007</v>
      </c>
      <c r="N17" s="176" t="str">
        <f aca="false">HYPERLINK("https://sofino.ua/gerbor-bufet-kom1w2d2s-s-podsvetkojj-vusher/g-176785","4258")</f>
        <v>4258</v>
      </c>
    </row>
    <row r="18" customFormat="false" ht="54.75" hidden="false" customHeight="true" outlineLevel="0" collapsed="false">
      <c r="A18" s="78" t="s">
        <v>37</v>
      </c>
      <c r="B18" s="147" t="s">
        <v>139</v>
      </c>
      <c r="C18" s="187"/>
      <c r="D18" s="175" t="str">
        <f aca="false">HYPERLINK("https://www.brw-kiev.com.ua/catalog/mebel/azteca-komod-kom4s_8_11-000004816.html","4239")</f>
        <v>4239</v>
      </c>
      <c r="E18" s="175" t="str">
        <f aca="false">HYPERLINK("https://www.brw-kiev.com.ua/catalog/mebel/indiana-komod-jkom4s_80-000000261.html","3759")</f>
        <v>3759</v>
      </c>
      <c r="F18" s="175" t="str">
        <f aca="false">HYPERLINK("https://www.brw-kiev.com.ua/catalog/mebel/indiana-stil_pis_moviy-jbiu2d2s-000000254.html","5329")</f>
        <v>5329</v>
      </c>
      <c r="G18" s="175" t="str">
        <f aca="false">HYPERLINK("https://www.brw-kiev.com.ua/catalog/mebel/july-komod-kom4s_90-000005407.html","2229")</f>
        <v>2229</v>
      </c>
      <c r="H18" s="175" t="str">
        <f aca="false">HYPERLINK("https://www.brw-kiev.com.ua/catalog/mebel/porto-shafa-szf3d2s-000006440.html","5669")</f>
        <v>5669</v>
      </c>
      <c r="I18" s="189"/>
      <c r="J18" s="176" t="str">
        <f aca="false">HYPERLINK("https://www.brw-kiev.com.ua/catalog/mebel/kaspian-stil_pis_moviy-biu1d1s_120-000006188.html","3149")</f>
        <v>3149</v>
      </c>
      <c r="K18" s="176" t="str">
        <f aca="false">HYPERLINK("https://www.brw-kiev.com.ua/catalog/mebel/prihozhaya/nepo-peredpokiy-ppk-000006567.html?sphrase_id=84980","1979")</f>
        <v>1979</v>
      </c>
      <c r="L18" s="176" t="str">
        <f aca="false">HYPERLINK("https://www.brw-kiev.com.ua/catalog/mebel/gostinaya/stinki-vital_nya-alaska-000006901.html?sphrase_id=84981","7949")</f>
        <v>7949</v>
      </c>
      <c r="M18" s="187"/>
      <c r="N18" s="187"/>
    </row>
    <row r="19" customFormat="false" ht="38.25" hidden="false" customHeight="true" outlineLevel="0" collapsed="false">
      <c r="A19" s="78" t="s">
        <v>25</v>
      </c>
      <c r="B19" s="159" t="s">
        <v>140</v>
      </c>
      <c r="C19" s="175" t="str">
        <f aca="false">HYPERLINK("https://brw.kiev.ua/mebel-brw-ukraina/azteca/tumba-tv-rtv2d2s-azteca-brv/","3686")</f>
        <v>3686</v>
      </c>
      <c r="D19" s="175" t="str">
        <f aca="false">HYPERLINK("https://brw.kiev.ua/mebel-brw-ukraina/azteca/komod-kom4s-azteca-brv/","4233")</f>
        <v>4233</v>
      </c>
      <c r="E19" s="175" t="str">
        <f aca="false">HYPERLINK("https://brw.kiev.ua/mebel-brw-ukraina/indiana-kanjon/komod-jkom4s80-indiana-brv-kanjon/","3755")</f>
        <v>3755</v>
      </c>
      <c r="F19" s="175" t="str">
        <f aca="false">HYPERLINK("https://brw.kiev.ua/mebel-brw-ukraina/indiana-shutter/stol-pismennyy-jbiu2d2s140-indiana-brv-shutter/","5323")</f>
        <v>5323</v>
      </c>
      <c r="G19" s="175" t="str">
        <f aca="false">HYPERLINK("https://brw.kiev.ua/mebel-brw-ukraina/july/komod-kom4s90-july-brv/","2225")</f>
        <v>2225</v>
      </c>
      <c r="H19" s="175" t="str">
        <f aca="false">HYPERLINK("https://brw.kiev.ua/mebel-brw-ukraina/porto/shkaf-szf3d2s-porto-brv/","5666")</f>
        <v>5666</v>
      </c>
      <c r="I19" s="175" t="str">
        <f aca="false">HYPERLINK("https://brw.kiev.ua/mebel-gerbor/sonata/komod-8s-sonata-gerbor/","5870")</f>
        <v>5870</v>
      </c>
      <c r="J19" s="175" t="str">
        <f aca="false">HYPERLINK("https://brw.kiev.ua/mebel-brw-ukraina/kaspian-venge/stol-pismennyy-biu1d1s-kaspian-brv-venge/","3141")</f>
        <v>3141</v>
      </c>
      <c r="K19" s="175" t="str">
        <f aca="false">HYPERLINK("https://brw.kiev.ua/mebel-gerbor/nepo/prikhozhaya-ppk-nepo-gerbor/","1971")</f>
        <v>1971</v>
      </c>
      <c r="L19" s="175" t="str">
        <f aca="false">HYPERLINK("https://brw.kiev.ua/mebel-brw-ukraina/alaska/stenka-alaska-brv/","7943")</f>
        <v>7943</v>
      </c>
      <c r="M19" s="187"/>
      <c r="N19" s="175" t="str">
        <f aca="false">HYPERLINK("https://brw.kiev.ua/mebel-gerbor/vusher/komod-kom1w2d2s-vusher-gerbor/","4258")</f>
        <v>4258</v>
      </c>
    </row>
    <row r="20" customFormat="false" ht="15.75" hidden="false" customHeight="true" outlineLevel="0" collapsed="false">
      <c r="A20" s="78" t="s">
        <v>123</v>
      </c>
      <c r="B20" s="160" t="s">
        <v>141</v>
      </c>
      <c r="C20" s="187"/>
      <c r="D20" s="187"/>
      <c r="E20" s="187"/>
      <c r="F20" s="187"/>
      <c r="G20" s="187"/>
      <c r="H20" s="187"/>
      <c r="I20" s="187"/>
      <c r="J20" s="187"/>
      <c r="K20" s="187"/>
      <c r="L20" s="187"/>
      <c r="M20" s="187"/>
      <c r="N20" s="187"/>
    </row>
    <row r="21" customFormat="false" ht="25.5" hidden="false" customHeight="true" outlineLevel="0" collapsed="false">
      <c r="A21" s="78" t="s">
        <v>124</v>
      </c>
      <c r="B21" s="147" t="s">
        <v>139</v>
      </c>
      <c r="C21" s="184" t="str">
        <f aca="false">HYPERLINK("https://mebelstyle.net/tumby-pod-tv/tumba-pod-tv-brw-ukraina-azteca-rtv2d2s415-82546.html","3294")</f>
        <v>3294</v>
      </c>
      <c r="D21" s="184" t="str">
        <f aca="false">HYPERLINK("https://mebelstyle.net/komody/komod-brw-ukraina-azteca-kom4s811-82553.html","3735")</f>
        <v>3735</v>
      </c>
      <c r="E21" s="184" t="str">
        <f aca="false">HYPERLINK("https://mebelstyle.net/komody/komod-brw-ukraina-indiana-011-jkom4s80-1274.html","3442")</f>
        <v>3442</v>
      </c>
      <c r="F21" s="184" t="str">
        <f aca="false">HYPERLINK("https://mebelstyle.net/ofisnye-stoly/pismennyj-stol-brw-ukraina-indiana-007-jbiu2d2s-1255.html","4979")</f>
        <v>4979</v>
      </c>
      <c r="G21" s="190"/>
      <c r="H21" s="190"/>
      <c r="I21" s="184" t="str">
        <f aca="false">HYPERLINK("https://mebelstyle.net/komody/komod-gerbor-sonata-s-015-8s-38625.html","5125")</f>
        <v>5125</v>
      </c>
      <c r="J21" s="184" t="str">
        <f aca="false">HYPERLINK("https://mebelstyle.net/ofisnye-stoly/ofisnyj-stol-brw-ukraina-kaspian-007-biu1d1s-58596.html","2783")</f>
        <v>2783</v>
      </c>
      <c r="K21" s="184" t="str">
        <f aca="false">HYPERLINK("https://mebelstyle.net/prikhozhie/prikhozhaja-gerbor-nepo-ppk-83649.html","1808")</f>
        <v>1808</v>
      </c>
      <c r="L21" s="190"/>
      <c r="M21" s="184" t="str">
        <f aca="false">HYPERLINK("https://mebelstyle.net/gostinye/gostinaja-gerbor-kvatro-venge-56219.html","2840")</f>
        <v>2840</v>
      </c>
      <c r="N21" s="184" t="str">
        <f aca="false">HYPERLINK("https://mebelstyle.net/komody/komod-gerbor-vusher-kom-1w2d2s-83553.html","4022")</f>
        <v>4022</v>
      </c>
    </row>
    <row r="22" customFormat="false" ht="34.5" hidden="false" customHeight="true" outlineLevel="0" collapsed="false">
      <c r="A22" s="78" t="s">
        <v>38</v>
      </c>
      <c r="B22" s="147" t="s">
        <v>139</v>
      </c>
      <c r="C22" s="175" t="str">
        <f aca="false">HYPERLINK("https://lvivmebli.com/13319/","3900")</f>
        <v>3900</v>
      </c>
      <c r="D22" s="175" t="str">
        <f aca="false">HYPERLINK("https://lvivmebli.com/13320/","4675")</f>
        <v>4675</v>
      </c>
      <c r="E22" s="175" t="str">
        <f aca="false">HYPERLINK("https://lvivmebli.com/5030/","4255")</f>
        <v>4255</v>
      </c>
      <c r="F22" s="175" t="str">
        <f aca="false">HYPERLINK("https://lvivmebli.com/5039/","5911")</f>
        <v>5911</v>
      </c>
      <c r="G22" s="177" t="str">
        <f aca="false">HYPERLINK("https://lvivmebli.com/11483/","2300")</f>
        <v>2300</v>
      </c>
      <c r="H22" s="175" t="str">
        <f aca="false">HYPERLINK("https://lvivmebli.com/18473/","6800")</f>
        <v>6800</v>
      </c>
      <c r="I22" s="187"/>
      <c r="J22" s="189"/>
      <c r="K22" s="187"/>
      <c r="L22" s="187"/>
      <c r="M22" s="187"/>
      <c r="N22" s="187"/>
    </row>
    <row r="23" customFormat="false" ht="36.75" hidden="false" customHeight="true" outlineLevel="0" collapsed="false">
      <c r="A23" s="78" t="s">
        <v>39</v>
      </c>
      <c r="B23" s="157" t="s">
        <v>142</v>
      </c>
      <c r="C23" s="178" t="str">
        <f aca="false">HYPERLINK("http://centrmebliv.com.ua/modulni-mebli/brw-azteca/mebli-brw-brv-azteca-tumba-rtv2d2s?keyword=%D0%B0%D1%86%D1%82%D0%B5%D0%BA%D0%B0","3343")</f>
        <v>3343</v>
      </c>
      <c r="D23" s="178" t="str">
        <f aca="false">HYPERLINK("http://centrmebliv.com.ua/modulni-mebli/brw-azteca/mebli-brw-brv-azteca-komod-4s?keyword=%D0%B0%D1%86%D1%82%D0%B5%D0%BA%D0%B0","3924")</f>
        <v>3924</v>
      </c>
      <c r="E23" s="178" t="str">
        <f aca="false">HYPERLINK("http://centrmebliv.com.ua/mebli-dlya-spalni/komody/mebli-brw-brv-indiana-komod-jkom4s_80?keyword=%D1%96%D0%BD%D0%B4%D1%96%D0%B0%D0%BD%D0%B0","3562")</f>
        <v>3562</v>
      </c>
      <c r="F23" s="178" t="str">
        <f aca="false">HYPERLINK("http://centrmebliv.com.ua/modulni-mebli/brw-ukrayina-indiana/mebli-brw-brv-indiana-stil-pysmovyy-jbiu2d2s_140?keyword=%D1%96%D0%BD%D0%B4%D1%96%D0%B0%D0%BD%D0%B0","5158")</f>
        <v>5158</v>
      </c>
      <c r="G23" s="178" t="str">
        <f aca="false">HYPERLINK("http://centrmebliv.com.ua/spalni/komody/mebli-brw-brv-july-komod-kom4s/90?keyword=july","2098")</f>
        <v>2098</v>
      </c>
      <c r="H23" s="178" t="str">
        <f aca="false">HYPERLINK("http://centrmebliv.com.ua/modulni-mebli/brw-ukrayina-porto/mebli-brw-brv-porto-shafa-dlya-odyagu-sf3d2s?keyword=szf3d2s","5377")</f>
        <v>5377</v>
      </c>
      <c r="I23" s="178" t="str">
        <f aca="false">HYPERLINK("http://centrmebliv.com.ua/mebli-dlya-spalni/komody/mebli-gerbor-gerbor-s-015-sonata-_komod-8/s?keyword=%D1%81%D0%BE%D0%BD%D0%B0%D1%82%D0%B0","5683")</f>
        <v>5683</v>
      </c>
      <c r="J23" s="178" t="str">
        <f aca="false">HYPERLINK("http://centrmebliv.com.ua/ofisni-mebli/ofisni-stoly-vid-modulnyh-system/gerbor/brw-kaspian-stil-pysmovyy-biu-1d1s-120?keyword=%D0%BA%D0%B0%D1%81%D0%BF%D1%96%D0%B0%D0%BD","3002")</f>
        <v>3002</v>
      </c>
      <c r="K23" s="187"/>
      <c r="L23" s="187"/>
      <c r="M23" s="175" t="str">
        <f aca="false">HYPERLINK("http://centrmebliv.com.ua/mebli-dlya-vitalni/stinky/mebli-gerbor-gerbor-kvatro","3007")</f>
        <v>3007</v>
      </c>
      <c r="N23" s="178"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175" t="str">
        <f aca="false">HYPERLINK("https://letromebel.com.ua/p566111870-tumba-rtv2d2s415-atsteka.html","3686")</f>
        <v>3686</v>
      </c>
      <c r="D24" s="175" t="str">
        <f aca="false">HYPERLINK("https://letromebel.com.ua/p566126810-komod-kom4s811-atsteka.html","4233")</f>
        <v>4233</v>
      </c>
      <c r="E24" s="175" t="str">
        <f aca="false">HYPERLINK("https://letromebel.com.ua/p566921861-komod-jkom4s80-indiana.html","3755")</f>
        <v>3755</v>
      </c>
      <c r="F24" s="175" t="str">
        <f aca="false">HYPERLINK("https://letromebel.com.ua/p566921329-stol-pismennyj-jbiu2d2s140.html","5323")</f>
        <v>5323</v>
      </c>
      <c r="G24" s="175" t="str">
        <f aca="false">HYPERLINK("https://letromebel.com.ua/p445989920-komod-kom-dzhuli.html","2225")</f>
        <v>2225</v>
      </c>
      <c r="H24" s="175" t="str">
        <f aca="false">HYPERLINK("https://letromebel.com.ua/p567177190-shkaf-szf3d2s-porto.html","5666")</f>
        <v>5666</v>
      </c>
      <c r="I24" s="187"/>
      <c r="J24" s="187"/>
      <c r="K24" s="191" t="str">
        <f aca="false">HYPERLINK("https://letromebel.com.ua/p441285622-prihozhaya-ppk-nepo.html","1963")</f>
        <v>1963</v>
      </c>
      <c r="L24" s="177" t="str">
        <f aca="false">HYPERLINK("https://letromebel.com.ua/p822866700-stenka-gostinuyu-alyaska.html","7644")</f>
        <v>7644</v>
      </c>
      <c r="M24" s="176" t="str">
        <f aca="false">HYPERLINK("https://letromebel.com.ua/p436378844-stenka-kvatro-venge.html","3002")</f>
        <v>3002</v>
      </c>
      <c r="N24" s="175" t="str">
        <f aca="false">HYPERLINK("https://letromebel.com.ua/p332640892-bufet-kom1w2d2s-vusher.html","4258")</f>
        <v>4258</v>
      </c>
    </row>
    <row r="25" customFormat="false" ht="27" hidden="false" customHeight="true" outlineLevel="0" collapsed="false">
      <c r="A25" s="78" t="s">
        <v>26</v>
      </c>
      <c r="B25" s="147" t="s">
        <v>139</v>
      </c>
      <c r="C25" s="178" t="str">
        <f aca="false">HYPERLINK("https://shurup.net.ua/azteca-acteka-tumba-rtv2d2s415.p17205","3343")</f>
        <v>3343</v>
      </c>
      <c r="D25" s="178" t="str">
        <f aca="false">HYPERLINK("https://shurup.net.ua/azteca-acteka-komod-kom4s811.p17200","3924")</f>
        <v>3924</v>
      </c>
      <c r="E25" s="178" t="str">
        <f aca="false">HYPERLINK("https://shurup.net.ua/komod-jkom-4s80-indiana-sosna-kanon.p9412","3562")</f>
        <v>3562</v>
      </c>
      <c r="F25" s="178" t="str">
        <f aca="false">HYPERLINK("https://shurup.net.ua/stol-pismennyj-jbiu-2d2s-140-indiana-dub-shutter.p5488","5158")</f>
        <v>5158</v>
      </c>
      <c r="G25" s="178" t="str">
        <f aca="false">HYPERLINK("https://shurup.net.ua/komod-kom-4s-90-dzhuli.p7011","2098")</f>
        <v>2098</v>
      </c>
      <c r="H25" s="178" t="str">
        <f aca="false">HYPERLINK("https://shurup.net.ua/shkaf-szf3d2s-porto.p24169","5377")</f>
        <v>5377</v>
      </c>
      <c r="I25" s="178" t="str">
        <f aca="false">HYPERLINK("https://shurup.net.ua/komod-8s-sonata.p1034","5683")</f>
        <v>5683</v>
      </c>
      <c r="J25" s="185" t="str">
        <f aca="false">HYPERLINK("https://shurup.net.ua/stol-pismennyj-biu-1d1s-120-kaspian-dub-sonoma.p6492","2979")</f>
        <v>2979</v>
      </c>
      <c r="K25" s="178" t="str">
        <f aca="false">HYPERLINK("https://shurup.net.ua/prihozhaya-rrk-nepo.p13611","1963")</f>
        <v>1963</v>
      </c>
      <c r="L25" s="178" t="str">
        <f aca="false">HYPERLINK("https://shurup.net.ua/gostinaja-aljaska.p28551","7644")</f>
        <v>7644</v>
      </c>
      <c r="M25" s="175" t="str">
        <f aca="false">HYPERLINK("https://shurup.net.ua/gostinaya-kvatro-venge-magiya.p836","3007")</f>
        <v>3007</v>
      </c>
      <c r="N25" s="178" t="str">
        <f aca="false">HYPERLINK("https://shurup.net.ua/komod-kom1w2d2s-9-15-vusher.p1953","4195")</f>
        <v>4195</v>
      </c>
    </row>
    <row r="26" customFormat="false" ht="36.75" hidden="false" customHeight="true" outlineLevel="0" collapsed="false">
      <c r="A26" s="105" t="s">
        <v>41</v>
      </c>
      <c r="B26" s="162" t="s">
        <v>143</v>
      </c>
      <c r="C26" s="76"/>
      <c r="D26" s="76"/>
      <c r="E26" s="76"/>
      <c r="F26" s="76"/>
      <c r="G26" s="76"/>
      <c r="H26" s="76"/>
      <c r="I26" s="76"/>
      <c r="J26" s="76"/>
      <c r="K26" s="192" t="str">
        <f aca="false">HYPERLINK("https://www.taburetka.ua/prihozhie-40/prihozhaya-ppk-nepo-2914","1855")</f>
        <v>1855</v>
      </c>
      <c r="L26" s="76"/>
      <c r="M26" s="181" t="str">
        <f aca="false">HYPERLINK("https://www.taburetka.ua/gostinye-600/gostinaya-kvatro-2834","3060")</f>
        <v>3060</v>
      </c>
      <c r="N26" s="182" t="str">
        <f aca="false">HYPERLINK("https://www.taburetka.ua/komody-i-tumby-35/komod-kom1w2d2s-vusher-2974","4005")</f>
        <v>4005</v>
      </c>
    </row>
    <row r="27" customFormat="false" ht="37.5" hidden="false" customHeight="true" outlineLevel="0" collapsed="false">
      <c r="A27" s="106" t="s">
        <v>42</v>
      </c>
      <c r="B27" s="163" t="s">
        <v>144</v>
      </c>
      <c r="C27" s="175" t="str">
        <f aca="false">HYPERLINK("http://www.maxidom.com.ua/tumba-rtv-atsteka-2d2s415.html?search_string=%D2%F3%EC%E1%E0+%D0%D2%C2+%C0%F6%F2%E5%EA%E0+2D2S%2F4%2F15","3686")</f>
        <v>3686</v>
      </c>
      <c r="D27" s="193" t="str">
        <f aca="false">HYPERLINK("http://www.maxidom.com.ua/komod-atsteka-kom4s811.html?search_string=%CA%EE%EC%EE%E4+%C0%F6%F2%E5%EA%E0+KOM4S%2F8%2F11","4233")</f>
        <v>4233</v>
      </c>
      <c r="E27" s="193" t="str">
        <f aca="false">HYPERLINK("http://www.maxidom.com.ua/komod_indiana_jkom4s80.html?search_string=%CA%EE%EC%EE%E4+%C8%ED%E4%E8%E0%ED%E0+JKOM4s%2F80","3755")</f>
        <v>3755</v>
      </c>
      <c r="F27" s="193" t="str">
        <f aca="false">HYPERLINK("http://www.maxidom.com.ua/stol_pismenniy_indiana_jbiu2d2s.html?search_string=%D1%F2%EE%EB+%EF%E8%F1%FC%EC%E5%ED%ED%FB%E9+%C8%ED%E4%E8%E0%ED%E0+JBIU2d2s","5323")</f>
        <v>5323</v>
      </c>
      <c r="G27" s="193" t="str">
        <f aca="false">HYPERLINK("http://www.maxidom.com.ua/komod-kom4s90-dzhuli.html?search_string=%CA%EE%EC%EE%E4+KOM4S%2F90+%C4%E6%F3%EB%E8","2225")</f>
        <v>2225</v>
      </c>
      <c r="H27" s="193" t="str">
        <f aca="false">HYPERLINK("http://www.maxidom.com.ua/shkaf-porto-porto-szf3d2s.html?search_string=%D8%EA%E0%F4+%CF%EE%F0%F2%EE+%28Porto%29+SZF3D2S","5666")</f>
        <v>5666</v>
      </c>
      <c r="I27" s="193" t="str">
        <f aca="false">HYPERLINK("http://www.maxidom.com.ua/komod-sonata-8s.html?search_string=%CA%EE%EC%EE%E4+%D1%EE%ED%E0%F2%E0+8s","5870")</f>
        <v>5870</v>
      </c>
      <c r="J27" s="193" t="str">
        <f aca="false">HYPERLINK("http://www.maxidom.com.ua/stol-pismenniy-biu-1d1s-kaspian-kaspian.html?search_string=%D1%F2%EE%EB+%EF%E8%F1%FC%EC%E5%ED%ED%FB%E9+BIU+1D1S+%CA%E0%F1%EF%E8%E0%ED+%28Kaspian%29","3141")</f>
        <v>3141</v>
      </c>
      <c r="K27" s="193" t="str">
        <f aca="false">HYPERLINK("http://www.maxidom.com.ua/prihozhaya-nepo-ppk.html?search_string=%CF%F0%E8%F5%EE%E6%E0%FF+%CD%E5%EF%EE+PPK","1971")</f>
        <v>1971</v>
      </c>
      <c r="L27" s="192" t="str">
        <f aca="false">HYPERLINK("http://www.maxidom.com.ua/stenka-alyaska.html?search_string=%D1%F2%E5%ED%EA%E0+%C0%EB%FF%F1%EA%E0","7644")</f>
        <v>7644</v>
      </c>
      <c r="M27" s="179" t="str">
        <f aca="false">HYPERLINK("http://www.maxidom.com.ua/stenka-kvatro.html?search_string=%D1%F2%E5%ED%EA%E0+%CA%E2%E0%F2%F0%EE","3007")</f>
        <v>3007</v>
      </c>
      <c r="N27" s="179" t="str">
        <f aca="false">HYPERLINK("http://www.maxidom.com.ua/komod-kom-1w2d2s-vusher.html?search_string=%CA%EE%EC%EE%E4+KOM+1W2D2S+%C2%F3%F8%E5%F0","4258")</f>
        <v>4258</v>
      </c>
    </row>
    <row r="28" customFormat="false" ht="42" hidden="false" customHeight="true" outlineLevel="0" collapsed="false">
      <c r="A28" s="106" t="s">
        <v>27</v>
      </c>
      <c r="B28" s="165" t="s">
        <v>145</v>
      </c>
      <c r="C28" s="178" t="str">
        <f aca="false">HYPERLINK("https://mebel-online.com.ua/tymba-rtv2d2s-4-15-azteca?filter_name=azteca","3343")</f>
        <v>3343</v>
      </c>
      <c r="D28" s="192" t="str">
        <f aca="false">HYPERLINK("https://mebel-online.com.ua/komod-kom4s-8-11-azteca?filter_name=azteca","3924")</f>
        <v>3924</v>
      </c>
      <c r="E28" s="182" t="str">
        <f aca="false">HYPERLINK("https://mebel-online.com.ua/p5228-komod_jkom_4s_80_indiana_brw?filter_name=%D0%B8%D0%BD%D0%B4%D0%B8%D0%B0%D0%BD%D0%B0","3562")</f>
        <v>3562</v>
      </c>
      <c r="F28" s="192" t="str">
        <f aca="false">HYPERLINK("https://mebel-online.com.ua/p5223-stol_pismenniy_jbiu_2d2s_140_indiana_brw?filter_name=%D0%B8%D0%BD%D0%B4%D0%B8%D0%B0%D0%BD%D0%B0","5158")</f>
        <v>5158</v>
      </c>
      <c r="G28" s="192" t="str">
        <f aca="false">HYPERLINK("https://mebel-online.com.ua/komod-kom4s-90-july?filter_name=july","2098")</f>
        <v>2098</v>
      </c>
      <c r="H28" s="192" t="str">
        <f aca="false">HYPERLINK("https://mebel-online.com.ua/shkaf-szf3d2s-porto?filter_name=SZF3D2S","5377")</f>
        <v>5377</v>
      </c>
      <c r="I28" s="192" t="str">
        <f aca="false">HYPERLINK("https://mebel-online.com.ua/p1728-gerbor_sonata_komod_8-s?filter_name=%D1%81%D0%BE%D0%BD%D0%B0%D1%82%D0%B0","5683")</f>
        <v>5683</v>
      </c>
      <c r="J28" s="194"/>
      <c r="K28" s="182" t="str">
        <f aca="false">HYPERLINK("https://mebel-online.com.ua/prihozhaya-gerbor-ppk-nepo?filter_name=%D0%BD%D0%B5%D0%BF%D0%BE","1963")</f>
        <v>1963</v>
      </c>
      <c r="L28" s="195" t="str">
        <f aca="false">HYPERLINK("https://mebel-online.com.ua/stenka-aliaska-brw%20?filter_name=%D0%B0%D0%BB%D1%8F%D1%81%D0%BA%D0%B0","7644")</f>
        <v>7644</v>
      </c>
      <c r="M28" s="179" t="str">
        <f aca="false">HYPERLINK("https://mebel-online.com.ua/stenka-kvatro-gerbor?filter_name=%D0%BA%D0%B2%D0%B0%D1%82%D1%80%D0%BE","3007")</f>
        <v>3007</v>
      </c>
      <c r="N28" s="182" t="str">
        <f aca="false">HYPERLINK("https://mebel-online.com.ua/komod-kom-1w2d2s-vusher-gerbor?filter_name=%D0%B2%D1%83%D1%88%D0%B5%D1%80","4195")</f>
        <v>4195</v>
      </c>
    </row>
    <row r="29" customFormat="false" ht="15.75" hidden="false" customHeight="true" outlineLevel="0" collapsed="false">
      <c r="A29" s="105" t="s">
        <v>147</v>
      </c>
      <c r="B29" s="170" t="s">
        <v>148</v>
      </c>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s://www.brw-kiev.com.ua/"/>
    <hyperlink ref="A19" r:id="rId22" display="https://brw.kiev.ua/"/>
    <hyperlink ref="A20" r:id="rId23" display="http://brw.com.ua/"/>
    <hyperlink ref="A21" r:id="rId24" display="https://mebelstyle.net/"/>
    <hyperlink ref="A22" r:id="rId25" display="https://lvivmebli.com/"/>
    <hyperlink ref="A23" r:id="rId26" display="http://centrmebliv.com.ua/"/>
    <hyperlink ref="A24" r:id="rId27" display="https://letromebel.com.ua/"/>
    <hyperlink ref="A25" r:id="rId28" display="https://shurup.net.ua/"/>
    <hyperlink ref="A26" r:id="rId29" display="https://www.taburetka.ua"/>
    <hyperlink ref="A27" r:id="rId30" display="http://www.maxidom.com.ua/"/>
    <hyperlink ref="A28" r:id="rId31" display="https://mebel-online.com.ua"/>
    <hyperlink ref="A29" r:id="rId32"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5" t="s">
        <v>125</v>
      </c>
      <c r="B2" s="146"/>
      <c r="C2" s="172" t="n">
        <v>3686</v>
      </c>
      <c r="D2" s="172" t="n">
        <v>4233</v>
      </c>
      <c r="E2" s="172" t="n">
        <v>3755</v>
      </c>
      <c r="F2" s="172" t="n">
        <v>5323</v>
      </c>
      <c r="G2" s="172" t="n">
        <v>2225</v>
      </c>
      <c r="H2" s="172" t="n">
        <v>5666</v>
      </c>
      <c r="I2" s="172" t="n">
        <v>5870</v>
      </c>
      <c r="J2" s="172" t="n">
        <v>3141</v>
      </c>
      <c r="K2" s="173" t="n">
        <v>1971</v>
      </c>
      <c r="L2" s="173" t="n">
        <v>7943</v>
      </c>
      <c r="M2" s="173" t="n">
        <v>3002</v>
      </c>
      <c r="N2" s="173" t="n">
        <v>4258</v>
      </c>
    </row>
    <row r="3" customFormat="false" ht="48" hidden="false" customHeight="true" outlineLevel="0" collapsed="false">
      <c r="A3" s="78" t="s">
        <v>28</v>
      </c>
      <c r="B3" s="147" t="s">
        <v>127</v>
      </c>
      <c r="C3" s="174" t="str">
        <f aca="false">HYPERLINK("https://brwmania.com.ua/gostinaja/modulnye-gostinye/sistema-azteka/tumba-pod-tv-acteka-rtv2d2s415/","3686")</f>
        <v>3686</v>
      </c>
      <c r="D3" s="174" t="str">
        <f aca="false">HYPERLINK("https://brwmania.com.ua/gostinaja/modulnye-gostinye/sistema-azteka/komod-acteka-kom4s811/","4233")</f>
        <v>4233</v>
      </c>
      <c r="E3" s="174" t="str">
        <f aca="false">HYPERLINK("https://brwmania.com.ua/gostinaja/modulnye-gostinye/sistema-indiana-indiana---dub-shuter/indiana-dub-shuter-laminat-j-011-komod-jkom-4s-80/","3755")</f>
        <v>3755</v>
      </c>
      <c r="F3" s="174" t="str">
        <f aca="false">HYPERLINK("https://brwmania.com.ua/gostinaja/modulnye-gostinye/sistema-indiana-indiana---dub-shuter/indiana-dub-shuter-laminat-j-007-stol-pismennyy-jbiu-2d2s-140/","5323")</f>
        <v>5323</v>
      </c>
      <c r="G3" s="174" t="str">
        <f aca="false">HYPERLINK("https://brwmania.com.ua/gostinaja/modulnye-gostinye/sistema_dzhuli/komod-dzhuli-july-kom4s-90/","2225")</f>
        <v>2225</v>
      </c>
      <c r="H3" s="174" t="str">
        <f aca="false">HYPERLINK("https://brwmania.com.ua/gostinaja/modulnye-gostinye/tovar-novij/shkaf-platjanoj-porto-szf3d2s/","5666")</f>
        <v>5666</v>
      </c>
      <c r="I3" s="174" t="str">
        <f aca="false">HYPERLINK("https://brwmania.com.ua/gostinaja/modulnye-gostinye/sistema-sonata-sonata/s-015-sonata-komod-8-s/","5870")</f>
        <v>5870</v>
      </c>
      <c r="J3" s="174" t="str">
        <f aca="false">HYPERLINK("https://brwmania.com.ua/gostinaja/modulnye-gostinye/sistema_kaspian_dub_sonoma/kaspian-dub-sonoma-jm-007-stol-pismennyy-biu-1d1s/","3141")</f>
        <v>3141</v>
      </c>
      <c r="K3" s="174" t="str">
        <f aca="false">HYPERLINK("https://brwmania.com.ua/gostinaja/modulnye-gostinye/sistema_nepo/gerbor-gerbor-prihozhaya-nepo-nepo-ppk-dub-sonoma/","1971")</f>
        <v>1971</v>
      </c>
      <c r="L3" s="174" t="str">
        <f aca="false">HYPERLINK("https://brwmania.com.ua/gostinaja/komplekty-gostinyh/aljaska-alaska-gostinaja/","7943")</f>
        <v>7943</v>
      </c>
      <c r="M3" s="174" t="str">
        <f aca="false">HYPERLINK("https://brwmania.com.ua/gostinaja/komplekty-gostinyh/stinka-kvatro-venge-magia/","3002")</f>
        <v>3002</v>
      </c>
      <c r="N3" s="174" t="str">
        <f aca="false">HYPERLINK("https://brwmania.com.ua/gostinaja/modulnye-gostinye/sistema-vusher-vusher/010-vusher-komod-kom-1w2d2s/","4258")</f>
        <v>4258</v>
      </c>
    </row>
    <row r="4" customFormat="false" ht="60.75" hidden="false" customHeight="true" outlineLevel="0" collapsed="false">
      <c r="A4" s="78" t="s">
        <v>29</v>
      </c>
      <c r="B4" s="147" t="s">
        <v>128</v>
      </c>
      <c r="C4" s="120" t="str">
        <f aca="false">HYPERLINK("http://redlight.com.ua/tv-stands/item-tumba-tv-rtv2d2s-4-15-atsteka","3686")</f>
        <v>3686</v>
      </c>
      <c r="D4" s="175" t="str">
        <f aca="false">HYPERLINK("http://redlight.com.ua/komod/item-komod-kom4s-8-11-atsteka","4233")</f>
        <v>4233</v>
      </c>
      <c r="E4" s="175" t="str">
        <f aca="false">HYPERLINK("http://redlight.com.ua/komod/item-komod-jkom-4s-80-indiana","3755")</f>
        <v>3755</v>
      </c>
      <c r="F4" s="175" t="str">
        <f aca="false">HYPERLINK("http://redlight.com.ua/stoly/item-stol-pismenniy-jbiu-2d2s-indiana","5323")</f>
        <v>5323</v>
      </c>
      <c r="G4" s="175" t="str">
        <f aca="false">HYPERLINK("http://redlight.com.ua/komod/item-komod-kom4s-90-dzhuli","2225")</f>
        <v>2225</v>
      </c>
      <c r="H4" s="178" t="str">
        <f aca="false">HYPERLINK("http://redlight.com.ua/raspashnyye-shkafy/item-porto-shkaf-szf3d2s","5377")</f>
        <v>5377</v>
      </c>
      <c r="I4" s="178" t="str">
        <f aca="false">HYPERLINK("http://redlight.com.ua/komod/item-komod-8s-sonata-","5683")</f>
        <v>5683</v>
      </c>
      <c r="J4" s="176" t="str">
        <f aca="false">HYPERLINK("http://redlight.com.ua/stoly/item-kaspian-pismenniy-stol-biu-1d1s-120-kaspian","3141")</f>
        <v>3141</v>
      </c>
      <c r="K4" s="178" t="str">
        <f aca="false">HYPERLINK("http://redlight.com.ua/prihozhie/item-nepo-prihozhaya-rrk-","1963")</f>
        <v>1963</v>
      </c>
      <c r="L4" s="177" t="str">
        <f aca="false">HYPERLINK("http://redlight.com.ua/stenki/item-stenka-alyaska","7644")</f>
        <v>7644</v>
      </c>
      <c r="M4" s="175" t="str">
        <f aca="false">HYPERLINK("http://redlight.com.ua/stenki/item-stenka-kvatro","3002")</f>
        <v>3002</v>
      </c>
      <c r="N4" s="178" t="str">
        <f aca="false">HYPERLINK("https://redlight.com.ua/komod/item-tumba-kom-1w2d2s-9-15-vusher","4195")</f>
        <v>4195</v>
      </c>
    </row>
    <row r="5" customFormat="false" ht="63" hidden="false" customHeight="true" outlineLevel="0" collapsed="false">
      <c r="A5" s="78" t="s">
        <v>30</v>
      </c>
      <c r="B5" s="171" t="s">
        <v>129</v>
      </c>
      <c r="C5" s="175" t="str">
        <f aca="false">HYPERLINK("https://mebli-bristol.com.ua/acteka-tumba-rtv-2d2s-4-15-brv-ukraina.html","3686")</f>
        <v>3686</v>
      </c>
      <c r="D5" s="175" t="str">
        <f aca="false">HYPERLINK("https://mebli-bristol.com.ua/acteka-komod-kom-4s-8-11-brv-ukraina.html","4233")</f>
        <v>4233</v>
      </c>
      <c r="E5" s="175" t="str">
        <f aca="false">HYPERLINK("https://mebli-bristol.com.ua/indiana-komod-jkom-4s-80-sosna-kan-jon-brv-ukraina.html","3755")</f>
        <v>3755</v>
      </c>
      <c r="F5" s="175" t="str">
        <f aca="false">HYPERLINK("https://mebli-bristol.com.ua/indiana-stil-pis-movij-jbiu-2d2s-140-sosna-kan-jon-brv-ukraina.html","5323")</f>
        <v>5323</v>
      </c>
      <c r="G5" s="175" t="str">
        <f aca="false">HYPERLINK("https://mebli-bristol.com.ua/dzhuli-komod-kom-4s-90-brv-ukraina.html","2225")</f>
        <v>2225</v>
      </c>
      <c r="H5" s="175" t="str">
        <f aca="false">HYPERLINK("https://mebli-bristol.com.ua/porto-shafa-szf-3d2s-brv-ukraina.html","5666")</f>
        <v>5666</v>
      </c>
      <c r="I5" s="175" t="str">
        <f aca="false">HYPERLINK("https://mebli-bristol.com.ua/sonata-komod-8s-gerbor.html","5870")</f>
        <v>5870</v>
      </c>
      <c r="J5" s="175" t="str">
        <f aca="false">HYPERLINK("https://mebli-bristol.com.ua/kaspian-stil-pis-movij-biu-1d1s-120-dub-sonoma-brv-ukraina.html","3141")</f>
        <v>3141</v>
      </c>
      <c r="K5" s="175" t="str">
        <f aca="false">HYPERLINK("https://mebli-bristol.com.ua/nepo-peredpokij-ppk-gerbor-9728.html","1971")</f>
        <v>1971</v>
      </c>
      <c r="L5" s="178" t="str">
        <f aca="false">HYPERLINK("https://mebli-bristol.com.ua/aljaska-brv-ukraina.html","7644")</f>
        <v>7644</v>
      </c>
      <c r="M5" s="175" t="str">
        <f aca="false">HYPERLINK("https://mebli-bristol.com.ua/kvatro-gerbor.html","3007")</f>
        <v>3007</v>
      </c>
      <c r="N5" s="175" t="str">
        <f aca="false">HYPERLINK("https://mebli-bristol.com.ua/vusher-komod-kom-1w-2d2s-gerbor.html","4258")</f>
        <v>4258</v>
      </c>
    </row>
    <row r="6" customFormat="false" ht="60" hidden="false" customHeight="true" outlineLevel="0" collapsed="false">
      <c r="A6" s="78" t="s">
        <v>17</v>
      </c>
      <c r="B6" s="149" t="s">
        <v>130</v>
      </c>
      <c r="C6" s="179" t="str">
        <f aca="false">HYPERLINK("https://gerbor.kiev.ua/mebelnye-sistemy/mebel-brw-azteca/azteca-tumba-tv-rtv2d2s-brv/","3686")</f>
        <v>3686</v>
      </c>
      <c r="D6" s="175" t="str">
        <f aca="false">HYPERLINK("https://gerbor.kiev.ua/mebelnye-sistemy/mebel-brw-azteca/azteca-komod-kom4s-brv/","4233")</f>
        <v>4233</v>
      </c>
      <c r="E6" s="175" t="str">
        <f aca="false">HYPERLINK("https://gerbor.kiev.ua/mebelnye-sistemy/mebel-indiana-brw/indiana-komod-jkom4s80-brv/","3755")</f>
        <v>3755</v>
      </c>
      <c r="F6" s="175" t="str">
        <f aca="false">HYPERLINK("https://gerbor.kiev.ua/mebelnye-sistemy/mebel-indiana-brw/indiana-stol-pismennyy-jbiu2d2s140-brv/","5323")</f>
        <v>5323</v>
      </c>
      <c r="G6" s="175" t="str">
        <f aca="false">HYPERLINK("https://gerbor.kiev.ua/mebelnye-sistemy/mebel-july-brw/july-komod-kom4s90-brv/","2225")</f>
        <v>2225</v>
      </c>
      <c r="H6" s="175" t="str">
        <f aca="false">HYPERLINK("https://gerbor.kiev.ua/mebelnye-sistemy/mebel-porto-brv/porto-shkaf-szf3d2s-brv/","5666")</f>
        <v>5666</v>
      </c>
      <c r="I6" s="175" t="str">
        <f aca="false">HYPERLINK("https://gerbor.kiev.ua/mebelnye-sistemy/mebel-sonata-gerbor/sonata-komod-8s-gerbor/","5870")</f>
        <v>5870</v>
      </c>
      <c r="J6" s="175" t="str">
        <f aca="false">HYPERLINK("https://gerbor.kiev.ua/mebelnye-sistemy/mebel-kaspian-sonoma-brw/kaspian-sonoma-stol-pismennyy-biu1d1s-brv/","3141")</f>
        <v>3141</v>
      </c>
      <c r="K6" s="175" t="str">
        <f aca="false">HYPERLINK("https://gerbor.kiev.ua/mebelnye-sistemy/mebel-nepo-gerbor/nepo-prikhozhaya-ppk-gerbor/","1971")</f>
        <v>1971</v>
      </c>
      <c r="L6" s="175" t="str">
        <f aca="false">HYPERLINK("https://gerbor.kiev.ua/mebelnye-sistemy/mebel-alaska-brw/alaska-gostinaya-brw/","7943")</f>
        <v>7943</v>
      </c>
      <c r="M6" s="84"/>
      <c r="N6" s="175" t="str">
        <f aca="false">HYPERLINK("https://gerbor.kiev.ua/mebelnye-sistemy/mebel-vusher-gerbor/vusher-komod-kom1w2d2s-gerbor/","4258")</f>
        <v>4258</v>
      </c>
    </row>
    <row r="7" customFormat="false" ht="63" hidden="false" customHeight="true" outlineLevel="0" collapsed="false">
      <c r="A7" s="78" t="s">
        <v>18</v>
      </c>
      <c r="B7" s="150" t="s">
        <v>131</v>
      </c>
      <c r="C7" s="175" t="str">
        <f aca="false">HYPERLINK("http://www.brwland.com.ua/product/azteca-tumba-tv-rtv2d2s415-brv-ukraina/","3686")</f>
        <v>3686</v>
      </c>
      <c r="D7" s="175" t="str">
        <f aca="false">HYPERLINK("http://www.brwland.com.ua/product/azteca-komod-kom4s811-brv-ukraina/","4233")</f>
        <v>4233</v>
      </c>
      <c r="E7" s="175" t="str">
        <f aca="false">HYPERLINK("http://www.brwland.com.ua/product/mebel-indiana-komod-jkom-4s-80-gerbor/","3755")</f>
        <v>3755</v>
      </c>
      <c r="F7" s="175" t="str">
        <f aca="false">HYPERLINK("http://www.brwland.com.ua/product/mebel-indiana-stol-pismennyj-jbiu-2d2s-140-gerbor/","5323")</f>
        <v>5323</v>
      </c>
      <c r="G7" s="175" t="str">
        <f aca="false">HYPERLINK("http://www.brwland.com.ua/product/dzhuli-komod-kom4s90-brv-ukraina/","2225")</f>
        <v>2225</v>
      </c>
      <c r="H7" s="175" t="str">
        <f aca="false">HYPERLINK("http://www.brwland.com.ua/product/porto-shkaf-szf3d2s-brv-ukraina/","5666")</f>
        <v>5666</v>
      </c>
      <c r="I7" s="175" t="str">
        <f aca="false">HYPERLINK("http://www.brwland.com.ua/product/komod-8s-sonata-gerbor/","5870")</f>
        <v>5870</v>
      </c>
      <c r="J7" s="175" t="str">
        <f aca="false">HYPERLINK("http://www.brwland.com.ua/product/kaspian-sonoma-stol-pismennyj-biu1d1s-brv-ukraina/","3141")</f>
        <v>3141</v>
      </c>
      <c r="K7" s="175" t="str">
        <f aca="false">HYPERLINK("http://www.brwland.com.ua/product/nepo-prihozhaja-ppk-gerbor/","1971")</f>
        <v>1971</v>
      </c>
      <c r="L7" s="175" t="str">
        <f aca="false">HYPERLINK("http://www.brwland.com.ua/product/gostinaja-aljaska-brv-ukraina/","7943")</f>
        <v>7943</v>
      </c>
      <c r="M7" s="175" t="str">
        <f aca="false">HYPERLINK("http://www.brwland.com.ua/product/komplekt-quatro/","3151")</f>
        <v>3151</v>
      </c>
      <c r="N7" s="175" t="str">
        <f aca="false">HYPERLINK("http://www.brwland.com.ua/product/vusher-bufet-kom1w2d2s915-gerbor/","4258")</f>
        <v>4258</v>
      </c>
    </row>
    <row r="8" customFormat="false" ht="60" hidden="false" customHeight="true" outlineLevel="0" collapsed="false">
      <c r="A8" s="78" t="s">
        <v>31</v>
      </c>
      <c r="B8" s="147" t="s">
        <v>128</v>
      </c>
      <c r="C8" s="178" t="str">
        <f aca="false">HYPERLINK("http://gerbor.dp.ua/index.php?route=product/product&amp;product_id=3138","3343")</f>
        <v>3343</v>
      </c>
      <c r="D8" s="178" t="str">
        <f aca="false">HYPERLINK("http://gerbor.dp.ua/index.php?route=product/product&amp;product_id=3131","3924")</f>
        <v>3924</v>
      </c>
      <c r="E8" s="178" t="str">
        <f aca="false">HYPERLINK("http://gerbor.dp.ua/index.php?route=product/product&amp;product_id=1730","3562")</f>
        <v>3562</v>
      </c>
      <c r="F8" s="178" t="str">
        <f aca="false">HYPERLINK("http://gerbor.dp.ua/index.php?route=product/product&amp;product_id=1725","5158")</f>
        <v>5158</v>
      </c>
      <c r="G8" s="178" t="str">
        <f aca="false">HYPERLINK("http://gerbor.dp.ua/index.php?route=product/product&amp;product_id=1755","2098")</f>
        <v>2098</v>
      </c>
      <c r="H8" s="178" t="str">
        <f aca="false">HYPERLINK("http://gerbor.dp.ua/index.php?route=product/product&amp;product_id=3905","5377")</f>
        <v>5377</v>
      </c>
      <c r="I8" s="178" t="str">
        <f aca="false">HYPERLINK("http://gerbor.dp.ua/index.php?route=product/product&amp;product_id=2156","5683")</f>
        <v>5683</v>
      </c>
      <c r="J8" s="178" t="str">
        <f aca="false">HYPERLINK("http://gerbor.dp.ua/index.php?route=product/product&amp;product_id=2819","3002")</f>
        <v>3002</v>
      </c>
      <c r="K8" s="178" t="str">
        <f aca="false">HYPERLINK("http://gerbor.dp.ua/index.php?route=product/product&amp;product_id=3473&amp;search=%D0%BD%D0%B5%D0%BF%D0%BE","1963")</f>
        <v>1963</v>
      </c>
      <c r="L8" s="178" t="str">
        <f aca="false">HYPERLINK("http://gerbor.dp.ua/index.php?route=product/product&amp;product_id=3031","7644")</f>
        <v>7644</v>
      </c>
      <c r="M8" s="175" t="str">
        <f aca="false">HYPERLINK("http://gerbor.dp.ua/index.php?route=product/product&amp;product_id=2040","3007")</f>
        <v>3007</v>
      </c>
      <c r="N8" s="178" t="str">
        <f aca="false">HYPERLINK("http://gerbor.dp.ua/index.php?route=product/product&amp;product_id=2775","4195")</f>
        <v>4195</v>
      </c>
    </row>
    <row r="9" customFormat="false" ht="56.25" hidden="false" customHeight="true" outlineLevel="0" collapsed="false">
      <c r="A9" s="105" t="s">
        <v>32</v>
      </c>
      <c r="B9" s="151" t="s">
        <v>132</v>
      </c>
      <c r="C9" s="180" t="str">
        <f aca="false">HYPERLINK("https://www.dybok.com.ua/ru/product/detail/35816","3692")</f>
        <v>3692</v>
      </c>
      <c r="D9" s="179" t="str">
        <f aca="false">HYPERLINK("https://www.dybok.com.ua/ru/product/detail/35870","4239")</f>
        <v>4239</v>
      </c>
      <c r="E9" s="181" t="str">
        <f aca="false">HYPERLINK("https://www.dybok.com.ua/ru/product/detail/55516","3532")</f>
        <v>3532</v>
      </c>
      <c r="F9" s="179" t="str">
        <f aca="false">HYPERLINK("https://www.dybok.com.ua/ru/product/detail/4291","5334")</f>
        <v>5334</v>
      </c>
      <c r="G9" s="179" t="str">
        <f aca="false">HYPERLINK("https://www.dybok.com.ua/ru/product/detail/9798","2226")</f>
        <v>2226</v>
      </c>
      <c r="H9" s="182" t="str">
        <f aca="false">HYPERLINK("https://www.dybok.com.ua/ru/product/detail/35840","5658")</f>
        <v>5658</v>
      </c>
      <c r="I9" s="179" t="str">
        <f aca="false">HYPERLINK("https://www.dybok.com.ua/ru/product/detail/261","5878")</f>
        <v>5878</v>
      </c>
      <c r="J9" s="181" t="str">
        <f aca="false">HYPERLINK("https://www.dybok.com.ua/","3006")</f>
        <v>3006</v>
      </c>
      <c r="K9" s="183" t="str">
        <f aca="false">HYPERLINK("https://www.dybok.com.ua/ru/product/detail/18085","1787")</f>
        <v>1787</v>
      </c>
      <c r="L9" s="179" t="str">
        <f aca="false">HYPERLINK("https://www.dybok.com.ua/ru/product/detail/50410","7949")</f>
        <v>7949</v>
      </c>
      <c r="M9" s="179" t="str">
        <f aca="false">HYPERLINK("https://www.dybok.com.ua/ru/product/detail/6077","3003")</f>
        <v>3003</v>
      </c>
      <c r="N9" s="179" t="str">
        <f aca="false">HYPERLINK("https://www.dybok.com.ua/ru/product/detail/7086","4263")</f>
        <v>4263</v>
      </c>
    </row>
    <row r="10" customFormat="false" ht="61.5" hidden="false" customHeight="true" outlineLevel="0" collapsed="false">
      <c r="A10" s="78" t="s">
        <v>19</v>
      </c>
      <c r="B10" s="154" t="s">
        <v>133</v>
      </c>
      <c r="C10" s="185" t="str">
        <f aca="false">HYPERLINK("https://vashamebel.in.ua/tumba-tv-brv-atsteka-rtv2d2s415/p12722","3343")</f>
        <v>3343</v>
      </c>
      <c r="D10" s="185" t="str">
        <f aca="false">HYPERLINK("https://vashamebel.in.ua/komod-brv-atsteka-kom4s811/p12731","3924")</f>
        <v>3924</v>
      </c>
      <c r="E10" s="185" t="str">
        <f aca="false">HYPERLINK("https://vashamebel.in.ua/komod-brv-indiana-jkom4s80/p921","3562")</f>
        <v>3562</v>
      </c>
      <c r="F10" s="185" t="str">
        <f aca="false">HYPERLINK("https://vashamebel.in.ua/stol-pismennyij-brv-indiana-jbiu-2d2s/p916","5158")</f>
        <v>5158</v>
      </c>
      <c r="G10" s="178" t="str">
        <f aca="false">HYPERLINK("https://vashamebel.in.ua/komod-brv-dzhuli-kom4s90/p7958","2098")</f>
        <v>2098</v>
      </c>
      <c r="H10" s="178" t="str">
        <f aca="false">HYPERLINK("https://vashamebel.in.ua/shkaf-brv-porto-szf3d2s/p12560","5377")</f>
        <v>5377</v>
      </c>
      <c r="I10" s="185" t="str">
        <f aca="false">HYPERLINK("https://vashamebel.in.ua/komod-gerbor-sonata-8s/p845","5683")</f>
        <v>5683</v>
      </c>
      <c r="J10" s="184" t="str">
        <f aca="false">HYPERLINK("https://vashamebel.in.ua/stol-pismennyij-kaspian-ii-biu1d1s-120/p488","3002")</f>
        <v>3002</v>
      </c>
      <c r="K10" s="185" t="str">
        <f aca="false">HYPERLINK("https://vashamebel.in.ua/prihozhaya-gerbor-nepo-ppk/p12249","1963")</f>
        <v>1963</v>
      </c>
      <c r="L10" s="185" t="str">
        <f aca="false">HYPERLINK("https://vashamebel.in.ua/gostinaya-brv-alyaska/p4420","7644")</f>
        <v>7644</v>
      </c>
      <c r="M10" s="176" t="str">
        <f aca="false">HYPERLINK("https://vashamebel.in.ua/stenka-gerbor-kvatro/p2359","3007")</f>
        <v>3007</v>
      </c>
      <c r="N10" s="178" t="str">
        <f aca="false">HYPERLINK("https://vashamebel.in.ua/komod-gerbor-vusher-kom1w2d2s/p4762","4195")</f>
        <v>4195</v>
      </c>
    </row>
    <row r="11" customFormat="false" ht="70.5" hidden="false" customHeight="true" outlineLevel="0" collapsed="false">
      <c r="A11" s="78" t="s">
        <v>20</v>
      </c>
      <c r="B11" s="154" t="s">
        <v>134</v>
      </c>
      <c r="C11" s="178" t="str">
        <f aca="false">HYPERLINK("https://mebel-mebel.com.ua/eshop/dom-tumby-dlia-tv/tumba_rtv2d2s_4_15_atsteka-id461.html","3317 до 25.05")</f>
        <v>3317 до 25.05</v>
      </c>
      <c r="D11" s="178" t="str">
        <f aca="false">HYPERLINK("https://mebel-mebel.com.ua/eshop/dom-komody/komod_kom4s_8_11_atsteka-id496.html","3810 до 25.05")</f>
        <v>3810 до 25.05</v>
      </c>
      <c r="E11" s="178" t="str">
        <f aca="false">HYPERLINK("https://mebel-mebel.com.ua/eshop/dom-komody/komod_jkom_4s80_indiana-id663.html","3192 до 25.05")</f>
        <v>3192 до 25.05</v>
      </c>
      <c r="F11" s="178" t="str">
        <f aca="false">HYPERLINK("https://mebel-mebel.com.ua/eshop/dom-stoly-kompiuternye/stol_pismenniy_jbiu_2d2s_140_indiana-id659.html","4525 до 25.05")</f>
        <v>4525 до 25.05</v>
      </c>
      <c r="G11" s="178" t="str">
        <f aca="false">HYPERLINK("https://mebel-mebel.com.ua/eshop/dom-komody/komod_kom_4s_90_dzhuli-id569.html","2002 до 25.05")</f>
        <v>2002 до 25.05</v>
      </c>
      <c r="H11" s="185" t="str">
        <f aca="false">HYPERLINK("https://mebel-mebel.com.ua/eshop/detskie-shkafy/shkaf_szf3d2s_porto-id35136.html","4570 до 25.05")</f>
        <v>4570 до 25.05</v>
      </c>
      <c r="I11" s="178" t="str">
        <f aca="false">HYPERLINK("https://mebel-mebel.com.ua/eshop/dom-komody/komod_8s_s_015_sonata-id1567.html","4989 до 25.05")</f>
        <v>4989 до 25.05</v>
      </c>
      <c r="J11" s="178" t="str">
        <f aca="false">HYPERLINK("https://mebel-mebel.com.ua/eshop/dom-stoly-kompiuternye/stol_pismenniy_biu_1d1s_120_kaspian-id797.html","2827 до 25.05")</f>
        <v>2827 до 25.05</v>
      </c>
      <c r="K11" s="178" t="str">
        <f aca="false">HYPERLINK("https://mebel-mebel.com.ua/eshop/dom-prihozhie/prihozhaya_ppk_nepo-id28028.html","1774 до 25.05")</f>
        <v>1774 до 25.05</v>
      </c>
      <c r="L11" s="185" t="str">
        <f aca="false">HYPERLINK("https://mebel-mebel.com.ua/eshop/dom-stenki-dlia-gostinoi/gostinaya_alyaska-id50834.html","7043")</f>
        <v>7043</v>
      </c>
      <c r="M11" s="175" t="str">
        <f aca="false">HYPERLINK("https://mebel-mebel.com.ua/eshop/dom-stenki-dlia-gostinoi/gostinaya_kvatro-id152.html","3002")</f>
        <v>3002</v>
      </c>
      <c r="N11" s="178" t="str">
        <f aca="false">HYPERLINK("https://mebel-mebel.com.ua/eshop/dom-komody/komod_kom_1w2d2s_vusher-id560.html","3619 до 25.05")</f>
        <v>3619 до 25.05</v>
      </c>
    </row>
    <row r="12" customFormat="false" ht="75.75" hidden="false" customHeight="true" outlineLevel="0" collapsed="false">
      <c r="A12" s="78" t="s">
        <v>21</v>
      </c>
      <c r="B12" s="150" t="s">
        <v>135</v>
      </c>
      <c r="C12" s="178" t="str">
        <f aca="false">HYPERLINK("https://abcmebli.com.ua/p14992-tumba_tv_rtv2d2s-4-15_atsteka","3343")</f>
        <v>3343</v>
      </c>
      <c r="D12" s="178" t="str">
        <f aca="false">HYPERLINK("https://abcmebli.com.ua/p15683-atsteka_komod_kom4s-8-11_brv","3924")</f>
        <v>3924</v>
      </c>
      <c r="E12" s="178" t="str">
        <f aca="false">HYPERLINK("https://abcmebli.com.ua/p1896-komod_jkom4s_80_indiana","3562")</f>
        <v>3562</v>
      </c>
      <c r="F12" s="178" t="str">
        <f aca="false">HYPERLINK("https://abcmebli.com.ua/p1892-stol_pismenniy_jbiu2d2s_140_indiana","5158")</f>
        <v>5158</v>
      </c>
      <c r="G12" s="178" t="str">
        <f aca="false">HYPERLINK("https://abcmebli.com.ua/p8553-komod_kom4s-90_july","2098")</f>
        <v>2098</v>
      </c>
      <c r="H12" s="178" t="str">
        <f aca="false">HYPERLINK("https://abcmebli.com.ua/p15039-shkaf_platyanoy_szf3d2s_porto","5377")</f>
        <v>5377</v>
      </c>
      <c r="I12" s="178" t="str">
        <f aca="false">HYPERLINK("https://abcmebli.com.ua/p2225-komod_8-s_sonata","5683")</f>
        <v>5683</v>
      </c>
      <c r="J12" s="178" t="str">
        <f aca="false">HYPERLINK("https://abcmebli.com.ua/p14308-stol_pismenniy_biu_1d1s_120_kaspian","3002")</f>
        <v>3002</v>
      </c>
      <c r="K12" s="185" t="str">
        <f aca="false">HYPERLINK("https://abcmebli.com.ua/p15897-nepo_prihozhaya_ppk_gerbor","1963")</f>
        <v>1963</v>
      </c>
      <c r="L12" s="178" t="str">
        <f aca="false">HYPERLINK("https://abcmebli.com.ua/p15950-gostinaya_alyaska_brv-ukraina","7644")</f>
        <v>7644</v>
      </c>
      <c r="M12" s="175" t="str">
        <f aca="false">HYPERLINK("https://abcmebli.com.ua/p2515-stenka_kvatro_gerbor","3007")</f>
        <v>3007</v>
      </c>
      <c r="N12" s="178" t="str">
        <f aca="false">HYPERLINK("https://abcmebli.com.ua/p4993-komod_kom1w2d2s_9_15_vusher","4195")</f>
        <v>4195</v>
      </c>
    </row>
    <row r="13" customFormat="false" ht="56.25" hidden="false" customHeight="true" outlineLevel="0" collapsed="false">
      <c r="A13" s="78" t="s">
        <v>22</v>
      </c>
      <c r="B13" s="156" t="s">
        <v>136</v>
      </c>
      <c r="C13" s="175" t="str">
        <f aca="false">HYPERLINK("https://www.mebelok.com/tymba-tv-rtv2d2s415-acteka/","3690")</f>
        <v>3690</v>
      </c>
      <c r="D13" s="176" t="str">
        <f aca="false">HYPERLINK("https://www.mebelok.com/komod-kom4s811-acteka/","4240")</f>
        <v>4240</v>
      </c>
      <c r="E13" s="186" t="str">
        <f aca="false">HYPERLINK("https://www.mebelok.com/komod-jkom-4s-80/","3760")</f>
        <v>3760</v>
      </c>
      <c r="F13" s="175" t="str">
        <f aca="false">HYPERLINK("https://www.mebelok.com/stol-pismennyy-jbiu-2d2s-140/","5330")</f>
        <v>5330</v>
      </c>
      <c r="G13" s="176" t="str">
        <f aca="false">HYPERLINK("https://www.mebelok.com/komod-kom-4s-90-juli/","2230")</f>
        <v>2230</v>
      </c>
      <c r="H13" s="176" t="str">
        <f aca="false">HYPERLINK("https://www.mebelok.com/shkaf-szf3d2s-porto/","5670")</f>
        <v>5670</v>
      </c>
      <c r="I13" s="187"/>
      <c r="J13" s="175" t="str">
        <f aca="false">HYPERLINK("https://www.mebelok.com/stol-pismennyy-biu1d1s-120-kaspian/","3150")</f>
        <v>3150</v>
      </c>
      <c r="K13" s="175" t="str">
        <f aca="false">HYPERLINK("https://www.mebelok.com/prihojaya-ppk-nepo/","1980")</f>
        <v>1980</v>
      </c>
      <c r="L13" s="177" t="str">
        <f aca="false">HYPERLINK("https://www.mebelok.com/gostinaya-alyaska/","7655")</f>
        <v>7655</v>
      </c>
      <c r="M13" s="176" t="str">
        <f aca="false">HYPERLINK("https://www.mebelok.com/gostinaya-kvatro","3010")</f>
        <v>3010</v>
      </c>
      <c r="N13" s="176" t="str">
        <f aca="false">HYPERLINK("https://www.mebelok.com/komod-kom-1w2d2s-vusher/","4260")</f>
        <v>4260</v>
      </c>
    </row>
    <row r="14" customFormat="false" ht="48" hidden="false" customHeight="true" outlineLevel="0" collapsed="false">
      <c r="A14" s="78" t="s">
        <v>23</v>
      </c>
      <c r="B14" s="150" t="s">
        <v>137</v>
      </c>
      <c r="C14" s="175" t="str">
        <f aca="false">HYPERLINK("https://maxmebel.com.ua/atsteka_tumba_rtv2d2s","3686")</f>
        <v>3686</v>
      </c>
      <c r="D14" s="175" t="str">
        <f aca="false">HYPERLINK("https://maxmebel.com.ua/atsteka_komod_kom4s-8-11","4233")</f>
        <v>4233</v>
      </c>
      <c r="E14" s="175" t="str">
        <f aca="false">HYPERLINK("https://maxmebel.com.ua/indiana_komod_jkom_4s_80","3755")</f>
        <v>3755</v>
      </c>
      <c r="F14" s="175" t="str">
        <f aca="false">HYPERLINK("https://maxmebel.com.ua/indiana_pismenniy_stol_jbiu_2d2s","5323")</f>
        <v>5323</v>
      </c>
      <c r="G14" s="175" t="str">
        <f aca="false">HYPERLINK("https://maxmebel.com.ua/dzhuli_komod_kom4s-90","2225")</f>
        <v>2225</v>
      </c>
      <c r="H14" s="175" t="str">
        <f aca="false">HYPERLINK("https://maxmebel.com.ua/porto_shkaf_platyanoy_szf3d2s","5666")</f>
        <v>5666</v>
      </c>
      <c r="I14" s="175" t="str">
        <f aca="false">HYPERLINK("https://maxmebel.com.ua/sonata_komod_8-s","5870")</f>
        <v>5870</v>
      </c>
      <c r="J14" s="175" t="str">
        <f aca="false">HYPERLINK("https://maxmebel.com.ua/kaspian_stol_pismenniy_biu_1d1s","3141")</f>
        <v>3141</v>
      </c>
      <c r="K14" s="175" t="str">
        <f aca="false">HYPERLINK("https://maxmebel.com.ua/nepo_prihozhaya_rrk","1971")</f>
        <v>1971</v>
      </c>
      <c r="L14" s="178" t="str">
        <f aca="false">HYPERLINK("https://maxmebel.com.ua/stenka_alyaska","7645")</f>
        <v>7645</v>
      </c>
      <c r="M14" s="176" t="str">
        <f aca="false">HYPERLINK("https://maxmebel.com.ua/stenka_kvatro","3002")</f>
        <v>3002</v>
      </c>
      <c r="N14" s="175" t="str">
        <f aca="false">HYPERLINK("https://maxmebel.com.ua/vusher_komod_kom_1w2d2s","4196")</f>
        <v>4196</v>
      </c>
    </row>
    <row r="15" customFormat="false" ht="39" hidden="false" customHeight="true" outlineLevel="0" collapsed="false">
      <c r="A15" s="78" t="s">
        <v>24</v>
      </c>
      <c r="B15" s="147" t="s">
        <v>128</v>
      </c>
      <c r="C15" s="178" t="str">
        <f aca="false">HYPERLINK("https://moyamebel.com.ua/ua/products/tumba-rtv-atsteka","3343")</f>
        <v>3343</v>
      </c>
      <c r="D15" s="178" t="str">
        <f aca="false">HYPERLINK("https://moyamebel.com.ua/ua/products/komod-atsteka","3924")</f>
        <v>3924</v>
      </c>
      <c r="E15" s="178" t="str">
        <f aca="false">HYPERLINK("https://moyamebel.com.ua/ua/products/komod-4s-80-indiana","3562")</f>
        <v>3562</v>
      </c>
      <c r="F15" s="178" t="str">
        <f aca="false">HYPERLINK("https://moyamebel.com.ua/ua/products/stol-pismennyj-2d2s-indiana","5158")</f>
        <v>5158</v>
      </c>
      <c r="G15" s="178" t="str">
        <f aca="false">HYPERLINK("https://moyamebel.com.ua/ua/products/komod-dzhuli-90","2098")</f>
        <v>2098</v>
      </c>
      <c r="H15" s="178" t="str">
        <f aca="false">HYPERLINK("https://moyamebel.com.ua/ua/products/shkaf-3d2sporto","5377")</f>
        <v>5377</v>
      </c>
      <c r="I15" s="187"/>
      <c r="J15" s="178" t="str">
        <f aca="false">HYPERLINK("https://moyamebel.com.ua/ua/products/stol-pismennyj-120-kaspian","3002")</f>
        <v>3002</v>
      </c>
      <c r="K15" s="184" t="str">
        <f aca="false">HYPERLINK("https://moyamebel.com.ua/ua/products/prihozhaya-nepo","1963")</f>
        <v>1963</v>
      </c>
      <c r="L15" s="178"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138</v>
      </c>
      <c r="C16" s="175" t="str">
        <f aca="false">HYPERLINK("https://mebel-soyuz.com.ua/12896.html","3686")</f>
        <v>3686</v>
      </c>
      <c r="D16" s="175" t="str">
        <f aca="false">HYPERLINK("https://mebel-soyuz.com.ua/12903.html","4233")</f>
        <v>4233</v>
      </c>
      <c r="E16" s="175" t="str">
        <f aca="false">HYPERLINK("https://mebel-soyuz.com.ua/2266.html","3755")</f>
        <v>3755</v>
      </c>
      <c r="F16" s="175" t="str">
        <f aca="false">HYPERLINK("https://mebel-soyuz.com.ua/stol-pismennyj-jbiu-2d2s-140-indiana.html","5323")</f>
        <v>5323</v>
      </c>
      <c r="G16" s="175" t="str">
        <f aca="false">HYPERLINK("https://mebel-soyuz.com.ua/komod-kom-4s-90-dzhuli.html","2225")</f>
        <v>2225</v>
      </c>
      <c r="H16" s="175" t="str">
        <f aca="false">HYPERLINK("https://mebel-soyuz.com.ua/shkaf-szf3d2s-porto.html","5666")</f>
        <v>5666</v>
      </c>
      <c r="I16" s="175" t="str">
        <f aca="false">HYPERLINK("https://mebel-soyuz.com.ua/473.html","5870")</f>
        <v>5870</v>
      </c>
      <c r="J16" s="185" t="str">
        <f aca="false">HYPERLINK("https://mebel-soyuz.com.ua/8687.html","3002")</f>
        <v>3002</v>
      </c>
      <c r="K16" s="175" t="str">
        <f aca="false">HYPERLINK("https://mebel-soyuz.com.ua/8926.html","1971")</f>
        <v>1971</v>
      </c>
      <c r="L16" s="175" t="str">
        <f aca="false">HYPERLINK("https://mebel-soyuz.com.ua/10995.html","7943")</f>
        <v>7943</v>
      </c>
      <c r="M16" s="175" t="str">
        <f aca="false">HYPERLINK("https://mebel-soyuz.com.ua/gostinaya-kvatro.html","3002")</f>
        <v>3002</v>
      </c>
      <c r="N16" s="175" t="str">
        <f aca="false">HYPERLINK("https://mebel-soyuz.com.ua/3933.html","4258")</f>
        <v>4258</v>
      </c>
    </row>
    <row r="17" customFormat="false" ht="33.75" hidden="false" customHeight="true" outlineLevel="0" collapsed="false">
      <c r="A17" s="78" t="s">
        <v>36</v>
      </c>
      <c r="B17" s="147" t="s">
        <v>128</v>
      </c>
      <c r="C17" s="188"/>
      <c r="D17" s="185" t="str">
        <f aca="false">HYPERLINK("https://sofino.ua/brw-ukraina-komod-kom4s811-acteka/g-95386","3924")</f>
        <v>3924</v>
      </c>
      <c r="E17" s="185" t="str">
        <f aca="false">HYPERLINK("https://sofino.ua/brw-ukraina-komod-jkom4s80-indiana/g-40903","3562")</f>
        <v>3562</v>
      </c>
      <c r="F17" s="185" t="str">
        <f aca="false">HYPERLINK("https://sofino.ua/brw-ukraina-stol-pismennyjj-jbiu2d2s140-indiana/g-40899","5158")</f>
        <v>5158</v>
      </c>
      <c r="G17" s="185" t="str">
        <f aca="false">HYPERLINK("https://sofino.ua/brw-ukraina-komod-kom4s90-dzhuli-akacija-mali-bronz/g-40377","2098")</f>
        <v>2098</v>
      </c>
      <c r="H17" s="185" t="str">
        <f aca="false">HYPERLINK("https://sofino.ua/brw-ukraina-shkaf-platjanojj-szf3d2s-porto-dzhanni-sosna-lariko/g-264368","5377")</f>
        <v>5377</v>
      </c>
      <c r="I17" s="185" t="str">
        <f aca="false">HYPERLINK("https://sofino.ua/gerbor-komod-8s-sonata/g-19192","5654")</f>
        <v>5654</v>
      </c>
      <c r="J17" s="182" t="str">
        <f aca="false">HYPERLINK("https://sofino.ua/brw-ukraina-stol-pismennyjj-biu-1d1s-kaspian/g-264409","3002")</f>
        <v>3002</v>
      </c>
      <c r="K17" s="185" t="str">
        <f aca="false">HYPERLINK("https://sofino.ua/gerbor-prikhozhaja-ppk-nepo/g-287089","1963")</f>
        <v>1963</v>
      </c>
      <c r="L17" s="185" t="str">
        <f aca="false">HYPERLINK("https://sofino.ua/brw-ukraina-stenka-aljaska-belyjj-gljanec/g-454107","7644")</f>
        <v>7644</v>
      </c>
      <c r="M17" s="176" t="str">
        <f aca="false">HYPERLINK("https://sofino.ua/gerbor-stenka-s-podsvetkojj-kvatro/g-18955","3007")</f>
        <v>3007</v>
      </c>
      <c r="N17" s="185" t="str">
        <f aca="false">HYPERLINK("https://sofino.ua/gerbor-bufet-kom1w2d2s-s-podsvetkojj-vusher/g-176785","4195")</f>
        <v>4195</v>
      </c>
    </row>
    <row r="18" customFormat="false" ht="54.75" hidden="false" customHeight="true" outlineLevel="0" collapsed="false">
      <c r="A18" s="78" t="s">
        <v>37</v>
      </c>
      <c r="B18" s="147" t="s">
        <v>139</v>
      </c>
      <c r="C18" s="187"/>
      <c r="D18" s="175" t="str">
        <f aca="false">HYPERLINK("https://www.brw-kiev.com.ua/catalog/mebel/azteca-komod-kom4s_8_11-000004816.html","4239")</f>
        <v>4239</v>
      </c>
      <c r="E18" s="175" t="str">
        <f aca="false">HYPERLINK("https://www.brw-kiev.com.ua/catalog/mebel/indiana-komod-jkom4s_80-000000261.html","3759")</f>
        <v>3759</v>
      </c>
      <c r="F18" s="175" t="str">
        <f aca="false">HYPERLINK("https://www.brw-kiev.com.ua/catalog/mebel/indiana-stil_pis_moviy-jbiu2d2s-000000254.html","5329")</f>
        <v>5329</v>
      </c>
      <c r="G18" s="175" t="str">
        <f aca="false">HYPERLINK("https://www.brw-kiev.com.ua/catalog/mebel/july-komod-kom4s_90-000005407.html","2229")</f>
        <v>2229</v>
      </c>
      <c r="H18" s="175" t="str">
        <f aca="false">HYPERLINK("https://www.brw-kiev.com.ua/catalog/mebel/porto-shafa-szf3d2s-000006440.html","5669")</f>
        <v>5669</v>
      </c>
      <c r="I18" s="189"/>
      <c r="J18" s="176" t="str">
        <f aca="false">HYPERLINK("https://www.brw-kiev.com.ua/catalog/mebel/kaspian-stil_pis_moviy-biu1d1s_120-000006188.html","3149")</f>
        <v>3149</v>
      </c>
      <c r="K18" s="176" t="str">
        <f aca="false">HYPERLINK("https://www.brw-kiev.com.ua/catalog/mebel/prihozhaya/nepo-peredpokiy-ppk-000006567.html?sphrase_id=84980","1979")</f>
        <v>1979</v>
      </c>
      <c r="L18" s="176" t="str">
        <f aca="false">HYPERLINK("https://www.brw-kiev.com.ua/catalog/mebel/gostinaya/stinki-vital_nya-alaska-000006901.html?sphrase_id=84981","7949")</f>
        <v>7949</v>
      </c>
      <c r="M18" s="187"/>
      <c r="N18" s="187"/>
    </row>
    <row r="19" customFormat="false" ht="38.25" hidden="false" customHeight="true" outlineLevel="0" collapsed="false">
      <c r="A19" s="78" t="s">
        <v>25</v>
      </c>
      <c r="B19" s="159" t="s">
        <v>140</v>
      </c>
      <c r="C19" s="175" t="str">
        <f aca="false">HYPERLINK("https://brw.kiev.ua/mebel-brw-ukraina/azteca/tumba-tv-rtv2d2s-azteca-brv/","3686")</f>
        <v>3686</v>
      </c>
      <c r="D19" s="175" t="str">
        <f aca="false">HYPERLINK("https://brw.kiev.ua/mebel-brw-ukraina/azteca/komod-kom4s-azteca-brv/","4233")</f>
        <v>4233</v>
      </c>
      <c r="E19" s="175" t="str">
        <f aca="false">HYPERLINK("https://brw.kiev.ua/mebel-brw-ukraina/indiana-kanjon/komod-jkom4s80-indiana-brv-kanjon/","3755")</f>
        <v>3755</v>
      </c>
      <c r="F19" s="175" t="str">
        <f aca="false">HYPERLINK("https://brw.kiev.ua/mebel-brw-ukraina/indiana-shutter/stol-pismennyy-jbiu2d2s140-indiana-brv-shutter/","5323")</f>
        <v>5323</v>
      </c>
      <c r="G19" s="175" t="str">
        <f aca="false">HYPERLINK("https://brw.kiev.ua/mebel-brw-ukraina/july/komod-kom4s90-july-brv/","2225")</f>
        <v>2225</v>
      </c>
      <c r="H19" s="175" t="str">
        <f aca="false">HYPERLINK("https://brw.kiev.ua/mebel-brw-ukraina/porto/shkaf-szf3d2s-porto-brv/","5666")</f>
        <v>5666</v>
      </c>
      <c r="I19" s="175" t="str">
        <f aca="false">HYPERLINK("https://brw.kiev.ua/mebel-gerbor/sonata/komod-8s-sonata-gerbor/","5870")</f>
        <v>5870</v>
      </c>
      <c r="J19" s="175" t="str">
        <f aca="false">HYPERLINK("https://brw.kiev.ua/mebel-brw-ukraina/kaspian-venge/stol-pismennyy-biu1d1s-kaspian-brv-venge/","3141")</f>
        <v>3141</v>
      </c>
      <c r="K19" s="175" t="str">
        <f aca="false">HYPERLINK("https://brw.kiev.ua/mebel-gerbor/nepo/prikhozhaya-ppk-nepo-gerbor/","1971")</f>
        <v>1971</v>
      </c>
      <c r="L19" s="175" t="str">
        <f aca="false">HYPERLINK("https://brw.kiev.ua/mebel-brw-ukraina/alaska/stenka-alaska-brv/","7943")</f>
        <v>7943</v>
      </c>
      <c r="M19" s="187"/>
      <c r="N19" s="175" t="str">
        <f aca="false">HYPERLINK("https://brw.kiev.ua/mebel-gerbor/vusher/komod-kom1w2d2s-vusher-gerbor/","4258")</f>
        <v>4258</v>
      </c>
    </row>
    <row r="20" customFormat="false" ht="15.75" hidden="false" customHeight="true" outlineLevel="0" collapsed="false">
      <c r="A20" s="78" t="s">
        <v>123</v>
      </c>
      <c r="B20" s="160" t="s">
        <v>141</v>
      </c>
      <c r="C20" s="187"/>
      <c r="D20" s="187"/>
      <c r="E20" s="187"/>
      <c r="F20" s="187"/>
      <c r="G20" s="187"/>
      <c r="H20" s="187"/>
      <c r="I20" s="187"/>
      <c r="J20" s="187"/>
      <c r="K20" s="187"/>
      <c r="L20" s="187"/>
      <c r="M20" s="187"/>
      <c r="N20" s="187"/>
    </row>
    <row r="21" customFormat="false" ht="25.5" hidden="false" customHeight="true" outlineLevel="0" collapsed="false">
      <c r="A21" s="78" t="s">
        <v>124</v>
      </c>
      <c r="B21" s="147" t="s">
        <v>139</v>
      </c>
      <c r="C21" s="184" t="str">
        <f aca="false">HYPERLINK("https://mebelstyle.net/tumby-pod-tv/tumba-pod-tv-brw-ukraina-azteca-rtv2d2s415-82546.html","3294")</f>
        <v>3294</v>
      </c>
      <c r="D21" s="184" t="str">
        <f aca="false">HYPERLINK("https://mebelstyle.net/komody/komod-brw-ukraina-azteca-kom4s811-82553.html","3735")</f>
        <v>3735</v>
      </c>
      <c r="E21" s="184" t="str">
        <f aca="false">HYPERLINK("https://mebelstyle.net/komody/komod-brw-ukraina-indiana-011-jkom4s80-1274.html","3442")</f>
        <v>3442</v>
      </c>
      <c r="F21" s="184" t="str">
        <f aca="false">HYPERLINK("https://mebelstyle.net/ofisnye-stoly/pismennyj-stol-brw-ukraina-indiana-007-jbiu2d2s-1255.html","4979")</f>
        <v>4979</v>
      </c>
      <c r="G21" s="190"/>
      <c r="H21" s="190"/>
      <c r="I21" s="184" t="str">
        <f aca="false">HYPERLINK("https://mebelstyle.net/komody/komod-gerbor-sonata-s-015-8s-38625.html","5125")</f>
        <v>5125</v>
      </c>
      <c r="J21" s="184" t="str">
        <f aca="false">HYPERLINK("https://mebelstyle.net/ofisnye-stoly/ofisnyj-stol-brw-ukraina-kaspian-007-biu1d1s-58596.html","2783")</f>
        <v>2783</v>
      </c>
      <c r="K21" s="184" t="str">
        <f aca="false">HYPERLINK("https://mebelstyle.net/prikhozhie/prikhozhaja-gerbor-nepo-ppk-83649.html","1808")</f>
        <v>1808</v>
      </c>
      <c r="L21" s="190"/>
      <c r="M21" s="184" t="str">
        <f aca="false">HYPERLINK("https://mebelstyle.net/gostinye/gostinaja-gerbor-kvatro-venge-56219.html","2840")</f>
        <v>2840</v>
      </c>
      <c r="N21" s="184" t="str">
        <f aca="false">HYPERLINK("https://mebelstyle.net/komody/komod-gerbor-vusher-kom-1w2d2s-83553.html","4022")</f>
        <v>4022</v>
      </c>
    </row>
    <row r="22" customFormat="false" ht="34.5" hidden="false" customHeight="true" outlineLevel="0" collapsed="false">
      <c r="A22" s="78" t="s">
        <v>38</v>
      </c>
      <c r="B22" s="147" t="s">
        <v>139</v>
      </c>
      <c r="C22" s="175" t="str">
        <f aca="false">HYPERLINK("https://lvivmebli.com/13319/","3900")</f>
        <v>3900</v>
      </c>
      <c r="D22" s="175" t="str">
        <f aca="false">HYPERLINK("https://lvivmebli.com/13320/","4675")</f>
        <v>4675</v>
      </c>
      <c r="E22" s="175" t="str">
        <f aca="false">HYPERLINK("https://lvivmebli.com/5030/","4255")</f>
        <v>4255</v>
      </c>
      <c r="F22" s="175" t="str">
        <f aca="false">HYPERLINK("https://lvivmebli.com/5039/","5911")</f>
        <v>5911</v>
      </c>
      <c r="G22" s="177" t="str">
        <f aca="false">HYPERLINK("https://lvivmebli.com/11483/","2300")</f>
        <v>2300</v>
      </c>
      <c r="H22" s="175" t="str">
        <f aca="false">HYPERLINK("https://lvivmebli.com/18473/","6800")</f>
        <v>6800</v>
      </c>
      <c r="I22" s="187"/>
      <c r="J22" s="189"/>
      <c r="K22" s="187"/>
      <c r="L22" s="187"/>
      <c r="M22" s="187"/>
      <c r="N22" s="187"/>
    </row>
    <row r="23" customFormat="false" ht="36.75" hidden="false" customHeight="true" outlineLevel="0" collapsed="false">
      <c r="A23" s="78" t="s">
        <v>39</v>
      </c>
      <c r="B23" s="157" t="s">
        <v>142</v>
      </c>
      <c r="C23" s="178" t="str">
        <f aca="false">HYPERLINK("http://centrmebliv.com.ua/modulni-mebli/brw-azteca/mebli-brw-brv-azteca-tumba-rtv2d2s?keyword=%D0%B0%D1%86%D1%82%D0%B5%D0%BA%D0%B0","3343")</f>
        <v>3343</v>
      </c>
      <c r="D23" s="178" t="str">
        <f aca="false">HYPERLINK("http://centrmebliv.com.ua/modulni-mebli/brw-azteca/mebli-brw-brv-azteca-komod-4s?keyword=%D0%B0%D1%86%D1%82%D0%B5%D0%BA%D0%B0","3924")</f>
        <v>3924</v>
      </c>
      <c r="E23" s="178" t="str">
        <f aca="false">HYPERLINK("http://centrmebliv.com.ua/mebli-dlya-spalni/komody/mebli-brw-brv-indiana-komod-jkom4s_80?keyword=%D1%96%D0%BD%D0%B4%D1%96%D0%B0%D0%BD%D0%B0","3562")</f>
        <v>3562</v>
      </c>
      <c r="F23" s="178" t="str">
        <f aca="false">HYPERLINK("http://centrmebliv.com.ua/modulni-mebli/brw-ukrayina-indiana/mebli-brw-brv-indiana-stil-pysmovyy-jbiu2d2s_140?keyword=%D1%96%D0%BD%D0%B4%D1%96%D0%B0%D0%BD%D0%B0","5158")</f>
        <v>5158</v>
      </c>
      <c r="G23" s="178" t="str">
        <f aca="false">HYPERLINK("http://centrmebliv.com.ua/spalni/komody/mebli-brw-brv-july-komod-kom4s/90?keyword=july","2098")</f>
        <v>2098</v>
      </c>
      <c r="H23" s="178" t="str">
        <f aca="false">HYPERLINK("http://centrmebliv.com.ua/modulni-mebli/brw-ukrayina-porto/mebli-brw-brv-porto-shafa-dlya-odyagu-sf3d2s?keyword=szf3d2s","5377")</f>
        <v>5377</v>
      </c>
      <c r="I23" s="178" t="str">
        <f aca="false">HYPERLINK("http://centrmebliv.com.ua/mebli-dlya-spalni/komody/mebli-gerbor-gerbor-s-015-sonata-_komod-8/s?keyword=%D1%81%D0%BE%D0%BD%D0%B0%D1%82%D0%B0","5683")</f>
        <v>5683</v>
      </c>
      <c r="J23" s="178" t="str">
        <f aca="false">HYPERLINK("http://centrmebliv.com.ua/ofisni-mebli/ofisni-stoly-vid-modulnyh-system/gerbor/brw-kaspian-stil-pysmovyy-biu-1d1s-120?keyword=%D0%BA%D0%B0%D1%81%D0%BF%D1%96%D0%B0%D0%BD","3002")</f>
        <v>3002</v>
      </c>
      <c r="K23" s="187"/>
      <c r="L23" s="187"/>
      <c r="M23" s="175" t="str">
        <f aca="false">HYPERLINK("http://centrmebliv.com.ua/mebli-dlya-vitalni/stinky/mebli-gerbor-gerbor-kvatro","3007")</f>
        <v>3007</v>
      </c>
      <c r="N23" s="178"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175" t="str">
        <f aca="false">HYPERLINK("https://letromebel.com.ua/p566111870-tumba-rtv2d2s415-atsteka.html","3686")</f>
        <v>3686</v>
      </c>
      <c r="D24" s="175" t="str">
        <f aca="false">HYPERLINK("https://letromebel.com.ua/p566126810-komod-kom4s811-atsteka.html","4233")</f>
        <v>4233</v>
      </c>
      <c r="E24" s="175" t="str">
        <f aca="false">HYPERLINK("https://letromebel.com.ua/p566921861-komod-jkom4s80-indiana.html","3755")</f>
        <v>3755</v>
      </c>
      <c r="F24" s="175" t="str">
        <f aca="false">HYPERLINK("https://letromebel.com.ua/p566921329-stol-pismennyj-jbiu2d2s140.html","5323")</f>
        <v>5323</v>
      </c>
      <c r="G24" s="178" t="str">
        <f aca="false">HYPERLINK("https://letromebel.com.ua/p445989920-komod-kom-dzhuli.html","1699")</f>
        <v>1699</v>
      </c>
      <c r="H24" s="175" t="str">
        <f aca="false">HYPERLINK("https://letromebel.com.ua/p567177190-shkaf-szf3d2s-porto.html","5666")</f>
        <v>5666</v>
      </c>
      <c r="I24" s="187"/>
      <c r="J24" s="187"/>
      <c r="K24" s="191" t="str">
        <f aca="false">HYPERLINK("https://letromebel.com.ua/p441285622-prihozhaya-ppk-nepo.html","1963")</f>
        <v>1963</v>
      </c>
      <c r="L24" s="178" t="str">
        <f aca="false">HYPERLINK("https://letromebel.com.ua/p822866700-stenka-gostinuyu-alyaska.html","7644")</f>
        <v>7644</v>
      </c>
      <c r="M24" s="176" t="str">
        <f aca="false">HYPERLINK("https://letromebel.com.ua/p436378844-stenka-kvatro-venge.html","3002")</f>
        <v>3002</v>
      </c>
      <c r="N24" s="175" t="str">
        <f aca="false">HYPERLINK("https://letromebel.com.ua/p332640892-bufet-kom1w2d2s-vusher.html","4258")</f>
        <v>4258</v>
      </c>
    </row>
    <row r="25" customFormat="false" ht="27" hidden="false" customHeight="true" outlineLevel="0" collapsed="false">
      <c r="A25" s="78" t="s">
        <v>26</v>
      </c>
      <c r="B25" s="147" t="s">
        <v>139</v>
      </c>
      <c r="C25" s="178" t="str">
        <f aca="false">HYPERLINK("https://shurup.net.ua/azteca-acteka-tumba-rtv2d2s415.p17205","3343")</f>
        <v>3343</v>
      </c>
      <c r="D25" s="178" t="str">
        <f aca="false">HYPERLINK("https://shurup.net.ua/azteca-acteka-komod-kom4s811.p17200","3924")</f>
        <v>3924</v>
      </c>
      <c r="E25" s="178" t="str">
        <f aca="false">HYPERLINK("https://shurup.net.ua/komod-jkom-4s80-indiana-sosna-kanon.p9412","3562")</f>
        <v>3562</v>
      </c>
      <c r="F25" s="178" t="str">
        <f aca="false">HYPERLINK("https://shurup.net.ua/stol-pismennyj-jbiu-2d2s-140-indiana-dub-shutter.p5488","5158")</f>
        <v>5158</v>
      </c>
      <c r="G25" s="178" t="str">
        <f aca="false">HYPERLINK("https://shurup.net.ua/komod-kom-4s-90-dzhuli.p7011","2098")</f>
        <v>2098</v>
      </c>
      <c r="H25" s="178" t="str">
        <f aca="false">HYPERLINK("https://shurup.net.ua/shkaf-szf3d2s-porto.p24169","5377")</f>
        <v>5377</v>
      </c>
      <c r="I25" s="178" t="str">
        <f aca="false">HYPERLINK("https://shurup.net.ua/komod-8s-sonata.p1034","5683")</f>
        <v>5683</v>
      </c>
      <c r="J25" s="185" t="str">
        <f aca="false">HYPERLINK("https://shurup.net.ua/stol-pismennyj-biu-1d1s-120-kaspian-dub-sonoma.p6492","2979")</f>
        <v>2979</v>
      </c>
      <c r="K25" s="178" t="str">
        <f aca="false">HYPERLINK("https://shurup.net.ua/prihozhaya-rrk-nepo.p13611","1963")</f>
        <v>1963</v>
      </c>
      <c r="L25" s="178" t="str">
        <f aca="false">HYPERLINK("https://shurup.net.ua/gostinaja-aljaska.p28551","7644")</f>
        <v>7644</v>
      </c>
      <c r="M25" s="175" t="str">
        <f aca="false">HYPERLINK("https://shurup.net.ua/gostinaya-kvatro-venge-magiya.p836","3007")</f>
        <v>3007</v>
      </c>
      <c r="N25" s="178" t="str">
        <f aca="false">HYPERLINK("https://shurup.net.ua/komod-kom1w2d2s-9-15-vusher.p1953","4195")</f>
        <v>4195</v>
      </c>
    </row>
    <row r="26" customFormat="false" ht="36.75" hidden="false" customHeight="true" outlineLevel="0" collapsed="false">
      <c r="A26" s="105" t="s">
        <v>41</v>
      </c>
      <c r="B26" s="162" t="s">
        <v>143</v>
      </c>
      <c r="C26" s="76"/>
      <c r="D26" s="76"/>
      <c r="E26" s="76"/>
      <c r="F26" s="76"/>
      <c r="G26" s="76"/>
      <c r="H26" s="76"/>
      <c r="I26" s="76"/>
      <c r="J26" s="76"/>
      <c r="K26" s="192" t="str">
        <f aca="false">HYPERLINK("https://www.taburetka.ua/prihozhie-40/prihozhaya-ppk-nepo-2914","1875")</f>
        <v>1875</v>
      </c>
      <c r="L26" s="76"/>
      <c r="M26" s="181" t="str">
        <f aca="false">HYPERLINK("https://www.taburetka.ua/gostinye-600/gostinaya-kvatro-2834","3060")</f>
        <v>3060</v>
      </c>
      <c r="N26" s="182" t="str">
        <f aca="false">HYPERLINK("https://www.taburetka.ua/komody-i-tumby-35/komod-kom1w2d2s-vusher-2974","4055")</f>
        <v>4055</v>
      </c>
    </row>
    <row r="27" customFormat="false" ht="37.5" hidden="false" customHeight="true" outlineLevel="0" collapsed="false">
      <c r="A27" s="106" t="s">
        <v>42</v>
      </c>
      <c r="B27" s="163" t="s">
        <v>144</v>
      </c>
      <c r="C27" s="178" t="str">
        <f aca="false">HYPERLINK("http://www.maxidom.com.ua/tumba-rtv-atsteka-2d2s415.html?search_string=%D2%F3%EC%E1%E0+%D0%D2%C2+%C0%F6%F2%E5%EA%E0+2D2S%2F4%2F15","3343")</f>
        <v>3343</v>
      </c>
      <c r="D27" s="192" t="str">
        <f aca="false">HYPERLINK("http://www.maxidom.com.ua/komod-atsteka-kom4s811.html?search_string=%CA%EE%EC%EE%E4+%C0%F6%F2%E5%EA%E0+KOM4S%2F8%2F11","3924")</f>
        <v>3924</v>
      </c>
      <c r="E27" s="192" t="str">
        <f aca="false">HYPERLINK("http://www.maxidom.com.ua/komod_indiana_jkom4s80.html?search_string=%CA%EE%EC%EE%E4+%C8%ED%E4%E8%E0%ED%E0+JKOM4s%2F80","3562")</f>
        <v>3562</v>
      </c>
      <c r="F27" s="192" t="str">
        <f aca="false">HYPERLINK("http://www.maxidom.com.ua/stol_pismenniy_indiana_jbiu2d2s.html?search_string=%D1%F2%EE%EB+%EF%E8%F1%FC%EC%E5%ED%ED%FB%E9+%C8%ED%E4%E8%E0%ED%E0+JBIU2d2s","5158")</f>
        <v>5158</v>
      </c>
      <c r="G27" s="192" t="str">
        <f aca="false">HYPERLINK("http://www.maxidom.com.ua/komod-kom4s90-dzhuli.html?search_string=%CA%EE%EC%EE%E4+KOM4S%2F90+%C4%E6%F3%EB%E8","2098")</f>
        <v>2098</v>
      </c>
      <c r="H27" s="192" t="str">
        <f aca="false">HYPERLINK("http://www.maxidom.com.ua/shkaf-porto-porto-szf3d2s.html?search_string=%D8%EA%E0%F4+%CF%EE%F0%F2%EE+%28Porto%29+SZF3D2S","5377")</f>
        <v>5377</v>
      </c>
      <c r="I27" s="192" t="str">
        <f aca="false">HYPERLINK("http://www.maxidom.com.ua/komod-sonata-8s.html?search_string=%CA%EE%EC%EE%E4+%D1%EE%ED%E0%F2%E0+8s","5683")</f>
        <v>5683</v>
      </c>
      <c r="J27" s="192" t="str">
        <f aca="false">HYPERLINK("http://www.maxidom.com.ua/stol-pismenniy-biu-1d1s-kaspian-kaspian.html?search_string=%D1%F2%EE%EB+%EF%E8%F1%FC%EC%E5%ED%ED%FB%E9+BIU+1D1S+%CA%E0%F1%EF%E8%E0%ED+%28Kaspian%29","3002")</f>
        <v>3002</v>
      </c>
      <c r="K27" s="192" t="str">
        <f aca="false">HYPERLINK("http://www.maxidom.com.ua/prihozhaya-nepo-ppk.html?search_string=%CF%F0%E8%F5%EE%E6%E0%FF+%CD%E5%EF%EE+PPK","1963")</f>
        <v>1963</v>
      </c>
      <c r="L27" s="192" t="str">
        <f aca="false">HYPERLINK("http://www.maxidom.com.ua/stenka-alyaska.html?search_string=%D1%F2%E5%ED%EA%E0+%C0%EB%FF%F1%EA%E0","7644")</f>
        <v>7644</v>
      </c>
      <c r="M27" s="179" t="str">
        <f aca="false">HYPERLINK("http://www.maxidom.com.ua/stenka-kvatro.html?search_string=%D1%F2%E5%ED%EA%E0+%CA%E2%E0%F2%F0%EE","3007")</f>
        <v>3007</v>
      </c>
      <c r="N27" s="182" t="str">
        <f aca="false">HYPERLINK("http://www.maxidom.com.ua/komod-kom-1w2d2s-vusher.html?search_string=%CA%EE%EC%EE%E4+KOM+1W2D2S+%C2%F3%F8%E5%F0","4195")</f>
        <v>4195</v>
      </c>
    </row>
    <row r="28" customFormat="false" ht="42" hidden="false" customHeight="true" outlineLevel="0" collapsed="false">
      <c r="A28" s="106" t="s">
        <v>27</v>
      </c>
      <c r="B28" s="165" t="s">
        <v>145</v>
      </c>
      <c r="C28" s="178" t="str">
        <f aca="false">HYPERLINK("https://mebel-online.com.ua/tymba-rtv2d2s-4-15-azteca?filter_name=azteca","3343")</f>
        <v>3343</v>
      </c>
      <c r="D28" s="192" t="str">
        <f aca="false">HYPERLINK("https://mebel-online.com.ua/komod-kom4s-8-11-azteca?filter_name=azteca","3924")</f>
        <v>3924</v>
      </c>
      <c r="E28" s="182" t="str">
        <f aca="false">HYPERLINK("https://mebel-online.com.ua/p5228-komod_jkom_4s_80_indiana_brw?filter_name=%D0%B8%D0%BD%D0%B4%D0%B8%D0%B0%D0%BD%D0%B0","3562")</f>
        <v>3562</v>
      </c>
      <c r="F28" s="192" t="str">
        <f aca="false">HYPERLINK("https://mebel-online.com.ua/p5223-stol_pismenniy_jbiu_2d2s_140_indiana_brw?filter_name=%D0%B8%D0%BD%D0%B4%D0%B8%D0%B0%D0%BD%D0%B0","5158")</f>
        <v>5158</v>
      </c>
      <c r="G28" s="192" t="str">
        <f aca="false">HYPERLINK("https://mebel-online.com.ua/komod-kom4s-90-july?filter_name=july","2098")</f>
        <v>2098</v>
      </c>
      <c r="H28" s="192" t="str">
        <f aca="false">HYPERLINK("https://mebel-online.com.ua/shkaf-szf3d2s-porto?filter_name=SZF3D2S","5377")</f>
        <v>5377</v>
      </c>
      <c r="I28" s="192" t="str">
        <f aca="false">HYPERLINK("https://mebel-online.com.ua/p1728-gerbor_sonata_komod_8-s?filter_name=%D1%81%D0%BE%D0%BD%D0%B0%D1%82%D0%B0","5683")</f>
        <v>5683</v>
      </c>
      <c r="J28" s="194"/>
      <c r="K28" s="182" t="str">
        <f aca="false">HYPERLINK("https://mebel-online.com.ua/prihozhaya-gerbor-ppk-nepo?filter_name=%D0%BD%D0%B5%D0%BF%D0%BE","1963")</f>
        <v>1963</v>
      </c>
      <c r="L28" s="195" t="str">
        <f aca="false">HYPERLINK("https://mebel-online.com.ua/stenka-aliaska-brw%20?filter_name=%D0%B0%D0%BB%D1%8F%D1%81%D0%BA%D0%B0","7644")</f>
        <v>7644</v>
      </c>
      <c r="M28" s="179" t="str">
        <f aca="false">HYPERLINK("https://mebel-online.com.ua/stenka-kvatro-gerbor?filter_name=%D0%BA%D0%B2%D0%B0%D1%82%D1%80%D0%BE","3007")</f>
        <v>3007</v>
      </c>
      <c r="N28" s="182" t="str">
        <f aca="false">HYPERLINK("https://mebel-online.com.ua/komod-kom-1w2d2s-vusher-gerbor?filter_name=%D0%B2%D1%83%D1%88%D0%B5%D1%80","4195")</f>
        <v>4195</v>
      </c>
    </row>
    <row r="29" customFormat="false" ht="15.75" hidden="false" customHeight="true" outlineLevel="0" collapsed="false">
      <c r="A29" s="105" t="s">
        <v>147</v>
      </c>
      <c r="B29" s="170" t="s">
        <v>148</v>
      </c>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s://www.brw-kiev.com.ua/"/>
    <hyperlink ref="A19" r:id="rId22" display="https://brw.kiev.ua/"/>
    <hyperlink ref="A20" r:id="rId23" display="http://brw.com.ua/"/>
    <hyperlink ref="A21" r:id="rId24" display="https://mebelstyle.net/"/>
    <hyperlink ref="A22" r:id="rId25" display="https://lvivmebli.com/"/>
    <hyperlink ref="A23" r:id="rId26" display="http://centrmebliv.com.ua/"/>
    <hyperlink ref="A24" r:id="rId27" display="https://letromebel.com.ua/"/>
    <hyperlink ref="A25" r:id="rId28" display="https://shurup.net.ua/"/>
    <hyperlink ref="A26" r:id="rId29" display="https://www.taburetka.ua"/>
    <hyperlink ref="A27" r:id="rId30" display="http://www.maxidom.com.ua/"/>
    <hyperlink ref="A28" r:id="rId31" display="https://mebel-online.com.ua"/>
    <hyperlink ref="A29" r:id="rId32"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196" t="s">
        <v>150</v>
      </c>
      <c r="B2" s="146"/>
      <c r="C2" s="172" t="n">
        <v>3343</v>
      </c>
      <c r="D2" s="172" t="n">
        <v>3924</v>
      </c>
      <c r="E2" s="172" t="n">
        <v>3562</v>
      </c>
      <c r="F2" s="172" t="n">
        <v>5158</v>
      </c>
      <c r="G2" s="172" t="n">
        <v>2098</v>
      </c>
      <c r="H2" s="172" t="n">
        <v>5377</v>
      </c>
      <c r="I2" s="172" t="n">
        <v>5683</v>
      </c>
      <c r="J2" s="172" t="n">
        <v>3002</v>
      </c>
      <c r="K2" s="173" t="n">
        <v>1963</v>
      </c>
      <c r="L2" s="173" t="n">
        <v>7644</v>
      </c>
      <c r="M2" s="173" t="n">
        <v>3007</v>
      </c>
      <c r="N2" s="173" t="n">
        <v>4195</v>
      </c>
    </row>
    <row r="3" customFormat="false" ht="48" hidden="false" customHeight="true" outlineLevel="0" collapsed="false">
      <c r="A3" s="78" t="s">
        <v>28</v>
      </c>
      <c r="B3" s="147" t="s">
        <v>128</v>
      </c>
      <c r="C3" s="174" t="str">
        <f aca="false">HYPERLINK("https://brwmania.com.ua/gostinaja/modulnye-gostinye/sistema-azteka/tumba-pod-tv-acteka-rtv2d2s415/","3343")</f>
        <v>3343</v>
      </c>
      <c r="D3" s="174" t="str">
        <f aca="false">HYPERLINK("https://brwmania.com.ua/gostinaja/modulnye-gostinye/sistema-azteka/komod-acteka-kom4s811/","3924")</f>
        <v>3924</v>
      </c>
      <c r="E3" s="174" t="str">
        <f aca="false">HYPERLINK("https://brwmania.com.ua/gostinaja/modulnye-gostinye/sistema-indiana-indiana---dub-shuter/indiana-dub-shuter-laminat-j-011-komod-jkom-4s-80/","3562")</f>
        <v>3562</v>
      </c>
      <c r="F3" s="174" t="str">
        <f aca="false">HYPERLINK("https://brwmania.com.ua/gostinaja/modulnye-gostinye/sistema-indiana-indiana---dub-shuter/indiana-dub-shuter-laminat-j-007-stol-pismennyy-jbiu-2d2s-140/","5158")</f>
        <v>5158</v>
      </c>
      <c r="G3" s="174" t="str">
        <f aca="false">HYPERLINK("https://brwmania.com.ua/gostinaja/modulnye-gostinye/sistema_dzhuli/komod-dzhuli-july-kom4s-90/","2098")</f>
        <v>2098</v>
      </c>
      <c r="H3" s="174" t="str">
        <f aca="false">HYPERLINK("https://brwmania.com.ua/gostinaja/modulnye-gostinye/tovar-novij/shkaf-platjanoj-porto-szf3d2s/","5377")</f>
        <v>5377</v>
      </c>
      <c r="I3" s="174" t="str">
        <f aca="false">HYPERLINK("https://brwmania.com.ua/gostinaja/modulnye-gostinye/sistema-sonata-sonata/s-015-sonata-komod-8-s/","5683")</f>
        <v>5683</v>
      </c>
      <c r="J3" s="174" t="str">
        <f aca="false">HYPERLINK("https://brwmania.com.ua/gostinaja/modulnye-gostinye/sistema_kaspian_dub_sonoma/kaspian-dub-sonoma-jm-007-stol-pismennyy-biu-1d1s/","3002")</f>
        <v>3002</v>
      </c>
      <c r="K3" s="174" t="str">
        <f aca="false">HYPERLINK("https://brwmania.com.ua/gostinaja/modulnye-gostinye/sistema_nepo/gerbor-gerbor-prihozhaya-nepo-nepo-ppk-dub-sonoma/","1963")</f>
        <v>1963</v>
      </c>
      <c r="L3" s="174" t="str">
        <f aca="false">HYPERLINK("https://brwmania.com.ua/gostinaja/komplekty-gostinyh/aljaska-alaska-gostinaja/","7644")</f>
        <v>7644</v>
      </c>
      <c r="M3" s="174" t="str">
        <f aca="false">HYPERLINK("https://brwmania.com.ua/gostinaja/komplekty-gostinyh/stinka-kvatro-venge-magia/","3007")</f>
        <v>3007</v>
      </c>
      <c r="N3" s="174" t="str">
        <f aca="false">HYPERLINK("https://brwmania.com.ua/gostinaja/modulnye-gostinye/sistema-vusher-vusher/010-vusher-komod-kom-1w2d2s/","4195")</f>
        <v>4195</v>
      </c>
    </row>
    <row r="4" customFormat="false" ht="60.75" hidden="false" customHeight="true" outlineLevel="0" collapsed="false">
      <c r="A4" s="78" t="s">
        <v>29</v>
      </c>
      <c r="B4" s="147" t="s">
        <v>128</v>
      </c>
      <c r="C4" s="120" t="str">
        <f aca="false">HYPERLINK("http://redlight.com.ua/tv-stands/item-tumba-tv-rtv2d2s-4-15-atsteka","3343")</f>
        <v>3343</v>
      </c>
      <c r="D4" s="175" t="str">
        <f aca="false">HYPERLINK("http://redlight.com.ua/komod/item-komod-kom4s-8-11-atsteka","3924")</f>
        <v>3924</v>
      </c>
      <c r="E4" s="175" t="str">
        <f aca="false">HYPERLINK("http://redlight.com.ua/komod/item-komod-jkom-4s-80-indiana","3562")</f>
        <v>3562</v>
      </c>
      <c r="F4" s="175" t="str">
        <f aca="false">HYPERLINK("http://redlight.com.ua/stoly/item-stol-pismenniy-jbiu-2d2s-indiana","5158")</f>
        <v>5158</v>
      </c>
      <c r="G4" s="175" t="str">
        <f aca="false">HYPERLINK("http://redlight.com.ua/komod/item-komod-kom4s-90-dzhuli","2098")</f>
        <v>2098</v>
      </c>
      <c r="H4" s="175" t="str">
        <f aca="false">HYPERLINK("http://redlight.com.ua/raspashnyye-shkafy/item-porto-shkaf-szf3d2s","5377")</f>
        <v>5377</v>
      </c>
      <c r="I4" s="175" t="str">
        <f aca="false">HYPERLINK("http://redlight.com.ua/komod/item-komod-8s-sonata-","5683")</f>
        <v>5683</v>
      </c>
      <c r="J4" s="176" t="str">
        <f aca="false">HYPERLINK("http://redlight.com.ua/stoly/item-kaspian-pismenniy-stol-biu-1d1s-120-kaspian","3002")</f>
        <v>3002</v>
      </c>
      <c r="K4" s="175" t="str">
        <f aca="false">HYPERLINK("http://redlight.com.ua/prihozhie/item-nepo-prihozhaya-rrk-","1963")</f>
        <v>1963</v>
      </c>
      <c r="L4" s="175" t="str">
        <f aca="false">HYPERLINK("http://redlight.com.ua/stenki/item-stenka-alyaska","7644")</f>
        <v>7644</v>
      </c>
      <c r="M4" s="175" t="str">
        <f aca="false">HYPERLINK("http://redlight.com.ua/stenki/item-stenka-kvatro","3007")</f>
        <v>3007</v>
      </c>
      <c r="N4" s="175" t="str">
        <f aca="false">HYPERLINK("http://redlight.com.ua/nightstand/item-tumba-kom-1w2d2s-9-15-vusher","4195")</f>
        <v>4195</v>
      </c>
    </row>
    <row r="5" customFormat="false" ht="63" hidden="false" customHeight="true" outlineLevel="0" collapsed="false">
      <c r="A5" s="78" t="s">
        <v>30</v>
      </c>
      <c r="B5" s="171" t="s">
        <v>151</v>
      </c>
      <c r="C5" s="175" t="str">
        <f aca="false">HYPERLINK("https://mebli-bristol.com.ua/acteka-tumba-rtv-2d2s-4-15-brv-ukraina.html","3343")</f>
        <v>3343</v>
      </c>
      <c r="D5" s="175" t="str">
        <f aca="false">HYPERLINK("https://mebli-bristol.com.ua/acteka-komod-kom-4s-8-11-brv-ukraina.html","3924")</f>
        <v>3924</v>
      </c>
      <c r="E5" s="175" t="str">
        <f aca="false">HYPERLINK("https://mebli-bristol.com.ua/indiana-komod-jkom-4s-80-sosna-kan-jon-brv-ukraina.html","3562")</f>
        <v>3562</v>
      </c>
      <c r="F5" s="175" t="str">
        <f aca="false">HYPERLINK("https://mebli-bristol.com.ua/indiana-stil-pis-movij-jbiu-2d2s-140-sosna-kan-jon-brv-ukraina.html","5158")</f>
        <v>5158</v>
      </c>
      <c r="G5" s="175" t="str">
        <f aca="false">HYPERLINK("https://mebli-bristol.com.ua/dzhuli-komod-kom-4s-90-brv-ukraina.html","2098")</f>
        <v>2098</v>
      </c>
      <c r="H5" s="175" t="str">
        <f aca="false">HYPERLINK("https://mebli-bristol.com.ua/porto-shafa-szf-3d2s-brv-ukraina.html","5377")</f>
        <v>5377</v>
      </c>
      <c r="I5" s="175" t="str">
        <f aca="false">HYPERLINK("https://mebli-bristol.com.ua/sonata-komod-8s-gerbor.html","5683")</f>
        <v>5683</v>
      </c>
      <c r="J5" s="175" t="str">
        <f aca="false">HYPERLINK("https://mebli-bristol.com.ua/kaspian-stil-pis-movij-biu-1d1s-120-dub-sonoma-brv-ukraina.html","3002")</f>
        <v>3002</v>
      </c>
      <c r="K5" s="175" t="str">
        <f aca="false">HYPERLINK("https://mebli-bristol.com.ua/nepo-peredpokij-ppk-gerbor-9728.html","1963")</f>
        <v>1963</v>
      </c>
      <c r="L5" s="175" t="str">
        <f aca="false">HYPERLINK("https://mebli-bristol.com.ua/aljaska-brv-ukraina.html","7644")</f>
        <v>7644</v>
      </c>
      <c r="M5" s="175" t="str">
        <f aca="false">HYPERLINK("https://mebli-bristol.com.ua/kvatro-gerbor.html","3007")</f>
        <v>3007</v>
      </c>
      <c r="N5" s="175" t="str">
        <f aca="false">HYPERLINK("https://mebli-bristol.com.ua/vusher-komod-kom-1w-2d2s-gerbor.html","4195")</f>
        <v>4195</v>
      </c>
    </row>
    <row r="6" customFormat="false" ht="60" hidden="false" customHeight="true" outlineLevel="0" collapsed="false">
      <c r="A6" s="78" t="s">
        <v>17</v>
      </c>
      <c r="B6" s="197" t="s">
        <v>152</v>
      </c>
      <c r="C6" s="179" t="str">
        <f aca="false">HYPERLINK("https://gerbor.kiev.ua/mebelnye-sistemy/mebel-brw-azteca/azteca-tumba-tv-rtv2d2s-brv/","3343")</f>
        <v>3343</v>
      </c>
      <c r="D6" s="175" t="str">
        <f aca="false">HYPERLINK("https://gerbor.kiev.ua/mebelnye-sistemy/mebel-brw-azteca/azteca-komod-kom4s-brv/","3924")</f>
        <v>3924</v>
      </c>
      <c r="E6" s="175" t="str">
        <f aca="false">HYPERLINK("https://gerbor.kiev.ua/mebelnye-sistemy/mebel-indiana-brw/indiana-komod-jkom4s80-brv/","3562")</f>
        <v>3562</v>
      </c>
      <c r="F6" s="175" t="str">
        <f aca="false">HYPERLINK("https://gerbor.kiev.ua/mebelnye-sistemy/mebel-indiana-brw/indiana-stol-pismennyy-jbiu2d2s140-brv/","5158")</f>
        <v>5158</v>
      </c>
      <c r="G6" s="175" t="str">
        <f aca="false">HYPERLINK("https://gerbor.kiev.ua/mebelnye-sistemy/mebel-july-brw/july-komod-kom4s90-brv/","2098")</f>
        <v>2098</v>
      </c>
      <c r="H6" s="175" t="str">
        <f aca="false">HYPERLINK("https://gerbor.kiev.ua/mebelnye-sistemy/mebel-porto-brv/porto-shkaf-szf3d2s-brv/","5377")</f>
        <v>5377</v>
      </c>
      <c r="I6" s="175" t="str">
        <f aca="false">HYPERLINK("https://gerbor.kiev.ua/mebelnye-sistemy/mebel-sonata-gerbor/sonata-komod-8s-gerbor/","5683")</f>
        <v>5683</v>
      </c>
      <c r="J6" s="175" t="str">
        <f aca="false">HYPERLINK("https://gerbor.kiev.ua/mebelnye-sistemy/mebel-kaspian-sonoma-brw/kaspian-sonoma-stol-pismennyy-biu1d1s-brv/","3002")</f>
        <v>3002</v>
      </c>
      <c r="K6" s="175" t="str">
        <f aca="false">HYPERLINK("https://gerbor.kiev.ua/mebelnye-sistemy/mebel-nepo-gerbor/nepo-prikhozhaya-ppk-gerbor/","1963")</f>
        <v>1963</v>
      </c>
      <c r="L6" s="175" t="str">
        <f aca="false">HYPERLINK("https://gerbor.kiev.ua/mebelnye-sistemy/mebel-alaska-brw/alaska-gostinaya-brw/","7644")</f>
        <v>7644</v>
      </c>
      <c r="M6" s="84"/>
      <c r="N6" s="175" t="str">
        <f aca="false">HYPERLINK("https://gerbor.kiev.ua/mebelnye-sistemy/mebel-vusher-gerbor/vusher-komod-kom1w2d2s-gerbor/","4195")</f>
        <v>4195</v>
      </c>
    </row>
    <row r="7" customFormat="false" ht="63" hidden="false" customHeight="true" outlineLevel="0" collapsed="false">
      <c r="A7" s="78" t="s">
        <v>18</v>
      </c>
      <c r="B7" s="150" t="s">
        <v>153</v>
      </c>
      <c r="C7" s="175" t="str">
        <f aca="false">HYPERLINK("http://www.brwland.com.ua/product/azteca-tumba-tv-rtv2d2s415-brv-ukraina/","3343")</f>
        <v>3343</v>
      </c>
      <c r="D7" s="175" t="str">
        <f aca="false">HYPERLINK("http://www.brwland.com.ua/product/azteca-komod-kom4s811-brv-ukraina/","3924")</f>
        <v>3924</v>
      </c>
      <c r="E7" s="175" t="str">
        <f aca="false">HYPERLINK("http://www.brwland.com.ua/product/mebel-indiana-komod-jkom-4s-80-gerbor/","3562")</f>
        <v>3562</v>
      </c>
      <c r="F7" s="175" t="str">
        <f aca="false">HYPERLINK("http://www.brwland.com.ua/product/mebel-indiana-stol-pismennyj-jbiu-2d2s-140-gerbor/","5158")</f>
        <v>5158</v>
      </c>
      <c r="G7" s="175" t="str">
        <f aca="false">HYPERLINK("http://www.brwland.com.ua/product/dzhuli-komod-kom4s90-brv-ukraina/","2098")</f>
        <v>2098</v>
      </c>
      <c r="H7" s="175" t="str">
        <f aca="false">HYPERLINK("http://www.brwland.com.ua/product/porto-shkaf-szf3d2s-brv-ukraina/","5377")</f>
        <v>5377</v>
      </c>
      <c r="I7" s="175" t="str">
        <f aca="false">HYPERLINK("http://www.brwland.com.ua/product/komod-8s-sonata-gerbor/","5683")</f>
        <v>5683</v>
      </c>
      <c r="J7" s="175" t="str">
        <f aca="false">HYPERLINK("http://www.brwland.com.ua/product/kaspian-sonoma-stol-pismennyj-biu1d1s-brv-ukraina/","3002")</f>
        <v>3002</v>
      </c>
      <c r="K7" s="175" t="str">
        <f aca="false">HYPERLINK("http://www.brwland.com.ua/product/nepo-prihozhaja-ppk-gerbor/","1963")</f>
        <v>1963</v>
      </c>
      <c r="L7" s="175" t="str">
        <f aca="false">HYPERLINK("http://www.brwland.com.ua/product/gostinaja-aljaska-brv-ukraina/","7644")</f>
        <v>7644</v>
      </c>
      <c r="M7" s="175" t="str">
        <f aca="false">HYPERLINK("http://www.brwland.com.ua/product/komplekt-quatro/","3151")</f>
        <v>3151</v>
      </c>
      <c r="N7" s="175" t="str">
        <f aca="false">HYPERLINK("http://www.brwland.com.ua/product/vusher-bufet-kom1w2d2s915-gerbor/","4195")</f>
        <v>4195</v>
      </c>
    </row>
    <row r="8" customFormat="false" ht="60" hidden="false" customHeight="true" outlineLevel="0" collapsed="false">
      <c r="A8" s="78" t="s">
        <v>31</v>
      </c>
      <c r="B8" s="147" t="s">
        <v>128</v>
      </c>
      <c r="C8" s="175" t="str">
        <f aca="false">HYPERLINK("http://gerbor.dp.ua/index.php?route=product/product&amp;product_id=3138","3343")</f>
        <v>3343</v>
      </c>
      <c r="D8" s="175" t="str">
        <f aca="false">HYPERLINK("http://gerbor.dp.ua/index.php?route=product/product&amp;product_id=3131","3924")</f>
        <v>3924</v>
      </c>
      <c r="E8" s="175" t="str">
        <f aca="false">HYPERLINK("http://gerbor.dp.ua/index.php?route=product/product&amp;product_id=1730","3562")</f>
        <v>3562</v>
      </c>
      <c r="F8" s="175" t="str">
        <f aca="false">HYPERLINK("http://gerbor.dp.ua/index.php?route=product/product&amp;product_id=1725","5158")</f>
        <v>5158</v>
      </c>
      <c r="G8" s="175" t="str">
        <f aca="false">HYPERLINK("http://gerbor.dp.ua/index.php?route=product/product&amp;product_id=1755","2098")</f>
        <v>2098</v>
      </c>
      <c r="H8" s="175" t="str">
        <f aca="false">HYPERLINK("http://gerbor.dp.ua/index.php?route=product/product&amp;product_id=3905","5377")</f>
        <v>5377</v>
      </c>
      <c r="I8" s="175" t="str">
        <f aca="false">HYPERLINK("http://gerbor.dp.ua/index.php?route=product/product&amp;product_id=2156","5683")</f>
        <v>5683</v>
      </c>
      <c r="J8" s="175" t="str">
        <f aca="false">HYPERLINK("http://gerbor.dp.ua/index.php?route=product/product&amp;product_id=2819","3002")</f>
        <v>3002</v>
      </c>
      <c r="K8" s="175" t="str">
        <f aca="false">HYPERLINK("http://gerbor.dp.ua/index.php?route=product/product&amp;product_id=3473&amp;search=%D0%BD%D0%B5%D0%BF%D0%BE","1963")</f>
        <v>1963</v>
      </c>
      <c r="L8" s="175" t="str">
        <f aca="false">HYPERLINK("http://gerbor.dp.ua/index.php?route=product/product&amp;product_id=3031","7644")</f>
        <v>7644</v>
      </c>
      <c r="M8" s="175" t="str">
        <f aca="false">HYPERLINK("http://gerbor.dp.ua/index.php?route=product/product&amp;product_id=2040","3007")</f>
        <v>3007</v>
      </c>
      <c r="N8" s="175" t="str">
        <f aca="false">HYPERLINK("http://gerbor.dp.ua/index.php?route=product/product&amp;product_id=2775","4195")</f>
        <v>4195</v>
      </c>
    </row>
    <row r="9" customFormat="false" ht="56.25" hidden="false" customHeight="true" outlineLevel="0" collapsed="false">
      <c r="A9" s="105" t="s">
        <v>32</v>
      </c>
      <c r="B9" s="198" t="s">
        <v>154</v>
      </c>
      <c r="C9" s="180" t="str">
        <f aca="false">HYPERLINK("https://www.dybok.com.ua/ru/product/detail/35816","3350")</f>
        <v>3350</v>
      </c>
      <c r="D9" s="179" t="str">
        <f aca="false">HYPERLINK("https://www.dybok.com.ua/ru/product/detail/35870","3931")</f>
        <v>3931</v>
      </c>
      <c r="E9" s="199" t="str">
        <f aca="false">HYPERLINK("https://www.dybok.com.ua/ru/product/detail/55516","3532")</f>
        <v>3532</v>
      </c>
      <c r="F9" s="179" t="str">
        <f aca="false">HYPERLINK("https://www.dybok.com.ua/ru/product/detail/4291","5168")</f>
        <v>5168</v>
      </c>
      <c r="G9" s="179" t="str">
        <f aca="false">HYPERLINK("https://www.dybok.com.ua/ru/product/detail/9798","2103")</f>
        <v>2103</v>
      </c>
      <c r="H9" s="179" t="str">
        <f aca="false">HYPERLINK("https://www.dybok.com.ua/ru/product/detail/35840https://www.dybok.com.ua/ru/product/detail/35840","5384")</f>
        <v>5384</v>
      </c>
      <c r="I9" s="179" t="str">
        <f aca="false">HYPERLINK("https://www.dybok.com.ua/ru/product/detail/261","5691")</f>
        <v>5691</v>
      </c>
      <c r="J9" s="179" t="str">
        <f aca="false">HYPERLINK("https://www.dybok.com.ua/","3006")</f>
        <v>3006</v>
      </c>
      <c r="K9" s="200" t="str">
        <f aca="false">HYPERLINK("https://www.dybok.com.ua/ru/product/detail/18085","1787")</f>
        <v>1787</v>
      </c>
      <c r="L9" s="179" t="str">
        <f aca="false">HYPERLINK("https://www.dybok.com.ua/ru/product/detail/50410","7660")</f>
        <v>7660</v>
      </c>
      <c r="M9" s="179" t="str">
        <f aca="false">HYPERLINK("https://www.dybok.com.ua/ru/product/detail/6077","3014")</f>
        <v>3014</v>
      </c>
      <c r="N9" s="179" t="str">
        <f aca="false">HYPERLINK("https://www.dybok.com.ua/ru/product/detail/7086","4204")</f>
        <v>4204</v>
      </c>
    </row>
    <row r="10" customFormat="false" ht="61.5" hidden="false" customHeight="true" outlineLevel="0" collapsed="false">
      <c r="A10" s="78" t="s">
        <v>19</v>
      </c>
      <c r="B10" s="201" t="s">
        <v>155</v>
      </c>
      <c r="C10" s="186" t="str">
        <f aca="false">HYPERLINK("https://vashamebel.in.ua/tumba-tv-brv-atsteka-rtv2d2s415/p12722","3343")</f>
        <v>3343</v>
      </c>
      <c r="D10" s="176" t="str">
        <f aca="false">HYPERLINK("https://vashamebel.in.ua/komod-brv-atsteka-kom4s811/p12731","3924")</f>
        <v>3924</v>
      </c>
      <c r="E10" s="176" t="str">
        <f aca="false">HYPERLINK("https://vashamebel.in.ua/komod-brv-indiana-jkom4s80/p921","3562")</f>
        <v>3562</v>
      </c>
      <c r="F10" s="176" t="str">
        <f aca="false">HYPERLINK("https://vashamebel.in.ua/stol-pismennyij-brv-indiana-jbiu-2d2s/p916","5158")</f>
        <v>5158</v>
      </c>
      <c r="G10" s="175" t="str">
        <f aca="false">HYPERLINK("https://vashamebel.in.ua/komod-brv-dzhuli-kom4s90/p7958","2098")</f>
        <v>2098</v>
      </c>
      <c r="H10" s="175" t="str">
        <f aca="false">HYPERLINK("https://vashamebel.in.ua/shkaf-brv-porto-szf3d2s/p12560","5377")</f>
        <v>5377</v>
      </c>
      <c r="I10" s="176" t="str">
        <f aca="false">HYPERLINK("https://vashamebel.in.ua/komod-gerbor-sonata-8s/p845","5683")</f>
        <v>5683</v>
      </c>
      <c r="J10" s="176" t="str">
        <f aca="false">HYPERLINK("https://vashamebel.in.ua/stol-pismennyij-kaspian-ii-biu1d1s-120/p488","3002")</f>
        <v>3002</v>
      </c>
      <c r="K10" s="176" t="str">
        <f aca="false">HYPERLINK("https://vashamebel.in.ua/prihozhaya-gerbor-nepo-ppk/p12249","1963")</f>
        <v>1963</v>
      </c>
      <c r="L10" s="176" t="str">
        <f aca="false">HYPERLINK("https://vashamebel.in.ua/gostinaya-brv-alyaska/p4420","7644")</f>
        <v>7644</v>
      </c>
      <c r="M10" s="176" t="str">
        <f aca="false">HYPERLINK("https://vashamebel.in.ua/stenka-gerbor-kvatro/p2359","3007")</f>
        <v>3007</v>
      </c>
      <c r="N10" s="175" t="str">
        <f aca="false">HYPERLINK("https://vashamebel.in.ua/komod-gerbor-vusher-kom1w2d2s/p4762","4195")</f>
        <v>4195</v>
      </c>
    </row>
    <row r="11" customFormat="false" ht="70.5" hidden="false" customHeight="true" outlineLevel="0" collapsed="false">
      <c r="A11" s="78" t="s">
        <v>20</v>
      </c>
      <c r="B11" s="150" t="s">
        <v>156</v>
      </c>
      <c r="C11" s="175" t="str">
        <f aca="false">HYPERLINK("https://mebel-mebel.com.ua/eshop/dom-tumby-dlia-tv/tumba_rtv2d2s_4_15_atsteka-id461.html","3343")</f>
        <v>3343</v>
      </c>
      <c r="D11" s="175" t="str">
        <f aca="false">HYPERLINK("https://mebel-mebel.com.ua/eshop/dom-komody/komod_kom4s_8_11_atsteka-id496.html","3924")</f>
        <v>3924</v>
      </c>
      <c r="E11" s="175" t="str">
        <f aca="false">HYPERLINK("https://mebel-mebel.com.ua/eshop/dom-komody/komod_jkom_4s80_indiana-id663.html","3562")</f>
        <v>3562</v>
      </c>
      <c r="F11" s="175" t="str">
        <f aca="false">HYPERLINK("https://mebel-mebel.com.ua/eshop/dom-stoly-kompiuternye/stol_pismenniy_jbiu_2d2s_140_indiana-id659.html","5158")</f>
        <v>5158</v>
      </c>
      <c r="G11" s="175" t="str">
        <f aca="false">HYPERLINK("https://mebel-mebel.com.ua/eshop/dom-komody/komod_kom_4s_90_dzhuli-id569.html","2098")</f>
        <v>2098</v>
      </c>
      <c r="H11" s="176" t="str">
        <f aca="false">HYPERLINK("https://mebel-mebel.com.ua/eshop/detskie-shkafy/shkaf_szf3d2s_porto-id35136.html","5377")</f>
        <v>5377</v>
      </c>
      <c r="I11" s="175" t="str">
        <f aca="false">HYPERLINK("https://mebel-mebel.com.ua/eshop/dom-komody/komod_8s_s_015_sonata-id1567.html","5683")</f>
        <v>5683</v>
      </c>
      <c r="J11" s="175" t="str">
        <f aca="false">HYPERLINK("https://mebel-mebel.com.ua/eshop/dom-stoly-kompiuternye/stol_pismenniy_biu_1d1s_120_kaspian-id797.html","3002")</f>
        <v>3002</v>
      </c>
      <c r="K11" s="175" t="str">
        <f aca="false">HYPERLINK("https://mebel-mebel.com.ua/eshop/dom-prihozhie/prihozhaya_ppk_nepo-id28028.html","1963")</f>
        <v>1963</v>
      </c>
      <c r="L11" s="202" t="str">
        <f aca="false">HYPERLINK("https://mebel-mebel.com.ua/eshop/dom-stenki-dlia-gostinoi/gostinaya_alyaska-id50834.html","6980")</f>
        <v>6980</v>
      </c>
      <c r="M11" s="175" t="str">
        <f aca="false">HYPERLINK("https://mebel-mebel.com.ua/eshop/dom-stenki-dlia-gostinoi/gostinaya_kvatro-id152.html","3007")</f>
        <v>3007</v>
      </c>
      <c r="N11" s="175" t="str">
        <f aca="false">HYPERLINK("https://mebel-mebel.com.ua/eshop/dom-komody/komod_kom_1w2d2s_vusher-id560.html","4195")</f>
        <v>4195</v>
      </c>
    </row>
    <row r="12" customFormat="false" ht="75.75" hidden="false" customHeight="true" outlineLevel="0" collapsed="false">
      <c r="A12" s="78" t="s">
        <v>21</v>
      </c>
      <c r="B12" s="150" t="s">
        <v>135</v>
      </c>
      <c r="C12" s="175" t="str">
        <f aca="false">HYPERLINK("https://abcmebli.com.ua/p14992-tumba_tv_rtv2d2s-4-15_atsteka","3343")</f>
        <v>3343</v>
      </c>
      <c r="D12" s="175" t="str">
        <f aca="false">HYPERLINK("https://abcmebli.com.ua/p15683-atsteka_komod_kom4s-8-11_brv","3924")</f>
        <v>3924</v>
      </c>
      <c r="E12" s="175" t="str">
        <f aca="false">HYPERLINK("https://abcmebli.com.ua/p1896-komod_jkom4s_80_indiana","3562")</f>
        <v>3562</v>
      </c>
      <c r="F12" s="175" t="str">
        <f aca="false">HYPERLINK("https://abcmebli.com.ua/p1892-stol_pismenniy_jbiu2d2s_140_indiana","5158")</f>
        <v>5158</v>
      </c>
      <c r="G12" s="175" t="str">
        <f aca="false">HYPERLINK("https://abcmebli.com.ua/p8553-komod_kom4s-90_july","2098")</f>
        <v>2098</v>
      </c>
      <c r="H12" s="175" t="str">
        <f aca="false">HYPERLINK("https://abcmebli.com.ua/p15039-shkaf_platyanoy_szf3d2s_porto","5377")</f>
        <v>5377</v>
      </c>
      <c r="I12" s="175" t="str">
        <f aca="false">HYPERLINK("https://abcmebli.com.ua/p2225-komod_8-s_sonata","5683")</f>
        <v>5683</v>
      </c>
      <c r="J12" s="175" t="str">
        <f aca="false">HYPERLINK("https://abcmebli.com.ua/p14308-stol_pismenniy_biu_1d1s_120_kaspian","3002")</f>
        <v>3002</v>
      </c>
      <c r="K12" s="176" t="str">
        <f aca="false">HYPERLINK("https://abcmebli.com.ua/p15897-nepo_prihozhaya_ppk_gerbor","1963")</f>
        <v>1963</v>
      </c>
      <c r="L12" s="175" t="str">
        <f aca="false">HYPERLINK("https://abcmebli.com.ua/p15950-gostinaya_alyaska_brv-ukraina","7644")</f>
        <v>7644</v>
      </c>
      <c r="M12" s="175" t="str">
        <f aca="false">HYPERLINK("https://abcmebli.com.ua/p2515-stenka_kvatro_gerbor","3007")</f>
        <v>3007</v>
      </c>
      <c r="N12" s="175" t="str">
        <f aca="false">HYPERLINK("https://abcmebli.com.ua/p4993-komod_kom1w2d2s_9_15_vusher","4195")</f>
        <v>4195</v>
      </c>
    </row>
    <row r="13" customFormat="false" ht="56.25" hidden="false" customHeight="true" outlineLevel="0" collapsed="false">
      <c r="A13" s="78" t="s">
        <v>22</v>
      </c>
      <c r="B13" s="156" t="s">
        <v>157</v>
      </c>
      <c r="C13" s="175" t="str">
        <f aca="false">HYPERLINK("https://www.mebelok.com/tymba-tv-rtv2d2s415-acteka/","3355")</f>
        <v>3355</v>
      </c>
      <c r="D13" s="176" t="str">
        <f aca="false">HYPERLINK("https://www.mebelok.com/komod-kom4s811-acteka/","3935")</f>
        <v>3935</v>
      </c>
      <c r="E13" s="186" t="str">
        <f aca="false">HYPERLINK("https://www.mebelok.com/komod-jkom-4s-80/","3575")</f>
        <v>3575</v>
      </c>
      <c r="F13" s="175" t="str">
        <f aca="false">HYPERLINK("https://www.mebelok.com/stol-pismennyy-jbiu-2d2s-140/","5165")</f>
        <v>5165</v>
      </c>
      <c r="G13" s="176" t="str">
        <f aca="false">HYPERLINK("https://www.mebelok.com/komod-kom-4s-90-juli/","2105")</f>
        <v>2105</v>
      </c>
      <c r="H13" s="176" t="str">
        <f aca="false">HYPERLINK("https://www.mebelok.com/shkaf-szf3d2s-porto/","5385")</f>
        <v>5385</v>
      </c>
      <c r="I13" s="187"/>
      <c r="J13" s="175" t="str">
        <f aca="false">HYPERLINK("https://www.mebelok.com/stol-pismennyy-biu1d1s-120-kaspian/","3015")</f>
        <v>3015</v>
      </c>
      <c r="K13" s="175" t="str">
        <f aca="false">HYPERLINK("https://www.mebelok.com/prihojaya-ppk-nepo/","1975")</f>
        <v>1975</v>
      </c>
      <c r="L13" s="175" t="str">
        <f aca="false">HYPERLINK("https://www.mebelok.com/gostinaya-alyaska/","7655")</f>
        <v>7655</v>
      </c>
      <c r="M13" s="176" t="str">
        <f aca="false">HYPERLINK("https://www.mebelok.com/gostinaya-kvatro","3015")</f>
        <v>3015</v>
      </c>
      <c r="N13" s="176" t="str">
        <f aca="false">HYPERLINK("https://www.mebelok.com/komod-kom-1w2d2s-vusher/","4205")</f>
        <v>4205</v>
      </c>
    </row>
    <row r="14" customFormat="false" ht="48" hidden="false" customHeight="true" outlineLevel="0" collapsed="false">
      <c r="A14" s="78" t="s">
        <v>23</v>
      </c>
      <c r="B14" s="150" t="s">
        <v>137</v>
      </c>
      <c r="C14" s="175" t="str">
        <f aca="false">HYPERLINK("https://maxmebel.com.ua/atsteka_tumba_rtv2d2s","3343")</f>
        <v>3343</v>
      </c>
      <c r="D14" s="175" t="str">
        <f aca="false">HYPERLINK("https://maxmebel.com.ua/atsteka_komod_kom4s-8-11","3924")</f>
        <v>3924</v>
      </c>
      <c r="E14" s="175" t="str">
        <f aca="false">HYPERLINK("https://maxmebel.com.ua/indiana_komod_jkom_4s_80","3562")</f>
        <v>3562</v>
      </c>
      <c r="F14" s="175" t="str">
        <f aca="false">HYPERLINK("https://maxmebel.com.ua/indiana_pismenniy_stol_jbiu_2d2s","5159")</f>
        <v>5159</v>
      </c>
      <c r="G14" s="175" t="str">
        <f aca="false">HYPERLINK("https://maxmebel.com.ua/dzhuli_komod_kom4s-90","2099")</f>
        <v>2099</v>
      </c>
      <c r="H14" s="175" t="str">
        <f aca="false">HYPERLINK("https://maxmebel.com.ua/porto_shkaf_platyanoy_szf3d2s","5378")</f>
        <v>5378</v>
      </c>
      <c r="I14" s="175" t="str">
        <f aca="false">HYPERLINK("https://maxmebel.com.ua/sonata_komod_8-s","5683")</f>
        <v>5683</v>
      </c>
      <c r="J14" s="175" t="str">
        <f aca="false">HYPERLINK("https://maxmebel.com.ua/kaspian_stol_pismenniy_biu_1d1s","3002")</f>
        <v>3002</v>
      </c>
      <c r="K14" s="175" t="str">
        <f aca="false">HYPERLINK("https://maxmebel.com.ua/nepo_prihozhaya_rrk","1963")</f>
        <v>1963</v>
      </c>
      <c r="L14" s="175" t="str">
        <f aca="false">HYPERLINK("https://maxmebel.com.ua/stenka_alyaska","7645")</f>
        <v>7645</v>
      </c>
      <c r="M14" s="176" t="str">
        <f aca="false">HYPERLINK("https://maxmebel.com.ua/stenka_kvatro","3008")</f>
        <v>3008</v>
      </c>
      <c r="N14" s="175" t="str">
        <f aca="false">HYPERLINK("https://maxmebel.com.ua/vusher_komod_kom_1w2d2s","4196")</f>
        <v>4196</v>
      </c>
    </row>
    <row r="15" customFormat="false" ht="39" hidden="false" customHeight="true" outlineLevel="0" collapsed="false">
      <c r="A15" s="78" t="s">
        <v>24</v>
      </c>
      <c r="B15" s="147" t="s">
        <v>128</v>
      </c>
      <c r="C15" s="175" t="str">
        <f aca="false">HYPERLINK("https://moyamebel.com.ua/ua/products/tumba-rtv-atsteka","3343")</f>
        <v>3343</v>
      </c>
      <c r="D15" s="175" t="str">
        <f aca="false">HYPERLINK("https://moyamebel.com.ua/ua/products/komod-atsteka","3924")</f>
        <v>3924</v>
      </c>
      <c r="E15" s="175" t="str">
        <f aca="false">HYPERLINK("https://moyamebel.com.ua/ua/products/komod-4s-80-indiana","3562")</f>
        <v>3562</v>
      </c>
      <c r="F15" s="175" t="str">
        <f aca="false">HYPERLINK("https://moyamebel.com.ua/ua/products/stol-pismennyj-2d2s-indiana","5158")</f>
        <v>5158</v>
      </c>
      <c r="G15" s="175" t="str">
        <f aca="false">HYPERLINK("https://moyamebel.com.ua/ua/products/komod-dzhuli-90","2098")</f>
        <v>2098</v>
      </c>
      <c r="H15" s="175" t="str">
        <f aca="false">HYPERLINK("https://moyamebel.com.ua/ua/products/shkaf-3d2sporto","5377")</f>
        <v>5377</v>
      </c>
      <c r="I15" s="187"/>
      <c r="J15" s="175" t="str">
        <f aca="false">HYPERLINK("https://moyamebel.com.ua/ua/products/stol-pismennyj-120-kaspian","3002")</f>
        <v>3002</v>
      </c>
      <c r="K15" s="176" t="str">
        <f aca="false">HYPERLINK("https://moyamebel.com.ua/ua/products/prihozhaya-nepo","1963")</f>
        <v>1963</v>
      </c>
      <c r="L15" s="175"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158</v>
      </c>
      <c r="C16" s="175" t="str">
        <f aca="false">HYPERLINK("https://mebel-soyuz.com.ua/12896.html","3343")</f>
        <v>3343</v>
      </c>
      <c r="D16" s="175" t="str">
        <f aca="false">HYPERLINK("https://mebel-soyuz.com.ua/12903.html","3924")</f>
        <v>3924</v>
      </c>
      <c r="E16" s="175" t="str">
        <f aca="false">HYPERLINK("https://mebel-soyuz.com.ua/2266.html","3562")</f>
        <v>3562</v>
      </c>
      <c r="F16" s="175" t="str">
        <f aca="false">HYPERLINK("https://mebel-soyuz.com.ua/stol-pismennyj-jbiu-2d2s-140-indiana.html","5158")</f>
        <v>5158</v>
      </c>
      <c r="G16" s="175" t="str">
        <f aca="false">HYPERLINK("https://mebel-soyuz.com.ua/komod-kom-4s-90-dzhuli.html","2098")</f>
        <v>2098</v>
      </c>
      <c r="H16" s="175" t="str">
        <f aca="false">HYPERLINK("https://mebel-soyuz.com.ua/shkaf-szf3d2s-porto.html","5377")</f>
        <v>5377</v>
      </c>
      <c r="I16" s="175" t="str">
        <f aca="false">HYPERLINK("https://mebel-soyuz.com.ua/473.html","5683")</f>
        <v>5683</v>
      </c>
      <c r="J16" s="176" t="str">
        <f aca="false">HYPERLINK("https://mebel-soyuz.com.ua/8687.html","3002")</f>
        <v>3002</v>
      </c>
      <c r="K16" s="175" t="str">
        <f aca="false">HYPERLINK("https://mebel-soyuz.com.ua/8926.html","1963")</f>
        <v>1963</v>
      </c>
      <c r="L16" s="175" t="str">
        <f aca="false">HYPERLINK("https://mebel-soyuz.com.ua/10995.html","7644")</f>
        <v>7644</v>
      </c>
      <c r="M16" s="175" t="str">
        <f aca="false">HYPERLINK("https://mebel-soyuz.com.ua/gostinaya-kvatro.html","3007")</f>
        <v>3007</v>
      </c>
      <c r="N16" s="175" t="str">
        <f aca="false">HYPERLINK("https://mebel-soyuz.com.ua/3933.html","4195")</f>
        <v>4195</v>
      </c>
    </row>
    <row r="17" customFormat="false" ht="33.75" hidden="false" customHeight="true" outlineLevel="0" collapsed="false">
      <c r="A17" s="78" t="s">
        <v>36</v>
      </c>
      <c r="B17" s="147" t="s">
        <v>128</v>
      </c>
      <c r="C17" s="188" t="n">
        <v>3343</v>
      </c>
      <c r="D17" s="176" t="str">
        <f aca="false">HYPERLINK("https://sofino.ua/brw-ukraina-komod-kom4s811-acteka/g-95386","3924")</f>
        <v>3924</v>
      </c>
      <c r="E17" s="176" t="str">
        <f aca="false">HYPERLINK("https://sofino.ua/brw-ukraina-komod-jkom4s80-indiana/g-40903","3562")</f>
        <v>3562</v>
      </c>
      <c r="F17" s="176" t="str">
        <f aca="false">HYPERLINK("https://sofino.ua/brw-ukraina-stol-pismennyjj-jbiu2d2s140-indiana/g-40899","5158")</f>
        <v>5158</v>
      </c>
      <c r="G17" s="176" t="str">
        <f aca="false">HYPERLINK("https://sofino.ua/brw-ukraina-komod-kom4s90-dzhuli-akacija-mali-bronz/g-40377","2098")</f>
        <v>2098</v>
      </c>
      <c r="H17" s="176" t="str">
        <f aca="false">HYPERLINK("https://sofino.ua/brw-ukraina-shkaf-platjanojj-szf3d2s-porto-dzhanni-sosna-lariko/g-264368","5377")</f>
        <v>5377</v>
      </c>
      <c r="I17" s="202" t="str">
        <f aca="false">HYPERLINK("https://sofino.ua/gerbor-komod-8s-sonata/g-19192","5654")</f>
        <v>5654</v>
      </c>
      <c r="J17" s="179" t="str">
        <f aca="false">HYPERLINK("https://sofino.ua/brw-ukraina-stol-pismennyjj-biu-1d1s-kaspian/g-264409","3002")</f>
        <v>3002</v>
      </c>
      <c r="K17" s="176" t="str">
        <f aca="false">HYPERLINK("https://sofino.ua/gerbor-prikhozhaja-ppk-nepo/g-287089","2099")</f>
        <v>2099</v>
      </c>
      <c r="L17" s="176" t="str">
        <f aca="false">HYPERLINK("https://sofino.ua/brw-ukraina-stenka-aljaska-belyjj-gljanec/g-454107","7644")</f>
        <v>7644</v>
      </c>
      <c r="M17" s="176" t="str">
        <f aca="false">HYPERLINK("https://sofino.ua/gerbor-stenka-s-podsvetkojj-kvatro/g-18955","3470")</f>
        <v>3470</v>
      </c>
      <c r="N17" s="176" t="str">
        <f aca="false">HYPERLINK("https://sofino.ua/gerbor-bufet-kom1w2d2s-s-podsvetkojj-vusher/g-176785","4483")</f>
        <v>4483</v>
      </c>
    </row>
    <row r="18" customFormat="false" ht="54.75" hidden="false" customHeight="true" outlineLevel="0" collapsed="false">
      <c r="A18" s="78" t="s">
        <v>37</v>
      </c>
      <c r="B18" s="147" t="s">
        <v>139</v>
      </c>
      <c r="C18" s="187"/>
      <c r="D18" s="175" t="str">
        <f aca="false">HYPERLINK("https://www.brw-kiev.com.ua/catalog/mebel/azteca-komod-kom4s_8_11-000004816.html","3929")</f>
        <v>3929</v>
      </c>
      <c r="E18" s="175" t="str">
        <f aca="false">HYPERLINK("https://www.brw-kiev.com.ua/catalog/mebel/indiana-komod-jkom4s_80-000000261.html","3569")</f>
        <v>3569</v>
      </c>
      <c r="F18" s="175" t="str">
        <f aca="false">HYPERLINK("https://www.brw-kiev.com.ua/catalog/mebel/indiana-stil_pis_moviy-jbiu2d2s-000000254.html","5159")</f>
        <v>5159</v>
      </c>
      <c r="G18" s="175" t="str">
        <f aca="false">HYPERLINK("https://www.brw-kiev.com.ua/catalog/mebel/july-komod-kom4s_90-000005407.html","2099")</f>
        <v>2099</v>
      </c>
      <c r="H18" s="175" t="str">
        <f aca="false">HYPERLINK("https://www.brw-kiev.com.ua/catalog/mebel/porto-shafa-szf3d2s-000006440.html","5379")</f>
        <v>5379</v>
      </c>
      <c r="I18" s="189"/>
      <c r="J18" s="176" t="str">
        <f aca="false">HYPERLINK("https://www.brw-kiev.com.ua/catalog/mebel/kaspian-stil_pis_moviy-biu1d1s_120-000006188.html","3009")</f>
        <v>3009</v>
      </c>
      <c r="K18" s="176" t="str">
        <f aca="false">HYPERLINK("https://www.brw-kiev.com.ua/catalog/mebel/prihozhaya/nepo-peredpokiy-ppk-000006567.html?sphrase_id=84980","1969")</f>
        <v>1969</v>
      </c>
      <c r="L18" s="176" t="str">
        <f aca="false">HYPERLINK("https://www.brw-kiev.com.ua/catalog/mebel/gostinaya/stinki-vital_nya-alaska-000006901.html?sphrase_id=84981","7649")</f>
        <v>7649</v>
      </c>
      <c r="M18" s="187"/>
      <c r="N18" s="187"/>
    </row>
    <row r="19" customFormat="false" ht="38.25" hidden="false" customHeight="true" outlineLevel="0" collapsed="false">
      <c r="A19" s="78" t="s">
        <v>25</v>
      </c>
      <c r="B19" s="201" t="s">
        <v>159</v>
      </c>
      <c r="C19" s="175" t="str">
        <f aca="false">HYPERLINK("https://brw.kiev.ua/mebel-brw-ukraina/azteca/tumba-tv-rtv2d2s-azteca-brv/","3343")</f>
        <v>3343</v>
      </c>
      <c r="D19" s="175" t="str">
        <f aca="false">HYPERLINK("https://brw.kiev.ua/mebel-brw-ukraina/azteca/komod-kom4s-azteca-brv/","3924")</f>
        <v>3924</v>
      </c>
      <c r="E19" s="175" t="str">
        <f aca="false">HYPERLINK("https://brw.kiev.ua/mebel-brw-ukraina/indiana-kanjon/komod-jkom4s80-indiana-brv-kanjon/","3562")</f>
        <v>3562</v>
      </c>
      <c r="F19" s="175" t="str">
        <f aca="false">HYPERLINK("https://brw.kiev.ua/mebel-brw-ukraina/indiana-shutter/stol-pismennyy-jbiu2d2s140-indiana-brv-shutter/","5158")</f>
        <v>5158</v>
      </c>
      <c r="G19" s="175" t="str">
        <f aca="false">HYPERLINK("https://brw.kiev.ua/mebel-brw-ukraina/july/komod-kom4s90-july-brv/","2098")</f>
        <v>2098</v>
      </c>
      <c r="H19" s="175" t="str">
        <f aca="false">HYPERLINK("https://brw.kiev.ua/mebel-brw-ukraina/porto/shkaf-szf3d2s-porto-brv/","5377")</f>
        <v>5377</v>
      </c>
      <c r="I19" s="175" t="str">
        <f aca="false">HYPERLINK("https://brw.kiev.ua/mebel-gerbor/sonata/komod-8s-sonata-gerbor/","5683")</f>
        <v>5683</v>
      </c>
      <c r="J19" s="175" t="str">
        <f aca="false">HYPERLINK("https://brw.kiev.ua/mebel-brw-ukraina/kaspian-venge/stol-pismennyy-biu1d1s-kaspian-brv-venge/","3002")</f>
        <v>3002</v>
      </c>
      <c r="K19" s="175" t="str">
        <f aca="false">HYPERLINK("https://brw.kiev.ua/mebel-gerbor/nepo/prikhozhaya-ppk-nepo-gerbor/","1963")</f>
        <v>1963</v>
      </c>
      <c r="L19" s="175" t="str">
        <f aca="false">HYPERLINK("https://brw.kiev.ua/mebel-brw-ukraina/alaska/stenka-alaska-brv/","7644")</f>
        <v>7644</v>
      </c>
      <c r="M19" s="187"/>
      <c r="N19" s="175" t="str">
        <f aca="false">HYPERLINK("https://brw.kiev.ua/mebel-gerbor/vusher/komod-kom1w2d2s-vusher-gerbor/","4195")</f>
        <v>4195</v>
      </c>
    </row>
    <row r="20" customFormat="false" ht="15.75" hidden="false" customHeight="true" outlineLevel="0" collapsed="false">
      <c r="A20" s="78" t="s">
        <v>123</v>
      </c>
      <c r="B20" s="160" t="s">
        <v>141</v>
      </c>
      <c r="C20" s="187"/>
      <c r="D20" s="187"/>
      <c r="E20" s="187"/>
      <c r="F20" s="187"/>
      <c r="G20" s="187"/>
      <c r="H20" s="187"/>
      <c r="I20" s="187"/>
      <c r="J20" s="187"/>
      <c r="K20" s="187"/>
      <c r="L20" s="187"/>
      <c r="M20" s="187"/>
      <c r="N20" s="187"/>
    </row>
    <row r="21" customFormat="false" ht="25.5" hidden="false" customHeight="true" outlineLevel="0" collapsed="false">
      <c r="A21" s="78" t="s">
        <v>124</v>
      </c>
      <c r="B21" s="147" t="s">
        <v>139</v>
      </c>
      <c r="C21" s="202" t="str">
        <f aca="false">HYPERLINK("https://mebelstyle.net/tumby-pod-tv/tumba-pod-tv-brw-ukraina-azteca-rtv2d2s415-82546.html","3294")</f>
        <v>3294</v>
      </c>
      <c r="D21" s="202" t="str">
        <f aca="false">HYPERLINK("https://mebelstyle.net/komody/komod-brw-ukraina-azteca-kom4s811-82553.html","3735")</f>
        <v>3735</v>
      </c>
      <c r="E21" s="202" t="str">
        <f aca="false">HYPERLINK("https://mebelstyle.net/komody/komod-brw-ukraina-indiana-011-jkom4s80-1274.html","3442")</f>
        <v>3442</v>
      </c>
      <c r="F21" s="203" t="str">
        <f aca="false">HYPERLINK("https://mebelstyle.net/ofisnye-stoly/pismennyj-stol-brw-ukraina-indiana-007-jbiu2d2s-1255.html","4979")</f>
        <v>4979</v>
      </c>
      <c r="G21" s="187"/>
      <c r="H21" s="187"/>
      <c r="I21" s="202" t="str">
        <f aca="false">HYPERLINK("https://mebelstyle.net/komody/komod-gerbor-sonata-s-015-8s-38625.html","5125")</f>
        <v>5125</v>
      </c>
      <c r="J21" s="203" t="str">
        <f aca="false">HYPERLINK("https://mebelstyle.net/ofisnye-stoly/ofisnyj-stol-brw-ukraina-kaspian-007-biu1d1s-58596.html","2783")</f>
        <v>2783</v>
      </c>
      <c r="K21" s="202" t="str">
        <f aca="false">HYPERLINK("https://mebelstyle.net/prikhozhie/prikhozhaja-gerbor-nepo-ppk-83649.html","1808")</f>
        <v>1808</v>
      </c>
      <c r="L21" s="187"/>
      <c r="M21" s="202" t="str">
        <f aca="false">HYPERLINK("https://mebelstyle.net/gostinye/gostinaja-gerbor-kvatro-venge-56219.html","2840")</f>
        <v>2840</v>
      </c>
      <c r="N21" s="202" t="str">
        <f aca="false">HYPERLINK("https://mebelstyle.net/komody/komod-gerbor-vusher-kom-1w2d2s-83553.html","4022")</f>
        <v>4022</v>
      </c>
    </row>
    <row r="22" customFormat="false" ht="34.5" hidden="false" customHeight="true" outlineLevel="0" collapsed="false">
      <c r="A22" s="78" t="s">
        <v>38</v>
      </c>
      <c r="B22" s="147" t="s">
        <v>139</v>
      </c>
      <c r="C22" s="175" t="str">
        <f aca="false">HYPERLINK("https://lvivmebli.com/13319/","3900")</f>
        <v>3900</v>
      </c>
      <c r="D22" s="175" t="str">
        <f aca="false">HYPERLINK("https://lvivmebli.com/13320/","4675")</f>
        <v>4675</v>
      </c>
      <c r="E22" s="175" t="str">
        <f aca="false">HYPERLINK("https://lvivmebli.com/5030/","4255")</f>
        <v>4255</v>
      </c>
      <c r="F22" s="175" t="str">
        <f aca="false">HYPERLINK("https://lvivmebli.com/5039/","5911")</f>
        <v>5911</v>
      </c>
      <c r="G22" s="175" t="str">
        <f aca="false">HYPERLINK("https://lvivmebli.com/11483/","2300")</f>
        <v>2300</v>
      </c>
      <c r="H22" s="175" t="str">
        <f aca="false">HYPERLINK("https://lvivmebli.com/18473/","6800")</f>
        <v>6800</v>
      </c>
      <c r="I22" s="187"/>
      <c r="J22" s="189"/>
      <c r="K22" s="187"/>
      <c r="L22" s="187"/>
      <c r="M22" s="187"/>
      <c r="N22" s="187"/>
    </row>
    <row r="23" customFormat="false" ht="36.75" hidden="false" customHeight="true" outlineLevel="0" collapsed="false">
      <c r="A23" s="78" t="s">
        <v>39</v>
      </c>
      <c r="B23" s="150" t="s">
        <v>160</v>
      </c>
      <c r="C23" s="175" t="str">
        <f aca="false">HYPERLINK("http://centrmebliv.com.ua/modulni-mebli/brw-azteca/mebli-brw-brv-azteca-tumba-rtv2d2s?keyword=%D0%B0%D1%86%D1%82%D0%B5%D0%BA%D0%B0","3343")</f>
        <v>3343</v>
      </c>
      <c r="D23" s="175" t="str">
        <f aca="false">HYPERLINK("http://centrmebliv.com.ua/modulni-mebli/brw-azteca/mebli-brw-brv-azteca-komod-4s?keyword=%D0%B0%D1%86%D1%82%D0%B5%D0%BA%D0%B0","3924")</f>
        <v>3924</v>
      </c>
      <c r="E23" s="175" t="str">
        <f aca="false">HYPERLINK("http://centrmebliv.com.ua/mebli-dlya-spalni/komody/mebli-brw-brv-indiana-komod-jkom4s_80?keyword=%D1%96%D0%BD%D0%B4%D1%96%D0%B0%D0%BD%D0%B0","3562")</f>
        <v>3562</v>
      </c>
      <c r="F23" s="175" t="str">
        <f aca="false">HYPERLINK("http://centrmebliv.com.ua/modulni-mebli/brw-ukrayina-indiana/mebli-brw-brv-indiana-stil-pysmovyy-jbiu2d2s_140?keyword=%D1%96%D0%BD%D0%B4%D1%96%D0%B0%D0%BD%D0%B0","5158")</f>
        <v>5158</v>
      </c>
      <c r="G23" s="175" t="str">
        <f aca="false">HYPERLINK("http://centrmebliv.com.ua/spalni/komody/mebli-brw-brv-july-komod-kom4s/90?keyword=july","2098")</f>
        <v>2098</v>
      </c>
      <c r="H23" s="175" t="str">
        <f aca="false">HYPERLINK("http://centrmebliv.com.ua/modulni-mebli/brw-ukrayina-porto/mebli-brw-brv-porto-shafa-dlya-odyagu-sf3d2s?keyword=szf3d2s","5377")</f>
        <v>5377</v>
      </c>
      <c r="I23" s="175" t="str">
        <f aca="false">HYPERLINK("http://centrmebliv.com.ua/mebli-dlya-spalni/komody/mebli-gerbor-gerbor-s-015-sonata-_komod-8/s?keyword=%D1%81%D0%BE%D0%BD%D0%B0%D1%82%D0%B0","5683")</f>
        <v>5683</v>
      </c>
      <c r="J23" s="175" t="str">
        <f aca="false">HYPERLINK("http://centrmebliv.com.ua/ofisni-mebli/ofisni-stoly-vid-modulnyh-system/gerbor/brw-kaspian-stil-pysmovyy-biu-1d1s-120?keyword=%D0%BA%D0%B0%D1%81%D0%BF%D1%96%D0%B0%D0%BD","3002")</f>
        <v>3002</v>
      </c>
      <c r="K23" s="187"/>
      <c r="L23" s="187"/>
      <c r="M23" s="175" t="str">
        <f aca="false">HYPERLINK("http://centrmebliv.com.ua/mebli-dlya-vitalni/stinky/mebli-gerbor-gerbor-kvatro","3007")</f>
        <v>3007</v>
      </c>
      <c r="N23" s="175"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175" t="str">
        <f aca="false">HYPERLINK("https://letromebel.com.ua/p566111870-tumba-rtv2d2s415-atsteka.html","3343")</f>
        <v>3343</v>
      </c>
      <c r="D24" s="175" t="str">
        <f aca="false">HYPERLINK("https://letromebel.com.ua/p566126810-komod-kom4s811-atsteka.html","3924")</f>
        <v>3924</v>
      </c>
      <c r="E24" s="175" t="str">
        <f aca="false">HYPERLINK("https://letromebel.com.ua/p566921861-komod-jkom4s80-indiana.html","3562")</f>
        <v>3562</v>
      </c>
      <c r="F24" s="175" t="str">
        <f aca="false">HYPERLINK("https://letromebel.com.ua/p566921329-stol-pismennyj-jbiu2d2s140.html","5158")</f>
        <v>5158</v>
      </c>
      <c r="G24" s="175" t="str">
        <f aca="false">HYPERLINK("https://letromebel.com.ua/p445989920-komod-kom-dzhuli.html","2098")</f>
        <v>2098</v>
      </c>
      <c r="H24" s="175" t="str">
        <f aca="false">HYPERLINK("https://letromebel.com.ua/p567177190-shkaf-szf3d2s-porto.html","5377")</f>
        <v>5377</v>
      </c>
      <c r="I24" s="187"/>
      <c r="J24" s="187"/>
      <c r="K24" s="186" t="str">
        <f aca="false">HYPERLINK("https://letromebel.com.ua/p441285622-prihozhaya-ppk-nepo.html","1963")</f>
        <v>1963</v>
      </c>
      <c r="L24" s="175" t="str">
        <f aca="false">HYPERLINK("https://letromebel.com.ua/p822866700-stenka-gostinuyu-alyaska.html","7644")</f>
        <v>7644</v>
      </c>
      <c r="M24" s="176" t="str">
        <f aca="false">HYPERLINK("https://letromebel.com.ua/p436378844-stenka-kvatro-venge.html","3007")</f>
        <v>3007</v>
      </c>
      <c r="N24" s="175" t="str">
        <f aca="false">HYPERLINK("https://letromebel.com.ua/p332640892-bufet-kom1w2d2s-vusher.html","4195")</f>
        <v>4195</v>
      </c>
    </row>
    <row r="25" customFormat="false" ht="27" hidden="false" customHeight="true" outlineLevel="0" collapsed="false">
      <c r="A25" s="78" t="s">
        <v>26</v>
      </c>
      <c r="B25" s="147" t="s">
        <v>139</v>
      </c>
      <c r="C25" s="175" t="str">
        <f aca="false">HYPERLINK("https://shurup.net.ua/azteca-acteka-tumba-rtv2d2s415.p17205","3343")</f>
        <v>3343</v>
      </c>
      <c r="D25" s="175" t="str">
        <f aca="false">HYPERLINK("https://shurup.net.ua/azteca-acteka-komod-kom4s811.p17200","3924")</f>
        <v>3924</v>
      </c>
      <c r="E25" s="175" t="str">
        <f aca="false">HYPERLINK("https://shurup.net.ua/komod-jkom-4s80-indiana-sosna-kanon.p9412","3562")</f>
        <v>3562</v>
      </c>
      <c r="F25" s="175" t="str">
        <f aca="false">HYPERLINK("https://shurup.net.ua/stol-pismennyj-jbiu-2d2s-140-indiana-dub-shutter.p5488","5158")</f>
        <v>5158</v>
      </c>
      <c r="G25" s="175" t="str">
        <f aca="false">HYPERLINK("https://shurup.net.ua/komod-kom-4s-90-dzhuli.p7011","2098")</f>
        <v>2098</v>
      </c>
      <c r="H25" s="175" t="str">
        <f aca="false">HYPERLINK("https://shurup.net.ua/shkaf-szf3d2s-porto.p24169","5377")</f>
        <v>5377</v>
      </c>
      <c r="I25" s="175" t="str">
        <f aca="false">HYPERLINK("https://shurup.net.ua/komod-8s-sonata.p1034","5683")</f>
        <v>5683</v>
      </c>
      <c r="J25" s="202" t="str">
        <f aca="false">HYPERLINK("https://shurup.net.ua/stol-pismennyj-biu-1d1s-120-kaspian-dub-sonoma.p6492","2979")</f>
        <v>2979</v>
      </c>
      <c r="K25" s="175" t="str">
        <f aca="false">HYPERLINK("https://shurup.net.ua/prihozhaya-rrk-nepo.p13611","1963")</f>
        <v>1963</v>
      </c>
      <c r="L25" s="175" t="str">
        <f aca="false">HYPERLINK("https://shurup.net.ua/gostinaja-aljaska.p28551","7644")</f>
        <v>7644</v>
      </c>
      <c r="M25" s="175" t="str">
        <f aca="false">HYPERLINK("https://shurup.net.ua/gostinaya-kvatro-venge-magiya.p836","3007")</f>
        <v>3007</v>
      </c>
      <c r="N25" s="175" t="str">
        <f aca="false">HYPERLINK("https://shurup.net.ua/komod-kom1w2d2s-9-15-vusher.p1953","4195")</f>
        <v>4195</v>
      </c>
    </row>
    <row r="26" customFormat="false" ht="36.75" hidden="false" customHeight="true" outlineLevel="0" collapsed="false">
      <c r="A26" s="105" t="s">
        <v>41</v>
      </c>
      <c r="B26" s="162" t="s">
        <v>143</v>
      </c>
      <c r="C26" s="76"/>
      <c r="D26" s="76"/>
      <c r="E26" s="76"/>
      <c r="F26" s="76"/>
      <c r="G26" s="76"/>
      <c r="H26" s="76"/>
      <c r="I26" s="76"/>
      <c r="J26" s="76"/>
      <c r="K26" s="193" t="str">
        <f aca="false">HYPERLINK("https://www.taburetka.ua/prihozhie-40/prihozhaya-ppk-nepo-2914","2000")</f>
        <v>2000</v>
      </c>
      <c r="L26" s="76"/>
      <c r="M26" s="179" t="str">
        <f aca="false">HYPERLINK("https://www.taburetka.ua/gostinye-600/gostinaya-kvatro-2834","3060")</f>
        <v>3060</v>
      </c>
      <c r="N26" s="179" t="str">
        <f aca="false">HYPERLINK("https://www.taburetka.ua/komody-i-tumby-35/komod-kom1w2d2s-vusher-2974","4245")</f>
        <v>4245</v>
      </c>
    </row>
    <row r="27" customFormat="false" ht="37.5" hidden="false" customHeight="true" outlineLevel="0" collapsed="false">
      <c r="A27" s="106" t="s">
        <v>42</v>
      </c>
      <c r="B27" s="162" t="s">
        <v>161</v>
      </c>
      <c r="C27" s="175" t="str">
        <f aca="false">HYPERLINK("http://www.maxidom.com.ua/tumba-rtv-atsteka-2d2s415.html?search_string=%D2%F3%EC%E1%E0+%D0%D2%C2+%C0%F6%F2%E5%EA%E0+2D2S%2F4%2F15","3343")</f>
        <v>3343</v>
      </c>
      <c r="D27" s="193" t="str">
        <f aca="false">HYPERLINK("http://www.maxidom.com.ua/komod-atsteka-kom4s811.html?search_string=%CA%EE%EC%EE%E4+%C0%F6%F2%E5%EA%E0+KOM4S%2F8%2F11","3924")</f>
        <v>3924</v>
      </c>
      <c r="E27" s="193" t="str">
        <f aca="false">HYPERLINK("http://www.maxidom.com.ua/komod_indiana_jkom4s80.html?search_string=%CA%EE%EC%EE%E4+%C8%ED%E4%E8%E0%ED%E0+JKOM4s%2F80","3562")</f>
        <v>3562</v>
      </c>
      <c r="F27" s="193" t="str">
        <f aca="false">HYPERLINK("http://www.maxidom.com.ua/stol_pismenniy_indiana_jbiu2d2s.html?search_string=%D1%F2%EE%EB+%EF%E8%F1%FC%EC%E5%ED%ED%FB%E9+%C8%ED%E4%E8%E0%ED%E0+JBIU2d2s","5158")</f>
        <v>5158</v>
      </c>
      <c r="G27" s="193" t="str">
        <f aca="false">HYPERLINK("http://www.maxidom.com.ua/komod-kom4s90-dzhuli.html?search_string=%CA%EE%EC%EE%E4+KOM4S%2F90+%C4%E6%F3%EB%E8","2098")</f>
        <v>2098</v>
      </c>
      <c r="H27" s="193" t="str">
        <f aca="false">HYPERLINK("http://www.maxidom.com.ua/shkaf-porto-porto-szf3d2s.html?search_string=%D8%EA%E0%F4+%CF%EE%F0%F2%EE+%28Porto%29+SZF3D2S","5377")</f>
        <v>5377</v>
      </c>
      <c r="I27" s="193" t="str">
        <f aca="false">HYPERLINK("http://www.maxidom.com.ua/komod-sonata-8s.html?search_string=%CA%EE%EC%EE%E4+%D1%EE%ED%E0%F2%E0+8s","5683")</f>
        <v>5683</v>
      </c>
      <c r="J27" s="193" t="str">
        <f aca="false">HYPERLINK("http://www.maxidom.com.ua/stol-pismenniy-biu-1d1s-kaspian-kaspian.html?search_string=%D1%F2%EE%EB+%EF%E8%F1%FC%EC%E5%ED%ED%FB%E9+BIU+1D1S+%CA%E0%F1%EF%E8%E0%ED+%28Kaspian%29","3002")</f>
        <v>3002</v>
      </c>
      <c r="K27" s="193" t="str">
        <f aca="false">HYPERLINK("http://www.maxidom.com.ua/prihozhaya-nepo-ppk.html?search_string=%CF%F0%E8%F5%EE%E6%E0%FF+%CD%E5%EF%EE+PPK","1963")</f>
        <v>1963</v>
      </c>
      <c r="L27" s="193" t="str">
        <f aca="false">HYPERLINK("http://www.maxidom.com.ua/stenka-alyaska.html?search_string=%D1%F2%E5%ED%EA%E0+%C0%EB%FF%F1%EA%E0","7644")</f>
        <v>7644</v>
      </c>
      <c r="M27" s="179" t="str">
        <f aca="false">HYPERLINK("http://www.maxidom.com.ua/stenka-kvatro.html?search_string=%D1%F2%E5%ED%EA%E0+%CA%E2%E0%F2%F0%EE","3007")</f>
        <v>3007</v>
      </c>
      <c r="N27" s="179" t="str">
        <f aca="false">HYPERLINK("http://www.maxidom.com.ua/komod-kom-1w2d2s-vusher.html?search_string=%CA%EE%EC%EE%E4+KOM+1W2D2S+%C2%F3%F8%E5%F0","4195")</f>
        <v>4195</v>
      </c>
    </row>
    <row r="28" customFormat="false" ht="42" hidden="false" customHeight="true" outlineLevel="0" collapsed="false">
      <c r="A28" s="106" t="s">
        <v>27</v>
      </c>
      <c r="B28" s="165" t="s">
        <v>145</v>
      </c>
      <c r="C28" s="175" t="str">
        <f aca="false">HYPERLINK("https://mebel-online.com.ua/tymba-rtv2d2s-4-15-azteca?filter_name=azteca","3343")</f>
        <v>3343</v>
      </c>
      <c r="D28" s="193" t="str">
        <f aca="false">HYPERLINK("https://mebel-online.com.ua/komod-kom4s-8-11-azteca?filter_name=azteca","3924")</f>
        <v>3924</v>
      </c>
      <c r="E28" s="179" t="str">
        <f aca="false">HYPERLINK("https://mebel-online.com.ua/p5228-komod_jkom_4s_80_indiana_brw?filter_name=%D0%B8%D0%BD%D0%B4%D0%B8%D0%B0%D0%BD%D0%B0","3562")</f>
        <v>3562</v>
      </c>
      <c r="F28" s="193" t="str">
        <f aca="false">HYPERLINK("https://mebel-online.com.ua/p5223-stol_pismenniy_jbiu_2d2s_140_indiana_brw?filter_name=%D0%B8%D0%BD%D0%B4%D0%B8%D0%B0%D0%BD%D0%B0","5158")</f>
        <v>5158</v>
      </c>
      <c r="G28" s="193" t="str">
        <f aca="false">HYPERLINK("https://mebel-online.com.ua/komod-kom4s-90-july?filter_name=july","2098")</f>
        <v>2098</v>
      </c>
      <c r="H28" s="193" t="str">
        <f aca="false">HYPERLINK("https://mebel-online.com.ua/shkaf-szf3d2s-porto?filter_name=SZF3D2S","5377")</f>
        <v>5377</v>
      </c>
      <c r="I28" s="193" t="str">
        <f aca="false">HYPERLINK("https://mebel-online.com.ua/p1728-gerbor_sonata_komod_8-s?filter_name=%D1%81%D0%BE%D0%BD%D0%B0%D1%82%D0%B0","5683")</f>
        <v>5683</v>
      </c>
      <c r="J28" s="194"/>
      <c r="K28" s="179" t="str">
        <f aca="false">HYPERLINK("https://mebel-online.com.ua/prihozhaya-gerbor-ppk-nepo?filter_name=%D0%BD%D0%B5%D0%BF%D0%BE","1963")</f>
        <v>1963</v>
      </c>
      <c r="L28" s="193" t="str">
        <f aca="false">HYPERLINK("https://mebel-online.com.ua/stenka-aliaska-brw%20?filter_name=%D0%B0%D0%BB%D1%8F%D1%81%D0%BA%D0%B0","7644")</f>
        <v>7644</v>
      </c>
      <c r="M28" s="179" t="str">
        <f aca="false">HYPERLINK("https://mebel-online.com.ua/stenka-kvatro-gerbor?filter_name=%D0%BA%D0%B2%D0%B0%D1%82%D1%80%D0%BE","3007")</f>
        <v>3007</v>
      </c>
      <c r="N28" s="179" t="str">
        <f aca="false">HYPERLINK("https://mebel-online.com.ua/komod-kom-1w2d2s-vusher-gerbor?filter_name=%D0%B2%D1%83%D1%88%D0%B5%D1%80","4195")</f>
        <v>4195</v>
      </c>
    </row>
    <row r="29" customFormat="false" ht="15.75" hidden="false" customHeight="true" outlineLevel="0" collapsed="false">
      <c r="A29" s="105" t="s">
        <v>147</v>
      </c>
      <c r="B29" s="170" t="s">
        <v>148</v>
      </c>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s://www.brw-kiev.com.ua/"/>
    <hyperlink ref="A19" r:id="rId22" display="https://brw.kiev.ua/"/>
    <hyperlink ref="A20" r:id="rId23" display="http://brw.com.ua/"/>
    <hyperlink ref="A21" r:id="rId24" display="https://mebelstyle.net/"/>
    <hyperlink ref="A22" r:id="rId25" display="https://lvivmebli.com/"/>
    <hyperlink ref="A23" r:id="rId26" display="http://centrmebliv.com.ua/"/>
    <hyperlink ref="A24" r:id="rId27" display="https://letromebel.com.ua/"/>
    <hyperlink ref="A25" r:id="rId28" display="https://shurup.net.ua/"/>
    <hyperlink ref="A26" r:id="rId29" display="https://www.taburetka.ua"/>
    <hyperlink ref="A27" r:id="rId30" display="http://www.maxidom.com.ua/"/>
    <hyperlink ref="A28" r:id="rId31" display="https://mebel-online.com.ua"/>
    <hyperlink ref="A29" r:id="rId32"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196" t="s">
        <v>150</v>
      </c>
      <c r="B2" s="146"/>
      <c r="C2" s="172" t="n">
        <v>3343</v>
      </c>
      <c r="D2" s="172" t="n">
        <v>3924</v>
      </c>
      <c r="E2" s="172" t="n">
        <v>3562</v>
      </c>
      <c r="F2" s="172" t="n">
        <v>5158</v>
      </c>
      <c r="G2" s="172" t="n">
        <v>2098</v>
      </c>
      <c r="H2" s="172" t="n">
        <v>5377</v>
      </c>
      <c r="I2" s="172" t="n">
        <v>5683</v>
      </c>
      <c r="J2" s="172" t="n">
        <v>3002</v>
      </c>
      <c r="K2" s="173" t="n">
        <v>1963</v>
      </c>
      <c r="L2" s="173" t="n">
        <v>7644</v>
      </c>
      <c r="M2" s="173" t="n">
        <v>3007</v>
      </c>
      <c r="N2" s="173" t="n">
        <v>4195</v>
      </c>
    </row>
    <row r="3" customFormat="false" ht="48" hidden="false" customHeight="true" outlineLevel="0" collapsed="false">
      <c r="A3" s="78" t="s">
        <v>28</v>
      </c>
      <c r="B3" s="147" t="s">
        <v>128</v>
      </c>
      <c r="C3" s="174" t="str">
        <f aca="false">HYPERLINK("https://brwmania.com.ua/gostinaja/modulnye-gostinye/sistema-azteka/tumba-pod-tv-acteka-rtv2d2s415/","3343")</f>
        <v>3343</v>
      </c>
      <c r="D3" s="174" t="str">
        <f aca="false">HYPERLINK("https://brwmania.com.ua/gostinaja/modulnye-gostinye/sistema-azteka/komod-acteka-kom4s811/","3924")</f>
        <v>3924</v>
      </c>
      <c r="E3" s="174" t="str">
        <f aca="false">HYPERLINK("https://brwmania.com.ua/gostinaja/modulnye-gostinye/sistema-indiana-indiana---dub-shuter/indiana-dub-shuter-laminat-j-011-komod-jkom-4s-80/","3562")</f>
        <v>3562</v>
      </c>
      <c r="F3" s="174" t="str">
        <f aca="false">HYPERLINK("https://brwmania.com.ua/gostinaja/modulnye-gostinye/sistema-indiana-indiana---dub-shuter/indiana-dub-shuter-laminat-j-007-stol-pismennyy-jbiu-2d2s-140/","5158")</f>
        <v>5158</v>
      </c>
      <c r="G3" s="174" t="str">
        <f aca="false">HYPERLINK("https://brwmania.com.ua/gostinaja/modulnye-gostinye/sistema_dzhuli/komod-dzhuli-july-kom4s-90/","2098")</f>
        <v>2098</v>
      </c>
      <c r="H3" s="174" t="str">
        <f aca="false">HYPERLINK("https://brwmania.com.ua/gostinaja/modulnye-gostinye/tovar-novij/shkaf-platjanoj-porto-szf3d2s/","5377")</f>
        <v>5377</v>
      </c>
      <c r="I3" s="174" t="str">
        <f aca="false">HYPERLINK("https://brwmania.com.ua/gostinaja/modulnye-gostinye/sistema-sonata-sonata/s-015-sonata-komod-8-s/","5683")</f>
        <v>5683</v>
      </c>
      <c r="J3" s="174" t="str">
        <f aca="false">HYPERLINK("https://brwmania.com.ua/gostinaja/modulnye-gostinye/sistema_kaspian_dub_sonoma/kaspian-dub-sonoma-jm-007-stol-pismennyy-biu-1d1s/","3002")</f>
        <v>3002</v>
      </c>
      <c r="K3" s="174" t="str">
        <f aca="false">HYPERLINK("https://brwmania.com.ua/gostinaja/modulnye-gostinye/sistema_nepo/gerbor-gerbor-prihozhaya-nepo-nepo-ppk-dub-sonoma/","1963")</f>
        <v>1963</v>
      </c>
      <c r="L3" s="174" t="str">
        <f aca="false">HYPERLINK("https://brwmania.com.ua/gostinaja/komplekty-gostinyh/aljaska-alaska-gostinaja/","7644")</f>
        <v>7644</v>
      </c>
      <c r="M3" s="174" t="str">
        <f aca="false">HYPERLINK("https://brwmania.com.ua/gostinaja/komplekty-gostinyh/stinka-kvatro-venge-magia/","3007")</f>
        <v>3007</v>
      </c>
      <c r="N3" s="174" t="str">
        <f aca="false">HYPERLINK("https://brwmania.com.ua/gostinaja/modulnye-gostinye/sistema-vusher-vusher/010-vusher-komod-kom-1w2d2s/","4195")</f>
        <v>4195</v>
      </c>
    </row>
    <row r="4" customFormat="false" ht="60.75" hidden="false" customHeight="true" outlineLevel="0" collapsed="false">
      <c r="A4" s="78" t="s">
        <v>29</v>
      </c>
      <c r="B4" s="160" t="s">
        <v>162</v>
      </c>
      <c r="C4" s="120" t="str">
        <f aca="false">HYPERLINK("http://redlight.com.ua/tv-stands/item-tumba-tv-rtv2d2s-4-15-atsteka","3343")</f>
        <v>3343</v>
      </c>
      <c r="D4" s="175" t="str">
        <f aca="false">HYPERLINK("http://redlight.com.ua/komod/item-komod-kom4s-8-11-atsteka","3924")</f>
        <v>3924</v>
      </c>
      <c r="E4" s="175" t="str">
        <f aca="false">HYPERLINK("http://redlight.com.ua/komod/item-komod-jkom-4s-80-indiana","3562")</f>
        <v>3562</v>
      </c>
      <c r="F4" s="175" t="str">
        <f aca="false">HYPERLINK("http://redlight.com.ua/stoly/item-stol-pismenniy-jbiu-2d2s-indiana","5158")</f>
        <v>5158</v>
      </c>
      <c r="G4" s="175" t="str">
        <f aca="false">HYPERLINK("http://redlight.com.ua/komod/item-komod-kom4s-90-dzhuli","2098")</f>
        <v>2098</v>
      </c>
      <c r="H4" s="175" t="str">
        <f aca="false">HYPERLINK("http://redlight.com.ua/raspashnyye-shkafy/item-porto-shkaf-szf3d2s","5377")</f>
        <v>5377</v>
      </c>
      <c r="I4" s="175" t="str">
        <f aca="false">HYPERLINK("http://redlight.com.ua/komod/item-komod-8s-sonata-","5683")</f>
        <v>5683</v>
      </c>
      <c r="J4" s="176" t="str">
        <f aca="false">HYPERLINK("http://redlight.com.ua/stoly/item-kaspian-pismenniy-stol-biu-1d1s-120-kaspian","3002")</f>
        <v>3002</v>
      </c>
      <c r="K4" s="175" t="str">
        <f aca="false">HYPERLINK("http://redlight.com.ua/prihozhie/item-nepo-prihozhaya-rrk-","1963")</f>
        <v>1963</v>
      </c>
      <c r="L4" s="175" t="str">
        <f aca="false">HYPERLINK("http://redlight.com.ua/stenki/item-stenka-alyaska","7644")</f>
        <v>7644</v>
      </c>
      <c r="M4" s="175" t="str">
        <f aca="false">HYPERLINK("http://redlight.com.ua/stenki/item-stenka-kvatro","3007")</f>
        <v>3007</v>
      </c>
      <c r="N4" s="175" t="str">
        <f aca="false">HYPERLINK("http://redlight.com.ua/nightstand/item-tumba-kom-1w2d2s-9-15-vusher","4195")</f>
        <v>4195</v>
      </c>
    </row>
    <row r="5" customFormat="false" ht="63" hidden="false" customHeight="true" outlineLevel="0" collapsed="false">
      <c r="A5" s="78" t="s">
        <v>30</v>
      </c>
      <c r="B5" s="204" t="s">
        <v>163</v>
      </c>
      <c r="C5" s="175" t="str">
        <f aca="false">HYPERLINK("https://mebli-bristol.com.ua/acteka-tumba-rtv-2d2s-4-15-brv-ukraina.html","3343")</f>
        <v>3343</v>
      </c>
      <c r="D5" s="175" t="str">
        <f aca="false">HYPERLINK("https://mebli-bristol.com.ua/acteka-komod-kom-4s-8-11-brv-ukraina.html","3924")</f>
        <v>3924</v>
      </c>
      <c r="E5" s="175" t="str">
        <f aca="false">HYPERLINK("https://mebli-bristol.com.ua/indiana-komod-jkom-4s-80-sosna-kan-jon-brv-ukraina.html","3562")</f>
        <v>3562</v>
      </c>
      <c r="F5" s="175" t="str">
        <f aca="false">HYPERLINK("https://mebli-bristol.com.ua/indiana-stil-pis-movij-jbiu-2d2s-140-sosna-kan-jon-brv-ukraina.html","5158")</f>
        <v>5158</v>
      </c>
      <c r="G5" s="175" t="str">
        <f aca="false">HYPERLINK("https://mebli-bristol.com.ua/dzhuli-komod-kom-4s-90-brv-ukraina.html","2098")</f>
        <v>2098</v>
      </c>
      <c r="H5" s="175" t="str">
        <f aca="false">HYPERLINK("https://mebli-bristol.com.ua/porto-shafa-szf-3d2s-brv-ukraina.html","5377")</f>
        <v>5377</v>
      </c>
      <c r="I5" s="175" t="str">
        <f aca="false">HYPERLINK("https://mebli-bristol.com.ua/sonata-komod-8s-gerbor.html","5683")</f>
        <v>5683</v>
      </c>
      <c r="J5" s="175" t="str">
        <f aca="false">HYPERLINK("https://mebli-bristol.com.ua/kaspian-stil-pis-movij-biu-1d1s-120-dub-sonoma-brv-ukraina.html","3002")</f>
        <v>3002</v>
      </c>
      <c r="K5" s="175" t="str">
        <f aca="false">HYPERLINK("https://mebli-bristol.com.ua/nepo-peredpokij-ppk-gerbor-9728.html","1963")</f>
        <v>1963</v>
      </c>
      <c r="L5" s="175" t="str">
        <f aca="false">HYPERLINK("https://mebli-bristol.com.ua/aljaska-brv-ukraina.html","7644")</f>
        <v>7644</v>
      </c>
      <c r="M5" s="175" t="str">
        <f aca="false">HYPERLINK("https://mebli-bristol.com.ua/kvatro-gerbor.html","3007")</f>
        <v>3007</v>
      </c>
      <c r="N5" s="175" t="str">
        <f aca="false">HYPERLINK("https://mebli-bristol.com.ua/vusher-komod-kom-1w-2d2s-gerbor.html","4195")</f>
        <v>4195</v>
      </c>
    </row>
    <row r="6" customFormat="false" ht="60" hidden="false" customHeight="true" outlineLevel="0" collapsed="false">
      <c r="A6" s="78" t="s">
        <v>17</v>
      </c>
      <c r="B6" s="205" t="s">
        <v>164</v>
      </c>
      <c r="C6" s="179" t="str">
        <f aca="false">HYPERLINK("https://gerbor.kiev.ua/mebelnye-sistemy/mebel-brw-azteca/azteca-tumba-tv-rtv2d2s-brv/","3343")</f>
        <v>3343</v>
      </c>
      <c r="D6" s="175" t="str">
        <f aca="false">HYPERLINK("https://gerbor.kiev.ua/mebelnye-sistemy/mebel-brw-azteca/azteca-komod-kom4s-brv/","3924")</f>
        <v>3924</v>
      </c>
      <c r="E6" s="175" t="str">
        <f aca="false">HYPERLINK("https://gerbor.kiev.ua/mebelnye-sistemy/mebel-indiana-brw/indiana-komod-jkom4s80-brv/","3562")</f>
        <v>3562</v>
      </c>
      <c r="F6" s="175" t="str">
        <f aca="false">HYPERLINK("https://gerbor.kiev.ua/mebelnye-sistemy/mebel-indiana-brw/indiana-stol-pismennyy-jbiu2d2s140-brv/","5158")</f>
        <v>5158</v>
      </c>
      <c r="G6" s="175" t="str">
        <f aca="false">HYPERLINK("https://gerbor.kiev.ua/mebelnye-sistemy/mebel-july-brw/july-komod-kom4s90-brv/","2098")</f>
        <v>2098</v>
      </c>
      <c r="H6" s="175" t="str">
        <f aca="false">HYPERLINK("https://gerbor.kiev.ua/mebelnye-sistemy/mebel-porto-brv/porto-shkaf-szf3d2s-brv/","5377")</f>
        <v>5377</v>
      </c>
      <c r="I6" s="175" t="str">
        <f aca="false">HYPERLINK("https://gerbor.kiev.ua/mebelnye-sistemy/mebel-sonata-gerbor/sonata-komod-8s-gerbor/","5683")</f>
        <v>5683</v>
      </c>
      <c r="J6" s="175" t="str">
        <f aca="false">HYPERLINK("https://gerbor.kiev.ua/mebelnye-sistemy/mebel-kaspian-sonoma-brw/kaspian-sonoma-stol-pismennyy-biu1d1s-brv/","3002")</f>
        <v>3002</v>
      </c>
      <c r="K6" s="175" t="str">
        <f aca="false">HYPERLINK("https://gerbor.kiev.ua/mebelnye-sistemy/mebel-nepo-gerbor/nepo-prikhozhaya-ppk-gerbor/","1963")</f>
        <v>1963</v>
      </c>
      <c r="L6" s="175" t="str">
        <f aca="false">HYPERLINK("https://gerbor.kiev.ua/mebelnye-sistemy/mebel-alaska-brw/alaska-gostinaya-brw/","7644")</f>
        <v>7644</v>
      </c>
      <c r="M6" s="84"/>
      <c r="N6" s="175" t="str">
        <f aca="false">HYPERLINK("https://gerbor.kiev.ua/mebelnye-sistemy/mebel-vusher-gerbor/vusher-komod-kom1w2d2s-gerbor/","4195")</f>
        <v>4195</v>
      </c>
    </row>
    <row r="7" customFormat="false" ht="63" hidden="false" customHeight="true" outlineLevel="0" collapsed="false">
      <c r="A7" s="78" t="s">
        <v>18</v>
      </c>
      <c r="B7" s="157" t="s">
        <v>165</v>
      </c>
      <c r="C7" s="175" t="str">
        <f aca="false">HYPERLINK("http://www.brwland.com.ua/product/azteca-tumba-tv-rtv2d2s415-brv-ukraina/","3343")</f>
        <v>3343</v>
      </c>
      <c r="D7" s="175" t="str">
        <f aca="false">HYPERLINK("http://www.brwland.com.ua/product/azteca-komod-kom4s811-brv-ukraina/","3924")</f>
        <v>3924</v>
      </c>
      <c r="E7" s="175" t="str">
        <f aca="false">HYPERLINK("http://www.brwland.com.ua/product/mebel-indiana-komod-jkom-4s-80-gerbor/","3562")</f>
        <v>3562</v>
      </c>
      <c r="F7" s="175" t="str">
        <f aca="false">HYPERLINK("http://www.brwland.com.ua/product/mebel-indiana-stol-pismennyj-jbiu-2d2s-140-gerbor/","5158")</f>
        <v>5158</v>
      </c>
      <c r="G7" s="175" t="str">
        <f aca="false">HYPERLINK("http://www.brwland.com.ua/product/dzhuli-komod-kom4s90-brv-ukraina/","2098")</f>
        <v>2098</v>
      </c>
      <c r="H7" s="175" t="str">
        <f aca="false">HYPERLINK("http://www.brwland.com.ua/product/porto-shkaf-szf3d2s-brv-ukraina/","5377")</f>
        <v>5377</v>
      </c>
      <c r="I7" s="175" t="str">
        <f aca="false">HYPERLINK("http://www.brwland.com.ua/product/komod-8s-sonata-gerbor/","5683")</f>
        <v>5683</v>
      </c>
      <c r="J7" s="175" t="str">
        <f aca="false">HYPERLINK("http://www.brwland.com.ua/product/kaspian-sonoma-stol-pismennyj-biu1d1s-brv-ukraina/","3002")</f>
        <v>3002</v>
      </c>
      <c r="K7" s="175" t="str">
        <f aca="false">HYPERLINK("http://www.brwland.com.ua/product/nepo-prihozhaja-ppk-gerbor/","1963")</f>
        <v>1963</v>
      </c>
      <c r="L7" s="175" t="str">
        <f aca="false">HYPERLINK("http://www.brwland.com.ua/product/gostinaja-aljaska-brv-ukraina/","7644")</f>
        <v>7644</v>
      </c>
      <c r="M7" s="175" t="str">
        <f aca="false">HYPERLINK("http://www.brwland.com.ua/product/komplekt-quatro/","3151")</f>
        <v>3151</v>
      </c>
      <c r="N7" s="175" t="str">
        <f aca="false">HYPERLINK("http://www.brwland.com.ua/product/vusher-bufet-kom1w2d2s915-gerbor/","4195")</f>
        <v>4195</v>
      </c>
    </row>
    <row r="8" customFormat="false" ht="60" hidden="false" customHeight="true" outlineLevel="0" collapsed="false">
      <c r="A8" s="78" t="s">
        <v>31</v>
      </c>
      <c r="B8" s="147" t="s">
        <v>128</v>
      </c>
      <c r="C8" s="175" t="str">
        <f aca="false">HYPERLINK("http://gerbor.dp.ua/index.php?route=product/product&amp;product_id=3138","3343")</f>
        <v>3343</v>
      </c>
      <c r="D8" s="175" t="str">
        <f aca="false">HYPERLINK("http://gerbor.dp.ua/index.php?route=product/product&amp;product_id=3131","3924")</f>
        <v>3924</v>
      </c>
      <c r="E8" s="175" t="str">
        <f aca="false">HYPERLINK("http://gerbor.dp.ua/index.php?route=product/product&amp;product_id=1730","3562")</f>
        <v>3562</v>
      </c>
      <c r="F8" s="175" t="str">
        <f aca="false">HYPERLINK("http://gerbor.dp.ua/index.php?route=product/product&amp;product_id=1725","5158")</f>
        <v>5158</v>
      </c>
      <c r="G8" s="175" t="str">
        <f aca="false">HYPERLINK("http://gerbor.dp.ua/index.php?route=product/product&amp;product_id=1755","2098")</f>
        <v>2098</v>
      </c>
      <c r="H8" s="175" t="str">
        <f aca="false">HYPERLINK("http://gerbor.dp.ua/index.php?route=product/product&amp;product_id=3905","5377")</f>
        <v>5377</v>
      </c>
      <c r="I8" s="175" t="str">
        <f aca="false">HYPERLINK("http://gerbor.dp.ua/index.php?route=product/product&amp;product_id=2156","5683")</f>
        <v>5683</v>
      </c>
      <c r="J8" s="175" t="str">
        <f aca="false">HYPERLINK("http://gerbor.dp.ua/index.php?route=product/product&amp;product_id=2819","3002")</f>
        <v>3002</v>
      </c>
      <c r="K8" s="175" t="str">
        <f aca="false">HYPERLINK("http://gerbor.dp.ua/index.php?route=product/product&amp;product_id=3473&amp;search=%D0%BD%D0%B5%D0%BF%D0%BE","1963")</f>
        <v>1963</v>
      </c>
      <c r="L8" s="175" t="str">
        <f aca="false">HYPERLINK("http://gerbor.dp.ua/index.php?route=product/product&amp;product_id=3031","7644")</f>
        <v>7644</v>
      </c>
      <c r="M8" s="175" t="str">
        <f aca="false">HYPERLINK("http://gerbor.dp.ua/index.php?route=product/product&amp;product_id=2040","3007")</f>
        <v>3007</v>
      </c>
      <c r="N8" s="175" t="str">
        <f aca="false">HYPERLINK("http://gerbor.dp.ua/index.php?route=product/product&amp;product_id=2775","4195")</f>
        <v>4195</v>
      </c>
    </row>
    <row r="9" customFormat="false" ht="56.25" hidden="false" customHeight="true" outlineLevel="0" collapsed="false">
      <c r="A9" s="105" t="s">
        <v>32</v>
      </c>
      <c r="B9" s="146" t="s">
        <v>166</v>
      </c>
      <c r="C9" s="180" t="str">
        <f aca="false">HYPERLINK("https://www.dybok.com.ua/ru/product/detail/35816","3350")</f>
        <v>3350</v>
      </c>
      <c r="D9" s="179" t="str">
        <f aca="false">HYPERLINK("https://www.dybok.com.ua/ru/product/detail/35870","3931")</f>
        <v>3931</v>
      </c>
      <c r="E9" s="199" t="str">
        <f aca="false">HYPERLINK("https://www.dybok.com.ua/ru/product/detail/55516","3532")</f>
        <v>3532</v>
      </c>
      <c r="F9" s="179" t="str">
        <f aca="false">HYPERLINK("https://www.dybok.com.ua/ru/product/detail/4291","5168")</f>
        <v>5168</v>
      </c>
      <c r="G9" s="179" t="str">
        <f aca="false">HYPERLINK("https://www.dybok.com.ua/ru/product/detail/9798","2103")</f>
        <v>2103</v>
      </c>
      <c r="H9" s="179" t="str">
        <f aca="false">HYPERLINK("https://www.dybok.com.ua/ru/product/detail/35840https://www.dybok.com.ua/ru/product/detail/35840","5384")</f>
        <v>5384</v>
      </c>
      <c r="I9" s="179" t="str">
        <f aca="false">HYPERLINK("https://www.dybok.com.ua/ru/product/detail/261","5691")</f>
        <v>5691</v>
      </c>
      <c r="J9" s="179" t="str">
        <f aca="false">HYPERLINK("https://www.dybok.com.ua/","3006")</f>
        <v>3006</v>
      </c>
      <c r="K9" s="200" t="str">
        <f aca="false">HYPERLINK("https://www.dybok.com.ua/ru/product/detail/18085","1787")</f>
        <v>1787</v>
      </c>
      <c r="L9" s="179" t="str">
        <f aca="false">HYPERLINK("https://www.dybok.com.ua/ru/product/detail/50410","7660")</f>
        <v>7660</v>
      </c>
      <c r="M9" s="179" t="str">
        <f aca="false">HYPERLINK("https://www.dybok.com.ua/ru/product/detail/6077","3014")</f>
        <v>3014</v>
      </c>
      <c r="N9" s="179" t="str">
        <f aca="false">HYPERLINK("https://www.dybok.com.ua/ru/product/detail/7086","4204")</f>
        <v>4204</v>
      </c>
    </row>
    <row r="10" customFormat="false" ht="61.5" hidden="false" customHeight="true" outlineLevel="0" collapsed="false">
      <c r="A10" s="78" t="s">
        <v>19</v>
      </c>
      <c r="B10" s="157" t="s">
        <v>167</v>
      </c>
      <c r="C10" s="186" t="str">
        <f aca="false">HYPERLINK("https://vashamebel.in.ua/tumba-tv-brv-atsteka-rtv2d2s415/p12722","3343")</f>
        <v>3343</v>
      </c>
      <c r="D10" s="176" t="str">
        <f aca="false">HYPERLINK("https://vashamebel.in.ua/komod-brv-atsteka-kom4s811/p12731","3924")</f>
        <v>3924</v>
      </c>
      <c r="E10" s="176" t="str">
        <f aca="false">HYPERLINK("https://vashamebel.in.ua/komod-brv-indiana-jkom4s80/p921","3562")</f>
        <v>3562</v>
      </c>
      <c r="F10" s="176" t="str">
        <f aca="false">HYPERLINK("https://vashamebel.in.ua/stol-pismennyij-brv-indiana-jbiu-2d2s/p916","5158")</f>
        <v>5158</v>
      </c>
      <c r="G10" s="175" t="str">
        <f aca="false">HYPERLINK("https://vashamebel.in.ua/komod-brv-dzhuli-kom4s90/p7958","2098")</f>
        <v>2098</v>
      </c>
      <c r="H10" s="175" t="str">
        <f aca="false">HYPERLINK("https://vashamebel.in.ua/shkaf-brv-porto-szf3d2s/p12560","5377")</f>
        <v>5377</v>
      </c>
      <c r="I10" s="176" t="str">
        <f aca="false">HYPERLINK("https://vashamebel.in.ua/komod-gerbor-sonata-8s/p845","5683")</f>
        <v>5683</v>
      </c>
      <c r="J10" s="176" t="str">
        <f aca="false">HYPERLINK("https://vashamebel.in.ua/stol-pismennyij-kaspian-ii-biu1d1s-120/p488","3002")</f>
        <v>3002</v>
      </c>
      <c r="K10" s="176" t="str">
        <f aca="false">HYPERLINK("https://vashamebel.in.ua/prihozhaya-gerbor-nepo-ppk/p12249","1963")</f>
        <v>1963</v>
      </c>
      <c r="L10" s="176" t="str">
        <f aca="false">HYPERLINK("https://vashamebel.in.ua/gostinaya-brv-alyaska/p4420","7644")</f>
        <v>7644</v>
      </c>
      <c r="M10" s="176" t="str">
        <f aca="false">HYPERLINK("https://vashamebel.in.ua/stenka-gerbor-kvatro/p2359","3007")</f>
        <v>3007</v>
      </c>
      <c r="N10" s="175" t="str">
        <f aca="false">HYPERLINK("https://vashamebel.in.ua/komod-gerbor-vusher-kom1w2d2s/p4762","4195")</f>
        <v>4195</v>
      </c>
    </row>
    <row r="11" customFormat="false" ht="70.5" hidden="false" customHeight="true" outlineLevel="0" collapsed="false">
      <c r="A11" s="78" t="s">
        <v>20</v>
      </c>
      <c r="B11" s="157" t="s">
        <v>168</v>
      </c>
      <c r="C11" s="175" t="str">
        <f aca="false">HYPERLINK("https://mebel-mebel.com.ua/eshop/dom-tumby-dlia-tv/tumba_rtv2d2s_4_15_atsteka-id461.html","3343")</f>
        <v>3343</v>
      </c>
      <c r="D11" s="175" t="str">
        <f aca="false">HYPERLINK("https://mebel-mebel.com.ua/eshop/dom-komody/komod_kom4s_8_11_atsteka-id496.html","3924")</f>
        <v>3924</v>
      </c>
      <c r="E11" s="175" t="str">
        <f aca="false">HYPERLINK("https://mebel-mebel.com.ua/eshop/dom-komody/komod_jkom_4s80_indiana-id663.html","3562")</f>
        <v>3562</v>
      </c>
      <c r="F11" s="175" t="str">
        <f aca="false">HYPERLINK("https://mebel-mebel.com.ua/eshop/dom-stoly-kompiuternye/stol_pismenniy_jbiu_2d2s_140_indiana-id659.html","5158")</f>
        <v>5158</v>
      </c>
      <c r="G11" s="175" t="str">
        <f aca="false">HYPERLINK("https://mebel-mebel.com.ua/eshop/dom-komody/komod_kom_4s_90_dzhuli-id569.html","2098")</f>
        <v>2098</v>
      </c>
      <c r="H11" s="176" t="str">
        <f aca="false">HYPERLINK("https://mebel-mebel.com.ua/eshop/detskie-shkafy/shkaf_szf3d2s_porto-id35136.html","5377")</f>
        <v>5377</v>
      </c>
      <c r="I11" s="175" t="str">
        <f aca="false">HYPERLINK("https://mebel-mebel.com.ua/eshop/dom-komody/komod_8s_s_015_sonata-id1567.html","5683")</f>
        <v>5683</v>
      </c>
      <c r="J11" s="175" t="str">
        <f aca="false">HYPERLINK("https://mebel-mebel.com.ua/eshop/dom-stoly-kompiuternye/stol_pismenniy_biu_1d1s_120_kaspian-id797.html","3002")</f>
        <v>3002</v>
      </c>
      <c r="K11" s="175" t="str">
        <f aca="false">HYPERLINK("https://mebel-mebel.com.ua/eshop/dom-prihozhie/prihozhaya_ppk_nepo-id28028.html","1963")</f>
        <v>1963</v>
      </c>
      <c r="L11" s="202" t="str">
        <f aca="false">HYPERLINK("https://mebel-mebel.com.ua/eshop/dom-stenki-dlia-gostinoi/gostinaya_alyaska-id50834.html","6980")</f>
        <v>6980</v>
      </c>
      <c r="M11" s="175" t="str">
        <f aca="false">HYPERLINK("https://mebel-mebel.com.ua/eshop/dom-stenki-dlia-gostinoi/gostinaya_kvatro-id152.html","3007")</f>
        <v>3007</v>
      </c>
      <c r="N11" s="175" t="str">
        <f aca="false">HYPERLINK("https://mebel-mebel.com.ua/eshop/dom-komody/komod_kom_1w2d2s_vusher-id560.html","4195")</f>
        <v>4195</v>
      </c>
    </row>
    <row r="12" customFormat="false" ht="75.75" hidden="false" customHeight="true" outlineLevel="0" collapsed="false">
      <c r="A12" s="78" t="s">
        <v>21</v>
      </c>
      <c r="B12" s="150" t="s">
        <v>169</v>
      </c>
      <c r="C12" s="175" t="str">
        <f aca="false">HYPERLINK("https://abcmebli.com.ua/p14992-tumba_tv_rtv2d2s-4-15_atsteka","3343")</f>
        <v>3343</v>
      </c>
      <c r="D12" s="175" t="str">
        <f aca="false">HYPERLINK("https://abcmebli.com.ua/p15683-atsteka_komod_kom4s-8-11_brv","3924")</f>
        <v>3924</v>
      </c>
      <c r="E12" s="175" t="str">
        <f aca="false">HYPERLINK("https://abcmebli.com.ua/p1896-komod_jkom4s_80_indiana","3562")</f>
        <v>3562</v>
      </c>
      <c r="F12" s="175" t="str">
        <f aca="false">HYPERLINK("https://abcmebli.com.ua/p1892-stol_pismenniy_jbiu2d2s_140_indiana","5158")</f>
        <v>5158</v>
      </c>
      <c r="G12" s="175" t="str">
        <f aca="false">HYPERLINK("https://abcmebli.com.ua/p8553-komod_kom4s-90_july","2098")</f>
        <v>2098</v>
      </c>
      <c r="H12" s="175" t="str">
        <f aca="false">HYPERLINK("https://abcmebli.com.ua/p15039-shkaf_platyanoy_szf3d2s_porto","5377")</f>
        <v>5377</v>
      </c>
      <c r="I12" s="175" t="str">
        <f aca="false">HYPERLINK("https://abcmebli.com.ua/p2225-komod_8-s_sonata","5683")</f>
        <v>5683</v>
      </c>
      <c r="J12" s="175" t="str">
        <f aca="false">HYPERLINK("https://abcmebli.com.ua/p14308-stol_pismenniy_biu_1d1s_120_kaspian","3002")</f>
        <v>3002</v>
      </c>
      <c r="K12" s="176" t="str">
        <f aca="false">HYPERLINK("https://abcmebli.com.ua/p15897-nepo_prihozhaya_ppk_gerbor","1963")</f>
        <v>1963</v>
      </c>
      <c r="L12" s="175" t="str">
        <f aca="false">HYPERLINK("https://abcmebli.com.ua/p15950-gostinaya_alyaska_brv-ukraina","7644")</f>
        <v>7644</v>
      </c>
      <c r="M12" s="175" t="str">
        <f aca="false">HYPERLINK("https://abcmebli.com.ua/p2515-stenka_kvatro_gerbor","3007")</f>
        <v>3007</v>
      </c>
      <c r="N12" s="175" t="str">
        <f aca="false">HYPERLINK("https://abcmebli.com.ua/p4993-komod_kom1w2d2s_9_15_vusher","4195")</f>
        <v>4195</v>
      </c>
    </row>
    <row r="13" customFormat="false" ht="56.25" hidden="false" customHeight="true" outlineLevel="0" collapsed="false">
      <c r="A13" s="78" t="s">
        <v>22</v>
      </c>
      <c r="B13" s="157" t="s">
        <v>170</v>
      </c>
      <c r="C13" s="175" t="str">
        <f aca="false">HYPERLINK("https://www.mebelok.com/tymba-tv-rtv2d2s415-acteka/","3355")</f>
        <v>3355</v>
      </c>
      <c r="D13" s="176" t="str">
        <f aca="false">HYPERLINK("https://www.mebelok.com/komod-kom4s811-acteka/","3935")</f>
        <v>3935</v>
      </c>
      <c r="E13" s="186" t="str">
        <f aca="false">HYPERLINK("https://www.mebelok.com/komod-jkom-4s-80/","3575")</f>
        <v>3575</v>
      </c>
      <c r="F13" s="175" t="str">
        <f aca="false">HYPERLINK("https://www.mebelok.com/stol-pismennyy-jbiu-2d2s-140/","5165")</f>
        <v>5165</v>
      </c>
      <c r="G13" s="176" t="str">
        <f aca="false">HYPERLINK("https://www.mebelok.com/komod-kom-4s-90-juli/","2105")</f>
        <v>2105</v>
      </c>
      <c r="H13" s="176" t="str">
        <f aca="false">HYPERLINK("https://www.mebelok.com/shkaf-szf3d2s-porto/","5385")</f>
        <v>5385</v>
      </c>
      <c r="I13" s="187"/>
      <c r="J13" s="175" t="str">
        <f aca="false">HYPERLINK("https://www.mebelok.com/stol-pismennyy-biu1d1s-120-kaspian/","3015")</f>
        <v>3015</v>
      </c>
      <c r="K13" s="175" t="str">
        <f aca="false">HYPERLINK("https://www.mebelok.com/prihojaya-ppk-nepo/","1975")</f>
        <v>1975</v>
      </c>
      <c r="L13" s="175" t="str">
        <f aca="false">HYPERLINK("https://www.mebelok.com/gostinaya-alyaska/","7655")</f>
        <v>7655</v>
      </c>
      <c r="M13" s="176" t="str">
        <f aca="false">HYPERLINK("https://www.mebelok.com/gostinaya-kvatro","3015")</f>
        <v>3015</v>
      </c>
      <c r="N13" s="176" t="str">
        <f aca="false">HYPERLINK("https://www.mebelok.com/komod-kom-1w2d2s-vusher/","4205")</f>
        <v>4205</v>
      </c>
    </row>
    <row r="14" customFormat="false" ht="48" hidden="false" customHeight="true" outlineLevel="0" collapsed="false">
      <c r="A14" s="78" t="s">
        <v>23</v>
      </c>
      <c r="B14" s="157" t="s">
        <v>171</v>
      </c>
      <c r="C14" s="175" t="str">
        <f aca="false">HYPERLINK("https://maxmebel.com.ua/atsteka_tumba_rtv2d2s","3343")</f>
        <v>3343</v>
      </c>
      <c r="D14" s="175" t="str">
        <f aca="false">HYPERLINK("https://maxmebel.com.ua/atsteka_komod_kom4s-8-11","3924")</f>
        <v>3924</v>
      </c>
      <c r="E14" s="175" t="str">
        <f aca="false">HYPERLINK("https://maxmebel.com.ua/indiana_komod_jkom_4s_80","3562")</f>
        <v>3562</v>
      </c>
      <c r="F14" s="175" t="str">
        <f aca="false">HYPERLINK("https://maxmebel.com.ua/indiana_pismenniy_stol_jbiu_2d2s","5159")</f>
        <v>5159</v>
      </c>
      <c r="G14" s="175" t="str">
        <f aca="false">HYPERLINK("https://maxmebel.com.ua/dzhuli_komod_kom4s-90","2099")</f>
        <v>2099</v>
      </c>
      <c r="H14" s="175" t="str">
        <f aca="false">HYPERLINK("https://maxmebel.com.ua/porto_shkaf_platyanoy_szf3d2s","5378")</f>
        <v>5378</v>
      </c>
      <c r="I14" s="175" t="str">
        <f aca="false">HYPERLINK("https://maxmebel.com.ua/sonata_komod_8-s","5683")</f>
        <v>5683</v>
      </c>
      <c r="J14" s="175" t="str">
        <f aca="false">HYPERLINK("https://maxmebel.com.ua/kaspian_stol_pismenniy_biu_1d1s","3002")</f>
        <v>3002</v>
      </c>
      <c r="K14" s="175" t="str">
        <f aca="false">HYPERLINK("https://maxmebel.com.ua/nepo_prihozhaya_rrk","1963")</f>
        <v>1963</v>
      </c>
      <c r="L14" s="175" t="str">
        <f aca="false">HYPERLINK("https://maxmebel.com.ua/stenka_alyaska","7645")</f>
        <v>7645</v>
      </c>
      <c r="M14" s="176" t="str">
        <f aca="false">HYPERLINK("https://maxmebel.com.ua/stenka_kvatro","3008")</f>
        <v>3008</v>
      </c>
      <c r="N14" s="175" t="str">
        <f aca="false">HYPERLINK("https://maxmebel.com.ua/vusher_komod_kom_1w2d2s","4196")</f>
        <v>4196</v>
      </c>
    </row>
    <row r="15" customFormat="false" ht="39" hidden="false" customHeight="true" outlineLevel="0" collapsed="false">
      <c r="A15" s="78" t="s">
        <v>24</v>
      </c>
      <c r="B15" s="147" t="s">
        <v>128</v>
      </c>
      <c r="C15" s="175" t="str">
        <f aca="false">HYPERLINK("https://moyamebel.com.ua/ua/products/tumba-rtv-atsteka","3343")</f>
        <v>3343</v>
      </c>
      <c r="D15" s="175" t="str">
        <f aca="false">HYPERLINK("https://moyamebel.com.ua/ua/products/komod-atsteka","3924")</f>
        <v>3924</v>
      </c>
      <c r="E15" s="175" t="str">
        <f aca="false">HYPERLINK("https://moyamebel.com.ua/ua/products/komod-4s-80-indiana","3562")</f>
        <v>3562</v>
      </c>
      <c r="F15" s="175" t="str">
        <f aca="false">HYPERLINK("https://moyamebel.com.ua/ua/products/stol-pismennyj-2d2s-indiana","5158")</f>
        <v>5158</v>
      </c>
      <c r="G15" s="175" t="str">
        <f aca="false">HYPERLINK("https://moyamebel.com.ua/ua/products/komod-dzhuli-90","2098")</f>
        <v>2098</v>
      </c>
      <c r="H15" s="175" t="str">
        <f aca="false">HYPERLINK("https://moyamebel.com.ua/ua/products/shkaf-3d2sporto","5377")</f>
        <v>5377</v>
      </c>
      <c r="I15" s="187"/>
      <c r="J15" s="175" t="str">
        <f aca="false">HYPERLINK("https://moyamebel.com.ua/ua/products/stol-pismennyj-120-kaspian","3002")</f>
        <v>3002</v>
      </c>
      <c r="K15" s="176" t="str">
        <f aca="false">HYPERLINK("https://moyamebel.com.ua/ua/products/prihozhaya-nepo","1963")</f>
        <v>1963</v>
      </c>
      <c r="L15" s="175"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158</v>
      </c>
      <c r="C16" s="175" t="str">
        <f aca="false">HYPERLINK("https://mebel-soyuz.com.ua/12896.html","3343")</f>
        <v>3343</v>
      </c>
      <c r="D16" s="175" t="str">
        <f aca="false">HYPERLINK("https://mebel-soyuz.com.ua/12903.html","3924")</f>
        <v>3924</v>
      </c>
      <c r="E16" s="175" t="str">
        <f aca="false">HYPERLINK("https://mebel-soyuz.com.ua/2266.html","3562")</f>
        <v>3562</v>
      </c>
      <c r="F16" s="175" t="str">
        <f aca="false">HYPERLINK("https://mebel-soyuz.com.ua/stol-pismennyj-jbiu-2d2s-140-indiana.html","5158")</f>
        <v>5158</v>
      </c>
      <c r="G16" s="175" t="str">
        <f aca="false">HYPERLINK("https://mebel-soyuz.com.ua/komod-kom-4s-90-dzhuli.html","2098")</f>
        <v>2098</v>
      </c>
      <c r="H16" s="175" t="str">
        <f aca="false">HYPERLINK("https://mebel-soyuz.com.ua/shkaf-szf3d2s-porto.html","5377")</f>
        <v>5377</v>
      </c>
      <c r="I16" s="175" t="str">
        <f aca="false">HYPERLINK("https://mebel-soyuz.com.ua/473.html","5683")</f>
        <v>5683</v>
      </c>
      <c r="J16" s="176" t="str">
        <f aca="false">HYPERLINK("https://mebel-soyuz.com.ua/8687.html","3002")</f>
        <v>3002</v>
      </c>
      <c r="K16" s="175" t="str">
        <f aca="false">HYPERLINK("https://mebel-soyuz.com.ua/8926.html","1963")</f>
        <v>1963</v>
      </c>
      <c r="L16" s="175" t="str">
        <f aca="false">HYPERLINK("https://mebel-soyuz.com.ua/10995.html","7644")</f>
        <v>7644</v>
      </c>
      <c r="M16" s="175" t="str">
        <f aca="false">HYPERLINK("https://mebel-soyuz.com.ua/gostinaya-kvatro.html","3007")</f>
        <v>3007</v>
      </c>
      <c r="N16" s="175" t="str">
        <f aca="false">HYPERLINK("https://mebel-soyuz.com.ua/3933.html","4195")</f>
        <v>4195</v>
      </c>
    </row>
    <row r="17" customFormat="false" ht="33.75" hidden="false" customHeight="true" outlineLevel="0" collapsed="false">
      <c r="A17" s="78" t="s">
        <v>36</v>
      </c>
      <c r="B17" s="147" t="s">
        <v>128</v>
      </c>
      <c r="C17" s="188" t="n">
        <v>3343</v>
      </c>
      <c r="D17" s="176" t="str">
        <f aca="false">HYPERLINK("https://sofino.ua/brw-ukraina-komod-kom4s811-acteka/g-95386","3924")</f>
        <v>3924</v>
      </c>
      <c r="E17" s="176" t="str">
        <f aca="false">HYPERLINK("https://sofino.ua/brw-ukraina-komod-jkom4s80-indiana/g-40903","3562")</f>
        <v>3562</v>
      </c>
      <c r="F17" s="176" t="str">
        <f aca="false">HYPERLINK("https://sofino.ua/brw-ukraina-stol-pismennyjj-jbiu2d2s140-indiana/g-40899","5158")</f>
        <v>5158</v>
      </c>
      <c r="G17" s="176" t="str">
        <f aca="false">HYPERLINK("https://sofino.ua/brw-ukraina-komod-kom4s90-dzhuli-akacija-mali-bronz/g-40377","2098")</f>
        <v>2098</v>
      </c>
      <c r="H17" s="176" t="str">
        <f aca="false">HYPERLINK("https://sofino.ua/brw-ukraina-shkaf-platjanojj-szf3d2s-porto-dzhanni-sosna-lariko/g-264368","5377")</f>
        <v>5377</v>
      </c>
      <c r="I17" s="202" t="str">
        <f aca="false">HYPERLINK("https://sofino.ua/gerbor-komod-8s-sonata/g-19192","5654")</f>
        <v>5654</v>
      </c>
      <c r="J17" s="179" t="str">
        <f aca="false">HYPERLINK("https://sofino.ua/brw-ukraina-stol-pismennyjj-biu-1d1s-kaspian/g-264409","3002")</f>
        <v>3002</v>
      </c>
      <c r="K17" s="176" t="str">
        <f aca="false">HYPERLINK("https://sofino.ua/gerbor-prikhozhaja-ppk-nepo/g-287089","2099")</f>
        <v>2099</v>
      </c>
      <c r="L17" s="176" t="str">
        <f aca="false">HYPERLINK("https://sofino.ua/brw-ukraina-stenka-aljaska-belyjj-gljanec/g-454107","7644")</f>
        <v>7644</v>
      </c>
      <c r="M17" s="176" t="str">
        <f aca="false">HYPERLINK("https://sofino.ua/gerbor-stenka-s-podsvetkojj-kvatro/g-18955","3470")</f>
        <v>3470</v>
      </c>
      <c r="N17" s="176" t="str">
        <f aca="false">HYPERLINK("https://sofino.ua/gerbor-bufet-kom1w2d2s-s-podsvetkojj-vusher/g-176785","4483")</f>
        <v>4483</v>
      </c>
    </row>
    <row r="18" customFormat="false" ht="54.75" hidden="false" customHeight="true" outlineLevel="0" collapsed="false">
      <c r="A18" s="78" t="s">
        <v>37</v>
      </c>
      <c r="B18" s="147" t="s">
        <v>139</v>
      </c>
      <c r="C18" s="187"/>
      <c r="D18" s="175" t="str">
        <f aca="false">HYPERLINK("https://www.brw-kiev.com.ua/catalog/mebel/azteca-komod-kom4s_8_11-000004816.html","3929")</f>
        <v>3929</v>
      </c>
      <c r="E18" s="175" t="str">
        <f aca="false">HYPERLINK("https://www.brw-kiev.com.ua/catalog/mebel/indiana-komod-jkom4s_80-000000261.html","3569")</f>
        <v>3569</v>
      </c>
      <c r="F18" s="175" t="str">
        <f aca="false">HYPERLINK("https://www.brw-kiev.com.ua/catalog/mebel/indiana-stil_pis_moviy-jbiu2d2s-000000254.html","5159")</f>
        <v>5159</v>
      </c>
      <c r="G18" s="175" t="str">
        <f aca="false">HYPERLINK("https://www.brw-kiev.com.ua/catalog/mebel/july-komod-kom4s_90-000005407.html","2099")</f>
        <v>2099</v>
      </c>
      <c r="H18" s="175" t="str">
        <f aca="false">HYPERLINK("https://www.brw-kiev.com.ua/catalog/mebel/porto-shafa-szf3d2s-000006440.html","5379")</f>
        <v>5379</v>
      </c>
      <c r="I18" s="189"/>
      <c r="J18" s="176" t="str">
        <f aca="false">HYPERLINK("https://www.brw-kiev.com.ua/catalog/mebel/kaspian-stil_pis_moviy-biu1d1s_120-000006188.html","3009")</f>
        <v>3009</v>
      </c>
      <c r="K18" s="176" t="str">
        <f aca="false">HYPERLINK("https://www.brw-kiev.com.ua/catalog/mebel/prihozhaya/nepo-peredpokiy-ppk-000006567.html?sphrase_id=84980","1969")</f>
        <v>1969</v>
      </c>
      <c r="L18" s="176" t="str">
        <f aca="false">HYPERLINK("https://www.brw-kiev.com.ua/catalog/mebel/gostinaya/stinki-vital_nya-alaska-000006901.html?sphrase_id=84981","7649")</f>
        <v>7649</v>
      </c>
      <c r="M18" s="187"/>
      <c r="N18" s="187"/>
    </row>
    <row r="19" customFormat="false" ht="38.25" hidden="false" customHeight="true" outlineLevel="0" collapsed="false">
      <c r="A19" s="78" t="s">
        <v>25</v>
      </c>
      <c r="B19" s="157" t="s">
        <v>172</v>
      </c>
      <c r="C19" s="175" t="str">
        <f aca="false">HYPERLINK("https://brw.kiev.ua/mebel-brw-ukraina/azteca/tumba-tv-rtv2d2s-azteca-brv/","3343")</f>
        <v>3343</v>
      </c>
      <c r="D19" s="175" t="str">
        <f aca="false">HYPERLINK("https://brw.kiev.ua/mebel-brw-ukraina/azteca/komod-kom4s-azteca-brv/","3924")</f>
        <v>3924</v>
      </c>
      <c r="E19" s="175" t="str">
        <f aca="false">HYPERLINK("https://brw.kiev.ua/mebel-brw-ukraina/indiana-kanjon/komod-jkom4s80-indiana-brv-kanjon/","3562")</f>
        <v>3562</v>
      </c>
      <c r="F19" s="175" t="str">
        <f aca="false">HYPERLINK("https://brw.kiev.ua/mebel-brw-ukraina/indiana-shutter/stol-pismennyy-jbiu2d2s140-indiana-brv-shutter/","5158")</f>
        <v>5158</v>
      </c>
      <c r="G19" s="175" t="str">
        <f aca="false">HYPERLINK("https://brw.kiev.ua/mebel-brw-ukraina/july/komod-kom4s90-july-brv/","2098")</f>
        <v>2098</v>
      </c>
      <c r="H19" s="175" t="str">
        <f aca="false">HYPERLINK("https://brw.kiev.ua/mebel-brw-ukraina/porto/shkaf-szf3d2s-porto-brv/","5377")</f>
        <v>5377</v>
      </c>
      <c r="I19" s="175" t="str">
        <f aca="false">HYPERLINK("https://brw.kiev.ua/mebel-gerbor/sonata/komod-8s-sonata-gerbor/","5683")</f>
        <v>5683</v>
      </c>
      <c r="J19" s="175" t="str">
        <f aca="false">HYPERLINK("https://brw.kiev.ua/mebel-brw-ukraina/kaspian-venge/stol-pismennyy-biu1d1s-kaspian-brv-venge/","3002")</f>
        <v>3002</v>
      </c>
      <c r="K19" s="175" t="str">
        <f aca="false">HYPERLINK("https://brw.kiev.ua/mebel-gerbor/nepo/prikhozhaya-ppk-nepo-gerbor/","1963")</f>
        <v>1963</v>
      </c>
      <c r="L19" s="175" t="str">
        <f aca="false">HYPERLINK("https://brw.kiev.ua/mebel-brw-ukraina/alaska/stenka-alaska-brv/","7644")</f>
        <v>7644</v>
      </c>
      <c r="M19" s="187"/>
      <c r="N19" s="175" t="str">
        <f aca="false">HYPERLINK("https://brw.kiev.ua/mebel-gerbor/vusher/komod-kom1w2d2s-vusher-gerbor/","4195")</f>
        <v>4195</v>
      </c>
    </row>
    <row r="20" customFormat="false" ht="15.75" hidden="false" customHeight="true" outlineLevel="0" collapsed="false">
      <c r="A20" s="78" t="s">
        <v>123</v>
      </c>
      <c r="B20" s="160" t="s">
        <v>141</v>
      </c>
      <c r="C20" s="187"/>
      <c r="D20" s="187"/>
      <c r="E20" s="187"/>
      <c r="F20" s="187"/>
      <c r="G20" s="187"/>
      <c r="H20" s="187"/>
      <c r="I20" s="187"/>
      <c r="J20" s="187"/>
      <c r="K20" s="187"/>
      <c r="L20" s="187"/>
      <c r="M20" s="187"/>
      <c r="N20" s="187"/>
    </row>
    <row r="21" customFormat="false" ht="25.5" hidden="false" customHeight="true" outlineLevel="0" collapsed="false">
      <c r="A21" s="78" t="s">
        <v>124</v>
      </c>
      <c r="B21" s="147" t="s">
        <v>139</v>
      </c>
      <c r="C21" s="202" t="str">
        <f aca="false">HYPERLINK("https://mebelstyle.net/tumby-pod-tv/tumba-pod-tv-brw-ukraina-azteca-rtv2d2s415-82546.html","3294")</f>
        <v>3294</v>
      </c>
      <c r="D21" s="202" t="str">
        <f aca="false">HYPERLINK("https://mebelstyle.net/komody/komod-brw-ukraina-azteca-kom4s811-82553.html","3735")</f>
        <v>3735</v>
      </c>
      <c r="E21" s="202" t="str">
        <f aca="false">HYPERLINK("https://mebelstyle.net/komody/komod-brw-ukraina-indiana-011-jkom4s80-1274.html","3442")</f>
        <v>3442</v>
      </c>
      <c r="F21" s="203" t="str">
        <f aca="false">HYPERLINK("https://mebelstyle.net/ofisnye-stoly/pismennyj-stol-brw-ukraina-indiana-007-jbiu2d2s-1255.html","4979")</f>
        <v>4979</v>
      </c>
      <c r="G21" s="187"/>
      <c r="H21" s="187"/>
      <c r="I21" s="202" t="str">
        <f aca="false">HYPERLINK("https://mebelstyle.net/komody/komod-gerbor-sonata-s-015-8s-38625.html","5125")</f>
        <v>5125</v>
      </c>
      <c r="J21" s="203" t="str">
        <f aca="false">HYPERLINK("https://mebelstyle.net/ofisnye-stoly/ofisnyj-stol-brw-ukraina-kaspian-007-biu1d1s-58596.html","2783")</f>
        <v>2783</v>
      </c>
      <c r="K21" s="202" t="str">
        <f aca="false">HYPERLINK("https://mebelstyle.net/prikhozhie/prikhozhaja-gerbor-nepo-ppk-83649.html","1808")</f>
        <v>1808</v>
      </c>
      <c r="L21" s="187"/>
      <c r="M21" s="202" t="str">
        <f aca="false">HYPERLINK("https://mebelstyle.net/gostinye/gostinaja-gerbor-kvatro-venge-56219.html","2840")</f>
        <v>2840</v>
      </c>
      <c r="N21" s="202" t="str">
        <f aca="false">HYPERLINK("https://mebelstyle.net/komody/komod-gerbor-vusher-kom-1w2d2s-83553.html","4022")</f>
        <v>4022</v>
      </c>
    </row>
    <row r="22" customFormat="false" ht="34.5" hidden="false" customHeight="true" outlineLevel="0" collapsed="false">
      <c r="A22" s="78" t="s">
        <v>38</v>
      </c>
      <c r="B22" s="147" t="s">
        <v>139</v>
      </c>
      <c r="C22" s="175" t="str">
        <f aca="false">HYPERLINK("https://lvivmebli.com/13319/","3900")</f>
        <v>3900</v>
      </c>
      <c r="D22" s="175" t="str">
        <f aca="false">HYPERLINK("https://lvivmebli.com/13320/","4675")</f>
        <v>4675</v>
      </c>
      <c r="E22" s="175" t="str">
        <f aca="false">HYPERLINK("https://lvivmebli.com/5030/","4255")</f>
        <v>4255</v>
      </c>
      <c r="F22" s="175" t="str">
        <f aca="false">HYPERLINK("https://lvivmebli.com/5039/","5911")</f>
        <v>5911</v>
      </c>
      <c r="G22" s="175" t="str">
        <f aca="false">HYPERLINK("https://lvivmebli.com/11483/","2300")</f>
        <v>2300</v>
      </c>
      <c r="H22" s="175" t="str">
        <f aca="false">HYPERLINK("https://lvivmebli.com/18473/","6800")</f>
        <v>6800</v>
      </c>
      <c r="I22" s="187"/>
      <c r="J22" s="189"/>
      <c r="K22" s="187"/>
      <c r="L22" s="187"/>
      <c r="M22" s="187"/>
      <c r="N22" s="187"/>
    </row>
    <row r="23" customFormat="false" ht="36.75" hidden="false" customHeight="true" outlineLevel="0" collapsed="false">
      <c r="A23" s="78" t="s">
        <v>39</v>
      </c>
      <c r="B23" s="157" t="s">
        <v>173</v>
      </c>
      <c r="C23" s="175" t="str">
        <f aca="false">HYPERLINK("http://centrmebliv.com.ua/modulni-mebli/brw-azteca/mebli-brw-brv-azteca-tumba-rtv2d2s?keyword=%D0%B0%D1%86%D1%82%D0%B5%D0%BA%D0%B0","3343")</f>
        <v>3343</v>
      </c>
      <c r="D23" s="175" t="str">
        <f aca="false">HYPERLINK("http://centrmebliv.com.ua/modulni-mebli/brw-azteca/mebli-brw-brv-azteca-komod-4s?keyword=%D0%B0%D1%86%D1%82%D0%B5%D0%BA%D0%B0","3924")</f>
        <v>3924</v>
      </c>
      <c r="E23" s="175" t="str">
        <f aca="false">HYPERLINK("http://centrmebliv.com.ua/mebli-dlya-spalni/komody/mebli-brw-brv-indiana-komod-jkom4s_80?keyword=%D1%96%D0%BD%D0%B4%D1%96%D0%B0%D0%BD%D0%B0","3562")</f>
        <v>3562</v>
      </c>
      <c r="F23" s="175" t="str">
        <f aca="false">HYPERLINK("http://centrmebliv.com.ua/modulni-mebli/brw-ukrayina-indiana/mebli-brw-brv-indiana-stil-pysmovyy-jbiu2d2s_140?keyword=%D1%96%D0%BD%D0%B4%D1%96%D0%B0%D0%BD%D0%B0","5158")</f>
        <v>5158</v>
      </c>
      <c r="G23" s="175" t="str">
        <f aca="false">HYPERLINK("http://centrmebliv.com.ua/spalni/komody/mebli-brw-brv-july-komod-kom4s/90?keyword=july","2098")</f>
        <v>2098</v>
      </c>
      <c r="H23" s="175" t="str">
        <f aca="false">HYPERLINK("http://centrmebliv.com.ua/modulni-mebli/brw-ukrayina-porto/mebli-brw-brv-porto-shafa-dlya-odyagu-sf3d2s?keyword=szf3d2s","5377")</f>
        <v>5377</v>
      </c>
      <c r="I23" s="175" t="str">
        <f aca="false">HYPERLINK("http://centrmebliv.com.ua/mebli-dlya-spalni/komody/mebli-gerbor-gerbor-s-015-sonata-_komod-8/s?keyword=%D1%81%D0%BE%D0%BD%D0%B0%D1%82%D0%B0","5683")</f>
        <v>5683</v>
      </c>
      <c r="J23" s="175" t="str">
        <f aca="false">HYPERLINK("http://centrmebliv.com.ua/ofisni-mebli/ofisni-stoly-vid-modulnyh-system/gerbor/brw-kaspian-stil-pysmovyy-biu-1d1s-120?keyword=%D0%BA%D0%B0%D1%81%D0%BF%D1%96%D0%B0%D0%BD","3002")</f>
        <v>3002</v>
      </c>
      <c r="K23" s="187"/>
      <c r="L23" s="187"/>
      <c r="M23" s="175" t="str">
        <f aca="false">HYPERLINK("http://centrmebliv.com.ua/mebli-dlya-vitalni/stinky/mebli-gerbor-gerbor-kvatro","3007")</f>
        <v>3007</v>
      </c>
      <c r="N23" s="175" t="str">
        <f aca="false">HYPERLINK("http://centrmebliv.com.ua/spalni/komody/mebli-gerbor-gerbor-voucher-komod-kom1w2d2s?keyword=%D0%B2%D1%83%D1%88%D0%B5%D1%80","4195")</f>
        <v>4195</v>
      </c>
    </row>
    <row r="24" customFormat="false" ht="27" hidden="false" customHeight="true" outlineLevel="0" collapsed="false">
      <c r="A24" s="78" t="s">
        <v>40</v>
      </c>
      <c r="B24" s="147" t="s">
        <v>139</v>
      </c>
      <c r="C24" s="175" t="str">
        <f aca="false">HYPERLINK("https://letromebel.com.ua/p566111870-tumba-rtv2d2s415-atsteka.html","3343")</f>
        <v>3343</v>
      </c>
      <c r="D24" s="175" t="str">
        <f aca="false">HYPERLINK("https://letromebel.com.ua/p566126810-komod-kom4s811-atsteka.html","3924")</f>
        <v>3924</v>
      </c>
      <c r="E24" s="175" t="str">
        <f aca="false">HYPERLINK("https://letromebel.com.ua/p566921861-komod-jkom4s80-indiana.html","3562")</f>
        <v>3562</v>
      </c>
      <c r="F24" s="175" t="str">
        <f aca="false">HYPERLINK("https://letromebel.com.ua/p566921329-stol-pismennyj-jbiu2d2s140.html","5158")</f>
        <v>5158</v>
      </c>
      <c r="G24" s="175" t="str">
        <f aca="false">HYPERLINK("https://letromebel.com.ua/p445989920-komod-kom-dzhuli.html","2098")</f>
        <v>2098</v>
      </c>
      <c r="H24" s="175" t="str">
        <f aca="false">HYPERLINK("https://letromebel.com.ua/p567177190-shkaf-szf3d2s-porto.html","5377")</f>
        <v>5377</v>
      </c>
      <c r="I24" s="187"/>
      <c r="J24" s="187"/>
      <c r="K24" s="186" t="str">
        <f aca="false">HYPERLINK("https://letromebel.com.ua/p441285622-prihozhaya-ppk-nepo.html","1963")</f>
        <v>1963</v>
      </c>
      <c r="L24" s="175" t="str">
        <f aca="false">HYPERLINK("https://letromebel.com.ua/p822866700-stenka-gostinuyu-alyaska.html","7644")</f>
        <v>7644</v>
      </c>
      <c r="M24" s="176" t="str">
        <f aca="false">HYPERLINK("https://letromebel.com.ua/p436378844-stenka-kvatro-venge.html","3007")</f>
        <v>3007</v>
      </c>
      <c r="N24" s="175" t="str">
        <f aca="false">HYPERLINK("https://letromebel.com.ua/p332640892-bufet-kom1w2d2s-vusher.html","4195")</f>
        <v>4195</v>
      </c>
    </row>
    <row r="25" customFormat="false" ht="27" hidden="false" customHeight="true" outlineLevel="0" collapsed="false">
      <c r="A25" s="78" t="s">
        <v>26</v>
      </c>
      <c r="B25" s="147" t="s">
        <v>139</v>
      </c>
      <c r="C25" s="175" t="str">
        <f aca="false">HYPERLINK("https://shurup.net.ua/azteca-acteka-tumba-rtv2d2s415.p17205","3343")</f>
        <v>3343</v>
      </c>
      <c r="D25" s="175" t="str">
        <f aca="false">HYPERLINK("https://shurup.net.ua/azteca-acteka-komod-kom4s811.p17200","3924")</f>
        <v>3924</v>
      </c>
      <c r="E25" s="175" t="str">
        <f aca="false">HYPERLINK("https://shurup.net.ua/komod-jkom-4s80-indiana-sosna-kanon.p9412","3562")</f>
        <v>3562</v>
      </c>
      <c r="F25" s="175" t="str">
        <f aca="false">HYPERLINK("https://shurup.net.ua/stol-pismennyj-jbiu-2d2s-140-indiana-dub-shutter.p5488","5158")</f>
        <v>5158</v>
      </c>
      <c r="G25" s="175" t="str">
        <f aca="false">HYPERLINK("https://shurup.net.ua/komod-kom-4s-90-dzhuli.p7011","2098")</f>
        <v>2098</v>
      </c>
      <c r="H25" s="175" t="str">
        <f aca="false">HYPERLINK("https://shurup.net.ua/shkaf-szf3d2s-porto.p24169","5377")</f>
        <v>5377</v>
      </c>
      <c r="I25" s="175" t="str">
        <f aca="false">HYPERLINK("https://shurup.net.ua/komod-8s-sonata.p1034","5683")</f>
        <v>5683</v>
      </c>
      <c r="J25" s="202" t="str">
        <f aca="false">HYPERLINK("https://shurup.net.ua/stol-pismennyj-biu-1d1s-120-kaspian-dub-sonoma.p6492","2979")</f>
        <v>2979</v>
      </c>
      <c r="K25" s="175" t="str">
        <f aca="false">HYPERLINK("https://shurup.net.ua/prihozhaya-rrk-nepo.p13611","1963")</f>
        <v>1963</v>
      </c>
      <c r="L25" s="175" t="str">
        <f aca="false">HYPERLINK("https://shurup.net.ua/gostinaja-aljaska.p28551","7644")</f>
        <v>7644</v>
      </c>
      <c r="M25" s="175" t="str">
        <f aca="false">HYPERLINK("https://shurup.net.ua/gostinaya-kvatro-venge-magiya.p836","3007")</f>
        <v>3007</v>
      </c>
      <c r="N25" s="175" t="str">
        <f aca="false">HYPERLINK("https://shurup.net.ua/komod-kom1w2d2s-9-15-vusher.p1953","4195")</f>
        <v>4195</v>
      </c>
    </row>
    <row r="26" customFormat="false" ht="36.75" hidden="false" customHeight="true" outlineLevel="0" collapsed="false">
      <c r="A26" s="105" t="s">
        <v>41</v>
      </c>
      <c r="B26" s="206" t="s">
        <v>139</v>
      </c>
      <c r="C26" s="76"/>
      <c r="D26" s="76"/>
      <c r="E26" s="76"/>
      <c r="F26" s="76"/>
      <c r="G26" s="76"/>
      <c r="H26" s="76"/>
      <c r="I26" s="76"/>
      <c r="J26" s="76"/>
      <c r="K26" s="193" t="str">
        <f aca="false">HYPERLINK("https://www.taburetka.ua/prihozhie-40/prihozhaya-ppk-nepo-2914","2000")</f>
        <v>2000</v>
      </c>
      <c r="L26" s="76"/>
      <c r="M26" s="179" t="str">
        <f aca="false">HYPERLINK("https://www.taburetka.ua/gostinye-600/gostinaya-kvatro-2834","3060")</f>
        <v>3060</v>
      </c>
      <c r="N26" s="179" t="str">
        <f aca="false">HYPERLINK("https://www.taburetka.ua/komody-i-tumby-35/komod-kom1w2d2s-vusher-2974","4245")</f>
        <v>4245</v>
      </c>
    </row>
    <row r="27" customFormat="false" ht="37.5" hidden="false" customHeight="true" outlineLevel="0" collapsed="false">
      <c r="A27" s="106" t="s">
        <v>42</v>
      </c>
      <c r="B27" s="206" t="s">
        <v>139</v>
      </c>
      <c r="C27" s="175" t="str">
        <f aca="false">HYPERLINK("http://www.maxidom.com.ua/tumba-rtv-atsteka-2d2s415.html?search_string=%D2%F3%EC%E1%E0+%D0%D2%C2+%C0%F6%F2%E5%EA%E0+2D2S%2F4%2F15","3343")</f>
        <v>3343</v>
      </c>
      <c r="D27" s="193" t="str">
        <f aca="false">HYPERLINK("http://www.maxidom.com.ua/komod-atsteka-kom4s811.html?search_string=%CA%EE%EC%EE%E4+%C0%F6%F2%E5%EA%E0+KOM4S%2F8%2F11","3924")</f>
        <v>3924</v>
      </c>
      <c r="E27" s="193" t="str">
        <f aca="false">HYPERLINK("http://www.maxidom.com.ua/komod_indiana_jkom4s80.html?search_string=%CA%EE%EC%EE%E4+%C8%ED%E4%E8%E0%ED%E0+JKOM4s%2F80","3562")</f>
        <v>3562</v>
      </c>
      <c r="F27" s="193" t="str">
        <f aca="false">HYPERLINK("http://www.maxidom.com.ua/stol_pismenniy_indiana_jbiu2d2s.html?search_string=%D1%F2%EE%EB+%EF%E8%F1%FC%EC%E5%ED%ED%FB%E9+%C8%ED%E4%E8%E0%ED%E0+JBIU2d2s","5158")</f>
        <v>5158</v>
      </c>
      <c r="G27" s="193" t="str">
        <f aca="false">HYPERLINK("http://www.maxidom.com.ua/komod-kom4s90-dzhuli.html?search_string=%CA%EE%EC%EE%E4+KOM4S%2F90+%C4%E6%F3%EB%E8","2098")</f>
        <v>2098</v>
      </c>
      <c r="H27" s="193" t="str">
        <f aca="false">HYPERLINK("http://www.maxidom.com.ua/shkaf-porto-porto-szf3d2s.html?search_string=%D8%EA%E0%F4+%CF%EE%F0%F2%EE+%28Porto%29+SZF3D2S","5377")</f>
        <v>5377</v>
      </c>
      <c r="I27" s="193" t="str">
        <f aca="false">HYPERLINK("http://www.maxidom.com.ua/komod-sonata-8s.html?search_string=%CA%EE%EC%EE%E4+%D1%EE%ED%E0%F2%E0+8s","5683")</f>
        <v>5683</v>
      </c>
      <c r="J27" s="193" t="str">
        <f aca="false">HYPERLINK("http://www.maxidom.com.ua/stol-pismenniy-biu-1d1s-kaspian-kaspian.html?search_string=%D1%F2%EE%EB+%EF%E8%F1%FC%EC%E5%ED%ED%FB%E9+BIU+1D1S+%CA%E0%F1%EF%E8%E0%ED+%28Kaspian%29","3002")</f>
        <v>3002</v>
      </c>
      <c r="K27" s="193" t="str">
        <f aca="false">HYPERLINK("http://www.maxidom.com.ua/prihozhaya-nepo-ppk.html?search_string=%CF%F0%E8%F5%EE%E6%E0%FF+%CD%E5%EF%EE+PPK","1963")</f>
        <v>1963</v>
      </c>
      <c r="L27" s="193" t="str">
        <f aca="false">HYPERLINK("http://www.maxidom.com.ua/stenka-alyaska.html?search_string=%D1%F2%E5%ED%EA%E0+%C0%EB%FF%F1%EA%E0","7644")</f>
        <v>7644</v>
      </c>
      <c r="M27" s="179" t="str">
        <f aca="false">HYPERLINK("http://www.maxidom.com.ua/stenka-kvatro.html?search_string=%D1%F2%E5%ED%EA%E0+%CA%E2%E0%F2%F0%EE","3007")</f>
        <v>3007</v>
      </c>
      <c r="N27" s="179" t="str">
        <f aca="false">HYPERLINK("http://www.maxidom.com.ua/komod-kom-1w2d2s-vusher.html?search_string=%CA%EE%EC%EE%E4+KOM+1W2D2S+%C2%F3%F8%E5%F0","4195")</f>
        <v>4195</v>
      </c>
    </row>
    <row r="28" customFormat="false" ht="42" hidden="false" customHeight="true" outlineLevel="0" collapsed="false">
      <c r="A28" s="106" t="s">
        <v>27</v>
      </c>
      <c r="B28" s="118" t="s">
        <v>174</v>
      </c>
      <c r="C28" s="175" t="str">
        <f aca="false">HYPERLINK("https://mebel-online.com.ua/tymba-rtv2d2s-4-15-azteca?filter_name=azteca","3343")</f>
        <v>3343</v>
      </c>
      <c r="D28" s="193" t="str">
        <f aca="false">HYPERLINK("https://mebel-online.com.ua/komod-kom4s-8-11-azteca?filter_name=azteca","3924")</f>
        <v>3924</v>
      </c>
      <c r="E28" s="179" t="str">
        <f aca="false">HYPERLINK("https://mebel-online.com.ua/p5228-komod_jkom_4s_80_indiana_brw?filter_name=%D0%B8%D0%BD%D0%B4%D0%B8%D0%B0%D0%BD%D0%B0","3562")</f>
        <v>3562</v>
      </c>
      <c r="F28" s="193" t="str">
        <f aca="false">HYPERLINK("https://mebel-online.com.ua/p5223-stol_pismenniy_jbiu_2d2s_140_indiana_brw?filter_name=%D0%B8%D0%BD%D0%B4%D0%B8%D0%B0%D0%BD%D0%B0","5158")</f>
        <v>5158</v>
      </c>
      <c r="G28" s="193" t="str">
        <f aca="false">HYPERLINK("https://mebel-online.com.ua/komod-kom4s-90-july?filter_name=july","2098")</f>
        <v>2098</v>
      </c>
      <c r="H28" s="193" t="str">
        <f aca="false">HYPERLINK("https://mebel-online.com.ua/shkaf-szf3d2s-porto?filter_name=SZF3D2S","5377")</f>
        <v>5377</v>
      </c>
      <c r="I28" s="193" t="str">
        <f aca="false">HYPERLINK("https://mebel-online.com.ua/p1728-gerbor_sonata_komod_8-s?filter_name=%D1%81%D0%BE%D0%BD%D0%B0%D1%82%D0%B0","5683")</f>
        <v>5683</v>
      </c>
      <c r="J28" s="194"/>
      <c r="K28" s="179" t="str">
        <f aca="false">HYPERLINK("https://mebel-online.com.ua/prihozhaya-gerbor-ppk-nepo?filter_name=%D0%BD%D0%B5%D0%BF%D0%BE","1963")</f>
        <v>1963</v>
      </c>
      <c r="L28" s="193" t="str">
        <f aca="false">HYPERLINK("https://mebel-online.com.ua/stenka-aliaska-brw%20?filter_name=%D0%B0%D0%BB%D1%8F%D1%81%D0%BA%D0%B0","7644")</f>
        <v>7644</v>
      </c>
      <c r="M28" s="179" t="str">
        <f aca="false">HYPERLINK("https://mebel-online.com.ua/stenka-kvatro-gerbor?filter_name=%D0%BA%D0%B2%D0%B0%D1%82%D1%80%D0%BE","3007")</f>
        <v>3007</v>
      </c>
      <c r="N28" s="179" t="str">
        <f aca="false">HYPERLINK("https://mebel-online.com.ua/komod-kom-1w2d2s-vusher-gerbor?filter_name=%D0%B2%D1%83%D1%88%D0%B5%D1%80","4195")</f>
        <v>4195</v>
      </c>
    </row>
    <row r="29" customFormat="false" ht="15.75" hidden="false" customHeight="true" outlineLevel="0" collapsed="false">
      <c r="A29" s="105" t="s">
        <v>147</v>
      </c>
      <c r="B29" s="146"/>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s://www.brw-kiev.com.ua/"/>
    <hyperlink ref="A19" r:id="rId22" display="https://brw.kiev.ua/"/>
    <hyperlink ref="A20" r:id="rId23" display="http://brw.com.ua/"/>
    <hyperlink ref="A21" r:id="rId24" display="https://mebelstyle.net/"/>
    <hyperlink ref="A22" r:id="rId25" display="https://lvivmebli.com/"/>
    <hyperlink ref="A23" r:id="rId26" display="http://centrmebliv.com.ua/"/>
    <hyperlink ref="A24" r:id="rId27" display="https://letromebel.com.ua/"/>
    <hyperlink ref="A25" r:id="rId28" display="https://shurup.net.ua/"/>
    <hyperlink ref="A26" r:id="rId29" display="https://www.taburetka.ua"/>
    <hyperlink ref="A27" r:id="rId30" display="http://www.maxidom.com.ua/"/>
    <hyperlink ref="A28" r:id="rId31" display="https://mebel-online.com.ua"/>
    <hyperlink ref="A29" r:id="rId32"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196" t="s">
        <v>150</v>
      </c>
      <c r="B2" s="146"/>
      <c r="C2" s="172" t="n">
        <v>3343</v>
      </c>
      <c r="D2" s="172" t="n">
        <v>3924</v>
      </c>
      <c r="E2" s="172" t="n">
        <v>3562</v>
      </c>
      <c r="F2" s="172" t="n">
        <v>5158</v>
      </c>
      <c r="G2" s="172" t="n">
        <v>2098</v>
      </c>
      <c r="H2" s="172" t="n">
        <v>5377</v>
      </c>
      <c r="I2" s="172" t="n">
        <v>5683</v>
      </c>
      <c r="J2" s="172" t="n">
        <v>3002</v>
      </c>
      <c r="K2" s="173" t="n">
        <v>1963</v>
      </c>
      <c r="L2" s="173" t="n">
        <v>7644</v>
      </c>
      <c r="M2" s="173" t="n">
        <v>3007</v>
      </c>
      <c r="N2" s="173" t="n">
        <v>4195</v>
      </c>
    </row>
    <row r="3" customFormat="false" ht="48" hidden="false" customHeight="true" outlineLevel="0" collapsed="false">
      <c r="A3" s="78" t="s">
        <v>28</v>
      </c>
      <c r="B3" s="147" t="s">
        <v>128</v>
      </c>
      <c r="C3" s="174" t="str">
        <f aca="false">HYPERLINK("https://brwmania.com.ua/gostinaja/modulnye-gostinye/sistema-azteka/tumba-pod-tv-acteka-rtv2d2s415/","3343")</f>
        <v>3343</v>
      </c>
      <c r="D3" s="174" t="str">
        <f aca="false">HYPERLINK("https://brwmania.com.ua/gostinaja/modulnye-gostinye/sistema-azteka/komod-acteka-kom4s811/","3924")</f>
        <v>3924</v>
      </c>
      <c r="E3" s="174" t="str">
        <f aca="false">HYPERLINK("https://brwmania.com.ua/gostinaja/modulnye-gostinye/sistema-indiana-indiana---dub-shuter/indiana-dub-shuter-laminat-j-011-komod-jkom-4s-80/","3562")</f>
        <v>3562</v>
      </c>
      <c r="F3" s="174" t="str">
        <f aca="false">HYPERLINK("https://brwmania.com.ua/gostinaja/modulnye-gostinye/sistema-indiana-indiana---dub-shuter/indiana-dub-shuter-laminat-j-007-stol-pismennyy-jbiu-2d2s-140/","5158")</f>
        <v>5158</v>
      </c>
      <c r="G3" s="174" t="str">
        <f aca="false">HYPERLINK("https://brwmania.com.ua/gostinaja/modulnye-gostinye/sistema_dzhuli/komod-dzhuli-july-kom4s-90/","2098")</f>
        <v>2098</v>
      </c>
      <c r="H3" s="174" t="str">
        <f aca="false">HYPERLINK("https://brwmania.com.ua/gostinaja/modulnye-gostinye/tovar-novij/shkaf-platjanoj-porto-szf3d2s/","5377")</f>
        <v>5377</v>
      </c>
      <c r="I3" s="174" t="str">
        <f aca="false">HYPERLINK("https://brwmania.com.ua/gostinaja/modulnye-gostinye/sistema-sonata-sonata/s-015-sonata-komod-8-s/","5683")</f>
        <v>5683</v>
      </c>
      <c r="J3" s="174" t="str">
        <f aca="false">HYPERLINK("https://brwmania.com.ua/gostinaja/modulnye-gostinye/sistema_kaspian_dub_sonoma/kaspian-dub-sonoma-jm-007-stol-pismennyy-biu-1d1s/","3002")</f>
        <v>3002</v>
      </c>
      <c r="K3" s="174" t="str">
        <f aca="false">HYPERLINK("https://brwmania.com.ua/gostinaja/modulnye-gostinye/sistema_nepo/gerbor-gerbor-prihozhaya-nepo-nepo-ppk-dub-sonoma/","1963")</f>
        <v>1963</v>
      </c>
      <c r="L3" s="174" t="str">
        <f aca="false">HYPERLINK("https://brwmania.com.ua/gostinaja/komplekty-gostinyh/aljaska-alaska-gostinaja/","7644")</f>
        <v>7644</v>
      </c>
      <c r="M3" s="174" t="str">
        <f aca="false">HYPERLINK("https://brwmania.com.ua/gostinaja/komplekty-gostinyh/stinka-kvatro-venge-magia/","3007")</f>
        <v>3007</v>
      </c>
      <c r="N3" s="174" t="str">
        <f aca="false">HYPERLINK("https://brwmania.com.ua/gostinaja/modulnye-gostinye/sistema-vusher-vusher/010-vusher-komod-kom-1w2d2s/","4195")</f>
        <v>4195</v>
      </c>
    </row>
    <row r="4" customFormat="false" ht="60.75" hidden="false" customHeight="true" outlineLevel="0" collapsed="false">
      <c r="A4" s="78" t="s">
        <v>29</v>
      </c>
      <c r="B4" s="160" t="s">
        <v>162</v>
      </c>
      <c r="C4" s="120" t="str">
        <f aca="false">HYPERLINK("http://redlight.com.ua/tv-stands/item-tumba-tv-rtv2d2s-4-15-atsteka","3343")</f>
        <v>3343</v>
      </c>
      <c r="D4" s="175" t="str">
        <f aca="false">HYPERLINK("http://redlight.com.ua/komod/item-komod-kom4s-8-11-atsteka","3924")</f>
        <v>3924</v>
      </c>
      <c r="E4" s="175" t="str">
        <f aca="false">HYPERLINK("http://redlight.com.ua/komod/item-komod-jkom-4s-80-indiana","3562")</f>
        <v>3562</v>
      </c>
      <c r="F4" s="175" t="str">
        <f aca="false">HYPERLINK("http://redlight.com.ua/stoly/item-stol-pismenniy-jbiu-2d2s-indiana","5158")</f>
        <v>5158</v>
      </c>
      <c r="G4" s="175" t="str">
        <f aca="false">HYPERLINK("http://redlight.com.ua/komod/item-komod-kom4s-90-dzhuli","2098")</f>
        <v>2098</v>
      </c>
      <c r="H4" s="175" t="str">
        <f aca="false">HYPERLINK("http://redlight.com.ua/raspashnyye-shkafy/item-porto-shkaf-szf3d2s","5377")</f>
        <v>5377</v>
      </c>
      <c r="I4" s="175" t="str">
        <f aca="false">HYPERLINK("http://redlight.com.ua/komod/item-komod-8s-sonata-","5683")</f>
        <v>5683</v>
      </c>
      <c r="J4" s="176" t="str">
        <f aca="false">HYPERLINK("http://redlight.com.ua/stoly/item-kaspian-pismenniy-stol-biu-1d1s-120-kaspian","3002")</f>
        <v>3002</v>
      </c>
      <c r="K4" s="175" t="str">
        <f aca="false">HYPERLINK("http://redlight.com.ua/prihozhie/item-nepo-prihozhaya-rrk-","1963")</f>
        <v>1963</v>
      </c>
      <c r="L4" s="175" t="str">
        <f aca="false">HYPERLINK("http://redlight.com.ua/stenki/item-stenka-alyaska","7644")</f>
        <v>7644</v>
      </c>
      <c r="M4" s="175" t="str">
        <f aca="false">HYPERLINK("http://redlight.com.ua/stenki/item-stenka-kvatro","3007")</f>
        <v>3007</v>
      </c>
      <c r="N4" s="175" t="str">
        <f aca="false">HYPERLINK("http://redlight.com.ua/nightstand/item-tumba-kom-1w2d2s-9-15-vusher","4195")</f>
        <v>4195</v>
      </c>
    </row>
    <row r="5" customFormat="false" ht="63" hidden="false" customHeight="true" outlineLevel="0" collapsed="false">
      <c r="A5" s="78" t="s">
        <v>30</v>
      </c>
      <c r="B5" s="204" t="s">
        <v>163</v>
      </c>
      <c r="C5" s="175" t="str">
        <f aca="false">HYPERLINK("https://mebli-bristol.com.ua/acteka-tumba-rtv-2d2s-4-15-brv-ukraina.html","3343")</f>
        <v>3343</v>
      </c>
      <c r="D5" s="175" t="str">
        <f aca="false">HYPERLINK("https://mebli-bristol.com.ua/acteka-komod-kom-4s-8-11-brv-ukraina.html","3924")</f>
        <v>3924</v>
      </c>
      <c r="E5" s="175" t="str">
        <f aca="false">HYPERLINK("https://mebli-bristol.com.ua/indiana-komod-jkom-4s-80-sosna-kan-jon-brv-ukraina.html","3562")</f>
        <v>3562</v>
      </c>
      <c r="F5" s="175" t="str">
        <f aca="false">HYPERLINK("https://mebli-bristol.com.ua/indiana-stil-pis-movij-jbiu-2d2s-140-sosna-kan-jon-brv-ukraina.html","5158")</f>
        <v>5158</v>
      </c>
      <c r="G5" s="175" t="str">
        <f aca="false">HYPERLINK("https://mebli-bristol.com.ua/dzhuli-komod-kom-4s-90-brv-ukraina.html","2098")</f>
        <v>2098</v>
      </c>
      <c r="H5" s="175" t="str">
        <f aca="false">HYPERLINK("https://mebli-bristol.com.ua/porto-shafa-szf-3d2s-brv-ukraina.html","5377")</f>
        <v>5377</v>
      </c>
      <c r="I5" s="175" t="str">
        <f aca="false">HYPERLINK("https://mebli-bristol.com.ua/sonata-komod-8s-gerbor.html","5683")</f>
        <v>5683</v>
      </c>
      <c r="J5" s="175" t="str">
        <f aca="false">HYPERLINK("https://mebli-bristol.com.ua/kaspian-stil-pis-movij-biu-1d1s-120-dub-sonoma-brv-ukraina.html","3002")</f>
        <v>3002</v>
      </c>
      <c r="K5" s="175" t="str">
        <f aca="false">HYPERLINK("https://mebli-bristol.com.ua/nepo-peredpokij-ppk-gerbor-9728.html","1963")</f>
        <v>1963</v>
      </c>
      <c r="L5" s="175" t="str">
        <f aca="false">HYPERLINK("https://mebli-bristol.com.ua/aljaska-brv-ukraina.html","7644")</f>
        <v>7644</v>
      </c>
      <c r="M5" s="175" t="str">
        <f aca="false">HYPERLINK("https://mebli-bristol.com.ua/kvatro-gerbor.html","3007")</f>
        <v>3007</v>
      </c>
      <c r="N5" s="175" t="str">
        <f aca="false">HYPERLINK("https://mebli-bristol.com.ua/vusher-komod-kom-1w-2d2s-gerbor.html","4195")</f>
        <v>4195</v>
      </c>
    </row>
    <row r="6" customFormat="false" ht="60" hidden="false" customHeight="true" outlineLevel="0" collapsed="false">
      <c r="A6" s="78" t="s">
        <v>17</v>
      </c>
      <c r="B6" s="205" t="s">
        <v>164</v>
      </c>
      <c r="C6" s="179" t="str">
        <f aca="false">HYPERLINK("https://gerbor.kiev.ua/mebelnye-sistemy/mebel-brw-azteca/azteca-tumba-tv-rtv2d2s-brv/","3343")</f>
        <v>3343</v>
      </c>
      <c r="D6" s="175" t="str">
        <f aca="false">HYPERLINK("https://gerbor.kiev.ua/mebelnye-sistemy/mebel-brw-azteca/azteca-komod-kom4s-brv/","3924")</f>
        <v>3924</v>
      </c>
      <c r="E6" s="175" t="str">
        <f aca="false">HYPERLINK("https://gerbor.kiev.ua/mebelnye-sistemy/mebel-indiana-brw/indiana-komod-jkom4s80-brv/","3562")</f>
        <v>3562</v>
      </c>
      <c r="F6" s="175" t="str">
        <f aca="false">HYPERLINK("https://gerbor.kiev.ua/mebelnye-sistemy/mebel-indiana-brw/indiana-stol-pismennyy-jbiu2d2s140-brv/","5158")</f>
        <v>5158</v>
      </c>
      <c r="G6" s="175" t="str">
        <f aca="false">HYPERLINK("https://gerbor.kiev.ua/mebelnye-sistemy/mebel-july-brw/july-komod-kom4s90-brv/","2098")</f>
        <v>2098</v>
      </c>
      <c r="H6" s="175" t="str">
        <f aca="false">HYPERLINK("https://gerbor.kiev.ua/mebelnye-sistemy/mebel-porto-brv/porto-shkaf-szf3d2s-brv/","5377")</f>
        <v>5377</v>
      </c>
      <c r="I6" s="175" t="str">
        <f aca="false">HYPERLINK("https://gerbor.kiev.ua/mebelnye-sistemy/mebel-sonata-gerbor/sonata-komod-8s-gerbor/","5683")</f>
        <v>5683</v>
      </c>
      <c r="J6" s="175" t="str">
        <f aca="false">HYPERLINK("https://gerbor.kiev.ua/mebelnye-sistemy/mebel-kaspian-sonoma-brw/kaspian-sonoma-stol-pismennyy-biu1d1s-brv/","3002")</f>
        <v>3002</v>
      </c>
      <c r="K6" s="175" t="str">
        <f aca="false">HYPERLINK("https://gerbor.kiev.ua/mebelnye-sistemy/mebel-nepo-gerbor/nepo-prikhozhaya-ppk-gerbor/","1963")</f>
        <v>1963</v>
      </c>
      <c r="L6" s="175" t="str">
        <f aca="false">HYPERLINK("https://gerbor.kiev.ua/mebelnye-sistemy/mebel-alaska-brw/alaska-gostinaya-brw/","7644")</f>
        <v>7644</v>
      </c>
      <c r="M6" s="84"/>
      <c r="N6" s="175" t="str">
        <f aca="false">HYPERLINK("https://gerbor.kiev.ua/mebelnye-sistemy/mebel-vusher-gerbor/vusher-komod-kom1w2d2s-gerbor/","4195")</f>
        <v>4195</v>
      </c>
    </row>
    <row r="7" customFormat="false" ht="63" hidden="false" customHeight="true" outlineLevel="0" collapsed="false">
      <c r="A7" s="78" t="s">
        <v>18</v>
      </c>
      <c r="B7" s="207" t="s">
        <v>175</v>
      </c>
      <c r="C7" s="175" t="str">
        <f aca="false">HYPERLINK("http://www.brwland.com.ua/product/azteca-tumba-tv-rtv2d2s415-brv-ukraina/","3343")</f>
        <v>3343</v>
      </c>
      <c r="D7" s="175" t="str">
        <f aca="false">HYPERLINK("http://www.brwland.com.ua/product/azteca-komod-kom4s811-brv-ukraina/","3924")</f>
        <v>3924</v>
      </c>
      <c r="E7" s="175" t="str">
        <f aca="false">HYPERLINK("http://www.brwland.com.ua/product/mebel-indiana-komod-jkom-4s-80-gerbor/","3562")</f>
        <v>3562</v>
      </c>
      <c r="F7" s="175" t="str">
        <f aca="false">HYPERLINK("http://www.brwland.com.ua/product/mebel-indiana-stol-pismennyj-jbiu-2d2s-140-gerbor/","5158")</f>
        <v>5158</v>
      </c>
      <c r="G7" s="175" t="str">
        <f aca="false">HYPERLINK("http://www.brwland.com.ua/product/dzhuli-komod-kom4s90-brv-ukraina/","2098")</f>
        <v>2098</v>
      </c>
      <c r="H7" s="175" t="str">
        <f aca="false">HYPERLINK("http://www.brwland.com.ua/product/porto-shkaf-szf3d2s-brv-ukraina/","5377")</f>
        <v>5377</v>
      </c>
      <c r="I7" s="175" t="str">
        <f aca="false">HYPERLINK("http://www.brwland.com.ua/product/komod-8s-sonata-gerbor/","5683")</f>
        <v>5683</v>
      </c>
      <c r="J7" s="175" t="str">
        <f aca="false">HYPERLINK("http://www.brwland.com.ua/product/kaspian-sonoma-stol-pismennyj-biu1d1s-brv-ukraina/","3002")</f>
        <v>3002</v>
      </c>
      <c r="K7" s="175" t="str">
        <f aca="false">HYPERLINK("http://www.brwland.com.ua/product/nepo-prihozhaja-ppk-gerbor/","1963")</f>
        <v>1963</v>
      </c>
      <c r="L7" s="175" t="str">
        <f aca="false">HYPERLINK("http://www.brwland.com.ua/product/gostinaja-aljaska-brv-ukraina/","7644")</f>
        <v>7644</v>
      </c>
      <c r="M7" s="175" t="str">
        <f aca="false">HYPERLINK("http://www.brwland.com.ua/product/komplekt-quatro/","3151")</f>
        <v>3151</v>
      </c>
      <c r="N7" s="175" t="str">
        <f aca="false">HYPERLINK("http://www.brwland.com.ua/product/vusher-bufet-kom1w2d2s915-gerbor/","4195")</f>
        <v>4195</v>
      </c>
    </row>
    <row r="8" customFormat="false" ht="60" hidden="false" customHeight="true" outlineLevel="0" collapsed="false">
      <c r="A8" s="78" t="s">
        <v>31</v>
      </c>
      <c r="B8" s="147" t="s">
        <v>128</v>
      </c>
      <c r="C8" s="175" t="str">
        <f aca="false">HYPERLINK("http://gerbor.dp.ua/index.php?route=product/product&amp;product_id=3138","3343")</f>
        <v>3343</v>
      </c>
      <c r="D8" s="175" t="str">
        <f aca="false">HYPERLINK("http://gerbor.dp.ua/index.php?route=product/product&amp;product_id=3131","3924")</f>
        <v>3924</v>
      </c>
      <c r="E8" s="175" t="str">
        <f aca="false">HYPERLINK("http://gerbor.dp.ua/index.php?route=product/product&amp;product_id=1730","3562")</f>
        <v>3562</v>
      </c>
      <c r="F8" s="175" t="str">
        <f aca="false">HYPERLINK("http://gerbor.dp.ua/index.php?route=product/product&amp;product_id=1725","5158")</f>
        <v>5158</v>
      </c>
      <c r="G8" s="175" t="str">
        <f aca="false">HYPERLINK("http://gerbor.dp.ua/index.php?route=product/product&amp;product_id=1755","2098")</f>
        <v>2098</v>
      </c>
      <c r="H8" s="175" t="str">
        <f aca="false">HYPERLINK("http://gerbor.dp.ua/index.php?route=product/product&amp;product_id=3905","5377")</f>
        <v>5377</v>
      </c>
      <c r="I8" s="175" t="str">
        <f aca="false">HYPERLINK("http://gerbor.dp.ua/index.php?route=product/product&amp;product_id=2156","5683")</f>
        <v>5683</v>
      </c>
      <c r="J8" s="175" t="str">
        <f aca="false">HYPERLINK("http://gerbor.dp.ua/index.php?route=product/product&amp;product_id=2819","3002")</f>
        <v>3002</v>
      </c>
      <c r="K8" s="175" t="str">
        <f aca="false">HYPERLINK("http://gerbor.dp.ua/index.php?route=product/product&amp;product_id=3473&amp;search=%D0%BD%D0%B5%D0%BF%D0%BE","1963")</f>
        <v>1963</v>
      </c>
      <c r="L8" s="175" t="str">
        <f aca="false">HYPERLINK("http://gerbor.dp.ua/index.php?route=product/product&amp;product_id=3031","7644")</f>
        <v>7644</v>
      </c>
      <c r="M8" s="175" t="str">
        <f aca="false">HYPERLINK("http://gerbor.dp.ua/index.php?route=product/product&amp;product_id=2040","3007")</f>
        <v>3007</v>
      </c>
      <c r="N8" s="175" t="str">
        <f aca="false">HYPERLINK("http://gerbor.dp.ua/index.php?route=product/product&amp;product_id=2775","4195")</f>
        <v>4195</v>
      </c>
    </row>
    <row r="9" customFormat="false" ht="56.25" hidden="false" customHeight="true" outlineLevel="0" collapsed="false">
      <c r="A9" s="105" t="s">
        <v>32</v>
      </c>
      <c r="B9" s="146" t="s">
        <v>166</v>
      </c>
      <c r="C9" s="180" t="str">
        <f aca="false">HYPERLINK("https://www.dybok.com.ua/ru/product/detail/35816","3347")</f>
        <v>3347</v>
      </c>
      <c r="D9" s="179" t="str">
        <f aca="false">HYPERLINK("https://www.dybok.com.ua/ru/product/detail/35870","3929")</f>
        <v>3929</v>
      </c>
      <c r="E9" s="179" t="str">
        <f aca="false">HYPERLINK("https://www.dybok.com.ua/ru/product/detail/55516","3565")</f>
        <v>3565</v>
      </c>
      <c r="F9" s="179" t="str">
        <f aca="false">HYPERLINK("https://www.dybok.com.ua/ru/product/detail/4291","5165")</f>
        <v>5165</v>
      </c>
      <c r="G9" s="179" t="str">
        <f aca="false">HYPERLINK("https://www.dybok.com.ua/ru/product/detail/9798","2101")</f>
        <v>2101</v>
      </c>
      <c r="H9" s="179" t="str">
        <f aca="false">HYPERLINK("https://www.dybok.com.ua/ru/product/detail/35840https://www.dybok.com.ua/ru/product/detail/35840","5384")</f>
        <v>5384</v>
      </c>
      <c r="I9" s="179" t="str">
        <f aca="false">HYPERLINK("https://www.dybok.com.ua/ru/product/detail/261","5690")</f>
        <v>5690</v>
      </c>
      <c r="J9" s="179" t="str">
        <f aca="false">HYPERLINK("https://www.dybok.com.ua/","3006")</f>
        <v>3006</v>
      </c>
      <c r="K9" s="179" t="str">
        <f aca="false">HYPERLINK("https://www.dybok.com.ua/ru/product/detail/18085","1966")</f>
        <v>1966</v>
      </c>
      <c r="L9" s="179" t="str">
        <f aca="false">HYPERLINK("https://www.dybok.com.ua/ru/product/detail/50410","7652")</f>
        <v>7652</v>
      </c>
      <c r="M9" s="179" t="str">
        <f aca="false">HYPERLINK("https://www.dybok.com.ua/ru/product/detail/6077","3009")</f>
        <v>3009</v>
      </c>
      <c r="N9" s="179" t="str">
        <f aca="false">HYPERLINK("https://www.dybok.com.ua/ru/product/detail/7086","4199")</f>
        <v>4199</v>
      </c>
    </row>
    <row r="10" customFormat="false" ht="61.5" hidden="false" customHeight="true" outlineLevel="0" collapsed="false">
      <c r="A10" s="78" t="s">
        <v>19</v>
      </c>
      <c r="B10" s="157" t="s">
        <v>167</v>
      </c>
      <c r="C10" s="186" t="str">
        <f aca="false">HYPERLINK("https://vashamebel.in.ua/tumba-tv-brv-atsteka-rtv2d2s415/p12722","3343")</f>
        <v>3343</v>
      </c>
      <c r="D10" s="176" t="str">
        <f aca="false">HYPERLINK("https://vashamebel.in.ua/komod-brv-atsteka-kom4s811/p12731","3924")</f>
        <v>3924</v>
      </c>
      <c r="E10" s="176" t="str">
        <f aca="false">HYPERLINK("https://vashamebel.in.ua/komod-brv-indiana-jkom4s80/p921","3562")</f>
        <v>3562</v>
      </c>
      <c r="F10" s="176" t="str">
        <f aca="false">HYPERLINK("https://vashamebel.in.ua/stol-pismennyij-brv-indiana-jbiu-2d2s/p916","5158")</f>
        <v>5158</v>
      </c>
      <c r="G10" s="175" t="str">
        <f aca="false">HYPERLINK("https://vashamebel.in.ua/komod-brv-dzhuli-kom4s90/p7958","2098")</f>
        <v>2098</v>
      </c>
      <c r="H10" s="175" t="str">
        <f aca="false">HYPERLINK("https://vashamebel.in.ua/shkaf-brv-porto-szf3d2s/p12560","5377")</f>
        <v>5377</v>
      </c>
      <c r="I10" s="176" t="str">
        <f aca="false">HYPERLINK("https://vashamebel.in.ua/komod-gerbor-sonata-8s/p845","5683")</f>
        <v>5683</v>
      </c>
      <c r="J10" s="176" t="str">
        <f aca="false">HYPERLINK("https://vashamebel.in.ua/stol-pismennyij-kaspian-ii-biu1d1s-120/p488","3002")</f>
        <v>3002</v>
      </c>
      <c r="K10" s="176" t="str">
        <f aca="false">HYPERLINK("https://vashamebel.in.ua/prihozhaya-gerbor-nepo-ppk/p12249","1963")</f>
        <v>1963</v>
      </c>
      <c r="L10" s="176" t="str">
        <f aca="false">HYPERLINK("https://vashamebel.in.ua/gostinaya-brv-alyaska/p4420","7644")</f>
        <v>7644</v>
      </c>
      <c r="M10" s="176" t="str">
        <f aca="false">HYPERLINK("https://vashamebel.in.ua/stenka-gerbor-kvatro/p2359","3007")</f>
        <v>3007</v>
      </c>
      <c r="N10" s="175" t="str">
        <f aca="false">HYPERLINK("https://vashamebel.in.ua/komod-gerbor-vusher-kom1w2d2s/p4762","4195")</f>
        <v>4195</v>
      </c>
    </row>
    <row r="11" customFormat="false" ht="70.5" hidden="false" customHeight="true" outlineLevel="0" collapsed="false">
      <c r="A11" s="78" t="s">
        <v>20</v>
      </c>
      <c r="B11" s="157" t="s">
        <v>168</v>
      </c>
      <c r="C11" s="175" t="str">
        <f aca="false">HYPERLINK("https://mebel-mebel.com.ua/eshop/dom-tumby-dlia-tv/tumba_rtv2d2s_4_15_atsteka-id461.html","3343")</f>
        <v>3343</v>
      </c>
      <c r="D11" s="175" t="str">
        <f aca="false">HYPERLINK("https://mebel-mebel.com.ua/eshop/dom-komody/komod_kom4s_8_11_atsteka-id496.html","3924")</f>
        <v>3924</v>
      </c>
      <c r="E11" s="175" t="str">
        <f aca="false">HYPERLINK("https://mebel-mebel.com.ua/eshop/dom-komody/komod_jkom_4s80_indiana-id663.html","3562")</f>
        <v>3562</v>
      </c>
      <c r="F11" s="175" t="str">
        <f aca="false">HYPERLINK("https://mebel-mebel.com.ua/eshop/dom-stoly-kompiuternye/stol_pismenniy_jbiu_2d2s_140_indiana-id659.html","5158")</f>
        <v>5158</v>
      </c>
      <c r="G11" s="175" t="str">
        <f aca="false">HYPERLINK("https://mebel-mebel.com.ua/eshop/dom-komody/komod_kom_4s_90_dzhuli-id569.html","2098")</f>
        <v>2098</v>
      </c>
      <c r="H11" s="176" t="str">
        <f aca="false">HYPERLINK("https://mebel-mebel.com.ua/eshop/detskie-shkafy/shkaf_szf3d2s_porto-id35136.html","5377")</f>
        <v>5377</v>
      </c>
      <c r="I11" s="175" t="str">
        <f aca="false">HYPERLINK("https://mebel-mebel.com.ua/eshop/dom-komody/komod_8s_s_015_sonata-id1567.html","5683")</f>
        <v>5683</v>
      </c>
      <c r="J11" s="175" t="str">
        <f aca="false">HYPERLINK("https://mebel-mebel.com.ua/eshop/dom-stoly-kompiuternye/stol_pismenniy_biu_1d1s_120_kaspian-id797.html","3002")</f>
        <v>3002</v>
      </c>
      <c r="K11" s="175" t="str">
        <f aca="false">HYPERLINK("https://mebel-mebel.com.ua/eshop/dom-prihozhie/prihozhaya_ppk_nepo-id28028.html","1963")</f>
        <v>1963</v>
      </c>
      <c r="L11" s="202" t="str">
        <f aca="false">HYPERLINK("https://mebel-mebel.com.ua/eshop/dom-stenki-dlia-gostinoi/gostinaya_alyaska-id50834.html","6980")</f>
        <v>6980</v>
      </c>
      <c r="M11" s="175" t="str">
        <f aca="false">HYPERLINK("https://mebel-mebel.com.ua/eshop/dom-stenki-dlia-gostinoi/gostinaya_kvatro-id152.html","3007")</f>
        <v>3007</v>
      </c>
      <c r="N11" s="175" t="str">
        <f aca="false">HYPERLINK("https://mebel-mebel.com.ua/eshop/dom-komody/komod_kom_1w2d2s_vusher-id560.html","4195")</f>
        <v>4195</v>
      </c>
    </row>
    <row r="12" customFormat="false" ht="75.75" hidden="false" customHeight="true" outlineLevel="0" collapsed="false">
      <c r="A12" s="78" t="s">
        <v>21</v>
      </c>
      <c r="B12" s="150" t="s">
        <v>169</v>
      </c>
      <c r="C12" s="175" t="str">
        <f aca="false">HYPERLINK("https://abcmebli.com.ua/p14992-tumba_tv_rtv2d2s-4-15_atsteka","3343")</f>
        <v>3343</v>
      </c>
      <c r="D12" s="175" t="str">
        <f aca="false">HYPERLINK("https://abcmebli.com.ua/p15683-atsteka_komod_kom4s-8-11_brv","3924")</f>
        <v>3924</v>
      </c>
      <c r="E12" s="175" t="str">
        <f aca="false">HYPERLINK("https://abcmebli.com.ua/p1896-komod_jkom4s_80_indiana","3562")</f>
        <v>3562</v>
      </c>
      <c r="F12" s="175" t="str">
        <f aca="false">HYPERLINK("https://abcmebli.com.ua/p1892-stol_pismenniy_jbiu2d2s_140_indiana","5158")</f>
        <v>5158</v>
      </c>
      <c r="G12" s="175" t="str">
        <f aca="false">HYPERLINK("https://abcmebli.com.ua/p8553-komod_kom4s-90_july","2098")</f>
        <v>2098</v>
      </c>
      <c r="H12" s="175" t="str">
        <f aca="false">HYPERLINK("https://abcmebli.com.ua/p15039-shkaf_platyanoy_szf3d2s_porto","5377")</f>
        <v>5377</v>
      </c>
      <c r="I12" s="175" t="str">
        <f aca="false">HYPERLINK("https://abcmebli.com.ua/p2225-komod_8-s_sonata","5683")</f>
        <v>5683</v>
      </c>
      <c r="J12" s="175" t="str">
        <f aca="false">HYPERLINK("https://abcmebli.com.ua/p14308-stol_pismenniy_biu_1d1s_120_kaspian","3002")</f>
        <v>3002</v>
      </c>
      <c r="K12" s="176" t="str">
        <f aca="false">HYPERLINK("https://abcmebli.com.ua/p15897-nepo_prihozhaya_ppk_gerbor","1963")</f>
        <v>1963</v>
      </c>
      <c r="L12" s="175" t="str">
        <f aca="false">HYPERLINK("https://abcmebli.com.ua/p15950-gostinaya_alyaska_brv-ukraina","7644")</f>
        <v>7644</v>
      </c>
      <c r="M12" s="175" t="str">
        <f aca="false">HYPERLINK("https://abcmebli.com.ua/p2515-stenka_kvatro_gerbor","3007")</f>
        <v>3007</v>
      </c>
      <c r="N12" s="175" t="str">
        <f aca="false">HYPERLINK("https://abcmebli.com.ua/p4993-komod_kom1w2d2s_9_15_vusher","4195")</f>
        <v>4195</v>
      </c>
    </row>
    <row r="13" customFormat="false" ht="56.25" hidden="false" customHeight="true" outlineLevel="0" collapsed="false">
      <c r="A13" s="78" t="s">
        <v>22</v>
      </c>
      <c r="B13" s="157" t="s">
        <v>170</v>
      </c>
      <c r="C13" s="175" t="str">
        <f aca="false">HYPERLINK("https://www.mebelok.com/tymba-tv-rtv2d2s415-acteka/","3355")</f>
        <v>3355</v>
      </c>
      <c r="D13" s="176" t="str">
        <f aca="false">HYPERLINK("https://www.mebelok.com/komod-kom4s811-acteka/","3935")</f>
        <v>3935</v>
      </c>
      <c r="E13" s="186" t="str">
        <f aca="false">HYPERLINK("https://www.mebelok.com/komod-jkom-4s-80/","3575")</f>
        <v>3575</v>
      </c>
      <c r="F13" s="175" t="str">
        <f aca="false">HYPERLINK("https://www.mebelok.com/stol-pismennyy-jbiu-2d2s-140/","5165")</f>
        <v>5165</v>
      </c>
      <c r="G13" s="176" t="str">
        <f aca="false">HYPERLINK("https://www.mebelok.com/komod-kom-4s-90-juli/","2105")</f>
        <v>2105</v>
      </c>
      <c r="H13" s="176" t="str">
        <f aca="false">HYPERLINK("https://www.mebelok.com/shkaf-szf3d2s-porto/","5385")</f>
        <v>5385</v>
      </c>
      <c r="I13" s="187"/>
      <c r="J13" s="175" t="str">
        <f aca="false">HYPERLINK("https://www.mebelok.com/stol-pismennyy-biu1d1s-120-kaspian/","3015")</f>
        <v>3015</v>
      </c>
      <c r="K13" s="175" t="str">
        <f aca="false">HYPERLINK("https://www.mebelok.com/prihojaya-ppk-nepo/","1975")</f>
        <v>1975</v>
      </c>
      <c r="L13" s="175" t="str">
        <f aca="false">HYPERLINK("https://www.mebelok.com/gostinaya-alyaska/","7655")</f>
        <v>7655</v>
      </c>
      <c r="M13" s="176" t="str">
        <f aca="false">HYPERLINK("https://www.mebelok.com/gostinaya-kvatro","3015")</f>
        <v>3015</v>
      </c>
      <c r="N13" s="176" t="str">
        <f aca="false">HYPERLINK("https://www.mebelok.com/komod-kom-1w2d2s-vusher/","4205")</f>
        <v>4205</v>
      </c>
    </row>
    <row r="14" customFormat="false" ht="48" hidden="false" customHeight="true" outlineLevel="0" collapsed="false">
      <c r="A14" s="78" t="s">
        <v>23</v>
      </c>
      <c r="B14" s="157" t="s">
        <v>171</v>
      </c>
      <c r="C14" s="175" t="str">
        <f aca="false">HYPERLINK("https://maxmebel.com.ua/atsteka_tumba_rtv2d2s","3343")</f>
        <v>3343</v>
      </c>
      <c r="D14" s="175" t="str">
        <f aca="false">HYPERLINK("https://maxmebel.com.ua/atsteka_komod_kom4s-8-11","3924")</f>
        <v>3924</v>
      </c>
      <c r="E14" s="175" t="str">
        <f aca="false">HYPERLINK("https://maxmebel.com.ua/indiana_komod_jkom_4s_80","3562")</f>
        <v>3562</v>
      </c>
      <c r="F14" s="175" t="str">
        <f aca="false">HYPERLINK("https://maxmebel.com.ua/indiana_pismenniy_stol_jbiu_2d2s","5159")</f>
        <v>5159</v>
      </c>
      <c r="G14" s="175" t="str">
        <f aca="false">HYPERLINK("https://maxmebel.com.ua/dzhuli_komod_kom4s-90","2099")</f>
        <v>2099</v>
      </c>
      <c r="H14" s="175" t="str">
        <f aca="false">HYPERLINK("https://maxmebel.com.ua/porto_shkaf_platyanoy_szf3d2s","5378")</f>
        <v>5378</v>
      </c>
      <c r="I14" s="175" t="str">
        <f aca="false">HYPERLINK("https://maxmebel.com.ua/sonata_komod_8-s","5683")</f>
        <v>5683</v>
      </c>
      <c r="J14" s="175" t="str">
        <f aca="false">HYPERLINK("https://maxmebel.com.ua/kaspian_stol_pismenniy_biu_1d1s","3002")</f>
        <v>3002</v>
      </c>
      <c r="K14" s="175" t="str">
        <f aca="false">HYPERLINK("https://maxmebel.com.ua/nepo_prihozhaya_rrk","1963")</f>
        <v>1963</v>
      </c>
      <c r="L14" s="175" t="str">
        <f aca="false">HYPERLINK("https://maxmebel.com.ua/stenka_alyaska","7645")</f>
        <v>7645</v>
      </c>
      <c r="M14" s="176" t="str">
        <f aca="false">HYPERLINK("https://maxmebel.com.ua/stenka_kvatro","3008")</f>
        <v>3008</v>
      </c>
      <c r="N14" s="175" t="str">
        <f aca="false">HYPERLINK("https://maxmebel.com.ua/vusher_komod_kom_1w2d2s","4196")</f>
        <v>4196</v>
      </c>
    </row>
    <row r="15" customFormat="false" ht="39" hidden="false" customHeight="true" outlineLevel="0" collapsed="false">
      <c r="A15" s="78" t="s">
        <v>24</v>
      </c>
      <c r="B15" s="147" t="s">
        <v>128</v>
      </c>
      <c r="C15" s="175" t="str">
        <f aca="false">HYPERLINK("https://moyamebel.com.ua/ua/products/tumba-rtv-atsteka","3343")</f>
        <v>3343</v>
      </c>
      <c r="D15" s="175" t="str">
        <f aca="false">HYPERLINK("https://moyamebel.com.ua/ua/products/komod-atsteka","3924")</f>
        <v>3924</v>
      </c>
      <c r="E15" s="175" t="str">
        <f aca="false">HYPERLINK("https://moyamebel.com.ua/ua/products/komod-4s-80-indiana","3562")</f>
        <v>3562</v>
      </c>
      <c r="F15" s="175" t="str">
        <f aca="false">HYPERLINK("https://moyamebel.com.ua/ua/products/stol-pismennyj-2d2s-indiana","5158")</f>
        <v>5158</v>
      </c>
      <c r="G15" s="175" t="str">
        <f aca="false">HYPERLINK("https://moyamebel.com.ua/ua/products/komod-dzhuli-90","2098")</f>
        <v>2098</v>
      </c>
      <c r="H15" s="175" t="str">
        <f aca="false">HYPERLINK("https://moyamebel.com.ua/ua/products/shkaf-3d2sporto","5377")</f>
        <v>5377</v>
      </c>
      <c r="I15" s="187"/>
      <c r="J15" s="175" t="str">
        <f aca="false">HYPERLINK("https://moyamebel.com.ua/ua/products/stol-pismennyj-120-kaspian","3002")</f>
        <v>3002</v>
      </c>
      <c r="K15" s="176" t="str">
        <f aca="false">HYPERLINK("https://moyamebel.com.ua/ua/products/prihozhaya-nepo","1963")</f>
        <v>1963</v>
      </c>
      <c r="L15" s="175"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158</v>
      </c>
      <c r="C16" s="175" t="str">
        <f aca="false">HYPERLINK("https://mebel-soyuz.com.ua/12896.html","3343")</f>
        <v>3343</v>
      </c>
      <c r="D16" s="175" t="str">
        <f aca="false">HYPERLINK("https://mebel-soyuz.com.ua/12903.html","3924")</f>
        <v>3924</v>
      </c>
      <c r="E16" s="175" t="str">
        <f aca="false">HYPERLINK("https://mebel-soyuz.com.ua/2266.html","3562")</f>
        <v>3562</v>
      </c>
      <c r="F16" s="175" t="str">
        <f aca="false">HYPERLINK("https://mebel-soyuz.com.ua/stol-pismennyj-jbiu-2d2s-140-indiana.html","5158")</f>
        <v>5158</v>
      </c>
      <c r="G16" s="175" t="str">
        <f aca="false">HYPERLINK("https://mebel-soyuz.com.ua/komod-kom-4s-90-dzhuli.html","2098")</f>
        <v>2098</v>
      </c>
      <c r="H16" s="175" t="str">
        <f aca="false">HYPERLINK("https://mebel-soyuz.com.ua/shkaf-szf3d2s-porto.html","5377")</f>
        <v>5377</v>
      </c>
      <c r="I16" s="175" t="str">
        <f aca="false">HYPERLINK("https://mebel-soyuz.com.ua/473.html","5683")</f>
        <v>5683</v>
      </c>
      <c r="J16" s="176" t="str">
        <f aca="false">HYPERLINK("https://mebel-soyuz.com.ua/8687.html","3002")</f>
        <v>3002</v>
      </c>
      <c r="K16" s="175" t="str">
        <f aca="false">HYPERLINK("https://mebel-soyuz.com.ua/8926.html","1963")</f>
        <v>1963</v>
      </c>
      <c r="L16" s="175" t="str">
        <f aca="false">HYPERLINK("https://mebel-soyuz.com.ua/10995.html","7644")</f>
        <v>7644</v>
      </c>
      <c r="M16" s="175" t="str">
        <f aca="false">HYPERLINK("https://mebel-soyuz.com.ua/gostinaya-kvatro.html","3007")</f>
        <v>3007</v>
      </c>
      <c r="N16" s="175" t="str">
        <f aca="false">HYPERLINK("https://mebel-soyuz.com.ua/3933.html","4195")</f>
        <v>4195</v>
      </c>
    </row>
    <row r="17" customFormat="false" ht="33.75" hidden="false" customHeight="true" outlineLevel="0" collapsed="false">
      <c r="A17" s="78" t="s">
        <v>36</v>
      </c>
      <c r="B17" s="147" t="s">
        <v>128</v>
      </c>
      <c r="C17" s="202" t="str">
        <f aca="false">HYPERLINK("https://sofino.ua/brw-ukraina-tumba-rtv2d2s415-acteka-belyjj-dub-sanremo/g-594126","3176")</f>
        <v>3176</v>
      </c>
      <c r="D17" s="176" t="str">
        <f aca="false">HYPERLINK("https://sofino.ua/brw-ukraina-komod-kom4s811-acteka/g-95386","3924")</f>
        <v>3924</v>
      </c>
      <c r="E17" s="176" t="str">
        <f aca="false">HYPERLINK("https://sofino.ua/brw-ukraina-komod-jkom4s80-indiana/g-40903","3562")</f>
        <v>3562</v>
      </c>
      <c r="F17" s="176" t="str">
        <f aca="false">HYPERLINK("https://sofino.ua/brw-ukraina-stol-pismennyjj-jbiu2d2s140-indiana/g-40899","5158")</f>
        <v>5158</v>
      </c>
      <c r="G17" s="176" t="str">
        <f aca="false">HYPERLINK("https://sofino.ua/brw-ukraina-komod-kom4s90-dzhuli-akacija-mali-bronz/g-40377","2098")</f>
        <v>2098</v>
      </c>
      <c r="H17" s="176" t="str">
        <f aca="false">HYPERLINK("https://sofino.ua/brw-ukraina-shkaf-platjanojj-szf3d2s-porto-dzhanni-sosna-lariko/g-264368","5377")</f>
        <v>5377</v>
      </c>
      <c r="I17" s="202" t="str">
        <f aca="false">HYPERLINK("https://sofino.ua/gerbor-komod-8s-sonata/g-19192","5654")</f>
        <v>5654</v>
      </c>
      <c r="J17" s="179" t="str">
        <f aca="false">HYPERLINK("https://sofino.ua/brw-ukraina-stol-pismennyjj-biu-1d1s-kaspian/g-264409","3002")</f>
        <v>3002</v>
      </c>
      <c r="K17" s="176" t="str">
        <f aca="false">HYPERLINK("https://sofino.ua/gerbor-prikhozhaja-ppk-nepo/g-287089","2099")</f>
        <v>2099</v>
      </c>
      <c r="L17" s="176" t="str">
        <f aca="false">HYPERLINK("https://sofino.ua/brw-ukraina-stenka-aljaska-belyjj-gljanec/g-454107","7644")</f>
        <v>7644</v>
      </c>
      <c r="M17" s="176" t="str">
        <f aca="false">HYPERLINK("https://sofino.ua/gerbor-stenka-s-podsvetkojj-kvatro/g-18955","3470")</f>
        <v>3470</v>
      </c>
      <c r="N17" s="176" t="str">
        <f aca="false">HYPERLINK("https://sofino.ua/gerbor-bufet-kom1w2d2s-s-podsvetkojj-vusher/g-176785","4483")</f>
        <v>4483</v>
      </c>
    </row>
    <row r="18" customFormat="false" ht="40.5" hidden="false" customHeight="true" outlineLevel="0" collapsed="false">
      <c r="A18" s="78" t="s">
        <v>176</v>
      </c>
      <c r="B18" s="147" t="s">
        <v>177</v>
      </c>
      <c r="C18" s="187"/>
      <c r="D18" s="187"/>
      <c r="E18" s="187"/>
      <c r="F18" s="187"/>
      <c r="G18" s="187"/>
      <c r="H18" s="187"/>
      <c r="I18" s="202" t="str">
        <f aca="false">HYPERLINK("https://gerbor.mebli-smerichka.com.ua/product/komod-sonata-8s/","4900")</f>
        <v>4900</v>
      </c>
      <c r="J18" s="187"/>
      <c r="K18" s="187"/>
      <c r="L18" s="187"/>
      <c r="M18" s="187"/>
      <c r="N18" s="187"/>
    </row>
    <row r="19" customFormat="false" ht="54.75" hidden="false" customHeight="true" outlineLevel="0" collapsed="false">
      <c r="A19" s="78" t="s">
        <v>37</v>
      </c>
      <c r="B19" s="147" t="s">
        <v>139</v>
      </c>
      <c r="C19" s="187"/>
      <c r="D19" s="175" t="str">
        <f aca="false">HYPERLINK("https://www.brw-kiev.com.ua/catalog/mebel/azteca-komod-kom4s_8_11-000004816.html","3929")</f>
        <v>3929</v>
      </c>
      <c r="E19" s="175" t="str">
        <f aca="false">HYPERLINK("https://www.brw-kiev.com.ua/catalog/mebel/indiana-komod-jkom4s_80-000000261.html","3569")</f>
        <v>3569</v>
      </c>
      <c r="F19" s="175" t="str">
        <f aca="false">HYPERLINK("https://www.brw-kiev.com.ua/catalog/mebel/indiana-stil_pis_moviy-jbiu2d2s-000000254.html","5159")</f>
        <v>5159</v>
      </c>
      <c r="G19" s="175" t="str">
        <f aca="false">HYPERLINK("https://www.brw-kiev.com.ua/catalog/mebel/july-komod-kom4s_90-000005407.html","2099")</f>
        <v>2099</v>
      </c>
      <c r="H19" s="175" t="str">
        <f aca="false">HYPERLINK("https://www.brw-kiev.com.ua/catalog/mebel/porto-shafa-szf3d2s-000006440.html","5379")</f>
        <v>5379</v>
      </c>
      <c r="I19" s="189"/>
      <c r="J19" s="176" t="str">
        <f aca="false">HYPERLINK("https://www.brw-kiev.com.ua/catalog/mebel/kaspian-stil_pis_moviy-biu1d1s_120-000006188.html","3009")</f>
        <v>3009</v>
      </c>
      <c r="K19" s="176" t="str">
        <f aca="false">HYPERLINK("https://www.brw-kiev.com.ua/catalog/mebel/prihozhaya/nepo-peredpokiy-ppk-000006567.html?sphrase_id=84980","1969")</f>
        <v>1969</v>
      </c>
      <c r="L19" s="176" t="str">
        <f aca="false">HYPERLINK("https://www.brw-kiev.com.ua/catalog/mebel/gostinaya/stinki-vital_nya-alaska-000006901.html?sphrase_id=84981","7649")</f>
        <v>7649</v>
      </c>
      <c r="M19" s="187"/>
      <c r="N19" s="187"/>
    </row>
    <row r="20" customFormat="false" ht="38.25" hidden="false" customHeight="true" outlineLevel="0" collapsed="false">
      <c r="A20" s="78" t="s">
        <v>25</v>
      </c>
      <c r="B20" s="157" t="s">
        <v>172</v>
      </c>
      <c r="C20" s="175" t="str">
        <f aca="false">HYPERLINK("https://brw.kiev.ua/mebel-brw-ukraina/azteca/tumba-tv-rtv2d2s-azteca-brv/","3343")</f>
        <v>3343</v>
      </c>
      <c r="D20" s="175" t="str">
        <f aca="false">HYPERLINK("https://brw.kiev.ua/mebel-brw-ukraina/azteca/komod-kom4s-azteca-brv/","3924")</f>
        <v>3924</v>
      </c>
      <c r="E20" s="175" t="str">
        <f aca="false">HYPERLINK("https://brw.kiev.ua/mebel-brw-ukraina/indiana-kanjon/komod-jkom4s80-indiana-brv-kanjon/","3562")</f>
        <v>3562</v>
      </c>
      <c r="F20" s="175" t="str">
        <f aca="false">HYPERLINK("https://brw.kiev.ua/mebel-brw-ukraina/indiana-shutter/stol-pismennyy-jbiu2d2s140-indiana-brv-shutter/","5158")</f>
        <v>5158</v>
      </c>
      <c r="G20" s="175" t="str">
        <f aca="false">HYPERLINK("https://brw.kiev.ua/mebel-brw-ukraina/july/komod-kom4s90-july-brv/","2098")</f>
        <v>2098</v>
      </c>
      <c r="H20" s="175" t="str">
        <f aca="false">HYPERLINK("https://brw.kiev.ua/mebel-brw-ukraina/porto/shkaf-szf3d2s-porto-brv/","5377")</f>
        <v>5377</v>
      </c>
      <c r="I20" s="175" t="str">
        <f aca="false">HYPERLINK("https://brw.kiev.ua/mebel-gerbor/sonata/komod-8s-sonata-gerbor/","5683")</f>
        <v>5683</v>
      </c>
      <c r="J20" s="175" t="str">
        <f aca="false">HYPERLINK("https://brw.kiev.ua/mebel-brw-ukraina/kaspian-venge/stol-pismennyy-biu1d1s-kaspian-brv-venge/","3002")</f>
        <v>3002</v>
      </c>
      <c r="K20" s="175" t="str">
        <f aca="false">HYPERLINK("https://brw.kiev.ua/mebel-gerbor/nepo/prikhozhaya-ppk-nepo-gerbor/","1963")</f>
        <v>1963</v>
      </c>
      <c r="L20" s="175" t="str">
        <f aca="false">HYPERLINK("https://brw.kiev.ua/mebel-brw-ukraina/alaska/stenka-alaska-brv/","7644")</f>
        <v>7644</v>
      </c>
      <c r="M20" s="187"/>
      <c r="N20" s="175" t="str">
        <f aca="false">HYPERLINK("https://brw.kiev.ua/mebel-gerbor/vusher/komod-kom1w2d2s-vusher-gerbor/","4195")</f>
        <v>4195</v>
      </c>
    </row>
    <row r="21" customFormat="false" ht="15.75" hidden="false" customHeight="true" outlineLevel="0" collapsed="false">
      <c r="A21" s="78" t="s">
        <v>123</v>
      </c>
      <c r="B21" s="160" t="s">
        <v>141</v>
      </c>
      <c r="C21" s="187"/>
      <c r="D21" s="187"/>
      <c r="E21" s="187"/>
      <c r="F21" s="187"/>
      <c r="G21" s="187"/>
      <c r="H21" s="187"/>
      <c r="I21" s="187"/>
      <c r="J21" s="187"/>
      <c r="K21" s="187"/>
      <c r="L21" s="187"/>
      <c r="M21" s="187"/>
      <c r="N21" s="187"/>
    </row>
    <row r="22" customFormat="false" ht="25.5" hidden="false" customHeight="true" outlineLevel="0" collapsed="false">
      <c r="A22" s="78" t="s">
        <v>124</v>
      </c>
      <c r="B22" s="147" t="s">
        <v>139</v>
      </c>
      <c r="C22" s="202" t="str">
        <f aca="false">HYPERLINK("https://mebelstyle.net/tumby-pod-tv/tumba-pod-tv-brw-ukraina-azteca-rtv2d2s415-82546.html","3294")</f>
        <v>3294</v>
      </c>
      <c r="D22" s="202" t="str">
        <f aca="false">HYPERLINK("https://mebelstyle.net/komody/komod-brw-ukraina-azteca-kom4s811-82553.html","3735")</f>
        <v>3735</v>
      </c>
      <c r="E22" s="202" t="str">
        <f aca="false">HYPERLINK("https://mebelstyle.net/komody/komod-brw-ukraina-indiana-011-jkom4s80-1274.html","3442")</f>
        <v>3442</v>
      </c>
      <c r="F22" s="203" t="str">
        <f aca="false">HYPERLINK("https://mebelstyle.net/ofisnye-stoly/pismennyj-stol-brw-ukraina-indiana-007-jbiu2d2s-1255.html","4979")</f>
        <v>4979</v>
      </c>
      <c r="G22" s="187"/>
      <c r="H22" s="187"/>
      <c r="I22" s="202" t="str">
        <f aca="false">HYPERLINK("https://mebelstyle.net/komody/komod-gerbor-sonata-s-015-8s-38625.html","5125")</f>
        <v>5125</v>
      </c>
      <c r="J22" s="203" t="str">
        <f aca="false">HYPERLINK("https://mebelstyle.net/ofisnye-stoly/ofisnyj-stol-brw-ukraina-kaspian-007-biu1d1s-58596.html","2783")</f>
        <v>2783</v>
      </c>
      <c r="K22" s="202" t="str">
        <f aca="false">HYPERLINK("https://mebelstyle.net/prikhozhie/prikhozhaja-gerbor-nepo-ppk-83649.html","1808")</f>
        <v>1808</v>
      </c>
      <c r="L22" s="187"/>
      <c r="M22" s="202" t="str">
        <f aca="false">HYPERLINK("https://mebelstyle.net/gostinye/gostinaja-gerbor-kvatro-venge-56219.html","2840")</f>
        <v>2840</v>
      </c>
      <c r="N22" s="202" t="str">
        <f aca="false">HYPERLINK("https://mebelstyle.net/komody/komod-gerbor-vusher-kom-1w2d2s-83553.html","4022")</f>
        <v>4022</v>
      </c>
    </row>
    <row r="23" customFormat="false" ht="34.5" hidden="false" customHeight="true" outlineLevel="0" collapsed="false">
      <c r="A23" s="78" t="s">
        <v>38</v>
      </c>
      <c r="B23" s="147" t="s">
        <v>139</v>
      </c>
      <c r="C23" s="175" t="str">
        <f aca="false">HYPERLINK("https://lvivmebli.com/13319/","3900")</f>
        <v>3900</v>
      </c>
      <c r="D23" s="175" t="str">
        <f aca="false">HYPERLINK("https://lvivmebli.com/13320/","4675")</f>
        <v>4675</v>
      </c>
      <c r="E23" s="175" t="str">
        <f aca="false">HYPERLINK("https://lvivmebli.com/5030/","4255")</f>
        <v>4255</v>
      </c>
      <c r="F23" s="175" t="str">
        <f aca="false">HYPERLINK("https://lvivmebli.com/5039/","5911")</f>
        <v>5911</v>
      </c>
      <c r="G23" s="175" t="str">
        <f aca="false">HYPERLINK("https://lvivmebli.com/11483/","2300")</f>
        <v>2300</v>
      </c>
      <c r="H23" s="175" t="str">
        <f aca="false">HYPERLINK("https://lvivmebli.com/18473/","6800")</f>
        <v>6800</v>
      </c>
      <c r="I23" s="187"/>
      <c r="J23" s="202" t="str">
        <f aca="false">HYPERLINK("https://lvivmebli.com/5099/","2737")</f>
        <v>2737</v>
      </c>
      <c r="K23" s="187"/>
      <c r="L23" s="187"/>
      <c r="M23" s="187"/>
      <c r="N23" s="187"/>
    </row>
    <row r="24" customFormat="false" ht="36.75" hidden="false" customHeight="true" outlineLevel="0" collapsed="false">
      <c r="A24" s="78" t="s">
        <v>39</v>
      </c>
      <c r="B24" s="157" t="s">
        <v>173</v>
      </c>
      <c r="C24" s="175" t="str">
        <f aca="false">HYPERLINK("http://centrmebliv.com.ua/modulni-mebli/brw-azteca/mebli-brw-brv-azteca-tumba-rtv2d2s?keyword=%D0%B0%D1%86%D1%82%D0%B5%D0%BA%D0%B0","3343")</f>
        <v>3343</v>
      </c>
      <c r="D24" s="175" t="str">
        <f aca="false">HYPERLINK("http://centrmebliv.com.ua/modulni-mebli/brw-azteca/mebli-brw-brv-azteca-komod-4s?keyword=%D0%B0%D1%86%D1%82%D0%B5%D0%BA%D0%B0","3924")</f>
        <v>3924</v>
      </c>
      <c r="E24" s="175" t="str">
        <f aca="false">HYPERLINK("http://centrmebliv.com.ua/mebli-dlya-spalni/komody/mebli-brw-brv-indiana-komod-jkom4s_80?keyword=%D1%96%D0%BD%D0%B4%D1%96%D0%B0%D0%BD%D0%B0","3562")</f>
        <v>3562</v>
      </c>
      <c r="F24" s="175" t="str">
        <f aca="false">HYPERLINK("http://centrmebliv.com.ua/modulni-mebli/brw-ukrayina-indiana/mebli-brw-brv-indiana-stil-pysmovyy-jbiu2d2s_140?keyword=%D1%96%D0%BD%D0%B4%D1%96%D0%B0%D0%BD%D0%B0","5158")</f>
        <v>5158</v>
      </c>
      <c r="G24" s="175" t="str">
        <f aca="false">HYPERLINK("http://centrmebliv.com.ua/spalni/komody/mebli-brw-brv-july-komod-kom4s/90?keyword=july","2098")</f>
        <v>2098</v>
      </c>
      <c r="H24" s="175" t="str">
        <f aca="false">HYPERLINK("http://centrmebliv.com.ua/modulni-mebli/brw-ukrayina-porto/mebli-brw-brv-porto-shafa-dlya-odyagu-sf3d2s?keyword=szf3d2s","5377")</f>
        <v>5377</v>
      </c>
      <c r="I24" s="202" t="str">
        <f aca="false">HYPERLINK("http://centrmebliv.com.ua/mebli-dlya-spalni/komody/mebli-gerbor-gerbor-s-015-sonata-_komod-8/s?keyword=%D1%81%D0%BE%D0%BD%D0%B0%D1%82%D0%B0","5596")</f>
        <v>5596</v>
      </c>
      <c r="J24" s="202" t="str">
        <f aca="false">HYPERLINK("http://centrmebliv.com.ua/ofisni-mebli/ofisni-stoly-vid-modulnyh-system/gerbor/brw-kaspian-stil-pysmovyy-biu-1d1s-120?keyword=%D0%BA%D0%B0%D1%81%D0%BF%D1%96%D0%B0%D0%BD","2831")</f>
        <v>2831</v>
      </c>
      <c r="K24" s="187"/>
      <c r="L24" s="187"/>
      <c r="M24" s="175" t="str">
        <f aca="false">HYPERLINK("http://centrmebliv.com.ua/mebli-dlya-vitalni/stinky/mebli-gerbor-gerbor-kvatro","3007")</f>
        <v>3007</v>
      </c>
      <c r="N24" s="175" t="str">
        <f aca="false">HYPERLINK("http://centrmebliv.com.ua/spalni/komody/mebli-gerbor-gerbor-voucher-komod-kom1w2d2s?keyword=%D0%B2%D1%83%D1%88%D0%B5%D1%80","4195")</f>
        <v>4195</v>
      </c>
    </row>
    <row r="25" customFormat="false" ht="27" hidden="false" customHeight="true" outlineLevel="0" collapsed="false">
      <c r="A25" s="78" t="s">
        <v>40</v>
      </c>
      <c r="B25" s="147" t="s">
        <v>139</v>
      </c>
      <c r="C25" s="175" t="str">
        <f aca="false">HYPERLINK("https://letromebel.com.ua/p566111870-tumba-rtv2d2s415-atsteka.html","3343")</f>
        <v>3343</v>
      </c>
      <c r="D25" s="175" t="str">
        <f aca="false">HYPERLINK("https://letromebel.com.ua/p566126810-komod-kom4s811-atsteka.html","3924")</f>
        <v>3924</v>
      </c>
      <c r="E25" s="175" t="str">
        <f aca="false">HYPERLINK("https://letromebel.com.ua/p566921861-komod-jkom4s80-indiana.html","3562")</f>
        <v>3562</v>
      </c>
      <c r="F25" s="175" t="str">
        <f aca="false">HYPERLINK("https://letromebel.com.ua/p566921329-stol-pismennyj-jbiu2d2s140.html","5158")</f>
        <v>5158</v>
      </c>
      <c r="G25" s="175" t="str">
        <f aca="false">HYPERLINK("https://letromebel.com.ua/p445989920-komod-kom-dzhuli.html","2098")</f>
        <v>2098</v>
      </c>
      <c r="H25" s="175" t="str">
        <f aca="false">HYPERLINK("https://letromebel.com.ua/p567177190-shkaf-szf3d2s-porto.html","5377")</f>
        <v>5377</v>
      </c>
      <c r="I25" s="187"/>
      <c r="J25" s="187"/>
      <c r="K25" s="186" t="str">
        <f aca="false">HYPERLINK("https://letromebel.com.ua/p441285622-prihozhaya-ppk-nepo.html","1963")</f>
        <v>1963</v>
      </c>
      <c r="L25" s="202" t="str">
        <f aca="false">HYPERLINK("https://letromebel.com.ua/p822866700-stenka-gostinuyu-alyaska.html","6155")</f>
        <v>6155</v>
      </c>
      <c r="M25" s="176" t="str">
        <f aca="false">HYPERLINK("https://letromebel.com.ua/p436378844-stenka-kvatro-venge.html","3007")</f>
        <v>3007</v>
      </c>
      <c r="N25" s="175" t="str">
        <f aca="false">HYPERLINK("https://letromebel.com.ua/p332640892-bufet-kom1w2d2s-vusher.html","4195")</f>
        <v>4195</v>
      </c>
    </row>
    <row r="26" customFormat="false" ht="27" hidden="false" customHeight="true" outlineLevel="0" collapsed="false">
      <c r="A26" s="78" t="s">
        <v>26</v>
      </c>
      <c r="B26" s="147" t="s">
        <v>139</v>
      </c>
      <c r="C26" s="175" t="str">
        <f aca="false">HYPERLINK("https://shurup.net.ua/azteca-acteka-tumba-rtv2d2s415.p17205","3343")</f>
        <v>3343</v>
      </c>
      <c r="D26" s="175" t="str">
        <f aca="false">HYPERLINK("https://shurup.net.ua/azteca-acteka-komod-kom4s811.p17200","3924")</f>
        <v>3924</v>
      </c>
      <c r="E26" s="175" t="str">
        <f aca="false">HYPERLINK("https://shurup.net.ua/komod-jkom-4s80-indiana-sosna-kanon.p9412","3562")</f>
        <v>3562</v>
      </c>
      <c r="F26" s="175" t="str">
        <f aca="false">HYPERLINK("https://shurup.net.ua/stol-pismennyj-jbiu-2d2s-140-indiana-dub-shutter.p5488","5158")</f>
        <v>5158</v>
      </c>
      <c r="G26" s="175" t="str">
        <f aca="false">HYPERLINK("https://shurup.net.ua/komod-kom-4s-90-dzhuli.p7011","2098")</f>
        <v>2098</v>
      </c>
      <c r="H26" s="175" t="str">
        <f aca="false">HYPERLINK("https://shurup.net.ua/shkaf-szf3d2s-porto.p24169","5377")</f>
        <v>5377</v>
      </c>
      <c r="I26" s="175" t="str">
        <f aca="false">HYPERLINK("https://shurup.net.ua/komod-8s-sonata.p1034","5683")</f>
        <v>5683</v>
      </c>
      <c r="J26" s="202" t="str">
        <f aca="false">HYPERLINK("https://shurup.net.ua/stol-pismennyj-biu-1d1s-120-kaspian-dub-sonoma.p6492","2979")</f>
        <v>2979</v>
      </c>
      <c r="K26" s="175" t="str">
        <f aca="false">HYPERLINK("https://shurup.net.ua/prihozhaya-rrk-nepo.p13611","1963")</f>
        <v>1963</v>
      </c>
      <c r="L26" s="175" t="str">
        <f aca="false">HYPERLINK("https://shurup.net.ua/gostinaja-aljaska.p28551","7644")</f>
        <v>7644</v>
      </c>
      <c r="M26" s="175" t="str">
        <f aca="false">HYPERLINK("https://shurup.net.ua/gostinaya-kvatro-venge-magiya.p836","3007")</f>
        <v>3007</v>
      </c>
      <c r="N26" s="175" t="str">
        <f aca="false">HYPERLINK("https://shurup.net.ua/komod-kom1w2d2s-9-15-vusher.p1953","4195")</f>
        <v>4195</v>
      </c>
    </row>
    <row r="27" customFormat="false" ht="36.75" hidden="false" customHeight="true" outlineLevel="0" collapsed="false">
      <c r="A27" s="105" t="s">
        <v>41</v>
      </c>
      <c r="B27" s="206" t="s">
        <v>139</v>
      </c>
      <c r="C27" s="76"/>
      <c r="D27" s="76"/>
      <c r="E27" s="76"/>
      <c r="F27" s="76"/>
      <c r="G27" s="76"/>
      <c r="H27" s="76"/>
      <c r="I27" s="76"/>
      <c r="J27" s="76"/>
      <c r="K27" s="193" t="str">
        <f aca="false">HYPERLINK("https://www.taburetka.ua/prihozhie-40/prihozhaya-ppk-nepo-2914","2000")</f>
        <v>2000</v>
      </c>
      <c r="L27" s="76"/>
      <c r="M27" s="179" t="str">
        <f aca="false">HYPERLINK("https://www.taburetka.ua/gostinye-600/gostinaya-kvatro-2834","3060")</f>
        <v>3060</v>
      </c>
      <c r="N27" s="179" t="str">
        <f aca="false">HYPERLINK("https://www.taburetka.ua/komody-i-tumby-35/komod-kom1w2d2s-vusher-2974","4245")</f>
        <v>4245</v>
      </c>
    </row>
    <row r="28" customFormat="false" ht="37.5" hidden="false" customHeight="true" outlineLevel="0" collapsed="false">
      <c r="A28" s="106" t="s">
        <v>42</v>
      </c>
      <c r="B28" s="206" t="s">
        <v>139</v>
      </c>
      <c r="C28" s="175" t="str">
        <f aca="false">HYPERLINK("http://www.maxidom.com.ua/tumba-rtv-atsteka-2d2s415.html?search_string=%D2%F3%EC%E1%E0+%D0%D2%C2+%C0%F6%F2%E5%EA%E0+2D2S%2F4%2F15","3343")</f>
        <v>3343</v>
      </c>
      <c r="D28" s="193" t="str">
        <f aca="false">HYPERLINK("http://www.maxidom.com.ua/komod-atsteka-kom4s811.html?search_string=%CA%EE%EC%EE%E4+%C0%F6%F2%E5%EA%E0+KOM4S%2F8%2F11","3924")</f>
        <v>3924</v>
      </c>
      <c r="E28" s="193" t="str">
        <f aca="false">HYPERLINK("http://www.maxidom.com.ua/komod_indiana_jkom4s80.html?search_string=%CA%EE%EC%EE%E4+%C8%ED%E4%E8%E0%ED%E0+JKOM4s%2F80","3562")</f>
        <v>3562</v>
      </c>
      <c r="F28" s="193" t="str">
        <f aca="false">HYPERLINK("http://www.maxidom.com.ua/stol_pismenniy_indiana_jbiu2d2s.html?search_string=%D1%F2%EE%EB+%EF%E8%F1%FC%EC%E5%ED%ED%FB%E9+%C8%ED%E4%E8%E0%ED%E0+JBIU2d2s","5158")</f>
        <v>5158</v>
      </c>
      <c r="G28" s="193" t="str">
        <f aca="false">HYPERLINK("http://www.maxidom.com.ua/komod-kom4s90-dzhuli.html?search_string=%CA%EE%EC%EE%E4+KOM4S%2F90+%C4%E6%F3%EB%E8","2098")</f>
        <v>2098</v>
      </c>
      <c r="H28" s="193" t="str">
        <f aca="false">HYPERLINK("http://www.maxidom.com.ua/shkaf-porto-porto-szf3d2s.html?search_string=%D8%EA%E0%F4+%CF%EE%F0%F2%EE+%28Porto%29+SZF3D2S","5377")</f>
        <v>5377</v>
      </c>
      <c r="I28" s="193" t="str">
        <f aca="false">HYPERLINK("http://www.maxidom.com.ua/komod-sonata-8s.html?search_string=%CA%EE%EC%EE%E4+%D1%EE%ED%E0%F2%E0+8s","5683")</f>
        <v>5683</v>
      </c>
      <c r="J28" s="193" t="str">
        <f aca="false">HYPERLINK("http://www.maxidom.com.ua/stol-pismenniy-biu-1d1s-kaspian-kaspian.html?search_string=%D1%F2%EE%EB+%EF%E8%F1%FC%EC%E5%ED%ED%FB%E9+BIU+1D1S+%CA%E0%F1%EF%E8%E0%ED+%28Kaspian%29","3002")</f>
        <v>3002</v>
      </c>
      <c r="K28" s="193" t="str">
        <f aca="false">HYPERLINK("http://www.maxidom.com.ua/prihozhaya-nepo-ppk.html?search_string=%CF%F0%E8%F5%EE%E6%E0%FF+%CD%E5%EF%EE+PPK","1963")</f>
        <v>1963</v>
      </c>
      <c r="L28" s="193" t="str">
        <f aca="false">HYPERLINK("http://www.maxidom.com.ua/stenka-alyaska.html?search_string=%D1%F2%E5%ED%EA%E0+%C0%EB%FF%F1%EA%E0","7644")</f>
        <v>7644</v>
      </c>
      <c r="M28" s="179" t="str">
        <f aca="false">HYPERLINK("http://www.maxidom.com.ua/stenka-kvatro.html?search_string=%D1%F2%E5%ED%EA%E0+%CA%E2%E0%F2%F0%EE","3007")</f>
        <v>3007</v>
      </c>
      <c r="N28" s="179" t="str">
        <f aca="false">HYPERLINK("http://www.maxidom.com.ua/komod-kom-1w2d2s-vusher.html?search_string=%CA%EE%EC%EE%E4+KOM+1W2D2S+%C2%F3%F8%E5%F0","4195")</f>
        <v>4195</v>
      </c>
    </row>
    <row r="29" customFormat="false" ht="42" hidden="false" customHeight="true" outlineLevel="0" collapsed="false">
      <c r="A29" s="106" t="s">
        <v>27</v>
      </c>
      <c r="B29" s="118" t="s">
        <v>174</v>
      </c>
      <c r="C29" s="175" t="str">
        <f aca="false">HYPERLINK("https://mebel-online.com.ua/tymba-rtv2d2s-4-15-azteca?filter_name=azteca","3343")</f>
        <v>3343</v>
      </c>
      <c r="D29" s="193" t="str">
        <f aca="false">HYPERLINK("https://mebel-online.com.ua/komod-kom4s-8-11-azteca?filter_name=azteca","3924")</f>
        <v>3924</v>
      </c>
      <c r="E29" s="179" t="str">
        <f aca="false">HYPERLINK("https://mebel-online.com.ua/p5228-komod_jkom_4s_80_indiana_brw?filter_name=%D0%B8%D0%BD%D0%B4%D0%B8%D0%B0%D0%BD%D0%B0","3562")</f>
        <v>3562</v>
      </c>
      <c r="F29" s="193" t="str">
        <f aca="false">HYPERLINK("https://mebel-online.com.ua/p5223-stol_pismenniy_jbiu_2d2s_140_indiana_brw?filter_name=%D0%B8%D0%BD%D0%B4%D0%B8%D0%B0%D0%BD%D0%B0","5158")</f>
        <v>5158</v>
      </c>
      <c r="G29" s="193" t="str">
        <f aca="false">HYPERLINK("https://mebel-online.com.ua/komod-kom4s-90-july?filter_name=july","2098")</f>
        <v>2098</v>
      </c>
      <c r="H29" s="193" t="str">
        <f aca="false">HYPERLINK("https://mebel-online.com.ua/shkaf-szf3d2s-porto?filter_name=SZF3D2S","5377")</f>
        <v>5377</v>
      </c>
      <c r="I29" s="193" t="str">
        <f aca="false">HYPERLINK("https://mebel-online.com.ua/p1728-gerbor_sonata_komod_8-s?filter_name=%D1%81%D0%BE%D0%BD%D0%B0%D1%82%D0%B0","5683")</f>
        <v>5683</v>
      </c>
      <c r="J29" s="194"/>
      <c r="K29" s="179" t="str">
        <f aca="false">HYPERLINK("https://mebel-online.com.ua/prihozhaya-gerbor-ppk-nepo?filter_name=%D0%BD%D0%B5%D0%BF%D0%BE","1963")</f>
        <v>1963</v>
      </c>
      <c r="L29" s="193" t="str">
        <f aca="false">HYPERLINK("https://mebel-online.com.ua/stenka-aliaska-brw%20?filter_name=%D0%B0%D0%BB%D1%8F%D1%81%D0%BA%D0%B0","7644")</f>
        <v>7644</v>
      </c>
      <c r="M29" s="179" t="str">
        <f aca="false">HYPERLINK("https://mebel-online.com.ua/stenka-kvatro-gerbor?filter_name=%D0%BA%D0%B2%D0%B0%D1%82%D1%80%D0%BE","3007")</f>
        <v>3007</v>
      </c>
      <c r="N29" s="179" t="str">
        <f aca="false">HYPERLINK("https://mebel-online.com.ua/komod-kom-1w2d2s-vusher-gerbor?filter_name=%D0%B2%D1%83%D1%88%D0%B5%D1%80","4195")</f>
        <v>4195</v>
      </c>
    </row>
    <row r="30" customFormat="false" ht="15.75" hidden="false" customHeight="true" outlineLevel="0" collapsed="false">
      <c r="A30" s="105" t="s">
        <v>147</v>
      </c>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c r="A230" s="74"/>
      <c r="B230" s="146"/>
      <c r="C230" s="76"/>
      <c r="D230" s="76"/>
      <c r="E230" s="76"/>
      <c r="F230" s="76"/>
      <c r="G230" s="76"/>
      <c r="H230" s="76"/>
      <c r="I230" s="76"/>
      <c r="J230" s="76"/>
      <c r="K230" s="76"/>
      <c r="L230" s="76"/>
      <c r="M230" s="76"/>
      <c r="N230" s="76"/>
    </row>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gerbor.mebli-smerichka.com.ua/"/>
    <hyperlink ref="A19" r:id="rId22" display="https://www.brw-kiev.com.ua/"/>
    <hyperlink ref="A20" r:id="rId23" display="https://brw.kiev.ua/"/>
    <hyperlink ref="A21" r:id="rId24" display="http://brw.com.ua/"/>
    <hyperlink ref="A22" r:id="rId25" display="https://mebelstyle.net/"/>
    <hyperlink ref="A23" r:id="rId26" display="https://lvivmebli.com/"/>
    <hyperlink ref="A24" r:id="rId27" display="http://centrmebliv.com.ua/"/>
    <hyperlink ref="A25" r:id="rId28" display="https://letromebel.com.ua/"/>
    <hyperlink ref="A26" r:id="rId29" display="https://shurup.net.ua/"/>
    <hyperlink ref="A27" r:id="rId30" display="https://www.taburetka.ua"/>
    <hyperlink ref="A28" r:id="rId31" display="http://www.maxidom.com.ua/"/>
    <hyperlink ref="A29" r:id="rId32" display="https://mebel-online.com.ua"/>
    <hyperlink ref="A30" r:id="rId33" display="https://max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0.29"/>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2" t="s">
        <v>1</v>
      </c>
      <c r="C1" s="2" t="s">
        <v>2</v>
      </c>
      <c r="D1" s="2" t="s">
        <v>3</v>
      </c>
      <c r="E1" s="2" t="s">
        <v>4</v>
      </c>
      <c r="F1" s="2" t="s">
        <v>5</v>
      </c>
      <c r="G1" s="2" t="s">
        <v>6</v>
      </c>
      <c r="H1" s="2" t="s">
        <v>7</v>
      </c>
      <c r="I1" s="2" t="s">
        <v>8</v>
      </c>
      <c r="J1" s="3" t="s">
        <v>9</v>
      </c>
      <c r="K1" s="3" t="s">
        <v>15</v>
      </c>
      <c r="L1" s="4" t="s">
        <v>10</v>
      </c>
      <c r="M1" s="3" t="s">
        <v>11</v>
      </c>
      <c r="N1" s="3" t="s">
        <v>12</v>
      </c>
      <c r="O1" s="3" t="s">
        <v>13</v>
      </c>
      <c r="P1" s="3" t="s">
        <v>14</v>
      </c>
    </row>
    <row r="2" customFormat="false" ht="40.5" hidden="false" customHeight="true" outlineLevel="0" collapsed="false">
      <c r="A2" s="5" t="s">
        <v>16</v>
      </c>
      <c r="B2" s="6" t="n">
        <v>4400</v>
      </c>
      <c r="C2" s="7" t="n">
        <v>5210</v>
      </c>
      <c r="D2" s="8" t="n">
        <v>4170</v>
      </c>
      <c r="E2" s="7" t="n">
        <v>6210</v>
      </c>
      <c r="F2" s="8" t="n">
        <v>2630</v>
      </c>
      <c r="G2" s="8" t="n">
        <v>6210</v>
      </c>
      <c r="H2" s="8" t="n">
        <v>7210</v>
      </c>
      <c r="I2" s="9" t="n">
        <v>3860</v>
      </c>
      <c r="J2" s="10" t="n">
        <v>2340</v>
      </c>
      <c r="K2" s="10" t="n">
        <v>9650</v>
      </c>
      <c r="L2" s="10" t="n">
        <v>3950</v>
      </c>
      <c r="M2" s="10" t="n">
        <v>5350</v>
      </c>
      <c r="N2" s="77" t="n">
        <v>4940</v>
      </c>
      <c r="O2" s="10" t="n">
        <v>4030</v>
      </c>
      <c r="P2" s="10" t="n">
        <v>4670</v>
      </c>
    </row>
    <row r="3" customFormat="false" ht="48" hidden="false" customHeight="true" outlineLevel="0" collapsed="false">
      <c r="A3" s="78" t="s">
        <v>28</v>
      </c>
      <c r="B3" s="79" t="str">
        <f aca="false">HYPERLINK("https://brwmania.com.ua/gostinaja/modulnye-gostinye/sistema-azteka/tumba-pod-tv-acteka-rtv2d2s415/","4200")</f>
        <v>4200</v>
      </c>
      <c r="C3" s="80" t="str">
        <f aca="false">HYPERLINK("https://brwmania.com.ua/gostinaja/modulnye-gostinye/sistema-azteka/komod-acteka-kom4s811/","5010")</f>
        <v>5010</v>
      </c>
      <c r="D3" s="80" t="str">
        <f aca="false">HYPERLINK("https://brwmania.com.ua/gostinaja/modulnye-gostinye/sistema-indiana-indiana---dub-shuter/indiana-dub-shuter-laminat-j-011-komod-jkom-4s-80/","4010")</f>
        <v>4010</v>
      </c>
      <c r="E3" s="80" t="str">
        <f aca="false">HYPERLINK("https://brwmania.com.ua/gostinaja/modulnye-gostinye/sistema-indiana-indiana---dub-shuter/indiana-dub-shuter-laminat-j-007-stol-pismennyy-jbiu-2d2s-140/","5980")</f>
        <v>5980</v>
      </c>
      <c r="F3" s="80" t="str">
        <f aca="false">HYPERLINK("https://brwmania.com.ua/gostinaja/modulnye-gostinye/sistema_dzhuli/komod-dzhuli-july-kom4s-90/","2480")</f>
        <v>2480</v>
      </c>
      <c r="G3" s="80" t="str">
        <f aca="false">HYPERLINK("https://brwmania.com.ua/gostinaja/modulnye-gostinye/tovar-novij/shkaf-platjanoj-porto-szf3d2s/","5890")</f>
        <v>5890</v>
      </c>
      <c r="H3" s="80" t="str">
        <f aca="false">HYPERLINK("https://brwmania.com.ua/gostinaja/modulnye-gostinye/sistema-sonata-sonata/s-015-sonata-komod-8-s/","7090")</f>
        <v>7090</v>
      </c>
      <c r="I3" s="80" t="str">
        <f aca="false">HYPERLINK("https://brwmania.com.ua/gostinaja/modulnye-gostinye/sistema_kaspian_dub_sonoma/kaspian-dub-sonoma-jm-007-stol-pismennyy-biu-1d1s/","3630")</f>
        <v>3630</v>
      </c>
      <c r="J3" s="19" t="str">
        <f aca="false">HYPERLINK("https://brwmania.com.ua/gostinaja/modulnye-gostinye/sistema_nepo/nepo-prihozha-ppk/","2330")</f>
        <v>2330</v>
      </c>
      <c r="K3" s="80" t="str">
        <f aca="false">HYPERLINK("https://brwmania.com.ua/gostinaja/komplekty-gostinyh/aljaska-alaska-gostinaja/","9080")</f>
        <v>9080</v>
      </c>
      <c r="L3" s="81" t="n">
        <v>3880</v>
      </c>
      <c r="M3" s="81" t="n">
        <v>5210</v>
      </c>
      <c r="N3" s="81" t="n">
        <v>4780</v>
      </c>
      <c r="O3" s="81" t="n">
        <v>5590</v>
      </c>
      <c r="P3" s="81" t="n">
        <v>4550</v>
      </c>
    </row>
    <row r="4" customFormat="false" ht="60.75" hidden="false" customHeight="true" outlineLevel="0" collapsed="false">
      <c r="A4" s="78" t="s">
        <v>29</v>
      </c>
      <c r="B4" s="29" t="str">
        <f aca="false">HYPERLINK("https://redlight.com.ua/tv-stands/item-tumba-tv-rtv2d2s-4-15-atsteka","4400")</f>
        <v>4400</v>
      </c>
      <c r="C4" s="30" t="str">
        <f aca="false">HYPERLINK("https://redlight.com.ua/komod/item-komod-kom4s-8-11-atsteka","5210")</f>
        <v>5210</v>
      </c>
      <c r="D4" s="30" t="str">
        <f aca="false">HYPERLINK("https://redlight.com.ua/komod/item-komod-jkom-4s-80-indiana","4010")</f>
        <v>4010</v>
      </c>
      <c r="E4" s="30" t="str">
        <f aca="false">HYPERLINK("https://redlight.com.ua/stoly/item-stol-pismenniy-jbiu-2d2s-indiana","5980")</f>
        <v>5980</v>
      </c>
      <c r="F4" s="30" t="str">
        <f aca="false">HYPERLINK("https://redlight.com.ua/komod/item-komod-kom4s-90-dzhuli","2630")</f>
        <v>2630</v>
      </c>
      <c r="G4" s="27" t="str">
        <f aca="false">HYPERLINK("http://redlight.com.ua/raspashnyye-shkafy/item-porto-shkaf-szf3d2s","5890")</f>
        <v>5890</v>
      </c>
      <c r="H4" s="32" t="str">
        <f aca="false">HYPERLINK("http://redlight.com.ua/komod/item-komod-8s-sonata-","7210")</f>
        <v>7210</v>
      </c>
      <c r="I4" s="30" t="str">
        <f aca="false">HYPERLINK("http://redlight.com.ua/stoly/item-kaspian-pismenniy-stol-biu-1d1s-120-kaspian","3860")</f>
        <v>3860</v>
      </c>
      <c r="J4" s="30" t="str">
        <f aca="false">HYPERLINK("https://redlight.com.ua/prihozhie/item-nepo-prihozhaya-rrk-","2340")</f>
        <v>2340</v>
      </c>
      <c r="K4" s="36" t="str">
        <f aca="false">HYPERLINK("http://redlight.com.ua/stenki/item-stenka-alyaska","7644")</f>
        <v>7644</v>
      </c>
      <c r="L4" s="82" t="n">
        <v>3950</v>
      </c>
      <c r="M4" s="82" t="n">
        <v>5350</v>
      </c>
      <c r="N4" s="82" t="n">
        <v>4940</v>
      </c>
      <c r="O4" s="82" t="n">
        <v>4030</v>
      </c>
      <c r="P4" s="82" t="n">
        <v>4670</v>
      </c>
    </row>
    <row r="5" customFormat="false" ht="63" hidden="false" customHeight="true" outlineLevel="0" collapsed="false">
      <c r="A5" s="78" t="s">
        <v>30</v>
      </c>
      <c r="B5" s="35" t="str">
        <f aca="false">HYPERLINK("https://mebli-bristol.com.ua/acteka-tumba-rtv-2d2s-4-15-brv-ukraina.html","4400")</f>
        <v>4400</v>
      </c>
      <c r="C5" s="32" t="str">
        <f aca="false">HYPERLINK("https://mebli-bristol.com.ua/acteka-komod-kom-4s-8-11-brv-ukraina.html","5210")</f>
        <v>5210</v>
      </c>
      <c r="D5" s="32" t="str">
        <f aca="false">HYPERLINK("https://mebli-bristol.com.ua/indiana-komod-jkom-4s-80-sosna-kan-jon-brv-ukraina.html","4170")</f>
        <v>4170</v>
      </c>
      <c r="E5" s="32" t="str">
        <f aca="false">HYPERLINK("https://mebli-bristol.com.ua/indiana-stil-pis-movij-jbiu-2d2s-140-sosna-kan-jon-brv-ukraina.html","6210")</f>
        <v>6210</v>
      </c>
      <c r="F5" s="32" t="str">
        <f aca="false">HYPERLINK("https://mebli-bristol.com.ua/dzhuli-komod-kom-4s-90-brv-ukraina.html","2630")</f>
        <v>2630</v>
      </c>
      <c r="G5" s="32" t="str">
        <f aca="false">HYPERLINK("https://mebli-bristol.com.ua/porto-shafa-szf-3d2s-brv-ukraina.html","6210")</f>
        <v>6210</v>
      </c>
      <c r="H5" s="32" t="str">
        <f aca="false">HYPERLINK("https://mebli-bristol.com.ua/sonata-komod-8s-gerbor.html","7210")</f>
        <v>7210</v>
      </c>
      <c r="I5" s="32" t="str">
        <f aca="false">HYPERLINK("https://mebli-bristol.com.ua/kaspian-stil-pis-movij-biu-1d1s-120-dub-sonoma-brv-ukraina.html","3860")</f>
        <v>3860</v>
      </c>
      <c r="J5" s="36" t="str">
        <f aca="false">HYPERLINK("https://mebli-bristol.com.ua/nepo-peredpokij-ppk-gerbor-9728.html","1971")</f>
        <v>1971</v>
      </c>
      <c r="K5" s="32" t="str">
        <f aca="false">HYPERLINK("https://mebli-bristol.com.ua/aljaska-brv-ukraina.html","9650")</f>
        <v>9650</v>
      </c>
      <c r="L5" s="82" t="n">
        <v>3950</v>
      </c>
      <c r="M5" s="82" t="n">
        <v>5350</v>
      </c>
      <c r="N5" s="82" t="n">
        <v>4940</v>
      </c>
      <c r="O5" s="82" t="n">
        <v>4030</v>
      </c>
      <c r="P5" s="82" t="n">
        <v>4670</v>
      </c>
    </row>
    <row r="6" customFormat="false" ht="60" hidden="false" customHeight="true" outlineLevel="0" collapsed="false">
      <c r="A6" s="78" t="s">
        <v>17</v>
      </c>
      <c r="B6" s="29" t="str">
        <f aca="false">HYPERLINK("https://gerbor.kiev.ua/mebel-brv-ukraina/mebel-brw-azteca/azteca-tumba-tv-rtv2d2s-brv/","4200")</f>
        <v>4200</v>
      </c>
      <c r="C6" s="30" t="str">
        <f aca="false">HYPERLINK("https://gerbor.kiev.ua/mebel-brv-ukraina/mebel-brw-azteca/azteca-komod-kom4s-brv/","5010")</f>
        <v>5010</v>
      </c>
      <c r="D6" s="30" t="str">
        <f aca="false">HYPERLINK("https://gerbor.kiev.ua/mebel-brv-ukraina/mebel-indiana-brw/indiana-komod-jkom4s80-brv/","4010")</f>
        <v>4010</v>
      </c>
      <c r="E6" s="30" t="str">
        <f aca="false">HYPERLINK("https://gerbor.kiev.ua/mebel-brv-ukraina/mebel-indiana-brw/indiana-stol-pismennyy-jbiu2d2s140-brv/","5980")</f>
        <v>5980</v>
      </c>
      <c r="F6" s="30" t="str">
        <f aca="false">HYPERLINK("https://gerbor.kiev.ua/mebel-brv-ukraina/mebel-july-brw/july-komod-kom4s90-brv/","2480")</f>
        <v>2480</v>
      </c>
      <c r="G6" s="32" t="str">
        <f aca="false">HYPERLINK("https://gerbor.kiev.ua/mebelnye-sistemy/mebel-porto-brv/porto-shkaf-szf3d2s-brv/","5890")</f>
        <v>5890</v>
      </c>
      <c r="H6" s="32" t="str">
        <f aca="false">HYPERLINK("https://gerbor.kiev.ua/mebelnye-sistemy/mebel-sonata-gerbor/sonata-komod-8s-gerbor/","7090")</f>
        <v>7090</v>
      </c>
      <c r="I6" s="32" t="str">
        <f aca="false">HYPERLINK("https://gerbor.kiev.ua/mebelnye-sistemy/mebel-kaspian-sonoma-brw/kaspian-sonoma-stol-pismennyy-biu1d1s-brv/","3630")</f>
        <v>3630</v>
      </c>
      <c r="J6" s="19" t="str">
        <f aca="false">HYPERLINK("https://gerbor.kiev.ua/mebelnye-sistemy/mebel-nepo-gerbor/nepo-prikhozhaya-ppk-gerbor/","2340")</f>
        <v>2340</v>
      </c>
      <c r="K6" s="19" t="str">
        <f aca="false">HYPERLINK("https://gerbor.kiev.ua/mebelnye-sistemy/mebel-alaska-brw/alaska-gostinaya-brw/","9290")</f>
        <v>9290</v>
      </c>
      <c r="L6" s="83"/>
      <c r="M6" s="16" t="n">
        <v>5210</v>
      </c>
      <c r="N6" s="16" t="n">
        <v>4940</v>
      </c>
      <c r="O6" s="82" t="n">
        <v>5590</v>
      </c>
      <c r="P6" s="82" t="n">
        <v>4050</v>
      </c>
      <c r="Q6" s="84"/>
    </row>
    <row r="7" customFormat="false" ht="63" hidden="false" customHeight="true" outlineLevel="0" collapsed="false">
      <c r="A7" s="78" t="s">
        <v>18</v>
      </c>
      <c r="B7" s="29" t="str">
        <f aca="false">HYPERLINK("https://brwland.com.ua/product/azteca-tumba-tv-rtv2d2s415-brv-ukraina/","4400")</f>
        <v>4400</v>
      </c>
      <c r="C7" s="30" t="str">
        <f aca="false">HYPERLINK("https://brwland.com.ua/product/azteca-komod-kom4s811-brv-ukraina/","5210")</f>
        <v>5210</v>
      </c>
      <c r="D7" s="30" t="str">
        <f aca="false">HYPERLINK("https://brwland.com.ua/product/mebel-indiana-komod-jkom-4s-80-gerbor/","4170")</f>
        <v>4170</v>
      </c>
      <c r="E7" s="30" t="str">
        <f aca="false">HYPERLINK("https://brwland.com.ua/product/mebel-indiana-stol-pismennyj-jbiu-2d2s-140-gerbor/","6210")</f>
        <v>6210</v>
      </c>
      <c r="F7" s="30" t="str">
        <f aca="false">HYPERLINK("https://brwland.com.ua/product/dzhuli-komod-kom4s90-brv-ukraina/","2630")</f>
        <v>2630</v>
      </c>
      <c r="G7" s="32" t="str">
        <f aca="false">HYPERLINK("http://www.brwland.com.ua/product/porto-shkaf-szf3d2s-brv-ukraina/","6210")</f>
        <v>6210</v>
      </c>
      <c r="H7" s="32" t="str">
        <f aca="false">HYPERLINK("http://www.brwland.com.ua/product/komod-8s-sonata-gerbor/","7090")</f>
        <v>7090</v>
      </c>
      <c r="I7" s="19" t="str">
        <f aca="false">HYPERLINK("http://www.brwland.com.ua/product/kaspian-sonoma-stol-pismennyj-biu1d1s-brv-ukraina/","3860")</f>
        <v>3860</v>
      </c>
      <c r="J7" s="19" t="str">
        <f aca="false">HYPERLINK("http://www.brwland.com.ua/product/nepo-prihozhaja-ppk-gerbor/","2340")</f>
        <v>2340</v>
      </c>
      <c r="K7" s="19" t="str">
        <f aca="false">HYPERLINK("http://www.brwland.com.ua/product/gostinaja-aljaska-brv-ukraina/","9650")</f>
        <v>9650</v>
      </c>
      <c r="L7" s="36" t="str">
        <f aca="false">HYPERLINK("http://www.brwland.com.ua/product/komplekt-quatro/","3151")</f>
        <v>3151</v>
      </c>
      <c r="M7" s="82" t="n">
        <v>5350</v>
      </c>
      <c r="N7" s="82" t="n">
        <v>4940</v>
      </c>
      <c r="O7" s="82" t="n">
        <v>4030</v>
      </c>
      <c r="P7" s="82" t="n">
        <v>4090</v>
      </c>
      <c r="Q7" s="84"/>
    </row>
    <row r="8" customFormat="false" ht="60" hidden="false" customHeight="true" outlineLevel="0" collapsed="false">
      <c r="A8" s="78" t="s">
        <v>31</v>
      </c>
      <c r="B8" s="85" t="str">
        <f aca="false">HYPERLINK("http://gerbor.dp.ua/index.php?route=product/product&amp;product_id=3138","0")</f>
        <v>0</v>
      </c>
      <c r="C8" s="86" t="str">
        <f aca="false">HYPERLINK("http://gerbor.dp.ua/index.php?route=product/product&amp;product_id=3131","0")</f>
        <v>0</v>
      </c>
      <c r="D8" s="86" t="str">
        <f aca="false">HYPERLINK("http://gerbor.dp.ua/index.php?route=product/product&amp;product_id=1730","0")</f>
        <v>0</v>
      </c>
      <c r="E8" s="86" t="str">
        <f aca="false">HYPERLINK("http://gerbor.dp.ua/index.php?route=product/product&amp;product_id=1725","0")</f>
        <v>0</v>
      </c>
      <c r="F8" s="86" t="str">
        <f aca="false">HYPERLINK("http://gerbor.dp.ua/index.php?route=product/product&amp;product_id=1755","0")</f>
        <v>0</v>
      </c>
      <c r="G8" s="27" t="str">
        <f aca="false">HYPERLINK("http://gerbor.dp.ua/index.php?route=product/product&amp;product_id=3905","4060")</f>
        <v>4060</v>
      </c>
      <c r="H8" s="86" t="str">
        <f aca="false">HYPERLINK("http://gerbor.dp.ua/index.php?route=product/product&amp;product_id=2156","0")</f>
        <v>0</v>
      </c>
      <c r="I8" s="86" t="str">
        <f aca="false">HYPERLINK("http://gerbor.dp.ua/index.php?route=product/product&amp;product_id=2819","0")</f>
        <v>0</v>
      </c>
      <c r="J8" s="86" t="str">
        <f aca="false">HYPERLINK("http://gerbor.dp.ua/index.php?route=product/product&amp;product_id=3473&amp;search=%D0%BD%D0%B5%D0%BF%D0%BE","0")</f>
        <v>0</v>
      </c>
      <c r="K8" s="86" t="str">
        <f aca="false">HYPERLINK("http://gerbor.dp.ua/index.php?route=product/product&amp;product_id=3031","0")</f>
        <v>0</v>
      </c>
      <c r="L8" s="86" t="str">
        <f aca="false">HYPERLINK("http://gerbor.dp.ua/index.php?route=product/product&amp;product_id=2040","0")</f>
        <v>0</v>
      </c>
      <c r="M8" s="19" t="str">
        <f aca="false">HYPERLINK("http://gerbor.dp.ua/index.php?route=product/product&amp;product_id=2775","5350")</f>
        <v>5350</v>
      </c>
      <c r="N8" s="86" t="str">
        <f aca="false">HYPERLINK("http://gerbor.dp.ua/index.php?route=product/product&amp;product_id=4118","0")</f>
        <v>0</v>
      </c>
      <c r="O8" s="87" t="n">
        <v>4043</v>
      </c>
      <c r="P8" s="86" t="str">
        <f aca="false">HYPERLINK("http://gerbor.dp.ua/index.php?route=product/product&amp;product_id=3797&amp;search=%D0%BA%D0%BE%D0%B5%D0%BD+%D0%BC%D0%B4%D1%84&amp;description=true","0")</f>
        <v>0</v>
      </c>
    </row>
    <row r="9" customFormat="false" ht="56.25" hidden="false" customHeight="true" outlineLevel="0" collapsed="false">
      <c r="A9" s="88" t="s">
        <v>32</v>
      </c>
      <c r="B9" s="29" t="str">
        <f aca="false">HYPERLINK("https://www.dybok.com.ua/ru/product/detail/35816","4393")</f>
        <v>4393</v>
      </c>
      <c r="C9" s="30" t="str">
        <f aca="false">HYPERLINK("https://www.dybok.com.ua/ru/product/detail/35870","5215")</f>
        <v>5215</v>
      </c>
      <c r="D9" s="89" t="n">
        <v>3229</v>
      </c>
      <c r="E9" s="30" t="str">
        <f aca="false">HYPERLINK("https://www.dybok.com.ua/ru/product/detail/4291","6230")</f>
        <v>6230</v>
      </c>
      <c r="F9" s="30" t="str">
        <f aca="false">HYPERLINK("https://www.dybok.com.ua/ru/product/detail/9798","2624")</f>
        <v>2624</v>
      </c>
      <c r="G9" s="30" t="str">
        <f aca="false">HYPERLINK("https://www.dybok.com.ua/ru/product/detail/35840","6685")</f>
        <v>6685</v>
      </c>
      <c r="H9" s="30" t="str">
        <f aca="false">HYPERLINK("https://www.dybok.com.ua/ru/product/detail/261","7228")</f>
        <v>7228</v>
      </c>
      <c r="I9" s="36" t="str">
        <f aca="false">HYPERLINK("https://www.dybok.com.ua/","3006")</f>
        <v>3006</v>
      </c>
      <c r="J9" s="89" t="n">
        <v>1931</v>
      </c>
      <c r="K9" s="34" t="str">
        <f aca="false">HYPERLINK("https://www.dybok.com.ua/ru/product/detail/50410","8916")</f>
        <v>8916</v>
      </c>
      <c r="L9" s="82" t="n">
        <v>3961</v>
      </c>
      <c r="M9" s="82" t="n">
        <v>5363</v>
      </c>
      <c r="N9" s="32" t="str">
        <f aca="false">HYPERLINK("https://www.dybok.com.ua/ru/product/detail/54996","4953")</f>
        <v>4953</v>
      </c>
      <c r="O9" s="82" t="n">
        <v>4043</v>
      </c>
      <c r="P9" s="82" t="n">
        <v>4673</v>
      </c>
    </row>
    <row r="10" customFormat="false" ht="61.5" hidden="false" customHeight="true" outlineLevel="0" collapsed="false">
      <c r="A10" s="78" t="s">
        <v>19</v>
      </c>
      <c r="B10" s="33" t="str">
        <f aca="false">HYPERLINK("https://vashamebel.in.ua/tumba-tv-brv-atsteka-rtv2d2s415/p12722","4200")</f>
        <v>4200</v>
      </c>
      <c r="C10" s="34" t="str">
        <f aca="false">HYPERLINK("https://vashamebel.in.ua/komod-brv-atsteka-kom4s811/p12731","5010")</f>
        <v>5010</v>
      </c>
      <c r="D10" s="34" t="str">
        <f aca="false">HYPERLINK("https://vashamebel.in.ua/komod-brv-indiana-jkom4s80/p921","4010")</f>
        <v>4010</v>
      </c>
      <c r="E10" s="34" t="str">
        <f aca="false">HYPERLINK("https://vashamebel.in.ua/stol-pismennyij-brv-indiana-jbiu-2d2s/p916","5980")</f>
        <v>5980</v>
      </c>
      <c r="F10" s="34" t="str">
        <f aca="false">HYPERLINK("https://vashamebel.in.ua/komod-brv-dzhuli-kom4s90/p7958","2480")</f>
        <v>2480</v>
      </c>
      <c r="G10" s="27" t="str">
        <f aca="false">HYPERLINK("https://vashamebel.in.ua/shkaf-brv-porto-szf3d2s/p12560","5890")</f>
        <v>5890</v>
      </c>
      <c r="H10" s="34" t="str">
        <f aca="false">HYPERLINK("https://vashamebel.in.ua/komod-gerbor-sonata-8s/p845","7090")</f>
        <v>7090</v>
      </c>
      <c r="I10" s="87" t="s">
        <v>33</v>
      </c>
      <c r="J10" s="22" t="str">
        <f aca="false">HYPERLINK("https://vashamebel.in.ua/prihozhaya-gerbor-nepo-ppk/p12249","2330")</f>
        <v>2330</v>
      </c>
      <c r="K10" s="34" t="str">
        <f aca="false">HYPERLINK("https://vashamebel.in.ua/gostinaya-brv-alyaska/p4420","9290")</f>
        <v>9290</v>
      </c>
      <c r="L10" s="16" t="n">
        <v>3880</v>
      </c>
      <c r="M10" s="16" t="n">
        <v>5210</v>
      </c>
      <c r="N10" s="90" t="n">
        <v>4780</v>
      </c>
      <c r="O10" s="82" t="n">
        <v>5590</v>
      </c>
      <c r="P10" s="90" t="n">
        <v>4050</v>
      </c>
    </row>
    <row r="11" customFormat="false" ht="70.5" hidden="false" customHeight="true" outlineLevel="0" collapsed="false">
      <c r="A11" s="78" t="s">
        <v>20</v>
      </c>
      <c r="B11" s="33" t="str">
        <f aca="false">HYPERLINK("https://mebel-mebel.com.ua/eshop/dom-tumby-dlia-tv/tumba_rtv2d2s_4_15_atsteka-id461.html","4200")</f>
        <v>4200</v>
      </c>
      <c r="C11" s="34" t="str">
        <f aca="false">HYPERLINK("https://mebel-mebel.com.ua/eshop/dom-komody/komod_kom4s_8_11_atsteka-id496.html","5010")</f>
        <v>5010</v>
      </c>
      <c r="D11" s="34" t="str">
        <f aca="false">HYPERLINK("https://mebel-mebel.com.ua/eshop/dom-komody/komod_jkom_4s80_indiana-id663.html","4010")</f>
        <v>4010</v>
      </c>
      <c r="E11" s="34" t="str">
        <f aca="false">HYPERLINK("https://mebel-mebel.com.ua/eshop/dom-stoly-kompiuternye/stol_pismenniy_jbiu_2d2s_140_indiana-id659.html","5980")</f>
        <v>5980</v>
      </c>
      <c r="F11" s="34" t="str">
        <f aca="false">HYPERLINK("https://mebel-mebel.com.ua/eshop/dom-komody/komod_kom_4s_90_dzhuli-id569.html","2480")</f>
        <v>2480</v>
      </c>
      <c r="G11" s="34" t="str">
        <f aca="false">HYPERLINK("https://mebel-mebel.com.ua/eshop/detskie-shkafy/shkaf_szf3d2s_porto-id35136.html","5890")</f>
        <v>5890</v>
      </c>
      <c r="H11" s="27" t="str">
        <f aca="false">HYPERLINK("https://mebel-mebel.com.ua/eshop/dom-komody/komod_8s_s_015_sonata-id1567.html","7090")</f>
        <v>7090</v>
      </c>
      <c r="I11" s="27" t="str">
        <f aca="false">HYPERLINK("https://mebel-mebel.com.ua/eshop/dom-stoly-kompiuternye/stol_pismenniy_biu_1d1s_120_kaspian-id797.html","3630")</f>
        <v>3630</v>
      </c>
      <c r="J11" s="19" t="str">
        <f aca="false">HYPERLINK("https://mebel-mebel.com.ua/eshop/dom-prihozhie/prihozhaya_ppk_nepo-id28028.html","2330")</f>
        <v>2330</v>
      </c>
      <c r="K11" s="34" t="str">
        <f aca="false">HYPERLINK("https://mebel-mebel.com.ua/eshop/dom-stenki-dlia-gostinoi/gostinaya_arktika-id50834.html","9290")</f>
        <v>9290</v>
      </c>
      <c r="L11" s="90" t="n">
        <v>3880</v>
      </c>
      <c r="M11" s="90" t="n">
        <v>4689</v>
      </c>
      <c r="N11" s="90" t="n">
        <v>4780</v>
      </c>
      <c r="O11" s="16" t="n">
        <v>4751</v>
      </c>
      <c r="P11" s="90" t="n">
        <v>4550</v>
      </c>
    </row>
    <row r="12" customFormat="false" ht="75.75" hidden="false" customHeight="true" outlineLevel="0" collapsed="false">
      <c r="A12" s="91" t="s">
        <v>21</v>
      </c>
      <c r="B12" s="33" t="str">
        <f aca="false">HYPERLINK("https://abcmebli.com.ua/p14992-tumba_tv_rtv2d2s-4-15_atsteka","4237")</f>
        <v>4237</v>
      </c>
      <c r="C12" s="27" t="str">
        <f aca="false">HYPERLINK("https://abcmebli.com.ua/p15683-atsteka_komod_kom4s-8-11_brv","5010")</f>
        <v>5010</v>
      </c>
      <c r="D12" s="27" t="str">
        <f aca="false">HYPERLINK("https://abcmebli.com.ua/p1896-komod_jkom4s_80_indiana","4010")</f>
        <v>4010</v>
      </c>
      <c r="E12" s="27" t="str">
        <f aca="false">HYPERLINK("https://abcmebli.com.ua/p1892-stol_pismenniy_jbiu2d2s_140_indiana","5980")</f>
        <v>5980</v>
      </c>
      <c r="F12" s="34" t="str">
        <f aca="false">HYPERLINK("https://abcmebli.com.ua/p8553-komod_kom4s-90_july","2480")</f>
        <v>2480</v>
      </c>
      <c r="G12" s="27" t="str">
        <f aca="false">HYPERLINK("https://abcmebli.com.ua/p15039-shkaf_platyanoy_szf3d2s_porto","5890")</f>
        <v>5890</v>
      </c>
      <c r="H12" s="27" t="str">
        <f aca="false">HYPERLINK("https://abcmebli.com.ua/p2225-komod_8-s_sonata","7554")</f>
        <v>7554</v>
      </c>
      <c r="I12" s="27" t="str">
        <f aca="false">HYPERLINK("https://abcmebli.com.ua/p14308-stol_pismenniy_biu_1d1s_120_kaspian","3630")</f>
        <v>3630</v>
      </c>
      <c r="J12" s="22" t="str">
        <f aca="false">HYPERLINK("https://abcmebli.com.ua/p15897-nepo_prihozhaya_ppk_gerbor","2160")</f>
        <v>2160</v>
      </c>
      <c r="K12" s="32" t="str">
        <f aca="false">HYPERLINK("https://abcmebli.com.ua/p15950-gostinaya_alyaska_brv-ukraina","9904")</f>
        <v>9904</v>
      </c>
      <c r="L12" s="32" t="str">
        <f aca="false">HYPERLINK("https://abcmebli.com.ua/p2515-stenka_kvatro_gerbor","4077")</f>
        <v>4077</v>
      </c>
      <c r="M12" s="27" t="str">
        <f aca="false">HYPERLINK("https://abcmebli.com.ua/p4993-komod_kom1w2d2s_9_15_vusher","5100")</f>
        <v>5100</v>
      </c>
      <c r="N12" s="32" t="str">
        <f aca="false">HYPERLINK("https://abcmebli.com.ua/p15847-german_komod_kom3s-9-12_brv","4780")</f>
        <v>4780</v>
      </c>
      <c r="O12" s="32" t="str">
        <f aca="false">HYPERLINK("https://abcmebli.com.ua/p16267-alisa_tumba_tv_rtv2s2k_gerbor","5590")</f>
        <v>5590</v>
      </c>
      <c r="P12" s="27" t="str">
        <f aca="false">HYPERLINK("https://abcmebli.com.ua/p15137-koen_mdf_komod_kom4s","4550")</f>
        <v>4550</v>
      </c>
    </row>
    <row r="13" customFormat="false" ht="56.25" hidden="false" customHeight="true" outlineLevel="0" collapsed="false">
      <c r="A13" s="78" t="s">
        <v>22</v>
      </c>
      <c r="B13" s="35" t="str">
        <f aca="false">HYPERLINK("https://www.mebelok.com/tymba-tv-rtv2d2s415-acteka/","4200")</f>
        <v>4200</v>
      </c>
      <c r="C13" s="30" t="str">
        <f aca="false">HYPERLINK("https://www.mebelok.com/komod-kom4s811-acteka/","5011")</f>
        <v>5011</v>
      </c>
      <c r="D13" s="30" t="str">
        <f aca="false">HYPERLINK("https://www.mebelok.com/komod-jkom-4s-80/","4011")</f>
        <v>4011</v>
      </c>
      <c r="E13" s="32" t="str">
        <f aca="false">HYPERLINK("https://www.mebelok.com/stol-pismennyy-jbiu-2d2s-140/","5981")</f>
        <v>5981</v>
      </c>
      <c r="F13" s="30" t="str">
        <f aca="false">HYPERLINK("https://www.mebelok.com/komod-kom-4s-90-juli/","2481")</f>
        <v>2481</v>
      </c>
      <c r="G13" s="30" t="str">
        <f aca="false">HYPERLINK("https://www.mebelok.com/shkaf-szf3d2s-porto/","5891")</f>
        <v>5891</v>
      </c>
      <c r="H13" s="32" t="str">
        <f aca="false">HYPERLINK("https://www.mebelok.com/komod-8s-sonata/","7091")</f>
        <v>7091</v>
      </c>
      <c r="I13" s="32" t="str">
        <f aca="false">HYPERLINK("https://www.mebelok.com/stol-pismennyy-biu1d1s-120-kaspian/","3631")</f>
        <v>3631</v>
      </c>
      <c r="J13" s="19" t="str">
        <f aca="false">HYPERLINK("https://www.mebelok.com/prihojaya-ppk-nepo/","2330")</f>
        <v>2330</v>
      </c>
      <c r="K13" s="36" t="str">
        <f aca="false">HYPERLINK("https://www.mebelok.com/gostinaya-alyaska/","7655")</f>
        <v>7655</v>
      </c>
      <c r="L13" s="82" t="n">
        <v>3951</v>
      </c>
      <c r="M13" s="82" t="n">
        <v>5351</v>
      </c>
      <c r="N13" s="82" t="n">
        <v>4941</v>
      </c>
      <c r="O13" s="82" t="n">
        <v>5590</v>
      </c>
      <c r="P13" s="82" t="n">
        <v>4670</v>
      </c>
    </row>
    <row r="14" customFormat="false" ht="48" hidden="false" customHeight="true" outlineLevel="0" collapsed="false">
      <c r="A14" s="91" t="s">
        <v>23</v>
      </c>
      <c r="B14" s="35" t="str">
        <f aca="false">HYPERLINK("https://maxmebel.com.ua/atsteka_tumba_rtv2d2s","3970")</f>
        <v>3970</v>
      </c>
      <c r="C14" s="32" t="str">
        <f aca="false">HYPERLINK("https://maxmebel.com.ua/atsteka_komod_kom4s-8-11","4840")</f>
        <v>4840</v>
      </c>
      <c r="D14" s="32" t="str">
        <f aca="false">HYPERLINK("https://maxmebel.com.ua/indiana_komod_jkom_4s_80","3890")</f>
        <v>3890</v>
      </c>
      <c r="E14" s="32" t="str">
        <f aca="false">HYPERLINK("https://maxmebel.com.ua/indiana_pismenniy_stol_jbiu_2d2s","5910")</f>
        <v>5910</v>
      </c>
      <c r="F14" s="32" t="str">
        <f aca="false">HYPERLINK("https://maxmebel.com.ua/dzhuli_komod_kom4s-90","2370")</f>
        <v>2370</v>
      </c>
      <c r="G14" s="32" t="str">
        <f aca="false">HYPERLINK("https://maxmebel.com.ua/porto_shkaf_platyanoy_szf3d2s","5666")</f>
        <v>5666</v>
      </c>
      <c r="H14" s="32" t="str">
        <f aca="false">HYPERLINK("https://maxmebel.com.ua/sonata_komod_8-s","7060")</f>
        <v>7060</v>
      </c>
      <c r="I14" s="32" t="str">
        <f aca="false">HYPERLINK("https://maxmebel.com.ua/kaspian_stol_pismenniy_biu_1d1s","3530")</f>
        <v>3530</v>
      </c>
      <c r="J14" s="19" t="str">
        <f aca="false">HYPERLINK("https://maxmebel.com.ua/nepo_prihozhaya_rrk","2330")</f>
        <v>2330</v>
      </c>
      <c r="K14" s="27" t="str">
        <f aca="false">HYPERLINK("https://maxmebel.com.ua/stenka_alyaska","7964")</f>
        <v>7964</v>
      </c>
      <c r="L14" s="16" t="n">
        <v>3810</v>
      </c>
      <c r="M14" s="16" t="n">
        <v>5350</v>
      </c>
      <c r="N14" s="19" t="str">
        <f aca="false">HYPERLINK("https://maxmebel.com.ua/german_komod_kon3s-9-12","4940")</f>
        <v>4940</v>
      </c>
      <c r="O14" s="92" t="s">
        <v>34</v>
      </c>
      <c r="P14" s="16" t="n">
        <v>4670</v>
      </c>
    </row>
    <row r="15" customFormat="false" ht="39" hidden="false" customHeight="true" outlineLevel="0" collapsed="false">
      <c r="A15" s="78" t="s">
        <v>24</v>
      </c>
      <c r="B15" s="37" t="str">
        <f aca="false">HYPERLINK("https://moyamebel.com.ua/ua/products/tumba-rtv-atsteka","4200")</f>
        <v>4200</v>
      </c>
      <c r="C15" s="27" t="str">
        <f aca="false">HYPERLINK("https://moyamebel.com.ua/ua/products/komod-atsteka","5010")</f>
        <v>5010</v>
      </c>
      <c r="D15" s="27" t="str">
        <f aca="false">HYPERLINK("https://moyamebel.com.ua/ua/products/komod-4s-80-indiana","4010")</f>
        <v>4010</v>
      </c>
      <c r="E15" s="27" t="str">
        <f aca="false">HYPERLINK("https://moyamebel.com.ua/ua/products/stol-pismennyj-2d2s-indiana","5980")</f>
        <v>5980</v>
      </c>
      <c r="F15" s="27" t="str">
        <f aca="false">HYPERLINK("https://moyamebel.com.ua/ua/products/komod-dzhuli-90","2480")</f>
        <v>2480</v>
      </c>
      <c r="G15" s="27" t="str">
        <f aca="false">HYPERLINK("https://moyamebel.com.ua/ua/products/shkaf-3d2sporto","5890")</f>
        <v>5890</v>
      </c>
      <c r="H15" s="34" t="str">
        <f aca="false">HYPERLINK("https://moyamebel.com.ua/ua/products/komod-8s-sonata","7090")</f>
        <v>7090</v>
      </c>
      <c r="I15" s="27" t="str">
        <f aca="false">HYPERLINK("https://moyamebel.com.ua/ua/products/stol-pismennyj-120-kaspian","3630")</f>
        <v>3630</v>
      </c>
      <c r="J15" s="93"/>
      <c r="K15" s="27" t="str">
        <f aca="false">HYPERLINK("https://moyamebel.com.ua/ua/products/gostinaya-alyaska","7644")</f>
        <v>7644</v>
      </c>
      <c r="L15" s="82" t="n">
        <v>3880</v>
      </c>
      <c r="M15" s="90" t="n">
        <v>5210</v>
      </c>
      <c r="N15" s="83" t="str">
        <f aca="false">HYPERLINK("","")</f>
        <v/>
      </c>
      <c r="O15" s="94" t="s">
        <v>34</v>
      </c>
      <c r="P15" s="94" t="s">
        <v>34</v>
      </c>
    </row>
    <row r="16" customFormat="false" ht="31.5" hidden="false" customHeight="true" outlineLevel="0" collapsed="false">
      <c r="A16" s="78" t="s">
        <v>35</v>
      </c>
      <c r="B16" s="35" t="str">
        <f aca="false">HYPERLINK("https://mebel-soyuz.com.ua/12896.html","4400")</f>
        <v>4400</v>
      </c>
      <c r="C16" s="32" t="str">
        <f aca="false">HYPERLINK("https://mebel-soyuz.com.ua/12903.html","5210")</f>
        <v>5210</v>
      </c>
      <c r="D16" s="32" t="str">
        <f aca="false">HYPERLINK("https://mebel-soyuz.com.ua/2266.html","4170")</f>
        <v>4170</v>
      </c>
      <c r="E16" s="32" t="str">
        <f aca="false">HYPERLINK("https://mebel-soyuz.com.ua/stol-pismennyj-jbiu-2d2s-140-indiana.html","6210")</f>
        <v>6210</v>
      </c>
      <c r="F16" s="32" t="str">
        <f aca="false">HYPERLINK("https://mebel-soyuz.com.ua/komod-kom-4s-90-dzhuli.html","2630")</f>
        <v>2630</v>
      </c>
      <c r="G16" s="32" t="str">
        <f aca="false">HYPERLINK("https://mebel-soyuz.com.ua/shkaf-szf3d2s-porto.html","6210")</f>
        <v>6210</v>
      </c>
      <c r="H16" s="32" t="str">
        <f aca="false">HYPERLINK("https://mebel-soyuz.com.ua/473.html","7210")</f>
        <v>7210</v>
      </c>
      <c r="I16" s="30" t="str">
        <f aca="false">HYPERLINK("https://mebel-soyuz.com.ua/8687.html","3860")</f>
        <v>3860</v>
      </c>
      <c r="J16" s="32" t="str">
        <f aca="false">HYPERLINK("https://mebel-soyuz.com.ua/8926.html","2340")</f>
        <v>2340</v>
      </c>
      <c r="K16" s="32" t="str">
        <f aca="false">HYPERLINK("https://mebel-soyuz.com.ua/10995.html","9650")</f>
        <v>9650</v>
      </c>
      <c r="L16" s="95" t="str">
        <f aca="false">HYPERLINK("https://mebel-soyuz.com.ua/gostinaya-kvatro.html","3810")</f>
        <v>3810</v>
      </c>
      <c r="M16" s="95" t="str">
        <f aca="false">HYPERLINK("https://mebel-soyuz.com.ua/3933.html","5350")</f>
        <v>5350</v>
      </c>
      <c r="N16" s="95" t="str">
        <f aca="false">HYPERLINK("https://mebel-soyuz.com.ua/komod-kom3s912-german.html","4940")</f>
        <v>4940</v>
      </c>
      <c r="O16" s="96" t="str">
        <f aca="false">HYPERLINK("https://mebel-soyuz.com.ua/komod-kom3s912-german.html","5550")</f>
        <v>5550</v>
      </c>
      <c r="P16" s="95" t="str">
        <f aca="false">HYPERLINK("https://mebel-soyuz.com.ua/komod-kom4s-koen-mdf.html","4670")</f>
        <v>4670</v>
      </c>
    </row>
    <row r="17" customFormat="false" ht="33.75" hidden="false" customHeight="true" outlineLevel="0" collapsed="false">
      <c r="A17" s="78" t="s">
        <v>36</v>
      </c>
      <c r="B17" s="97" t="str">
        <f aca="false">HYPERLINK("https://sofino.ua/brw-ukraina-tumba-rtv2d2s415-acteka/g-95393","4400")</f>
        <v>4400</v>
      </c>
      <c r="C17" s="22" t="str">
        <f aca="false">HYPERLINK("https://sofino.ua/brw-ukraina-komod-kom4s811-acteka/g-95386","5210")</f>
        <v>5210</v>
      </c>
      <c r="D17" s="22" t="str">
        <f aca="false">HYPERLINK("https://sofino.ua/brw-ukraina-komod-jkom4s80-indiana/g-40903","4170")</f>
        <v>4170</v>
      </c>
      <c r="E17" s="30" t="str">
        <f aca="false">HYPERLINK("https://sofino.ua/brw-ukraina-stol-pismennyjj-jbiu2d2s140-indiana/g-40899","6210")</f>
        <v>6210</v>
      </c>
      <c r="F17" s="30" t="str">
        <f aca="false">HYPERLINK("https://sofino.ua/brw-ukraina-komod-kom4s90-dzhuli-akacija-mali-bronz/g-40377","2630")</f>
        <v>2630</v>
      </c>
      <c r="G17" s="30" t="str">
        <f aca="false">HYPERLINK("https://sofino.ua/brw-ukraina-shkaf-platjanojj-szf3d2s-porto-dzhanni-sosna-lariko/g-264368","6210")</f>
        <v>6210</v>
      </c>
      <c r="H17" s="30" t="str">
        <f aca="false">HYPERLINK("https://sofino.ua/gerbor-komod-8s-sonata/g-19192","7210")</f>
        <v>7210</v>
      </c>
      <c r="I17" s="19" t="str">
        <f aca="false">HYPERLINK("https://sofino.ua/brw-ukraina-stol-pismennyjj-biu-1d1s-kaspian/g-264409","3860")</f>
        <v>3860</v>
      </c>
      <c r="J17" s="22" t="str">
        <f aca="false">HYPERLINK("https://sofino.ua/gerbor-prikhozhaja-ppk-nepo/g-287089","2340")</f>
        <v>2340</v>
      </c>
      <c r="K17" s="22" t="str">
        <f aca="false">HYPERLINK("https://sofino.ua/brw-ukraina-stenka-aljaska-belyjj-gljanec/g-454107","9650")</f>
        <v>9650</v>
      </c>
      <c r="L17" s="82" t="n">
        <v>3950</v>
      </c>
      <c r="M17" s="82" t="n">
        <v>5350</v>
      </c>
      <c r="N17" s="32" t="str">
        <f aca="false">HYPERLINK("https://sofino.ua/brw-ukraina-komod-kom3s912-german/g-599343","4940")</f>
        <v>4940</v>
      </c>
      <c r="O17" s="94" t="s">
        <v>34</v>
      </c>
      <c r="P17" s="32" t="str">
        <f aca="false">HYPERLINK("https://sofino.ua/gerbor-komod-kom4s-koen-mdf-venge-magija-shtroks-temnyjj/g-19366","4670")</f>
        <v>4670</v>
      </c>
    </row>
    <row r="18" customFormat="false" ht="54.75" hidden="false" customHeight="true" outlineLevel="0" collapsed="false">
      <c r="A18" s="78" t="s">
        <v>37</v>
      </c>
      <c r="B18" s="98" t="str">
        <f aca="false">HYPERLINK("","")</f>
        <v/>
      </c>
      <c r="C18" s="27" t="str">
        <f aca="false">HYPERLINK("https://www.brw-kiev.com.ua/catalog/mebel/azteca-komod-kom4s_8_11-000004816.html","4199")</f>
        <v>4199</v>
      </c>
      <c r="D18" s="27" t="str">
        <f aca="false">HYPERLINK("https://www.brw-kiev.com.ua/catalog/mebel/indiana-komod-jkom4s_80-000000261.html","4019")</f>
        <v>4019</v>
      </c>
      <c r="E18" s="27" t="str">
        <f aca="false">HYPERLINK("https://www.brw-kiev.com.ua/catalog/mebel/indiana-stil_pis_moviy-jbiu2d2s-000000254.html","5989")</f>
        <v>5989</v>
      </c>
      <c r="F18" s="27" t="str">
        <f aca="false">HYPERLINK("https://www.brw-kiev.com.ua/catalog/mebel/july-komod-kom4s_90-000005407.html","2489")</f>
        <v>2489</v>
      </c>
      <c r="G18" s="27" t="str">
        <f aca="false">HYPERLINK("https://www.brw-kiev.com.ua/catalog/mebel/porto-shafa-szf3d2s-000006440.html","5899")</f>
        <v>5899</v>
      </c>
      <c r="H18" s="99"/>
      <c r="I18" s="34" t="str">
        <f aca="false">HYPERLINK("https://www.brw-kiev.com.ua/catalog/mebel/kaspian-stil_pis_moviy-biu1d1s_120-000006188.html","3639")</f>
        <v>3639</v>
      </c>
      <c r="J18" s="22" t="str">
        <f aca="false">HYPERLINK("https://www.brw-kiev.com.ua/catalog/mebel/prihozhaya/nepo-peredpokiy-ppk-000006567.html?sphrase_id=84980","2339")</f>
        <v>2339</v>
      </c>
      <c r="K18" s="34" t="str">
        <f aca="false">HYPERLINK("https://www.brw-kiev.com.ua/catalog/mebel/gostinaya/stinki-vital_nya-alaska-000006901.html?sphrase_id=84981","9299")</f>
        <v>9299</v>
      </c>
      <c r="L18" s="83"/>
      <c r="M18" s="83"/>
      <c r="N18" s="83" t="str">
        <f aca="false">HYPERLINK("","")</f>
        <v/>
      </c>
      <c r="O18" s="94" t="s">
        <v>34</v>
      </c>
      <c r="P18" s="90" t="n">
        <v>4409</v>
      </c>
    </row>
    <row r="19" customFormat="false" ht="38.25" hidden="false" customHeight="true" outlineLevel="0" collapsed="false">
      <c r="A19" s="78" t="s">
        <v>25</v>
      </c>
      <c r="B19" s="100" t="n">
        <v>4200</v>
      </c>
      <c r="C19" s="82" t="n">
        <v>5010</v>
      </c>
      <c r="D19" s="82" t="n">
        <v>4010</v>
      </c>
      <c r="E19" s="82" t="n">
        <v>5980</v>
      </c>
      <c r="F19" s="82" t="n">
        <v>2480</v>
      </c>
      <c r="G19" s="32" t="str">
        <f aca="false">HYPERLINK("https://brw.kiev.ua/mebel-brw-ukraina/porto/shkaf-szf3d2s-porto-brv/","5890")</f>
        <v>5890</v>
      </c>
      <c r="H19" s="32" t="str">
        <f aca="false">HYPERLINK("https://brw.kiev.ua/mebel-gerbor/sonata/komod-8s-sonata-gerbor/","7090")</f>
        <v>7090</v>
      </c>
      <c r="I19" s="32" t="str">
        <f aca="false">HYPERLINK("https://brw.kiev.ua/mebel-brw-ukraina/kaspian-venge/stol-pismennyy-biu1d1s-kaspian-brv-venge/","3630")</f>
        <v>3630</v>
      </c>
      <c r="J19" s="19" t="str">
        <f aca="false">HYPERLINK("https://brw.kiev.ua/mebel-gerbor/nepo/prikhozhaya-ppk-nepo-gerbor/","2330")</f>
        <v>2330</v>
      </c>
      <c r="K19" s="19" t="str">
        <f aca="false">HYPERLINK("https://brw.kiev.ua/mebel-brw-ukraina/alaska/stenka-alaska-brv/","9650")</f>
        <v>9650</v>
      </c>
      <c r="L19" s="83"/>
      <c r="M19" s="16" t="n">
        <v>5210</v>
      </c>
      <c r="N19" s="16" t="n">
        <v>4940</v>
      </c>
      <c r="O19" s="82" t="n">
        <v>5590</v>
      </c>
      <c r="P19" s="90" t="n">
        <v>4050</v>
      </c>
    </row>
    <row r="20" customFormat="false" ht="34.5" hidden="false" customHeight="true" outlineLevel="0" collapsed="false">
      <c r="A20" s="78" t="s">
        <v>38</v>
      </c>
      <c r="B20" s="37" t="str">
        <f aca="false">HYPERLINK("https://lvivmebli.com/13319/","3900")</f>
        <v>3900</v>
      </c>
      <c r="C20" s="27" t="str">
        <f aca="false">HYPERLINK("https://lvivmebli.com/13320/","4675")</f>
        <v>4675</v>
      </c>
      <c r="D20" s="27" t="str">
        <f aca="false">HYPERLINK("https://lvivmebli.com/5030/","4255")</f>
        <v>4255</v>
      </c>
      <c r="E20" s="27" t="str">
        <f aca="false">HYPERLINK("https://lvivmebli.com/5039/","5911")</f>
        <v>5911</v>
      </c>
      <c r="F20" s="36" t="str">
        <f aca="false">HYPERLINK("https://lvivmebli.com/11483/","2300")</f>
        <v>2300</v>
      </c>
      <c r="G20" s="27"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01" t="str">
        <f aca="false">HYPERLINK("http://centrmebliv.com.ua/modulni-mebli/brw-azteca/mebli-brw-brv-azteca-tumba-rtv2d2s?keyword=%D0%B0%D1%86%D1%82%D0%B5%D0%BA%D0%B0","3343")</f>
        <v>3343</v>
      </c>
      <c r="C21" s="36" t="str">
        <f aca="false">HYPERLINK("http://centrmebliv.com.ua/modulni-mebli/brw-azteca/mebli-brw-brv-azteca-komod-4s?keyword=%D0%B0%D1%86%D1%82%D0%B5%D0%BA%D0%B0","3924")</f>
        <v>3924</v>
      </c>
      <c r="D21" s="36" t="str">
        <f aca="false">HYPERLINK("http://centrmebliv.com.ua/mebli-dlya-spalni/komody/mebli-brw-brv-indiana-komod-jkom4s_80?keyword=%D1%96%D0%BD%D0%B4%D1%96%D0%B0%D0%BD%D0%B0","3562")</f>
        <v>3562</v>
      </c>
      <c r="E21" s="102" t="str">
        <f aca="false">HYPERLINK("http://centrmebliv.com.ua/modulni-mebli/brw-ukrayina-indiana/mebli-brw-brv-indiana-stil-pysmovyy-jbiu2d2s_140?keyword=%D1%96%D0%BD%D0%B4%D1%96%D0%B0%D0%BD%D0%B0","5158")</f>
        <v>5158</v>
      </c>
      <c r="F21" s="36" t="str">
        <f aca="false">HYPERLINK("http://centrmebliv.com.ua/spalni/komody/mebli-brw-brv-july-komod-kom4s/90?keyword=july","2098")</f>
        <v>2098</v>
      </c>
      <c r="G21" s="36" t="str">
        <f aca="false">HYPERLINK("http://centrmebliv.com.ua/modulni-mebli/brw-ukrayina-porto/mebli-brw-brv-porto-shafa-dlya-odyagu-sf3d2s?keyword=szf3d2s","5377")</f>
        <v>5377</v>
      </c>
      <c r="H21" s="36" t="str">
        <f aca="false">HYPERLINK("http://centrmebliv.com.ua/mebli-dlya-spalni/komody/mebli-gerbor-gerbor-s-015-sonata-_komod-8/s?keyword=%D1%81%D0%BE%D0%BD%D0%B0%D1%82%D0%B0","5683")</f>
        <v>5683</v>
      </c>
      <c r="I21" s="36" t="str">
        <f aca="false">HYPERLINK("http://centrmebliv.com.ua/ofisni-mebli/ofisni-stoly-vid-modulnyh-system/gerbor/brw-kaspian-stil-pysmovyy-biu-1d1s-120?keyword=%D0%BA%D0%B0%D1%81%D0%BF%D1%96%D0%B0%D0%BD","3002")</f>
        <v>3002</v>
      </c>
      <c r="J21" s="83"/>
      <c r="K21" s="83"/>
      <c r="L21" s="36" t="str">
        <f aca="false">HYPERLINK("http://centrmebliv.com.ua/mebli-dlya-vitalni/stinky/mebli-gerbor-gerbor-kvatro","3007")</f>
        <v>3007</v>
      </c>
      <c r="M21" s="36"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3" t="n">
        <v>4200</v>
      </c>
      <c r="C22" s="90" t="n">
        <v>5010</v>
      </c>
      <c r="D22" s="90" t="n">
        <v>4010</v>
      </c>
      <c r="E22" s="90" t="n">
        <v>5980</v>
      </c>
      <c r="F22" s="90" t="n">
        <v>2480</v>
      </c>
      <c r="G22" s="27" t="str">
        <f aca="false">HYPERLINK("https://letromebel.com.ua/p567177190-shkaf-szf3d2s-porto.html","5890")</f>
        <v>5890</v>
      </c>
      <c r="H22" s="83"/>
      <c r="I22" s="83"/>
      <c r="J22" s="104" t="str">
        <f aca="false">HYPERLINK("https://letromebel.com.ua/p441285622-prihozhaya-ppk-nepo.html","1963")</f>
        <v>1963</v>
      </c>
      <c r="K22" s="36" t="str">
        <f aca="false">HYPERLINK("https://letromebel.com.ua/p822866700-stenka-gostinuyu-alyaska.html","7644")</f>
        <v>7644</v>
      </c>
      <c r="L22" s="34" t="str">
        <f aca="false">HYPERLINK("https://letromebel.com.ua/p436378844-stenka-kvatro-venge.html","3810")</f>
        <v>3810</v>
      </c>
      <c r="M22" s="90" t="n">
        <v>5210</v>
      </c>
      <c r="N22" s="90" t="n">
        <v>4780</v>
      </c>
      <c r="O22" s="82" t="n">
        <v>5590</v>
      </c>
      <c r="P22" s="90" t="n">
        <v>4550</v>
      </c>
    </row>
    <row r="23" customFormat="false" ht="27" hidden="false" customHeight="true" outlineLevel="0" collapsed="false">
      <c r="A23" s="91" t="s">
        <v>26</v>
      </c>
      <c r="B23" s="103" t="n">
        <v>4200</v>
      </c>
      <c r="C23" s="82" t="n">
        <v>5210</v>
      </c>
      <c r="D23" s="82" t="n">
        <v>4170</v>
      </c>
      <c r="E23" s="82" t="n">
        <v>6210</v>
      </c>
      <c r="F23" s="82" t="n">
        <v>2630</v>
      </c>
      <c r="G23" s="32" t="str">
        <f aca="false">HYPERLINK("https://shurup.net.ua/shkaf-szf3d2s-porto.p24169","6210")</f>
        <v>6210</v>
      </c>
      <c r="H23" s="32" t="str">
        <f aca="false">HYPERLINK("https://shurup.net.ua/komod-8s-sonata.p1034","7090")</f>
        <v>7090</v>
      </c>
      <c r="I23" s="22" t="str">
        <f aca="false">HYPERLINK("https://shurup.net.ua/stol-pismennyj-biu-1d1s-120-kaspian-dub-sonoma.p6492","3860")</f>
        <v>3860</v>
      </c>
      <c r="J23" s="19" t="str">
        <f aca="false">HYPERLINK("https://shurup.net.ua/prihozhaya-rrk-nepo.p13611","2330")</f>
        <v>2330</v>
      </c>
      <c r="K23" s="27" t="str">
        <f aca="false">HYPERLINK("https://shurup.net.ua/gostinaja-aljaska.p28551","8900")</f>
        <v>8900</v>
      </c>
      <c r="L23" s="27" t="str">
        <f aca="false">HYPERLINK("https://shurup.net.ua/gostinaya-kvatro-venge-magiya.p836","3880")</f>
        <v>3880</v>
      </c>
      <c r="M23" s="16" t="n">
        <v>5020</v>
      </c>
      <c r="N23" s="32" t="str">
        <f aca="false">HYPERLINK("https://shurup.net.ua/komod-kon3s64-german.p32275","4940")</f>
        <v>4940</v>
      </c>
      <c r="O23" s="94" t="s">
        <v>34</v>
      </c>
      <c r="P23" s="27" t="str">
        <f aca="false">HYPERLINK("https://shurup.net.ua/komod-kom4s-koen-mdf.p1194","4550")</f>
        <v>4550</v>
      </c>
      <c r="S23" s="42"/>
    </row>
    <row r="24" customFormat="false" ht="36.75" hidden="false" customHeight="true" outlineLevel="0" collapsed="false">
      <c r="A24" s="105" t="s">
        <v>41</v>
      </c>
      <c r="B24" s="98" t="str">
        <f aca="false">HYPERLINK("","")</f>
        <v/>
      </c>
      <c r="C24" s="47"/>
      <c r="D24" s="47"/>
      <c r="E24" s="47"/>
      <c r="F24" s="47"/>
      <c r="G24" s="83"/>
      <c r="H24" s="83"/>
      <c r="I24" s="83"/>
      <c r="J24" s="65" t="str">
        <f aca="false">HYPERLINK("https://www.taburetka.ua/prihozhie-40/prihozhaya-ppk-nepo-2914","2520")</f>
        <v>2520</v>
      </c>
      <c r="K24" s="83"/>
      <c r="L24" s="82" t="n">
        <v>4385</v>
      </c>
      <c r="M24" s="16" t="n">
        <v>5925</v>
      </c>
      <c r="N24" s="83" t="str">
        <f aca="false">HYPERLINK("","")</f>
        <v/>
      </c>
      <c r="O24" s="94" t="s">
        <v>34</v>
      </c>
      <c r="P24" s="36" t="str">
        <f aca="false">HYPERLINK("https://www.taburetka.ua/gostinye-600/modulnaya-sistema-koen-1347","4560")</f>
        <v>4560</v>
      </c>
    </row>
    <row r="25" customFormat="false" ht="37.5" hidden="false" customHeight="true" outlineLevel="0" collapsed="false">
      <c r="A25" s="106" t="s">
        <v>42</v>
      </c>
      <c r="B25" s="107" t="n">
        <v>3970</v>
      </c>
      <c r="C25" s="108" t="n">
        <v>4840</v>
      </c>
      <c r="D25" s="108" t="n">
        <v>3890</v>
      </c>
      <c r="E25" s="108" t="n">
        <v>5910</v>
      </c>
      <c r="F25" s="108" t="n">
        <v>2370</v>
      </c>
      <c r="G25" s="39" t="str">
        <f aca="false">HYPERLINK("http://www.maxidom.com.ua/shkaf-porto-porto-szf3d2s.html?search_string=%D8%EA%E0%F4+%CF%EE%F0%F2%EE+%28Porto%29+SZF3D2S","")</f>
        <v/>
      </c>
      <c r="H25" s="65" t="str">
        <f aca="false">HYPERLINK("http://www.maxidom.com.ua/komod-sonata-8s.html?search_string=%CA%EE%EC%EE%E4+%D1%EE%ED%E0%F2%E0+8s","")</f>
        <v/>
      </c>
      <c r="I25" s="39" t="str">
        <f aca="false">HYPERLINK("http://www.maxidom.com.ua/stol-pismenniy-biu-1d1s-kaspian-kaspian.html?search_string=%D1%F2%EE%EB+%EF%E8%F1%FC%EC%E5%ED%ED%FB%E9+BIU+1D1S+%CA%E0%F1%EF%E8%E0%ED+%28Kaspian%29","")</f>
        <v/>
      </c>
      <c r="J25" s="109" t="str">
        <f aca="false">HYPERLINK("http://www.maxidom.com.ua/prihozhaya-nepo-ppk.html?search_string=%CF%F0%E8%F5%EE%E6%E0%FF+%CD%E5%EF%EE+PPK","2290")</f>
        <v>2290</v>
      </c>
      <c r="K25" s="109" t="str">
        <f aca="false">HYPERLINK("http://www.maxidom.com.ua/stenka-alyaska.html?search_string=%D1%F2%E5%ED%EA%E0+%C0%EB%FF%F1%EA%E0","7644")</f>
        <v>7644</v>
      </c>
      <c r="L25" s="36" t="str">
        <f aca="false">HYPERLINK("http://www.maxidom.com.ua/stenka-kvatro.html?search_string=%D1%F2%E5%ED%EA%E0+%CA%E2%E0%F2%F0%EE","3730")</f>
        <v>3730</v>
      </c>
      <c r="M25" s="36" t="str">
        <f aca="false">HYPERLINK("http://www.maxidom.com.ua/komod-kom-1w2d2s-vusher.html?search_string=%CA%EE%EC%EE%E4+KOM+1W2D2S+%C2%F3%F8%E5%F0","5020")</f>
        <v>5020</v>
      </c>
      <c r="N25" s="27" t="str">
        <f aca="false">HYPERLINK("https://www.maxidom.com.ua/komod-german-kom3s912/","4680")</f>
        <v>4680</v>
      </c>
      <c r="O25" s="94" t="s">
        <v>34</v>
      </c>
      <c r="P25" s="19" t="str">
        <f aca="false">HYPERLINK("https://www.maxidom.com.ua/komod-kom4s-koen-mdf/","4670")</f>
        <v>4670</v>
      </c>
    </row>
    <row r="26" customFormat="false" ht="42" hidden="false" customHeight="true" outlineLevel="0" collapsed="false">
      <c r="A26" s="106" t="s">
        <v>27</v>
      </c>
      <c r="B26" s="100" t="n">
        <v>4400</v>
      </c>
      <c r="C26" s="110" t="n">
        <v>5210</v>
      </c>
      <c r="D26" s="82" t="n">
        <v>3890</v>
      </c>
      <c r="E26" s="110" t="n">
        <v>5910</v>
      </c>
      <c r="F26" s="110" t="n">
        <v>2630</v>
      </c>
      <c r="G26" s="44" t="str">
        <f aca="false">HYPERLINK("https://mebel-online.com.ua/shkaf-szf3d2s-porto?filter_name=SZF3D2S","5666")</f>
        <v>5666</v>
      </c>
      <c r="H26" s="44" t="str">
        <f aca="false">HYPERLINK("https://mebel-online.com.ua/p1728-gerbor_sonata_komod_8-s?filter_name=%D1%81%D0%BE%D0%BD%D0%B0%D1%82%D0%B0","6980")</f>
        <v>6980</v>
      </c>
      <c r="I26" s="111"/>
      <c r="J26" s="27" t="str">
        <f aca="false">HYPERLINK("https://mebel-online.com.ua/prihozhaya-gerbor-ppk-nepo?filter_name=%D0%BD%D0%B5%D0%BF%D0%BE","2290")</f>
        <v>2290</v>
      </c>
      <c r="K26" s="45" t="str">
        <f aca="false">HYPERLINK("https://mebel-online.com.ua/stenka-aliaska-brw%20?filter_name=%D0%B0%D0%BB%D1%8F%D1%81%D0%BA%D0%B0","7644")</f>
        <v>7644</v>
      </c>
      <c r="L26" s="19" t="str">
        <f aca="false">HYPERLINK("https://mebel-online.com.ua/stenka-kvatro-gerbor?filter_name=%D0%BA%D0%B2%D0%B0%D1%82%D1%80%D0%BE","3950")</f>
        <v>3950</v>
      </c>
      <c r="M26" s="19" t="str">
        <f aca="false">HYPERLINK("https://mebel-online.com.ua/komod-kom-1w2d2s-vusher-gerbor?filter_name=%D0%B2%D1%83%D1%88%D0%B5%D1%80","5350")</f>
        <v>5350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82" t="n">
        <v>4400</v>
      </c>
      <c r="C27" s="82" t="n">
        <v>5210</v>
      </c>
      <c r="D27" s="82" t="n">
        <v>4170</v>
      </c>
      <c r="E27" s="82" t="n">
        <v>6210</v>
      </c>
      <c r="F27" s="82" t="n">
        <v>2630</v>
      </c>
      <c r="G27" s="32" t="str">
        <f aca="false">HYPERLINK("https://mebelnuy.com.ua/shkaf-szf3d2s-porto-brv?search=%D0%9F%D0%BE%D1%80%D1%82%D0%BE%20SZF3D2S&amp;description=true","6210")</f>
        <v>6210</v>
      </c>
      <c r="H27" s="19" t="str">
        <f aca="false">HYPERLINK("https://mebelnuy.com.ua/komod-gerbor-sonata-8-s?search=%D0%A1%D0%BE%D0%BD%D0%B0%D1%82%D0%B0%208%2Fs&amp;description=true","7210")</f>
        <v>7210</v>
      </c>
      <c r="I27" s="83" t="str">
        <f aca="false">HYPERLINK("","")</f>
        <v/>
      </c>
      <c r="J27" s="19" t="str">
        <f aca="false">HYPERLINK("https://mebelnuy.com.ua/prihozhaya-gerbor-nepo-ppk","2340")</f>
        <v>2340</v>
      </c>
      <c r="K27" s="27" t="str">
        <f aca="false">HYPERLINK("https://mebelnuy.com.ua/gostinaya-alyaska-brv?search=%D0%90%D0%BB%D1%8F%D1%81%D0%BA%D0%B0%20%D0%B3%D0%BE%D1%81%D1%82%D0%B8%D0%BD%D0%B0%D1%8F&amp;description=true","8014")</f>
        <v>8014</v>
      </c>
      <c r="L27" s="16" t="n">
        <v>3950</v>
      </c>
      <c r="M27" s="16" t="n">
        <v>5350</v>
      </c>
      <c r="N27" s="82" t="n">
        <v>4940</v>
      </c>
      <c r="O27" s="16" t="n">
        <v>5590</v>
      </c>
      <c r="P27" s="16" t="n">
        <v>4670</v>
      </c>
    </row>
    <row r="28" customFormat="false" ht="36.75" hidden="false" customHeight="true" outlineLevel="0" collapsed="false">
      <c r="A28" s="91" t="s">
        <v>44</v>
      </c>
      <c r="B28" s="90" t="n">
        <v>3890</v>
      </c>
      <c r="C28" s="90" t="n">
        <v>4760</v>
      </c>
      <c r="D28" s="90" t="n">
        <v>3890</v>
      </c>
      <c r="E28" s="90" t="n">
        <v>5910</v>
      </c>
      <c r="F28" s="90" t="n">
        <v>2370</v>
      </c>
      <c r="G28" s="27" t="str">
        <f aca="false">HYPERLINK("https://amado.com.ua/detskaya/shkafy-i-penaly-dlya-detskoj/porto-shkaf-platyanoj-szf3d2s-brw","5666")</f>
        <v>5666</v>
      </c>
      <c r="H28" s="27" t="str">
        <f aca="false">HYPERLINK("https://amado.com.ua/gostinaya/komody-i-tumby-v-gostinuyu/sonata-komod-8-s-gerbor","6980")</f>
        <v>6980</v>
      </c>
      <c r="I28" s="27" t="str">
        <f aca="false">HYPERLINK("https://amado.com.ua/gostinaya/kaspian-sonoma-stol-pismennyj-biu-1d1s-brw","3530")</f>
        <v>3530</v>
      </c>
      <c r="J28" s="27" t="str">
        <f aca="false">HYPERLINK("https://amado.com.ua/prihozhaya/prihozhie-celnye/nepo-prihozhaya-ppk-gerbor","2290")</f>
        <v>2290</v>
      </c>
      <c r="K28" s="27" t="str">
        <f aca="false">HYPERLINK("https://amado.com.ua/gostinaya/modulnye-gostinye/gostinaya-alyaska-gerbor","8900")</f>
        <v>8900</v>
      </c>
      <c r="L28" s="27" t="str">
        <f aca="false">HYPERLINK("https://amado.com.ua/gostinaya/modulnye-gostinye/gostinaya-kvatro-gerbor","3730")</f>
        <v>3730</v>
      </c>
      <c r="M28" s="27" t="str">
        <f aca="false">HYPERLINK("https://amado.com.ua/gostinaya/komody-i-tumby-v-gostinuyu/vusher-komod-kom-1w2d2s-gerbor","5020")</f>
        <v>5020</v>
      </c>
      <c r="N28" s="27"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74"/>
      <c r="B30" s="75"/>
      <c r="C30" s="76"/>
      <c r="D30" s="76"/>
      <c r="E30" s="76"/>
      <c r="F30" s="76"/>
      <c r="G30" s="76"/>
      <c r="H30" s="76"/>
      <c r="I30" s="76"/>
      <c r="J30" s="76"/>
      <c r="K30" s="76"/>
      <c r="L30" s="76"/>
      <c r="M30" s="76"/>
      <c r="N30" s="76"/>
      <c r="O30" s="76"/>
      <c r="P30" s="76"/>
    </row>
    <row r="31" customFormat="false" ht="15.75" hidden="false" customHeight="true" outlineLevel="0" collapsed="false">
      <c r="A31" s="74"/>
      <c r="B31" s="75"/>
      <c r="C31" s="76"/>
      <c r="D31" s="76"/>
      <c r="E31" s="76"/>
      <c r="F31" s="76"/>
      <c r="G31" s="76"/>
      <c r="H31" s="76"/>
      <c r="I31" s="76"/>
      <c r="J31" s="76"/>
      <c r="K31" s="76"/>
      <c r="L31" s="76"/>
      <c r="M31" s="76"/>
      <c r="N31" s="76"/>
      <c r="O31" s="76"/>
      <c r="P31" s="76"/>
    </row>
    <row r="32" customFormat="false" ht="15.75" hidden="false" customHeight="true" outlineLevel="0" collapsed="false">
      <c r="A32" s="74"/>
      <c r="B32" s="75"/>
      <c r="C32" s="76"/>
      <c r="D32" s="76"/>
      <c r="E32" s="76"/>
      <c r="F32" s="76"/>
      <c r="G32" s="76"/>
      <c r="H32" s="76"/>
      <c r="I32" s="76"/>
      <c r="J32" s="76"/>
      <c r="K32" s="76"/>
      <c r="L32" s="76"/>
      <c r="M32" s="76"/>
      <c r="N32" s="76"/>
      <c r="O32" s="76"/>
      <c r="P32" s="76"/>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L3" r:id="rId7" display="https://brwmania.com.ua/gostinaja/komplekty-gostinyh/stinka-kvatro-venge-magia/"/>
    <hyperlink ref="M3" r:id="rId8" display="https://brwmania.com.ua/gostinaja/modulnye-gostinye/sistema-vusher-vusher/010-vusher-komod-kom-1w2d2s/"/>
    <hyperlink ref="N3" r:id="rId9" display="https://brwmania.com.ua/gostinaja/modulnye-gostinye/sistema-german/komod-brw-german-kom3s-9-12-dub-stirling/"/>
    <hyperlink ref="O3" r:id="rId10" display="https://brwmania.com.ua/gostinaja/modulnye-gostinye/sistema-alisa-alisa-gerbor/gerbor-gerbor-tumba-pod-televizor-alisa-rtv2s2k/"/>
    <hyperlink ref="P3" r:id="rId11" display="https://brwmania.com.ua/gostinaja/modulnye-gostinye/sistema_koen_mdf/008-koen-mdf-komod-kom4s/"/>
    <hyperlink ref="A4" r:id="rId12" display="http://redlight.com.ua/"/>
    <hyperlink ref="L4" r:id="rId13" display="http://redlight.com.ua/stenki/item-stenka-kvatro"/>
    <hyperlink ref="M4" r:id="rId14" display="https://redlight.com.ua/komod/item-tumba-kom-1w2d2s-9-15-vusher"/>
    <hyperlink ref="N4" r:id="rId15" display="https://redlight.com.ua/komod/item-german-komod-kom-3s-9-12"/>
    <hyperlink ref="O4" r:id="rId16" display="https://redlight.com.ua/tv-stands/item-alisa-tumba-rtv2s2k"/>
    <hyperlink ref="P4" r:id="rId17" display="https://redlight.com.ua/komod/item-komod-kom4s-koen-(mdf)-"/>
    <hyperlink ref="A5" r:id="rId18" display="https://mebli-bristol.com.ua/"/>
    <hyperlink ref="L5" r:id="rId19" display="https://mebli-bristol.com.ua/kvatro-gerbor.html"/>
    <hyperlink ref="M5" r:id="rId20" display="https://mebli-bristol.com.ua/vusher-komod-kom-1w-2d2s-gerbor.html"/>
    <hyperlink ref="N5" r:id="rId21" display="https://mebli-bristol.com.ua/german-komod-kom-3s-9-12-brv-ukraina.html"/>
    <hyperlink ref="O5" r:id="rId22" display="https://mebli-bristol.com.ua/alisa-tumba-rtv-2s2k-gerbor.html"/>
    <hyperlink ref="P5" r:id="rId23" display="https://mebli-bristol.com.ua/koen-komod-kom-4s-mdf-gerbor.html"/>
    <hyperlink ref="A6" r:id="rId24" display="http://gerbor.kiev.ua/"/>
    <hyperlink ref="M6" r:id="rId25" display="https://gerbor.kiev.ua/mebelnye-sistemy/mebel-vusher-gerbor/vusher-komod-kom1w2d2s-gerbor/"/>
    <hyperlink ref="N6" r:id="rId26" display="https://gerbor.kiev.ua/mebel-brv-ukraina/mebel-german-brw/german-komod-kom3s-brv/"/>
    <hyperlink ref="O6" r:id="rId27" display="https://gerbor.kiev.ua/mebelnye-sistemy/mebel-alisa-gerbor/alisa-tumba-tv-rtv2s2k-gerbor/"/>
    <hyperlink ref="P6" r:id="rId28" display="https://gerbor.kiev.ua/mebelnye-sistemy/mebel-koen-gerbor/koen-komod-kom4s-gerbor/"/>
    <hyperlink ref="A7" r:id="rId29" display="http://www.brwland.com.ua/"/>
    <hyperlink ref="M7" r:id="rId30" display="http://www.brwland.com.ua/product/vusher-bufet-kom1w2d2s915-gerbor/"/>
    <hyperlink ref="N7" r:id="rId31" display="https://brwland.com.ua/product/german-komod-kom3s912-brv-ukraina/"/>
    <hyperlink ref="O7" r:id="rId32" display="https://brwland.com.ua/product/alisa-tumba-tv-rtv2s2k-gerbor/"/>
    <hyperlink ref="P7" r:id="rId33" display="https://brwland.com.ua/product/koen-kom4s-komod-gerbor/"/>
    <hyperlink ref="A8" r:id="rId34" display="http://gerbor.dp.ua/"/>
    <hyperlink ref="O8" r:id="rId35" display="http://gerbor.dp.ua/index.php?route=product/product&amp;product_id=4257"/>
    <hyperlink ref="A9" r:id="rId36" display="https://www.dybok.com.ua/"/>
    <hyperlink ref="D9" r:id="rId37" display="https://www.dybok.com.ua/ru/product/detail/55516"/>
    <hyperlink ref="J9" r:id="rId38" display="https://www.dybok.com.ua/ru/product/detail/18085"/>
    <hyperlink ref="L9" r:id="rId39" display="https://www.dybok.com.ua/ru/product/detail/6077"/>
    <hyperlink ref="M9" r:id="rId40" display="https://www.dybok.com.ua/ru/product/detail/7086"/>
    <hyperlink ref="O9" r:id="rId41" display="https://www.dybok.com.ua/ua/product/detail/80992"/>
    <hyperlink ref="P9" r:id="rId42" display="https://www.dybok.com.ua/ua/product/detail/76092"/>
    <hyperlink ref="A10" r:id="rId43" display="https://vashamebel.in.ua/"/>
    <hyperlink ref="I10" r:id="rId44" display="0 грн"/>
    <hyperlink ref="L10" r:id="rId45" display="https://vashamebel.in.ua/stenka-gerbor-kvatro/p2359"/>
    <hyperlink ref="M10" r:id="rId46" display="https://vashamebel.in.ua/komod-gerbor-vusher-kom1w2d2s/p4762"/>
    <hyperlink ref="N10" r:id="rId47" display="https://vashamebel.in.ua/komod-brv-german-kom3s912/p16187"/>
    <hyperlink ref="O10" r:id="rId48" display="https://vashamebel.in.ua/tumba-tv-gerbor-alisa-rtv2s2k/p16540"/>
    <hyperlink ref="P10" r:id="rId49" display="https://vashamebel.in.ua/komod-gerbor-koen-kom4s/p2171"/>
    <hyperlink ref="A11" r:id="rId50" display="http://mebel-mebel.com.ua/"/>
    <hyperlink ref="L11" r:id="rId51" display="https://mebel-mebel.com.ua/eshop/dom-stenki-dlia-gostinoi/gostinaya_kvatro-id152.html"/>
    <hyperlink ref="M11" r:id="rId52" display="https://mebel-mebel.com.ua/eshop/dom-komody/komod_kom_1w2d2s_vusher-id560.html"/>
    <hyperlink ref="N11" r:id="rId53" display="https://mebel-mebel.com.ua/eshop/dom-komody/komod_kom3s_9_12_german_brv_ukraina-id60297.html"/>
    <hyperlink ref="O11" r:id="rId54" display="https://mebel-mebel.com.ua/eshop/dom-tumby-dlia-tv/tumba_rtv_2s2k_alisa_gerbor-id60350.html"/>
    <hyperlink ref="P11" r:id="rId55" display="https://mebel-mebel.com.ua/eshop/dom-komody/komod_kom_4s_mdf_8_koen-id921.html"/>
    <hyperlink ref="A12" r:id="rId56" display="http://abcmebli.com.ua"/>
    <hyperlink ref="A13" r:id="rId57" display="https://gerbor.mebelok.com/"/>
    <hyperlink ref="L13" r:id="rId58" display="https://www.mebelok.com/gostinaya-kvatro"/>
    <hyperlink ref="M13" r:id="rId59" display="https://www.mebelok.com/komod-kom-1w2d2s-vusher/"/>
    <hyperlink ref="N13" r:id="rId60" display="https://www.mebelok.com/komod-kom3s-9-12/"/>
    <hyperlink ref="O13" r:id="rId61" display="https://www.mebelok.com/tumba-tv-rtv2s2k-alisa/"/>
    <hyperlink ref="P13" r:id="rId62" display="https://www.mebelok.com/koen-komod-kom4s-mdf/"/>
    <hyperlink ref="A14" r:id="rId63" display="http://maxmebel.com.ua/"/>
    <hyperlink ref="L14" r:id="rId64" display="https://maxmebel.com.ua/stenka_kvatro"/>
    <hyperlink ref="M14" r:id="rId65" display="https://maxmebel.com.ua/vusher_komod_kom_1w2d2s"/>
    <hyperlink ref="P14" r:id="rId66" display="https://maxmebel.com.ua/koen_komod_kom4s-mdf"/>
    <hyperlink ref="A15" r:id="rId67" display="https://moyamebel.com.ua/ua"/>
    <hyperlink ref="L15" r:id="rId68" display="https://moyamebel.com.ua/ua/products/gostinaya-kvatro"/>
    <hyperlink ref="M15" r:id="rId69" display="https://moyamebel.com.ua/ua/products/komod-1w2d2s-vusher"/>
    <hyperlink ref="A16" r:id="rId70" display="https://mebel-soyuz.com.ua/"/>
    <hyperlink ref="A17" r:id="rId71" display="https://sofino.ua/"/>
    <hyperlink ref="L17" r:id="rId72" display="https://sofino.ua/gerbor-stenka-s-podsvetkojj-kvatro/g-18955"/>
    <hyperlink ref="M17" r:id="rId73" display="https://sofino.ua/gerbor-bufet-kom1w2d2s-s-podsvetkojj-vusher/g-176785"/>
    <hyperlink ref="A18" r:id="rId74" display="https://www.brw-kiev.com.ua/"/>
    <hyperlink ref="P18" r:id="rId75" display="https://www.brw-kiev.com.ua/catalog/mebel/gostinaya/koen-komod-kom4s-000003956.html"/>
    <hyperlink ref="A19" r:id="rId76" display="https://brw.kiev.ua/"/>
    <hyperlink ref="B19" r:id="rId77" display="https://brw.kiev.ua/mebel-brw-ukraina/azteca/tumba-tv-rtv2d2s-azteca-brv/"/>
    <hyperlink ref="C19" r:id="rId78" display="https://brw.kiev.ua/mebel-brw-ukraina/azteca/komod-kom4s-azteca-brv/"/>
    <hyperlink ref="D19" r:id="rId79" display="https://brw.kiev.ua/mebel-brw-ukraina/indiana-kanjon/komod-jkom4s80-indiana-brv-kanjon/"/>
    <hyperlink ref="E19" r:id="rId80" display="https://brw.kiev.ua/mebel-brw-ukraina/indiana-shutter/stol-pismennyy-jbiu2d2s140-indiana-brv-shutter/"/>
    <hyperlink ref="F19" r:id="rId81" display="https://brw.kiev.ua/mebel-brw-ukraina/july/komod-kom4s90-july-brv/"/>
    <hyperlink ref="M19" r:id="rId82" display="https://brw.kiev.ua/mebel-gerbor/vusher/komod-kom1w2d2s-vusher-gerbor/"/>
    <hyperlink ref="N19" r:id="rId83" display="https://brw.kiev.ua/mebel-brw-ukraina/german/komod-kom3s-german-brv/"/>
    <hyperlink ref="O19" r:id="rId84" display="https://brw.kiev.ua/mebel-gerbor/alisa/tumba-tv-rtv2s2k-alisa-gerbor/"/>
    <hyperlink ref="P19" r:id="rId85" display="https://brw.kiev.ua/mebel-gerbor/koen/komod-kom4s-koen-gerbor/"/>
    <hyperlink ref="A20" r:id="rId86" display="https://lvivmebli.com/"/>
    <hyperlink ref="A21" r:id="rId87" display="http://centrmebliv.com.ua/"/>
    <hyperlink ref="A22" r:id="rId88" display="https://letromebel.com.ua/"/>
    <hyperlink ref="B22" r:id="rId89" display="https://letromebel.com.ua/p566111870-tumba-rtv2d2s415-atsteka.html"/>
    <hyperlink ref="C22" r:id="rId90" display="https://letromebel.com.ua/p566126810-komod-kom4s811-atsteka.html"/>
    <hyperlink ref="D22" r:id="rId91" display="https://letromebel.com.ua/p566921861-komod-jkom4s80-indiana.html"/>
    <hyperlink ref="E22" r:id="rId92" display="https://letromebel.com.ua/p566921329-stol-pismennyj-jbiu2d2s140.html"/>
    <hyperlink ref="F22" r:id="rId93" display="https://letromebel.com.ua/p445989920-komod-kom-dzhuli.html"/>
    <hyperlink ref="M22" r:id="rId94" display="https://letromebel.com.ua/p332640892-bufet-kom1w2d2s-vusher.html"/>
    <hyperlink ref="N22" r:id="rId95" display="https://letromebel.com.ua/ua/p920135181-komod-german-kom3s912.html"/>
    <hyperlink ref="O22" r:id="rId96" display="https://letromebel.com.ua/ua/p1053586927-tumba-alisa-rtv2s2k.html"/>
    <hyperlink ref="P22" r:id="rId97" display="https://letromebel.com.ua/site_search/page_2?search_term=%D0%BA%D0%BE%D0%B5%D0%BD+%D0%BC%D0%B4%D1%84"/>
    <hyperlink ref="A23" r:id="rId98" display="https://shurup.net.ua/"/>
    <hyperlink ref="B23" r:id="rId99" display="https://shurup.net.ua/azteca-acteka-tumba-rtv2d2s415.p17205"/>
    <hyperlink ref="C23" r:id="rId100" display="https://shurup.net.ua/azteca-acteka-komod-kom4s811.p17200"/>
    <hyperlink ref="D23" r:id="rId101" display="https://shurup.net.ua/komod-jkom-4s80-indiana-sosna-kanon.p9412"/>
    <hyperlink ref="E23" r:id="rId102" display="https://shurup.net.ua/stol-pismennyj-jbiu-2d2s-140-indiana-dub-shutter.p5488"/>
    <hyperlink ref="F23" r:id="rId103" display="https://shurup.net.ua/komod-kom-4s-90-dzhuli.p7011"/>
    <hyperlink ref="M23" r:id="rId104" display="https://shurup.net.ua/komod-kom1w2d2s-9-15-vusher.p1953"/>
    <hyperlink ref="A24" r:id="rId105" display="https://www.taburetka.ua"/>
    <hyperlink ref="L24" r:id="rId106" display="https://www.taburetka.ua/gostinye-600/gostinaya-kvatro-2834"/>
    <hyperlink ref="M24" r:id="rId107" display="https://www.taburetka.ua/komody-i-tumby-35/komod-kom1w2d2s-vusher-2974"/>
    <hyperlink ref="A25" r:id="rId108" display="http://www.maxidom.com.ua/"/>
    <hyperlink ref="B25" r:id="rId109" display="http://www.maxidom.com.ua/tumba-rtv-atsteka-2d2s415.html?search_string=%D2%F3%EC%E1%E0+%D0%D2%C2+%C0%F6%F2%E5%EA%E0+2D2S%2F4%2F15"/>
    <hyperlink ref="C25" r:id="rId110" display="http://www.maxidom.com.ua/komod-atsteka-kom4s811.html?search_string=%CA%EE%EC%EE%E4+%C0%F6%F2%E5%EA%E0+KOM4S%2F8%2F11"/>
    <hyperlink ref="D25" r:id="rId111" display="http://www.maxidom.com.ua/komod_indiana_jkom4s80.html?search_string=%CA%EE%EC%EE%E4+%C8%ED%E4%E8%E0%ED%E0+JKOM4s%2F80"/>
    <hyperlink ref="E25" r:id="rId112" display="http://www.maxidom.com.ua/stol_pismenniy_indiana_jbiu2d2s.html?search_string=%D1%F2%EE%EB+%EF%E8%F1%FC%EC%E5%ED%ED%FB%E9+%C8%ED%E4%E8%E0%ED%E0+JBIU2d2s"/>
    <hyperlink ref="F25" r:id="rId113" display="http://www.maxidom.com.ua/komod-kom4s90-dzhuli.html?search_string=%CA%EE%EC%EE%E4+KOM4S%2F90+%C4%E6%F3%EB%E8"/>
    <hyperlink ref="A26" r:id="rId114" display="https://mebel-online.com.ua"/>
    <hyperlink ref="B26" r:id="rId115" display="https://mebel-online.com.ua/tymba-rtv2d2s-4-15-azteca?filter_name=azteca"/>
    <hyperlink ref="C26" r:id="rId116" display="https://mebel-online.com.ua/komod-kom4s-8-11-azteca?filter_name=azteca"/>
    <hyperlink ref="D26" r:id="rId117" display="https://mebel-online.com.ua/p5228-komod_jkom_4s_80_indiana_brw?filter_name=%D0%B8%D0%BD%D0%B4%D0%B8%D0%B0%D0%BD%D0%B0"/>
    <hyperlink ref="E26" r:id="rId118" display="https://mebel-online.com.ua/p5223-stol_pismenniy_jbiu_2d2s_140_indiana_brw?filter_name=%D0%B8%D0%BD%D0%B4%D0%B8%D0%B0%D0%BD%D0%B0"/>
    <hyperlink ref="F26" r:id="rId119" display="https://mebel-online.com.ua/komod-kom4s-90-july?filter_name=july"/>
    <hyperlink ref="A27" r:id="rId120" display="https://mebelnuy.com.ua/"/>
    <hyperlink ref="B27" r:id="rId121" display="https://mebelnuy.com.ua/tumba-pod-tv-rtv2d2s-4-15-acteka-brv?search=%D0%A2%D0%92%20%D0%90%D1%86%D1%82%D0%B5%D0%BA%D0%B0%20RTV2D2S&amp;description=true"/>
    <hyperlink ref="C27" r:id="rId122" display="https://mebelnuy.com.ua/komod-kom4s-8-11-acteka-brv?search=%D0%90%D1%86%D1%82%D0%B5%D0%BA%D0%B0%20KOM4S%2F8%2F11&amp;description=true"/>
    <hyperlink ref="D27" r:id="rId123" display="https://mebelnuy.com.ua/komod-jkom-4s-80-indiana-brv?search=%D0%98%D0%BD%D0%B4%D0%B8%D0%B0%D0%BD%D0%B0%20JKOM_4s&amp;description=true"/>
    <hyperlink ref="E27" r:id="rId124" display="https://mebelnuy.com.ua/stol-pismennyj-jbiu-2d2s-140-indiana-brv?search=%D0%98%D0%BD%D0%B4%D0%B8%D0%B0%D0%BD%D0%B0%20JBIU_2d2s_140&amp;description=true"/>
    <hyperlink ref="F27" r:id="rId125" display="https://mebelnuy.com.ua/komod-kom4s-90-dzhuli-brv?search=%D0%94%D0%96%D0%A3%D0%9B%D0%98%20KOM4S%2F90&amp;description=true"/>
    <hyperlink ref="L27" r:id="rId126" display="https://mebelnuy.com.ua/gostinaya-gerbor-kvatro-venge-magiya?search=%D0%BA%D0%B2%D0%B0%D1%82%D1%80%D0%BE&amp;description=true"/>
    <hyperlink ref="M27" r:id="rId127" display="https://mebelnuy.com.ua/komod-gerbor-vusher-kom-1w2d2s?search=%D0%92%D1%83%D1%88%D0%B5%D1%80%20KOM%201W2D2S&amp;description=true"/>
    <hyperlink ref="N27" r:id="rId128" display="https://mebelnuy.com.ua/komod-german-115-brv?search=%D0%93%D0%95%D0%A0%D0%9C%D0%90%D0%9D&amp;description=true"/>
    <hyperlink ref="O27" r:id="rId129" display="https://mebelnuy.com.ua/tumba-gerbor-alisa-rtv2s2k?search=%D0%B0%D0%BB%D0%B8%D1%81%D0%B0&amp;description=true"/>
    <hyperlink ref="P27" r:id="rId130" display="https://mebelnuy.com.ua/komod-gerbor-koen-kom4s-mdf?search=%D0%BA%D0%BE%D0%B5%D0%BD%20%D0%BC%D0%B4%D1%84&amp;description=true"/>
    <hyperlink ref="A28" r:id="rId131" display="https://amado.com.ua"/>
    <hyperlink ref="B28" r:id="rId132" display="https://amado.com.ua/gostinaya/komody-i-tumby-v-gostinuyu/acteka-tumba-rtv2d2s-4-15-brw"/>
    <hyperlink ref="C28" r:id="rId133" display="https://amado.com.ua/gostinaya/komody-i-tumby-v-gostinuyu/acteka-komod-kom4s-8-11-brw"/>
    <hyperlink ref="D28" r:id="rId134" display="https://amado.com.ua/detskaya/komody-i-tumby-dlya-detskoj/indiana-komod-jkom-4s-80-sosna-kanon-brw"/>
    <hyperlink ref="E28" r:id="rId135" display="https://amado.com.ua/detskaya/stoly-i-nadstrojki/indiana-stol-pismennyj-jbiu-2d2s-140-sosna-kanon-brw"/>
    <hyperlink ref="F28" r:id="rId136" display="https://amado.com.ua/gostinaya/komody-i-tumby-v-gostinuyu/dzhuli-komod-kom4s-90-brw"/>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196" t="s">
        <v>150</v>
      </c>
      <c r="B2" s="146"/>
      <c r="C2" s="172" t="n">
        <v>3343</v>
      </c>
      <c r="D2" s="172" t="n">
        <v>3924</v>
      </c>
      <c r="E2" s="172" t="n">
        <v>3562</v>
      </c>
      <c r="F2" s="172" t="n">
        <v>5158</v>
      </c>
      <c r="G2" s="172" t="n">
        <v>2098</v>
      </c>
      <c r="H2" s="172" t="n">
        <v>5377</v>
      </c>
      <c r="I2" s="172" t="n">
        <v>5683</v>
      </c>
      <c r="J2" s="172" t="n">
        <v>3002</v>
      </c>
      <c r="K2" s="173" t="n">
        <v>1963</v>
      </c>
      <c r="L2" s="173" t="n">
        <v>7644</v>
      </c>
      <c r="M2" s="173" t="n">
        <v>3007</v>
      </c>
      <c r="N2" s="173" t="n">
        <v>4195</v>
      </c>
    </row>
    <row r="3" customFormat="false" ht="48" hidden="false" customHeight="true" outlineLevel="0" collapsed="false">
      <c r="A3" s="78" t="s">
        <v>28</v>
      </c>
      <c r="B3" s="147" t="s">
        <v>128</v>
      </c>
      <c r="C3" s="174" t="str">
        <f aca="false">HYPERLINK("https://brwmania.com.ua/gostinaja/modulnye-gostinye/sistema-azteka/tumba-pod-tv-acteka-rtv2d2s415/","3343")</f>
        <v>3343</v>
      </c>
      <c r="D3" s="174" t="str">
        <f aca="false">HYPERLINK("https://brwmania.com.ua/gostinaja/modulnye-gostinye/sistema-azteka/komod-acteka-kom4s811/","3924")</f>
        <v>3924</v>
      </c>
      <c r="E3" s="174" t="str">
        <f aca="false">HYPERLINK("https://brwmania.com.ua/gostinaja/modulnye-gostinye/sistema-indiana-indiana---dub-shuter/indiana-dub-shuter-laminat-j-011-komod-jkom-4s-80/","3562")</f>
        <v>3562</v>
      </c>
      <c r="F3" s="174" t="str">
        <f aca="false">HYPERLINK("https://brwmania.com.ua/gostinaja/modulnye-gostinye/sistema-indiana-indiana---dub-shuter/indiana-dub-shuter-laminat-j-007-stol-pismennyy-jbiu-2d2s-140/","5158")</f>
        <v>5158</v>
      </c>
      <c r="G3" s="174" t="str">
        <f aca="false">HYPERLINK("https://brwmania.com.ua/gostinaja/modulnye-gostinye/sistema_dzhuli/komod-dzhuli-july-kom4s-90/","2098")</f>
        <v>2098</v>
      </c>
      <c r="H3" s="174" t="str">
        <f aca="false">HYPERLINK("https://brwmania.com.ua/gostinaja/modulnye-gostinye/tovar-novij/shkaf-platjanoj-porto-szf3d2s/","5377")</f>
        <v>5377</v>
      </c>
      <c r="I3" s="174" t="str">
        <f aca="false">HYPERLINK("https://brwmania.com.ua/gostinaja/modulnye-gostinye/sistema-sonata-sonata/s-015-sonata-komod-8-s/","5683")</f>
        <v>5683</v>
      </c>
      <c r="J3" s="174" t="str">
        <f aca="false">HYPERLINK("https://brwmania.com.ua/gostinaja/modulnye-gostinye/sistema_kaspian_dub_sonoma/kaspian-dub-sonoma-jm-007-stol-pismennyy-biu-1d1s/","3002")</f>
        <v>3002</v>
      </c>
      <c r="K3" s="174" t="str">
        <f aca="false">HYPERLINK("https://brwmania.com.ua/gostinaja/modulnye-gostinye/sistema_nepo/gerbor-gerbor-prihozhaya-nepo-nepo-ppk-dub-sonoma/","1963")</f>
        <v>1963</v>
      </c>
      <c r="L3" s="174" t="str">
        <f aca="false">HYPERLINK("https://brwmania.com.ua/gostinaja/komplekty-gostinyh/aljaska-alaska-gostinaja/","7644")</f>
        <v>7644</v>
      </c>
      <c r="M3" s="174" t="str">
        <f aca="false">HYPERLINK("https://brwmania.com.ua/gostinaja/komplekty-gostinyh/stinka-kvatro-venge-magia/","3007")</f>
        <v>3007</v>
      </c>
      <c r="N3" s="174" t="str">
        <f aca="false">HYPERLINK("https://brwmania.com.ua/gostinaja/modulnye-gostinye/sistema-vusher-vusher/010-vusher-komod-kom-1w2d2s/","4195")</f>
        <v>4195</v>
      </c>
    </row>
    <row r="4" customFormat="false" ht="60.75" hidden="false" customHeight="true" outlineLevel="0" collapsed="false">
      <c r="A4" s="78" t="s">
        <v>29</v>
      </c>
      <c r="B4" s="160" t="s">
        <v>162</v>
      </c>
      <c r="C4" s="120" t="str">
        <f aca="false">HYPERLINK("http://redlight.com.ua/tv-stands/item-tumba-tv-rtv2d2s-4-15-atsteka","3343")</f>
        <v>3343</v>
      </c>
      <c r="D4" s="175" t="str">
        <f aca="false">HYPERLINK("http://redlight.com.ua/komod/item-komod-kom4s-8-11-atsteka","3924")</f>
        <v>3924</v>
      </c>
      <c r="E4" s="175" t="str">
        <f aca="false">HYPERLINK("http://redlight.com.ua/komod/item-komod-jkom-4s-80-indiana","3562")</f>
        <v>3562</v>
      </c>
      <c r="F4" s="175" t="str">
        <f aca="false">HYPERLINK("http://redlight.com.ua/stoly/item-stol-pismenniy-jbiu-2d2s-indiana","5158")</f>
        <v>5158</v>
      </c>
      <c r="G4" s="175" t="str">
        <f aca="false">HYPERLINK("http://redlight.com.ua/komod/item-komod-kom4s-90-dzhuli","2098")</f>
        <v>2098</v>
      </c>
      <c r="H4" s="175" t="str">
        <f aca="false">HYPERLINK("http://redlight.com.ua/raspashnyye-shkafy/item-porto-shkaf-szf3d2s","5377")</f>
        <v>5377</v>
      </c>
      <c r="I4" s="175" t="str">
        <f aca="false">HYPERLINK("http://redlight.com.ua/komod/item-komod-8s-sonata-","5683")</f>
        <v>5683</v>
      </c>
      <c r="J4" s="202" t="str">
        <f aca="false">HYPERLINK("http://redlight.com.ua/stoly/item-kaspian-pismenniy-stol-biu-1d1s-120-kaspian","2979")</f>
        <v>2979</v>
      </c>
      <c r="K4" s="175" t="str">
        <f aca="false">HYPERLINK("http://redlight.com.ua/prihozhie/item-nepo-prihozhaya-rrk-","1963")</f>
        <v>1963</v>
      </c>
      <c r="L4" s="175" t="str">
        <f aca="false">HYPERLINK("http://redlight.com.ua/stenki/item-stenka-alyaska","7644")</f>
        <v>7644</v>
      </c>
      <c r="M4" s="175" t="str">
        <f aca="false">HYPERLINK("http://redlight.com.ua/stenki/item-stenka-kvatro","3007")</f>
        <v>3007</v>
      </c>
      <c r="N4" s="175" t="str">
        <f aca="false">HYPERLINK("http://redlight.com.ua/nightstand/item-tumba-kom-1w2d2s-9-15-vusher","4195")</f>
        <v>4195</v>
      </c>
    </row>
    <row r="5" customFormat="false" ht="63" hidden="false" customHeight="true" outlineLevel="0" collapsed="false">
      <c r="A5" s="78" t="s">
        <v>30</v>
      </c>
      <c r="B5" s="204" t="s">
        <v>163</v>
      </c>
      <c r="C5" s="175" t="str">
        <f aca="false">HYPERLINK("https://mebli-bristol.com.ua/acteka-tumba-rtv-2d2s-4-15-brv-ukraina.html","3343")</f>
        <v>3343</v>
      </c>
      <c r="D5" s="175" t="str">
        <f aca="false">HYPERLINK("https://mebli-bristol.com.ua/acteka-komod-kom-4s-8-11-brv-ukraina.html","3924")</f>
        <v>3924</v>
      </c>
      <c r="E5" s="175" t="str">
        <f aca="false">HYPERLINK("https://mebli-bristol.com.ua/indiana-komod-jkom-4s-80-sosna-kan-jon-brv-ukraina.html","3562")</f>
        <v>3562</v>
      </c>
      <c r="F5" s="175" t="str">
        <f aca="false">HYPERLINK("https://mebli-bristol.com.ua/indiana-stil-pis-movij-jbiu-2d2s-140-sosna-kan-jon-brv-ukraina.html","5158")</f>
        <v>5158</v>
      </c>
      <c r="G5" s="175" t="str">
        <f aca="false">HYPERLINK("https://mebli-bristol.com.ua/dzhuli-komod-kom-4s-90-brv-ukraina.html","2098")</f>
        <v>2098</v>
      </c>
      <c r="H5" s="175" t="str">
        <f aca="false">HYPERLINK("https://mebli-bristol.com.ua/porto-shafa-szf-3d2s-brv-ukraina.html","5377")</f>
        <v>5377</v>
      </c>
      <c r="I5" s="175" t="str">
        <f aca="false">HYPERLINK("https://mebli-bristol.com.ua/sonata-komod-8s-gerbor.html","5683")</f>
        <v>5683</v>
      </c>
      <c r="J5" s="175" t="str">
        <f aca="false">HYPERLINK("https://mebli-bristol.com.ua/kaspian-stil-pis-movij-biu-1d1s-120-dub-sonoma-brv-ukraina.html","3002")</f>
        <v>3002</v>
      </c>
      <c r="K5" s="175" t="str">
        <f aca="false">HYPERLINK("https://mebli-bristol.com.ua/nepo-peredpokij-ppk-gerbor-9728.html","1963")</f>
        <v>1963</v>
      </c>
      <c r="L5" s="175" t="str">
        <f aca="false">HYPERLINK("https://mebli-bristol.com.ua/aljaska-brv-ukraina.html","7644")</f>
        <v>7644</v>
      </c>
      <c r="M5" s="175" t="str">
        <f aca="false">HYPERLINK("https://mebli-bristol.com.ua/kvatro-gerbor.html","3007")</f>
        <v>3007</v>
      </c>
      <c r="N5" s="175" t="str">
        <f aca="false">HYPERLINK("https://mebli-bristol.com.ua/vusher-komod-kom-1w-2d2s-gerbor.html","4195")</f>
        <v>4195</v>
      </c>
    </row>
    <row r="6" customFormat="false" ht="60" hidden="false" customHeight="true" outlineLevel="0" collapsed="false">
      <c r="A6" s="78" t="s">
        <v>17</v>
      </c>
      <c r="B6" s="205" t="s">
        <v>164</v>
      </c>
      <c r="C6" s="179" t="str">
        <f aca="false">HYPERLINK("https://gerbor.kiev.ua/mebelnye-sistemy/mebel-brw-azteca/azteca-tumba-tv-rtv2d2s-brv/","3343")</f>
        <v>3343</v>
      </c>
      <c r="D6" s="175" t="str">
        <f aca="false">HYPERLINK("https://gerbor.kiev.ua/mebelnye-sistemy/mebel-brw-azteca/azteca-komod-kom4s-brv/","3924")</f>
        <v>3924</v>
      </c>
      <c r="E6" s="175" t="str">
        <f aca="false">HYPERLINK("https://gerbor.kiev.ua/mebelnye-sistemy/mebel-indiana-brw/indiana-komod-jkom4s80-brv/","3562")</f>
        <v>3562</v>
      </c>
      <c r="F6" s="175" t="str">
        <f aca="false">HYPERLINK("https://gerbor.kiev.ua/mebelnye-sistemy/mebel-indiana-brw/indiana-stol-pismennyy-jbiu2d2s140-brv/","5158")</f>
        <v>5158</v>
      </c>
      <c r="G6" s="175" t="str">
        <f aca="false">HYPERLINK("https://gerbor.kiev.ua/mebelnye-sistemy/mebel-july-brw/july-komod-kom4s90-brv/","2098")</f>
        <v>2098</v>
      </c>
      <c r="H6" s="175" t="str">
        <f aca="false">HYPERLINK("https://gerbor.kiev.ua/mebelnye-sistemy/mebel-porto-brv/porto-shkaf-szf3d2s-brv/","5377")</f>
        <v>5377</v>
      </c>
      <c r="I6" s="175" t="str">
        <f aca="false">HYPERLINK("https://gerbor.kiev.ua/mebelnye-sistemy/mebel-sonata-gerbor/sonata-komod-8s-gerbor/","5683")</f>
        <v>5683</v>
      </c>
      <c r="J6" s="175" t="str">
        <f aca="false">HYPERLINK("https://gerbor.kiev.ua/mebelnye-sistemy/mebel-kaspian-sonoma-brw/kaspian-sonoma-stol-pismennyy-biu1d1s-brv/","3002")</f>
        <v>3002</v>
      </c>
      <c r="K6" s="175" t="str">
        <f aca="false">HYPERLINK("https://gerbor.kiev.ua/mebelnye-sistemy/mebel-nepo-gerbor/nepo-prikhozhaya-ppk-gerbor/","1963")</f>
        <v>1963</v>
      </c>
      <c r="L6" s="175" t="str">
        <f aca="false">HYPERLINK("https://gerbor.kiev.ua/mebelnye-sistemy/mebel-alaska-brw/alaska-gostinaya-brw/","7644")</f>
        <v>7644</v>
      </c>
      <c r="M6" s="84"/>
      <c r="N6" s="175" t="str">
        <f aca="false">HYPERLINK("https://gerbor.kiev.ua/mebelnye-sistemy/mebel-vusher-gerbor/vusher-komod-kom1w2d2s-gerbor/","4195")</f>
        <v>4195</v>
      </c>
    </row>
    <row r="7" customFormat="false" ht="63" hidden="false" customHeight="true" outlineLevel="0" collapsed="false">
      <c r="A7" s="78" t="s">
        <v>18</v>
      </c>
      <c r="B7" s="207" t="s">
        <v>175</v>
      </c>
      <c r="C7" s="175" t="str">
        <f aca="false">HYPERLINK("http://www.brwland.com.ua/product/azteca-tumba-tv-rtv2d2s415-brv-ukraina/","3343")</f>
        <v>3343</v>
      </c>
      <c r="D7" s="175" t="str">
        <f aca="false">HYPERLINK("http://www.brwland.com.ua/product/azteca-komod-kom4s811-brv-ukraina/","3924")</f>
        <v>3924</v>
      </c>
      <c r="E7" s="175" t="str">
        <f aca="false">HYPERLINK("http://www.brwland.com.ua/product/mebel-indiana-komod-jkom-4s-80-gerbor/","3562")</f>
        <v>3562</v>
      </c>
      <c r="F7" s="175" t="str">
        <f aca="false">HYPERLINK("http://www.brwland.com.ua/product/mebel-indiana-stol-pismennyj-jbiu-2d2s-140-gerbor/","5158")</f>
        <v>5158</v>
      </c>
      <c r="G7" s="175" t="str">
        <f aca="false">HYPERLINK("http://www.brwland.com.ua/product/dzhuli-komod-kom4s90-brv-ukraina/","2098")</f>
        <v>2098</v>
      </c>
      <c r="H7" s="175" t="str">
        <f aca="false">HYPERLINK("http://www.brwland.com.ua/product/porto-shkaf-szf3d2s-brv-ukraina/","5377")</f>
        <v>5377</v>
      </c>
      <c r="I7" s="175" t="str">
        <f aca="false">HYPERLINK("http://www.brwland.com.ua/product/komod-8s-sonata-gerbor/","5683")</f>
        <v>5683</v>
      </c>
      <c r="J7" s="175" t="str">
        <f aca="false">HYPERLINK("http://www.brwland.com.ua/product/kaspian-sonoma-stol-pismennyj-biu1d1s-brv-ukraina/","3002")</f>
        <v>3002</v>
      </c>
      <c r="K7" s="175" t="str">
        <f aca="false">HYPERLINK("http://www.brwland.com.ua/product/nepo-prihozhaja-ppk-gerbor/","1963")</f>
        <v>1963</v>
      </c>
      <c r="L7" s="175" t="str">
        <f aca="false">HYPERLINK("http://www.brwland.com.ua/product/gostinaja-aljaska-brv-ukraina/","7644")</f>
        <v>7644</v>
      </c>
      <c r="M7" s="175" t="str">
        <f aca="false">HYPERLINK("http://www.brwland.com.ua/product/komplekt-quatro/","3151")</f>
        <v>3151</v>
      </c>
      <c r="N7" s="175" t="str">
        <f aca="false">HYPERLINK("http://www.brwland.com.ua/product/vusher-bufet-kom1w2d2s915-gerbor/","4195")</f>
        <v>4195</v>
      </c>
    </row>
    <row r="8" customFormat="false" ht="60" hidden="false" customHeight="true" outlineLevel="0" collapsed="false">
      <c r="A8" s="78" t="s">
        <v>31</v>
      </c>
      <c r="B8" s="147" t="s">
        <v>128</v>
      </c>
      <c r="C8" s="175" t="str">
        <f aca="false">HYPERLINK("http://gerbor.dp.ua/index.php?route=product/product&amp;product_id=3138","3343")</f>
        <v>3343</v>
      </c>
      <c r="D8" s="175" t="str">
        <f aca="false">HYPERLINK("http://gerbor.dp.ua/index.php?route=product/product&amp;product_id=3131","3924")</f>
        <v>3924</v>
      </c>
      <c r="E8" s="175" t="str">
        <f aca="false">HYPERLINK("http://gerbor.dp.ua/index.php?route=product/product&amp;product_id=1730","3562")</f>
        <v>3562</v>
      </c>
      <c r="F8" s="175" t="str">
        <f aca="false">HYPERLINK("http://gerbor.dp.ua/index.php?route=product/product&amp;product_id=1725","5158")</f>
        <v>5158</v>
      </c>
      <c r="G8" s="175" t="str">
        <f aca="false">HYPERLINK("http://gerbor.dp.ua/index.php?route=product/product&amp;product_id=1755","2098")</f>
        <v>2098</v>
      </c>
      <c r="H8" s="175" t="str">
        <f aca="false">HYPERLINK("http://gerbor.dp.ua/index.php?route=product/product&amp;product_id=3905","5377")</f>
        <v>5377</v>
      </c>
      <c r="I8" s="175" t="str">
        <f aca="false">HYPERLINK("http://gerbor.dp.ua/index.php?route=product/product&amp;product_id=2156","5683")</f>
        <v>5683</v>
      </c>
      <c r="J8" s="175" t="str">
        <f aca="false">HYPERLINK("http://gerbor.dp.ua/index.php?route=product/product&amp;product_id=2819","3002")</f>
        <v>3002</v>
      </c>
      <c r="K8" s="175" t="str">
        <f aca="false">HYPERLINK("http://gerbor.dp.ua/index.php?route=product/product&amp;product_id=3473&amp;search=%D0%BD%D0%B5%D0%BF%D0%BE","1963")</f>
        <v>1963</v>
      </c>
      <c r="L8" s="175" t="str">
        <f aca="false">HYPERLINK("http://gerbor.dp.ua/index.php?route=product/product&amp;product_id=3031","7644")</f>
        <v>7644</v>
      </c>
      <c r="M8" s="175" t="str">
        <f aca="false">HYPERLINK("http://gerbor.dp.ua/index.php?route=product/product&amp;product_id=2040","3007")</f>
        <v>3007</v>
      </c>
      <c r="N8" s="175" t="str">
        <f aca="false">HYPERLINK("http://gerbor.dp.ua/index.php?route=product/product&amp;product_id=2775","4195")</f>
        <v>4195</v>
      </c>
    </row>
    <row r="9" customFormat="false" ht="56.25" hidden="false" customHeight="true" outlineLevel="0" collapsed="false">
      <c r="A9" s="105" t="s">
        <v>32</v>
      </c>
      <c r="B9" s="146" t="s">
        <v>166</v>
      </c>
      <c r="C9" s="179" t="str">
        <f aca="false">HYPERLINK("https://www.dybok.com.ua/ru/product/detail/35870","3347")</f>
        <v>3347</v>
      </c>
      <c r="D9" s="179" t="str">
        <f aca="false">HYPERLINK("https://www.dybok.com.ua/ru/product/detail/35870","3929")</f>
        <v>3929</v>
      </c>
      <c r="E9" s="179" t="str">
        <f aca="false">HYPERLINK("https://www.dybok.com.ua/ru/product/detail/55516","3565")</f>
        <v>3565</v>
      </c>
      <c r="F9" s="179" t="str">
        <f aca="false">HYPERLINK("https://www.dybok.com.ua/ru/product/detail/35870","5165")</f>
        <v>5165</v>
      </c>
      <c r="G9" s="179" t="str">
        <f aca="false">HYPERLINK("https://www.dybok.com.ua/ru/product/detail/9798","2101")</f>
        <v>2101</v>
      </c>
      <c r="H9" s="179" t="str">
        <f aca="false">HYPERLINK("https://www.dybok.com.ua/ru/product/detail/35840https://www.dybok.com.ua/ru/product/detail/35840","5384")</f>
        <v>5384</v>
      </c>
      <c r="I9" s="179" t="str">
        <f aca="false">HYPERLINK("https://www.dybok.com.ua/ru/product/detail/261","5690")</f>
        <v>5690</v>
      </c>
      <c r="J9" s="179" t="str">
        <f aca="false">HYPERLINK("https://www.dybok.com.ua/ru/product/detail/261","3006")</f>
        <v>3006</v>
      </c>
      <c r="K9" s="179" t="str">
        <f aca="false">HYPERLINK("https://www.dybok.com.ua/ru/product/detail/18085","1966")</f>
        <v>1966</v>
      </c>
      <c r="L9" s="179" t="str">
        <f aca="false">HYPERLINK("https://www.dybok.com.ua/ru/product/detail/50410","7652")</f>
        <v>7652</v>
      </c>
      <c r="M9" s="179" t="str">
        <f aca="false">HYPERLINK("https://www.dybok.com.ua/ru/product/detail/6077","3009")</f>
        <v>3009</v>
      </c>
      <c r="N9" s="179" t="str">
        <f aca="false">HYPERLINK("https://www.dybok.com.ua/ru/product/detail/7086","4199")</f>
        <v>4199</v>
      </c>
    </row>
    <row r="10" customFormat="false" ht="61.5" hidden="false" customHeight="true" outlineLevel="0" collapsed="false">
      <c r="A10" s="78" t="s">
        <v>19</v>
      </c>
      <c r="B10" s="157" t="s">
        <v>167</v>
      </c>
      <c r="C10" s="186" t="str">
        <f aca="false">HYPERLINK("https://vashamebel.in.ua/tumba-tv-brv-atsteka-rtv2d2s415/p12722","3343")</f>
        <v>3343</v>
      </c>
      <c r="D10" s="176" t="str">
        <f aca="false">HYPERLINK("https://vashamebel.in.ua/komod-brv-atsteka-kom4s811/p12731","3924")</f>
        <v>3924</v>
      </c>
      <c r="E10" s="176" t="str">
        <f aca="false">HYPERLINK("https://vashamebel.in.ua/komod-brv-indiana-jkom4s80/p921","3562")</f>
        <v>3562</v>
      </c>
      <c r="F10" s="176" t="str">
        <f aca="false">HYPERLINK("https://vashamebel.in.ua/stol-pismennyij-brv-indiana-jbiu-2d2s/p916","5158")</f>
        <v>5158</v>
      </c>
      <c r="G10" s="175" t="str">
        <f aca="false">HYPERLINK("https://vashamebel.in.ua/komod-brv-dzhuli-kom4s90/p7958","2098")</f>
        <v>2098</v>
      </c>
      <c r="H10" s="175" t="str">
        <f aca="false">HYPERLINK("https://vashamebel.in.ua/shkaf-brv-porto-szf3d2s/p12560","5377")</f>
        <v>5377</v>
      </c>
      <c r="I10" s="176" t="str">
        <f aca="false">HYPERLINK("https://vashamebel.in.ua/shkaf-brv-porto-szf3d2s/p12560","5683")</f>
        <v>5683</v>
      </c>
      <c r="J10" s="176" t="str">
        <f aca="false">HYPERLINK("https://vashamebel.in.ua/stol-pismennyij-kaspian-ii-biu1d1s-120/p488","3002")</f>
        <v>3002</v>
      </c>
      <c r="K10" s="176" t="str">
        <f aca="false">HYPERLINK("https://vashamebel.in.ua/prihozhaya-gerbor-nepo-ppk/p12249","1963")</f>
        <v>1963</v>
      </c>
      <c r="L10" s="176" t="str">
        <f aca="false">HYPERLINK("https://vashamebel.in.ua/gostinaya-brv-alyaska/p4420","7644")</f>
        <v>7644</v>
      </c>
      <c r="M10" s="176" t="str">
        <f aca="false">HYPERLINK("https://vashamebel.in.ua/stenka-gerbor-kvatro/p2359","3007")</f>
        <v>3007</v>
      </c>
      <c r="N10" s="175" t="str">
        <f aca="false">HYPERLINK("https://vashamebel.in.ua/komod-gerbor-vusher-kom1w2d2s/p4762","4195")</f>
        <v>4195</v>
      </c>
    </row>
    <row r="11" customFormat="false" ht="70.5" hidden="false" customHeight="true" outlineLevel="0" collapsed="false">
      <c r="A11" s="78" t="s">
        <v>20</v>
      </c>
      <c r="B11" s="157" t="s">
        <v>168</v>
      </c>
      <c r="C11" s="175" t="str">
        <f aca="false">HYPERLINK("https://mebel-mebel.com.ua/eshop/dom-tumby-dlia-tv/tumba_rtv2d2s_4_15_atsteka-id461.html","3343")</f>
        <v>3343</v>
      </c>
      <c r="D11" s="175" t="str">
        <f aca="false">HYPERLINK("https://mebel-mebel.com.ua/eshop/dom-komody/komod_kom4s_8_11_atsteka-id496.html","3924")</f>
        <v>3924</v>
      </c>
      <c r="E11" s="175" t="str">
        <f aca="false">HYPERLINK("https://mebel-mebel.com.ua/eshop/dom-tumby-dlia-tv/tumba_rtv2d2s_4_15_atsteka-id461.html","3562")</f>
        <v>3562</v>
      </c>
      <c r="F11" s="175" t="str">
        <f aca="false">HYPERLINK("https://mebel-mebel.com.ua/eshop/dom-stoly-kompiuternye/stol_pismenniy_jbiu_2d2s_140_indiana-id659.html","5158")</f>
        <v>5158</v>
      </c>
      <c r="G11" s="175" t="str">
        <f aca="false">HYPERLINK("https://mebel-mebel.com.ua/eshop/dom-komody/komod_kom_4s_90_dzhuli-id569.html","2098")</f>
        <v>2098</v>
      </c>
      <c r="H11" s="176" t="str">
        <f aca="false">HYPERLINK("https://mebel-mebel.com.ua/eshop/detskie-shkafy/shkaf_szf3d2s_porto-id35136.html","5377")</f>
        <v>5377</v>
      </c>
      <c r="I11" s="175" t="str">
        <f aca="false">HYPERLINK("https://mebel-mebel.com.ua/eshop/dom-komody/komod_8s_s_015_sonata-id1567.html","5683")</f>
        <v>5683</v>
      </c>
      <c r="J11" s="175" t="str">
        <f aca="false">HYPERLINK("https://mebel-mebel.com.ua/eshop/dom-stoly-kompiuternye/stol_pismenniy_biu_1d1s_120_kaspian-id797.html","3002")</f>
        <v>3002</v>
      </c>
      <c r="K11" s="175" t="str">
        <f aca="false">HYPERLINK("https://mebel-mebel.com.ua/eshop/dom-prihozhie/prihozhaya_ppk_nepo-id28028.html","1963")</f>
        <v>1963</v>
      </c>
      <c r="L11" s="202" t="str">
        <f aca="false">HYPERLINK("https://mebel-mebel.com.ua/eshop/dom-stenki-dlia-gostinoi/gostinaya_alyaska-id50834.html","6980")</f>
        <v>6980</v>
      </c>
      <c r="M11" s="175" t="str">
        <f aca="false">HYPERLINK("https://mebel-mebel.com.ua/eshop/dom-stenki-dlia-gostinoi/gostinaya_kvatro-id152.html","3007")</f>
        <v>3007</v>
      </c>
      <c r="N11" s="175" t="str">
        <f aca="false">HYPERLINK("https://mebel-mebel.com.ua/eshop/dom-komody/komod_kom_1w2d2s_vusher-id560.html","4195")</f>
        <v>4195</v>
      </c>
    </row>
    <row r="12" customFormat="false" ht="75.75" hidden="false" customHeight="true" outlineLevel="0" collapsed="false">
      <c r="A12" s="78" t="s">
        <v>21</v>
      </c>
      <c r="B12" s="150" t="s">
        <v>169</v>
      </c>
      <c r="C12" s="175" t="str">
        <f aca="false">HYPERLINK("https://abcmebli.com.ua/p14992-tumba_tv_rtv2d2s-4-15_atsteka","3343")</f>
        <v>3343</v>
      </c>
      <c r="D12" s="175" t="str">
        <f aca="false">HYPERLINK("https://abcmebli.com.ua/p15683-atsteka_komod_kom4s-8-11_brv","3924")</f>
        <v>3924</v>
      </c>
      <c r="E12" s="175" t="str">
        <f aca="false">HYPERLINK("https://abcmebli.com.ua/p1896-komod_jkom4s_80_indiana","3562")</f>
        <v>3562</v>
      </c>
      <c r="F12" s="175" t="str">
        <f aca="false">HYPERLINK("https://abcmebli.com.ua/p1892-stol_pismenniy_jbiu2d2s_140_indiana","5158")</f>
        <v>5158</v>
      </c>
      <c r="G12" s="175" t="str">
        <f aca="false">HYPERLINK("https://abcmebli.com.ua/p8553-komod_kom4s-90_july","2098")</f>
        <v>2098</v>
      </c>
      <c r="H12" s="175" t="str">
        <f aca="false">HYPERLINK("https://abcmebli.com.ua/p15039-shkaf_platyanoy_szf3d2s_porto","5377")</f>
        <v>5377</v>
      </c>
      <c r="I12" s="175" t="str">
        <f aca="false">HYPERLINK("https://abcmebli.com.ua/p2225-komod_8-s_sonata","5683")</f>
        <v>5683</v>
      </c>
      <c r="J12" s="175" t="str">
        <f aca="false">HYPERLINK("https://abcmebli.com.ua/p14308-stol_pismenniy_biu_1d1s_120_kaspian","3002")</f>
        <v>3002</v>
      </c>
      <c r="K12" s="176" t="str">
        <f aca="false">HYPERLINK("https://abcmebli.com.ua/p15897-nepo_prihozhaya_ppk_gerbor","1963")</f>
        <v>1963</v>
      </c>
      <c r="L12" s="175" t="str">
        <f aca="false">HYPERLINK("https://abcmebli.com.ua/p15950-gostinaya_alyaska_brv-ukraina","7644")</f>
        <v>7644</v>
      </c>
      <c r="M12" s="175" t="str">
        <f aca="false">HYPERLINK("https://abcmebli.com.ua/p2515-stenka_kvatro_gerbor","3007")</f>
        <v>3007</v>
      </c>
      <c r="N12" s="175" t="str">
        <f aca="false">HYPERLINK("https://abcmebli.com.ua/p4993-komod_kom1w2d2s_9_15_vusher","4195")</f>
        <v>4195</v>
      </c>
    </row>
    <row r="13" customFormat="false" ht="56.25" hidden="false" customHeight="true" outlineLevel="0" collapsed="false">
      <c r="A13" s="78" t="s">
        <v>22</v>
      </c>
      <c r="B13" s="157" t="s">
        <v>170</v>
      </c>
      <c r="C13" s="175" t="str">
        <f aca="false">HYPERLINK("https://www.mebelok.com/tymba-tv-rtv2d2s415-acteka/","3355")</f>
        <v>3355</v>
      </c>
      <c r="D13" s="176" t="str">
        <f aca="false">HYPERLINK("https://www.mebelok.com/komod-kom4s811-acteka/","3935")</f>
        <v>3935</v>
      </c>
      <c r="E13" s="186" t="str">
        <f aca="false">HYPERLINK("https://www.mebelok.com/komod-jkom-4s-80/","3575")</f>
        <v>3575</v>
      </c>
      <c r="F13" s="189"/>
      <c r="G13" s="176" t="str">
        <f aca="false">HYPERLINK("https://www.mebelok.com/komod-kom-4s-90-juli/","2105")</f>
        <v>2105</v>
      </c>
      <c r="H13" s="176" t="str">
        <f aca="false">HYPERLINK("https://www.mebelok.com/shkaf-szf3d2s-porto/","5385")</f>
        <v>5385</v>
      </c>
      <c r="I13" s="187"/>
      <c r="J13" s="175" t="str">
        <f aca="false">HYPERLINK("https://www.mebelok.com/stol-pismennyy-biu1d1s-120-kaspian/","3015")</f>
        <v>3015</v>
      </c>
      <c r="K13" s="175" t="str">
        <f aca="false">HYPERLINK("https://www.mebelok.com/prihojaya-ppk-nepo/","1975")</f>
        <v>1975</v>
      </c>
      <c r="L13" s="175" t="str">
        <f aca="false">HYPERLINK("https://www.mebelok.com/gostinaya-alyaska/","7655")</f>
        <v>7655</v>
      </c>
      <c r="M13" s="176" t="str">
        <f aca="false">HYPERLINK("https://www.mebelok.com/gostinaya-kvatro","3015")</f>
        <v>3015</v>
      </c>
      <c r="N13" s="176" t="str">
        <f aca="false">HYPERLINK("https://www.mebelok.com/komod-kom-1w2d2s-vusher/","4205")</f>
        <v>4205</v>
      </c>
    </row>
    <row r="14" customFormat="false" ht="48" hidden="false" customHeight="true" outlineLevel="0" collapsed="false">
      <c r="A14" s="78" t="s">
        <v>23</v>
      </c>
      <c r="B14" s="157" t="s">
        <v>171</v>
      </c>
      <c r="C14" s="175" t="str">
        <f aca="false">HYPERLINK("https://maxmebel.com.ua/atsteka_tumba_rtv2d2s","3343")</f>
        <v>3343</v>
      </c>
      <c r="D14" s="175" t="str">
        <f aca="false">HYPERLINK("https://maxmebel.com.ua/atsteka_komod_kom4s-8-11","3924")</f>
        <v>3924</v>
      </c>
      <c r="E14" s="175" t="str">
        <f aca="false">HYPERLINK("https://maxmebel.com.ua/indiana_komod_jkom_4s_80","3562")</f>
        <v>3562</v>
      </c>
      <c r="F14" s="175" t="str">
        <f aca="false">HYPERLINK("https://maxmebel.com.ua/indiana_pismenniy_stol_jbiu_2d2s","5159")</f>
        <v>5159</v>
      </c>
      <c r="G14" s="175" t="str">
        <f aca="false">HYPERLINK("https://maxmebel.com.ua/dzhuli_komod_kom4s-90","2099")</f>
        <v>2099</v>
      </c>
      <c r="H14" s="175" t="str">
        <f aca="false">HYPERLINK("https://maxmebel.com.ua/porto_shkaf_platyanoy_szf3d2s","5378")</f>
        <v>5378</v>
      </c>
      <c r="I14" s="175" t="str">
        <f aca="false">HYPERLINK("https://maxmebel.com.ua/sonata_komod_8-s","5683")</f>
        <v>5683</v>
      </c>
      <c r="J14" s="175" t="str">
        <f aca="false">HYPERLINK("https://maxmebel.com.ua/kaspian_stol_pismenniy_biu_1d1s","3002")</f>
        <v>3002</v>
      </c>
      <c r="K14" s="175" t="str">
        <f aca="false">HYPERLINK("https://maxmebel.com.ua/nepo_prihozhaya_rrk","1963")</f>
        <v>1963</v>
      </c>
      <c r="L14" s="175" t="str">
        <f aca="false">HYPERLINK("https://maxmebel.com.ua/stenka_alyaska","7645")</f>
        <v>7645</v>
      </c>
      <c r="M14" s="176" t="str">
        <f aca="false">HYPERLINK("https://maxmebel.com.ua/stenka_kvatro","3008")</f>
        <v>3008</v>
      </c>
      <c r="N14" s="175" t="str">
        <f aca="false">HYPERLINK("https://maxmebel.com.ua/vusher_komod_kom_1w2d2s","4196")</f>
        <v>4196</v>
      </c>
    </row>
    <row r="15" customFormat="false" ht="39" hidden="false" customHeight="true" outlineLevel="0" collapsed="false">
      <c r="A15" s="78" t="s">
        <v>24</v>
      </c>
      <c r="B15" s="147" t="s">
        <v>128</v>
      </c>
      <c r="C15" s="187"/>
      <c r="D15" s="175" t="str">
        <f aca="false">HYPERLINK("https://moyamebel.com.ua/ua/products/komod-atsteka","3924")</f>
        <v>3924</v>
      </c>
      <c r="E15" s="175" t="str">
        <f aca="false">HYPERLINK("https://moyamebel.com.ua/ua/products/komod-4s-80-indiana","3562")</f>
        <v>3562</v>
      </c>
      <c r="F15" s="175" t="str">
        <f aca="false">HYPERLINK("https://moyamebel.com.ua/ua/products/stol-pismennyj-2d2s-indiana","5158")</f>
        <v>5158</v>
      </c>
      <c r="G15" s="175" t="str">
        <f aca="false">HYPERLINK("https://moyamebel.com.ua/ua/products/komod-dzhuli-90","2098")</f>
        <v>2098</v>
      </c>
      <c r="H15" s="175" t="str">
        <f aca="false">HYPERLINK("https://moyamebel.com.ua/ua/products/shkaf-3d2sporto","5377")</f>
        <v>5377</v>
      </c>
      <c r="I15" s="187"/>
      <c r="J15" s="175" t="str">
        <f aca="false">HYPERLINK("https://moyamebel.com.ua/ua/products/stol-pismennyj-120-kaspian","3002")</f>
        <v>3002</v>
      </c>
      <c r="K15" s="176" t="str">
        <f aca="false">HYPERLINK("https://moyamebel.com.ua/ua/products/prihozhaya-nepo","1963")</f>
        <v>1963</v>
      </c>
      <c r="L15" s="175"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158</v>
      </c>
      <c r="C16" s="175" t="str">
        <f aca="false">HYPERLINK("https://mebel-soyuz.com.ua/12896.html","3343")</f>
        <v>3343</v>
      </c>
      <c r="D16" s="175" t="str">
        <f aca="false">HYPERLINK("https://mebel-soyuz.com.ua/12903.html","3924")</f>
        <v>3924</v>
      </c>
      <c r="E16" s="175" t="str">
        <f aca="false">HYPERLINK("https://mebel-soyuz.com.ua/2266.html","3562")</f>
        <v>3562</v>
      </c>
      <c r="F16" s="175" t="str">
        <f aca="false">HYPERLINK("https://mebel-soyuz.com.ua/stol-pismennyj-jbiu-2d2s-140-indiana.html","5158")</f>
        <v>5158</v>
      </c>
      <c r="G16" s="175" t="str">
        <f aca="false">HYPERLINK("https://mebel-soyuz.com.ua/komod-kom-4s-90-dzhuli.html","2098")</f>
        <v>2098</v>
      </c>
      <c r="H16" s="175" t="str">
        <f aca="false">HYPERLINK("https://mebel-soyuz.com.ua/shkaf-szf3d2s-porto.html","5377")</f>
        <v>5377</v>
      </c>
      <c r="I16" s="175" t="str">
        <f aca="false">HYPERLINK("https://mebel-soyuz.com.ua/473.html","5683")</f>
        <v>5683</v>
      </c>
      <c r="J16" s="176" t="str">
        <f aca="false">HYPERLINK("https://mebel-soyuz.com.ua/8687.html","3002")</f>
        <v>3002</v>
      </c>
      <c r="K16" s="175" t="str">
        <f aca="false">HYPERLINK("https://mebel-soyuz.com.ua/8926.html","1963")</f>
        <v>1963</v>
      </c>
      <c r="L16" s="175" t="str">
        <f aca="false">HYPERLINK("https://mebel-soyuz.com.ua/10995.html","7644")</f>
        <v>7644</v>
      </c>
      <c r="M16" s="175" t="str">
        <f aca="false">HYPERLINK("https://mebel-soyuz.com.ua/gostinaya-kvatro.html","3007")</f>
        <v>3007</v>
      </c>
      <c r="N16" s="175" t="str">
        <f aca="false">HYPERLINK("https://mebel-soyuz.com.ua/3933.html","4195")</f>
        <v>4195</v>
      </c>
    </row>
    <row r="17" customFormat="false" ht="33.75" hidden="false" customHeight="true" outlineLevel="0" collapsed="false">
      <c r="A17" s="78" t="s">
        <v>36</v>
      </c>
      <c r="B17" s="147" t="s">
        <v>128</v>
      </c>
      <c r="C17" s="202" t="str">
        <f aca="false">HYPERLINK("https://sofino.ua/brw-ukraina-tumba-rtv2d2s415-acteka-belyjj-dub-sanremo/g-594126","3176")</f>
        <v>3176</v>
      </c>
      <c r="D17" s="176" t="str">
        <f aca="false">HYPERLINK("https://sofino.ua/brw-ukraina-komod-kom4s811-acteka/g-95386","3924")</f>
        <v>3924</v>
      </c>
      <c r="E17" s="176" t="str">
        <f aca="false">HYPERLINK("https://sofino.ua/brw-ukraina-komod-jkom4s80-indiana/g-40903","3562")</f>
        <v>3562</v>
      </c>
      <c r="F17" s="176" t="str">
        <f aca="false">HYPERLINK("https://sofino.ua/brw-ukraina-stol-pismennyjj-jbiu2d2s140-indiana/g-40899","5158")</f>
        <v>5158</v>
      </c>
      <c r="G17" s="176" t="str">
        <f aca="false">HYPERLINK("https://sofino.ua/brw-ukraina-komod-kom4s90-dzhuli-akacija-mali-bronz/g-40377","2098")</f>
        <v>2098</v>
      </c>
      <c r="H17" s="176" t="str">
        <f aca="false">HYPERLINK("https://sofino.ua/brw-ukraina-shkaf-platjanojj-szf3d2s-porto-dzhanni-sosna-lariko/g-264368","5377")</f>
        <v>5377</v>
      </c>
      <c r="I17" s="176" t="str">
        <f aca="false">HYPERLINK("https://sofino.ua/gerbor-komod-8s-sonata/g-19192","5683")</f>
        <v>5683</v>
      </c>
      <c r="J17" s="208" t="str">
        <f aca="false">HYPERLINK("https://sofino.ua/brw-ukraina-stol-pismennyjj-biu-1d1s-kaspian/g-264409","3002")</f>
        <v>3002</v>
      </c>
      <c r="K17" s="176" t="str">
        <f aca="false">HYPERLINK("https://sofino.ua/gerbor-prikhozhaja-ppk-nepo/g-287089","1963")</f>
        <v>1963</v>
      </c>
      <c r="L17" s="176" t="str">
        <f aca="false">HYPERLINK("https://sofino.ua/brw-ukraina-stenka-aljaska-belyjj-gljanec/g-454107","7644")</f>
        <v>7644</v>
      </c>
      <c r="M17" s="176" t="str">
        <f aca="false">HYPERLINK("https://sofino.ua/gerbor-stenka-s-podsvetkojj-kvatro/g-18955","3007")</f>
        <v>3007</v>
      </c>
      <c r="N17" s="176" t="str">
        <f aca="false">HYPERLINK("https://sofino.ua/gerbor-bufet-kom1w2d2s-s-podsvetkojj-vusher/g-176785","4195")</f>
        <v>4195</v>
      </c>
    </row>
    <row r="18" customFormat="false" ht="40.5" hidden="false" customHeight="true" outlineLevel="0" collapsed="false">
      <c r="A18" s="78" t="s">
        <v>176</v>
      </c>
      <c r="B18" s="147" t="s">
        <v>177</v>
      </c>
      <c r="C18" s="187"/>
      <c r="D18" s="187"/>
      <c r="E18" s="187"/>
      <c r="F18" s="187"/>
      <c r="G18" s="187"/>
      <c r="H18" s="187"/>
      <c r="I18" s="202" t="str">
        <f aca="false">HYPERLINK("https://gerbor.mebli-smerichka.com.ua/product/komod-sonata-8s/","4900")</f>
        <v>4900</v>
      </c>
      <c r="J18" s="187"/>
      <c r="K18" s="187"/>
      <c r="L18" s="187"/>
      <c r="M18" s="187"/>
      <c r="N18" s="187"/>
    </row>
    <row r="19" customFormat="false" ht="54.75" hidden="false" customHeight="true" outlineLevel="0" collapsed="false">
      <c r="A19" s="78" t="s">
        <v>37</v>
      </c>
      <c r="B19" s="147" t="s">
        <v>139</v>
      </c>
      <c r="C19" s="187"/>
      <c r="D19" s="175" t="str">
        <f aca="false">HYPERLINK("https://www.brw-kiev.com.ua/catalog/mebel/azteca-komod-kom4s_8_11-000004816.html","3929")</f>
        <v>3929</v>
      </c>
      <c r="E19" s="175" t="str">
        <f aca="false">HYPERLINK("https://www.brw-kiev.com.ua/catalog/mebel/indiana-komod-jkom4s_80-000000261.html","3569")</f>
        <v>3569</v>
      </c>
      <c r="F19" s="175" t="str">
        <f aca="false">HYPERLINK("https://www.brw-kiev.com.ua/catalog/mebel/indiana-stil_pis_moviy-jbiu2d2s-000000254.html","5159")</f>
        <v>5159</v>
      </c>
      <c r="G19" s="175" t="str">
        <f aca="false">HYPERLINK("https://www.brw-kiev.com.ua/catalog/mebel/july-komod-kom4s_90-000005407.html","2099")</f>
        <v>2099</v>
      </c>
      <c r="H19" s="175" t="str">
        <f aca="false">HYPERLINK("https://www.brw-kiev.com.ua/catalog/mebel/porto-shafa-szf3d2s-000006440.html","5379")</f>
        <v>5379</v>
      </c>
      <c r="I19" s="189"/>
      <c r="J19" s="176" t="str">
        <f aca="false">HYPERLINK("https://www.brw-kiev.com.ua/catalog/mebel/kaspian-stil_pis_moviy-biu1d1s_120-000006188.html","3009")</f>
        <v>3009</v>
      </c>
      <c r="K19" s="209" t="n">
        <v>1969</v>
      </c>
      <c r="L19" s="187"/>
      <c r="M19" s="187"/>
      <c r="N19" s="187"/>
    </row>
    <row r="20" customFormat="false" ht="38.25" hidden="false" customHeight="true" outlineLevel="0" collapsed="false">
      <c r="A20" s="78" t="s">
        <v>25</v>
      </c>
      <c r="B20" s="157" t="s">
        <v>172</v>
      </c>
      <c r="C20" s="175" t="str">
        <f aca="false">HYPERLINK("https://brw.kiev.ua/mebel-brw-ukraina/azteca/tumba-tv-rtv2d2s-azteca-brv/","3343")</f>
        <v>3343</v>
      </c>
      <c r="D20" s="175" t="str">
        <f aca="false">HYPERLINK("https://brw.kiev.ua/mebel-brw-ukraina/azteca/komod-kom4s-azteca-brv/","3924")</f>
        <v>3924</v>
      </c>
      <c r="E20" s="175" t="str">
        <f aca="false">HYPERLINK("https://brw.kiev.ua/mebel-brw-ukraina/indiana-kanjon/komod-jkom4s80-indiana-brv-kanjon/","3562")</f>
        <v>3562</v>
      </c>
      <c r="F20" s="175" t="str">
        <f aca="false">HYPERLINK("https://brw.kiev.ua/mebel-brw-ukraina/indiana-shutter/stol-pismennyy-jbiu2d2s140-indiana-brv-shutter/","5158")</f>
        <v>5158</v>
      </c>
      <c r="G20" s="175" t="str">
        <f aca="false">HYPERLINK("https://brw.kiev.ua/mebel-brw-ukraina/july/komod-kom4s90-july-brv/","2098")</f>
        <v>2098</v>
      </c>
      <c r="H20" s="175" t="str">
        <f aca="false">HYPERLINK("https://brw.kiev.ua/mebel-brw-ukraina/porto/shkaf-szf3d2s-porto-brv/","5377")</f>
        <v>5377</v>
      </c>
      <c r="I20" s="175" t="str">
        <f aca="false">HYPERLINK("https://brw.kiev.ua/mebel-gerbor/sonata/komod-8s-sonata-gerbor/","5683")</f>
        <v>5683</v>
      </c>
      <c r="J20" s="175" t="str">
        <f aca="false">HYPERLINK("https://brw.kiev.ua/mebel-brw-ukraina/kaspian-venge/stol-pismennyy-biu1d1s-kaspian-brv-venge/","3002")</f>
        <v>3002</v>
      </c>
      <c r="K20" s="175" t="str">
        <f aca="false">HYPERLINK("https://brw.kiev.ua/mebel-gerbor/nepo/prikhozhaya-ppk-nepo-gerbor/","1963")</f>
        <v>1963</v>
      </c>
      <c r="L20" s="175" t="str">
        <f aca="false">HYPERLINK("https://brw.kiev.ua/mebel-brw-ukraina/alaska/stenka-alaska-brv/","7644")</f>
        <v>7644</v>
      </c>
      <c r="M20" s="187"/>
      <c r="N20" s="175" t="str">
        <f aca="false">HYPERLINK("https://brw.kiev.ua/mebel-gerbor/vusher/komod-kom1w2d2s-vusher-gerbor/","4195")</f>
        <v>4195</v>
      </c>
    </row>
    <row r="21" customFormat="false" ht="15.75" hidden="false" customHeight="true" outlineLevel="0" collapsed="false">
      <c r="A21" s="78" t="s">
        <v>123</v>
      </c>
      <c r="B21" s="160" t="s">
        <v>141</v>
      </c>
      <c r="C21" s="187"/>
      <c r="D21" s="187"/>
      <c r="E21" s="187"/>
      <c r="F21" s="187"/>
      <c r="G21" s="187"/>
      <c r="H21" s="187"/>
      <c r="I21" s="187"/>
      <c r="J21" s="187"/>
      <c r="K21" s="187"/>
      <c r="L21" s="187"/>
      <c r="M21" s="187"/>
      <c r="N21" s="187"/>
    </row>
    <row r="22" customFormat="false" ht="25.5" hidden="false" customHeight="true" outlineLevel="0" collapsed="false">
      <c r="A22" s="78" t="s">
        <v>124</v>
      </c>
      <c r="B22" s="147" t="s">
        <v>139</v>
      </c>
      <c r="C22" s="210" t="str">
        <f aca="false">HYPERLINK("https://mebelstyle.net/tumby-pod-tv/tumba-pod-tv-brw-ukraina-azteca-rtv2d2s415-82546.html","3294")</f>
        <v>3294</v>
      </c>
      <c r="D22" s="210" t="str">
        <f aca="false">HYPERLINK("https://mebelstyle.net/komody/komod-brw-ukraina-azteca-kom4s811-82553.html","3735")</f>
        <v>3735</v>
      </c>
      <c r="E22" s="202" t="str">
        <f aca="false">HYPERLINK("https://mebelstyle.net/komody/komod-brw-ukraina-indiana-011-jkom4s80-1274.html","3442")</f>
        <v>3442</v>
      </c>
      <c r="F22" s="203" t="str">
        <f aca="false">HYPERLINK("https://mebelstyle.net/ofisnye-stoly/pismennyj-stol-brw-ukraina-indiana-007-jbiu2d2s-1255.html","4979")</f>
        <v>4979</v>
      </c>
      <c r="G22" s="187"/>
      <c r="H22" s="187"/>
      <c r="I22" s="202" t="str">
        <f aca="false">HYPERLINK("https://mebelstyle.net/komody/komod-gerbor-sonata-s-015-8s-38625.html","5125")</f>
        <v>5125</v>
      </c>
      <c r="J22" s="203" t="str">
        <f aca="false">HYPERLINK("https://mebelstyle.net/ofisnye-stoly/ofisnyj-stol-brw-ukraina-kaspian-007-biu1d1s-58596.html","2783")</f>
        <v>2783</v>
      </c>
      <c r="K22" s="202" t="str">
        <f aca="false">HYPERLINK("https://mebelstyle.net/prikhozhie/prikhozhaja-gerbor-nepo-ppk-83649.html","1808")</f>
        <v>1808</v>
      </c>
      <c r="L22" s="187"/>
      <c r="M22" s="187"/>
      <c r="N22" s="202" t="str">
        <f aca="false">HYPERLINK("https://mebelstyle.net/komody/komod-gerbor-vusher-kom-1w2d2s-83553.html","4022")</f>
        <v>4022</v>
      </c>
    </row>
    <row r="23" customFormat="false" ht="34.5" hidden="false" customHeight="true" outlineLevel="0" collapsed="false">
      <c r="A23" s="78" t="s">
        <v>38</v>
      </c>
      <c r="B23" s="147" t="s">
        <v>139</v>
      </c>
      <c r="C23" s="175" t="str">
        <f aca="false">HYPERLINK("https://lvivmebli.com/13319/","4446")</f>
        <v>4446</v>
      </c>
      <c r="D23" s="175" t="str">
        <f aca="false">HYPERLINK("https://lvivmebli.com/13320/","5330")</f>
        <v>5330</v>
      </c>
      <c r="E23" s="175" t="str">
        <f aca="false">HYPERLINK("https://lvivmebli.com/5030/","4851")</f>
        <v>4851</v>
      </c>
      <c r="F23" s="175" t="str">
        <f aca="false">HYPERLINK("https://lvivmebli.com/5038/","6739")</f>
        <v>6739</v>
      </c>
      <c r="G23" s="175" t="str">
        <f aca="false">HYPERLINK("https://lvivmebli.com/11483/","2622")</f>
        <v>2622</v>
      </c>
      <c r="H23" s="175" t="str">
        <f aca="false">HYPERLINK("https://lvivmebli.com/18473/","7752")</f>
        <v>7752</v>
      </c>
      <c r="I23" s="187"/>
      <c r="J23" s="175" t="str">
        <f aca="false">HYPERLINK("https://lvivmebli.com/5099/","3120")</f>
        <v>3120</v>
      </c>
      <c r="K23" s="187"/>
      <c r="L23" s="187"/>
      <c r="M23" s="187"/>
      <c r="N23" s="187"/>
    </row>
    <row r="24" customFormat="false" ht="36.75" hidden="false" customHeight="true" outlineLevel="0" collapsed="false">
      <c r="A24" s="78" t="s">
        <v>39</v>
      </c>
      <c r="B24" s="157" t="s">
        <v>173</v>
      </c>
      <c r="C24" s="175" t="str">
        <f aca="false">HYPERLINK("http://centrmebliv.com.ua/modulni-mebli/brw-azteca/mebli-brw-brv-azteca-tumba-rtv2d2s?keyword=%D0%B0%D1%86%D1%82%D0%B5%D0%BA%D0%B0","3343")</f>
        <v>3343</v>
      </c>
      <c r="D24" s="175" t="str">
        <f aca="false">HYPERLINK("http://centrmebliv.com.ua/modulni-mebli/brw-azteca/mebli-brw-brv-azteca-komod-4s?keyword=%D0%B0%D1%86%D1%82%D0%B5%D0%BA%D0%B0","3924")</f>
        <v>3924</v>
      </c>
      <c r="E24" s="175" t="str">
        <f aca="false">HYPERLINK("http://centrmebliv.com.ua/mebli-dlya-spalni/komody/mebli-brw-brv-indiana-komod-jkom4s_80?keyword=%D1%96%D0%BD%D0%B4%D1%96%D0%B0%D0%BD%D0%B0","3562")</f>
        <v>3562</v>
      </c>
      <c r="F24" s="175" t="str">
        <f aca="false">HYPERLINK("http://centrmebliv.com.ua/modulni-mebli/brw-ukrayina-indiana/mebli-brw-brv-indiana-stil-pysmovyy-jbiu2d2s_140?keyword=%D1%96%D0%BD%D0%B4%D1%96%D0%B0%D0%BD%D0%B0","5158")</f>
        <v>5158</v>
      </c>
      <c r="G24" s="175" t="str">
        <f aca="false">HYPERLINK("http://centrmebliv.com.ua/spalni/komody/mebli-brw-brv-july-komod-kom4s/90?keyword=july","2098")</f>
        <v>2098</v>
      </c>
      <c r="H24" s="187"/>
      <c r="I24" s="211" t="str">
        <f aca="false">HYPERLINK("http://centrmebliv.com.ua/mebli-dlya-spalni/komody/mebli-gerbor-gerbor-s-015-sonata-_komod-8/s?keyword=%D1%81%D0%BE%D0%BD%D0%B0%D1%82%D0%B0","5596")</f>
        <v>5596</v>
      </c>
      <c r="J24" s="212" t="str">
        <f aca="false">HYPERLINK("http://centrmebliv.com.ua/ofisni-mebli/ofisni-stoly-vid-modulnyh-system/gerbor/brw-kaspian-stil-pysmovyy-biu-1d1s-120?keyword=%D0%BA%D0%B0%D1%81%D0%BF%D1%96%D0%B0%D0%BD","2831")</f>
        <v>2831</v>
      </c>
      <c r="K24" s="187"/>
      <c r="L24" s="187"/>
      <c r="M24" s="175" t="str">
        <f aca="false">HYPERLINK("http://centrmebliv.com.ua/mebli-dlya-vitalni/stinky/mebli-gerbor-gerbor-kvatro","3007")</f>
        <v>3007</v>
      </c>
      <c r="N24" s="175" t="str">
        <f aca="false">HYPERLINK("http://centrmebliv.com.ua/spalni/komody/mebli-gerbor-gerbor-voucher-komod-kom1w2d2s?keyword=%D0%B2%D1%83%D1%88%D0%B5%D1%80","4195")</f>
        <v>4195</v>
      </c>
    </row>
    <row r="25" customFormat="false" ht="27" hidden="false" customHeight="true" outlineLevel="0" collapsed="false">
      <c r="A25" s="78" t="s">
        <v>40</v>
      </c>
      <c r="B25" s="147" t="s">
        <v>139</v>
      </c>
      <c r="C25" s="187"/>
      <c r="D25" s="175" t="str">
        <f aca="false">HYPERLINK("https://letromebel.com.ua/p566126810-komod-kom4s811-atsteka.html","3924")</f>
        <v>3924</v>
      </c>
      <c r="E25" s="175" t="str">
        <f aca="false">HYPERLINK("https://letromebel.com.ua/p566921861-komod-jkom4s80-indiana.html","3562")</f>
        <v>3562</v>
      </c>
      <c r="F25" s="175" t="str">
        <f aca="false">HYPERLINK("https://letromebel.com.ua/p566921329-stol-pismennyj-jbiu2d2s140.html","5158")</f>
        <v>5158</v>
      </c>
      <c r="G25" s="175" t="str">
        <f aca="false">HYPERLINK("https://letromebel.com.ua/p445989920-komod-kom-dzhuli.html","2098")</f>
        <v>2098</v>
      </c>
      <c r="H25" s="175" t="str">
        <f aca="false">HYPERLINK("https://letromebel.com.ua/p567177190-shkaf-szf3d2s-porto.html","5377")</f>
        <v>5377</v>
      </c>
      <c r="I25" s="187"/>
      <c r="J25" s="187"/>
      <c r="K25" s="186" t="str">
        <f aca="false">HYPERLINK("https://letromebel.com.ua/p441285622-prihozhaya-ppk-nepo.html","1963")</f>
        <v>1963</v>
      </c>
      <c r="L25" s="175" t="str">
        <f aca="false">HYPERLINK("https://letromebel.com.ua/p822866700-stenka-gostinuyu-alyaska.html","7644")</f>
        <v>7644</v>
      </c>
      <c r="M25" s="176" t="str">
        <f aca="false">HYPERLINK("https://letromebel.com.ua/p436378844-stenka-kvatro-venge.html","3007")</f>
        <v>3007</v>
      </c>
      <c r="N25" s="175" t="str">
        <f aca="false">HYPERLINK("https://letromebel.com.ua/p332640892-bufet-kom1w2d2s-vusher.html","4195")</f>
        <v>4195</v>
      </c>
    </row>
    <row r="26" customFormat="false" ht="27" hidden="false" customHeight="true" outlineLevel="0" collapsed="false">
      <c r="A26" s="78" t="s">
        <v>26</v>
      </c>
      <c r="B26" s="147" t="s">
        <v>139</v>
      </c>
      <c r="C26" s="175" t="str">
        <f aca="false">HYPERLINK("https://shurup.net.ua/azteca-acteka-tumba-rtv2d2s415.p17205","3343")</f>
        <v>3343</v>
      </c>
      <c r="D26" s="175" t="str">
        <f aca="false">HYPERLINK("https://shurup.net.ua/azteca-acteka-komod-kom4s811.p17200","3924")</f>
        <v>3924</v>
      </c>
      <c r="E26" s="175" t="str">
        <f aca="false">HYPERLINK("https://shurup.net.ua/komod-jkom-4s80-indiana-sosna-kanon.p9412","3562")</f>
        <v>3562</v>
      </c>
      <c r="F26" s="175" t="str">
        <f aca="false">HYPERLINK("https://shurup.net.ua/stol-pismennyj-jbiu-2d2s-140-indiana-dub-shutter.p5488","5158")</f>
        <v>5158</v>
      </c>
      <c r="G26" s="175" t="str">
        <f aca="false">HYPERLINK("https://shurup.net.ua/komod-kom-4s-90-dzhuli.p7011","2098")</f>
        <v>2098</v>
      </c>
      <c r="H26" s="175" t="str">
        <f aca="false">HYPERLINK("https://shurup.net.ua/shkaf-szf3d2s-porto.p24169","5377")</f>
        <v>5377</v>
      </c>
      <c r="I26" s="175" t="str">
        <f aca="false">HYPERLINK("https://shurup.net.ua/komod-8s-sonata.p1034","5683")</f>
        <v>5683</v>
      </c>
      <c r="J26" s="202" t="str">
        <f aca="false">HYPERLINK("https://shurup.net.ua/stol-pismennyj-biu-1d1s-120-kaspian-dub-sonoma.p6492","2979")</f>
        <v>2979</v>
      </c>
      <c r="K26" s="175" t="str">
        <f aca="false">HYPERLINK("https://shurup.net.ua/prihozhaya-rrk-nepo.p13611","1963")</f>
        <v>1963</v>
      </c>
      <c r="L26" s="175" t="str">
        <f aca="false">HYPERLINK("https://shurup.net.ua/gostinaja-aljaska.p28551","7644")</f>
        <v>7644</v>
      </c>
      <c r="M26" s="175" t="str">
        <f aca="false">HYPERLINK("https://shurup.net.ua/gostinaya-kvatro-venge-magiya.p836","3007")</f>
        <v>3007</v>
      </c>
      <c r="N26" s="175" t="str">
        <f aca="false">HYPERLINK("https://shurup.net.ua/komod-kom1w2d2s-9-15-vusher.p1953","4195")</f>
        <v>4195</v>
      </c>
    </row>
    <row r="27" customFormat="false" ht="36.75" hidden="false" customHeight="true" outlineLevel="0" collapsed="false">
      <c r="A27" s="105" t="s">
        <v>41</v>
      </c>
      <c r="B27" s="206" t="s">
        <v>139</v>
      </c>
      <c r="C27" s="76"/>
      <c r="D27" s="76"/>
      <c r="E27" s="76"/>
      <c r="F27" s="76"/>
      <c r="G27" s="76"/>
      <c r="H27" s="76"/>
      <c r="I27" s="76"/>
      <c r="J27" s="76"/>
      <c r="K27" s="193" t="str">
        <f aca="false">HYPERLINK("https://www.taburetka.ua/prihozhie-40/prihozhaya-ppk-nepo-2914","2010")</f>
        <v>2010</v>
      </c>
      <c r="L27" s="76"/>
      <c r="M27" s="179" t="str">
        <f aca="false">HYPERLINK("https://www.taburetka.ua/gostinye-600/gostinaya-kvatro-2834","3135")</f>
        <v>3135</v>
      </c>
      <c r="N27" s="179" t="str">
        <f aca="false">HYPERLINK("https://www.taburetka.ua/komody-i-tumby-35/komod-kom1w2d2s-vusher-2974","4345")</f>
        <v>4345</v>
      </c>
    </row>
    <row r="28" customFormat="false" ht="37.5" hidden="false" customHeight="true" outlineLevel="0" collapsed="false">
      <c r="A28" s="106" t="s">
        <v>42</v>
      </c>
      <c r="B28" s="206" t="s">
        <v>139</v>
      </c>
      <c r="C28" s="175" t="str">
        <f aca="false">HYPERLINK("http://www.maxidom.com.ua/tumba-rtv-atsteka-2d2s415.html?search_string=%D2%F3%EC%E1%E0+%D0%D2%C2+%C0%F6%F2%E5%EA%E0+2D2S%2F4%2F15","3343")</f>
        <v>3343</v>
      </c>
      <c r="D28" s="193" t="str">
        <f aca="false">HYPERLINK("http://www.maxidom.com.ua/komod-atsteka-kom4s811.html?search_string=%CA%EE%EC%EE%E4+%C0%F6%F2%E5%EA%E0+KOM4S%2F8%2F11","3924")</f>
        <v>3924</v>
      </c>
      <c r="E28" s="193" t="str">
        <f aca="false">HYPERLINK("http://www.maxidom.com.ua/komod_indiana_jkom4s80.html?search_string=%CA%EE%EC%EE%E4+%C8%ED%E4%E8%E0%ED%E0+JKOM4s%2F80","3562")</f>
        <v>3562</v>
      </c>
      <c r="F28" s="193" t="str">
        <f aca="false">HYPERLINK("http://www.maxidom.com.ua/stol_pismenniy_indiana_jbiu2d2s.html?search_string=%D1%F2%EE%EB+%EF%E8%F1%FC%EC%E5%ED%ED%FB%E9+%C8%ED%E4%E8%E0%ED%E0+JBIU2d2s","5158")</f>
        <v>5158</v>
      </c>
      <c r="G28" s="193" t="str">
        <f aca="false">HYPERLINK("http://www.maxidom.com.ua/komod-kom4s90-dzhuli.html?search_string=%CA%EE%EC%EE%E4+KOM4S%2F90+%C4%E6%F3%EB%E8","2098")</f>
        <v>2098</v>
      </c>
      <c r="H28" s="193" t="str">
        <f aca="false">HYPERLINK("http://www.maxidom.com.ua/shkaf-porto-porto-szf3d2s.html?search_string=%D8%EA%E0%F4+%CF%EE%F0%F2%EE+%28Porto%29+SZF3D2S","5377")</f>
        <v>5377</v>
      </c>
      <c r="I28" s="193" t="str">
        <f aca="false">HYPERLINK("http://www.maxidom.com.ua/komod-sonata-8s.html?search_string=%CA%EE%EC%EE%E4+%D1%EE%ED%E0%F2%E0+8s","5683")</f>
        <v>5683</v>
      </c>
      <c r="J28" s="193" t="str">
        <f aca="false">HYPERLINK("http://www.maxidom.com.ua/stol-pismenniy-biu-1d1s-kaspian-kaspian.html?search_string=%D1%F2%EE%EB+%EF%E8%F1%FC%EC%E5%ED%ED%FB%E9+BIU+1D1S+%CA%E0%F1%EF%E8%E0%ED+%28Kaspian%29","3002")</f>
        <v>3002</v>
      </c>
      <c r="K28" s="193" t="str">
        <f aca="false">HYPERLINK("http://www.maxidom.com.ua/prihozhaya-nepo-ppk.html?search_string=%CF%F0%E8%F5%EE%E6%E0%FF+%CD%E5%EF%EE+PPK","1963")</f>
        <v>1963</v>
      </c>
      <c r="L28" s="193" t="str">
        <f aca="false">HYPERLINK("http://www.maxidom.com.ua/stenka-alyaska.html?search_string=%D1%F2%E5%ED%EA%E0+%C0%EB%FF%F1%EA%E0","7644")</f>
        <v>7644</v>
      </c>
      <c r="M28" s="179" t="str">
        <f aca="false">HYPERLINK("http://www.maxidom.com.ua/stenka-kvatro.html?search_string=%D1%F2%E5%ED%EA%E0+%CA%E2%E0%F2%F0%EE","3007")</f>
        <v>3007</v>
      </c>
      <c r="N28" s="179" t="str">
        <f aca="false">HYPERLINK("http://www.maxidom.com.ua/komod-kom-1w2d2s-vusher.html?search_string=%CA%EE%EC%EE%E4+KOM+1W2D2S+%C2%F3%F8%E5%F0","4195")</f>
        <v>4195</v>
      </c>
    </row>
    <row r="29" customFormat="false" ht="42" hidden="false" customHeight="true" outlineLevel="0" collapsed="false">
      <c r="A29" s="106" t="s">
        <v>27</v>
      </c>
      <c r="B29" s="118" t="s">
        <v>174</v>
      </c>
      <c r="C29" s="175" t="str">
        <f aca="false">HYPERLINK("https://mebel-online.com.ua/tymba-rtv2d2s-4-15-azteca?filter_name=azteca","3343")</f>
        <v>3343</v>
      </c>
      <c r="D29" s="193" t="str">
        <f aca="false">HYPERLINK("https://mebel-online.com.ua/komod-kom4s-8-11-azteca?filter_name=azteca","3924")</f>
        <v>3924</v>
      </c>
      <c r="E29" s="179" t="str">
        <f aca="false">HYPERLINK("https://mebel-online.com.ua/p5228-komod_jkom_4s_80_indiana_brw?filter_name=%D0%B8%D0%BD%D0%B4%D0%B8%D0%B0%D0%BD%D0%B0","3562")</f>
        <v>3562</v>
      </c>
      <c r="F29" s="193" t="str">
        <f aca="false">HYPERLINK("https://mebel-online.com.ua/p5223-stol_pismenniy_jbiu_2d2s_140_indiana_brw?filter_name=%D0%B8%D0%BD%D0%B4%D0%B8%D0%B0%D0%BD%D0%B0","5158")</f>
        <v>5158</v>
      </c>
      <c r="G29" s="193" t="str">
        <f aca="false">HYPERLINK("https://mebel-online.com.ua/komod-kom4s-90-july?filter_name=july","2098")</f>
        <v>2098</v>
      </c>
      <c r="H29" s="193" t="str">
        <f aca="false">HYPERLINK("https://mebel-online.com.ua/shkaf-szf3d2s-porto?filter_name=SZF3D2S","5377")</f>
        <v>5377</v>
      </c>
      <c r="I29" s="194"/>
      <c r="J29" s="194"/>
      <c r="K29" s="179" t="str">
        <f aca="false">HYPERLINK("https://mebel-online.com.ua/prihozhaya-gerbor-ppk-nepo?filter_name=%D0%BD%D0%B5%D0%BF%D0%BE","1963")</f>
        <v>1963</v>
      </c>
      <c r="L29" s="193" t="str">
        <f aca="false">HYPERLINK("https://mebel-online.com.ua/stenka-aliaska-brw%20?filter_name=%D0%B0%D0%BB%D1%8F%D1%81%D0%BA%D0%B0","7644")</f>
        <v>7644</v>
      </c>
      <c r="M29" s="179" t="str">
        <f aca="false">HYPERLINK("https://mebel-online.com.ua/stenka-kvatro-gerbor?filter_name=%D0%BA%D0%B2%D0%B0%D1%82%D1%80%D0%BE","3007")</f>
        <v>3007</v>
      </c>
      <c r="N29" s="179" t="str">
        <f aca="false">HYPERLINK("https://mebel-online.com.ua/komod-kom-1w2d2s-vusher-gerbor?filter_name=%D0%B2%D1%83%D1%88%D0%B5%D1%80","4195")</f>
        <v>4195</v>
      </c>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gerbor.mebli-smerichka.com.ua/"/>
    <hyperlink ref="A19" r:id="rId22" display="https://www.brw-kiev.com.ua/"/>
    <hyperlink ref="A20" r:id="rId23" display="https://brw.kiev.ua/"/>
    <hyperlink ref="A21" r:id="rId24" display="http://brw.com.ua/"/>
    <hyperlink ref="A22" r:id="rId25" display="https://mebelstyle.net/"/>
    <hyperlink ref="A23" r:id="rId26" display="https://lvivmebli.com/"/>
    <hyperlink ref="A24" r:id="rId27" display="http://centrmebliv.com.ua/"/>
    <hyperlink ref="A25" r:id="rId28" display="https://letromebel.com.ua/"/>
    <hyperlink ref="A26" r:id="rId29" display="https://shurup.net.ua/"/>
    <hyperlink ref="A27" r:id="rId30" display="https://www.taburetka.ua"/>
    <hyperlink ref="A28" r:id="rId31" display="http://www.maxidom.com.ua/"/>
    <hyperlink ref="A29" r:id="rId32" display="https://mebel-online.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70.71"/>
    <col collapsed="false" customWidth="true" hidden="false" outlineLevel="0" max="3" min="3" style="0" width="19.57"/>
    <col collapsed="false" customWidth="true" hidden="false" outlineLevel="0" max="4" min="4" style="0" width="18.58"/>
    <col collapsed="false" customWidth="true" hidden="false" outlineLevel="0" max="5" min="5" style="0" width="17.58"/>
    <col collapsed="false" customWidth="true" hidden="false" outlineLevel="0" max="6" min="6" style="0" width="17.86"/>
    <col collapsed="false" customWidth="true" hidden="false" outlineLevel="0" max="7" min="7" style="0" width="17.29"/>
    <col collapsed="false" customWidth="true" hidden="false" outlineLevel="0" max="8" min="8" style="0" width="16.29"/>
    <col collapsed="false" customWidth="true" hidden="false" outlineLevel="0" max="9" min="9" style="0" width="16"/>
    <col collapsed="false" customWidth="true" hidden="false" outlineLevel="0" max="10" min="10" style="0" width="16.29"/>
    <col collapsed="false" customWidth="true" hidden="false" outlineLevel="0" max="11" min="11" style="0" width="15.71"/>
    <col collapsed="false" customWidth="true" hidden="false" outlineLevel="0" max="12" min="12" style="0" width="17"/>
    <col collapsed="false" customWidth="true" hidden="false" outlineLevel="0" max="13" min="13" style="0" width="17.71"/>
    <col collapsed="false" customWidth="true" hidden="false" outlineLevel="0" max="14" min="14" style="0" width="18"/>
  </cols>
  <sheetData>
    <row r="1" customFormat="false" ht="15.75" hidden="false" customHeight="true" outlineLevel="0" collapsed="false">
      <c r="A1" s="1" t="s">
        <v>0</v>
      </c>
      <c r="B1" s="1" t="s">
        <v>126</v>
      </c>
      <c r="C1" s="131" t="s">
        <v>1</v>
      </c>
      <c r="D1" s="131" t="s">
        <v>2</v>
      </c>
      <c r="E1" s="131" t="s">
        <v>3</v>
      </c>
      <c r="F1" s="131" t="s">
        <v>4</v>
      </c>
      <c r="G1" s="131" t="s">
        <v>5</v>
      </c>
      <c r="H1" s="131" t="s">
        <v>6</v>
      </c>
      <c r="I1" s="131" t="s">
        <v>7</v>
      </c>
      <c r="J1" s="131" t="s">
        <v>8</v>
      </c>
      <c r="K1" s="124" t="s">
        <v>9</v>
      </c>
      <c r="L1" s="124" t="s">
        <v>15</v>
      </c>
      <c r="M1" s="123" t="s">
        <v>10</v>
      </c>
      <c r="N1" s="124" t="s">
        <v>11</v>
      </c>
    </row>
    <row r="2" customFormat="false" ht="40.5" hidden="false" customHeight="true" outlineLevel="0" collapsed="false">
      <c r="A2" s="196" t="s">
        <v>150</v>
      </c>
      <c r="B2" s="146"/>
      <c r="C2" s="172" t="n">
        <v>3343</v>
      </c>
      <c r="D2" s="172" t="n">
        <v>3924</v>
      </c>
      <c r="E2" s="172" t="n">
        <v>3562</v>
      </c>
      <c r="F2" s="172" t="n">
        <v>5158</v>
      </c>
      <c r="G2" s="172" t="n">
        <v>2098</v>
      </c>
      <c r="H2" s="172" t="n">
        <v>5377</v>
      </c>
      <c r="I2" s="172" t="n">
        <v>5683</v>
      </c>
      <c r="J2" s="172" t="n">
        <v>3002</v>
      </c>
      <c r="K2" s="173" t="n">
        <v>1963</v>
      </c>
      <c r="L2" s="173" t="n">
        <v>7644</v>
      </c>
      <c r="M2" s="173" t="n">
        <v>3007</v>
      </c>
      <c r="N2" s="173" t="n">
        <v>4195</v>
      </c>
    </row>
    <row r="3" customFormat="false" ht="48" hidden="false" customHeight="true" outlineLevel="0" collapsed="false">
      <c r="A3" s="78" t="s">
        <v>28</v>
      </c>
      <c r="B3" s="147" t="s">
        <v>128</v>
      </c>
      <c r="C3" s="174" t="str">
        <f aca="false">HYPERLINK("https://brwmania.com.ua/gostinaja/modulnye-gostinye/sistema-azteka/tumba-pod-tv-acteka-rtv2d2s415/","3343")</f>
        <v>3343</v>
      </c>
      <c r="D3" s="174" t="str">
        <f aca="false">HYPERLINK("https://brwmania.com.ua/gostinaja/modulnye-gostinye/sistema-azteka/komod-acteka-kom4s811/","3924")</f>
        <v>3924</v>
      </c>
      <c r="E3" s="174" t="str">
        <f aca="false">HYPERLINK("https://brwmania.com.ua/gostinaja/modulnye-gostinye/sistema-indiana-indiana---dub-shuter/indiana-dub-shuter-laminat-j-011-komod-jkom-4s-80/","3562")</f>
        <v>3562</v>
      </c>
      <c r="F3" s="174" t="str">
        <f aca="false">HYPERLINK("https://brwmania.com.ua/gostinaja/modulnye-gostinye/sistema-indiana-indiana---dub-shuter/indiana-dub-shuter-laminat-j-007-stol-pismennyy-jbiu-2d2s-140/","5158")</f>
        <v>5158</v>
      </c>
      <c r="G3" s="174" t="str">
        <f aca="false">HYPERLINK("https://brwmania.com.ua/gostinaja/modulnye-gostinye/sistema_dzhuli/komod-dzhuli-july-kom4s-90/","2098")</f>
        <v>2098</v>
      </c>
      <c r="H3" s="174" t="str">
        <f aca="false">HYPERLINK("https://brwmania.com.ua/gostinaja/modulnye-gostinye/tovar-novij/shkaf-platjanoj-porto-szf3d2s/","5377")</f>
        <v>5377</v>
      </c>
      <c r="I3" s="174" t="str">
        <f aca="false">HYPERLINK("https://brwmania.com.ua/gostinaja/modulnye-gostinye/sistema-sonata-sonata/s-015-sonata-komod-8-s/","5683")</f>
        <v>5683</v>
      </c>
      <c r="J3" s="174" t="str">
        <f aca="false">HYPERLINK("https://brwmania.com.ua/gostinaja/modulnye-gostinye/sistema_kaspian_dub_sonoma/kaspian-dub-sonoma-jm-007-stol-pismennyy-biu-1d1s/","3002")</f>
        <v>3002</v>
      </c>
      <c r="K3" s="174" t="str">
        <f aca="false">HYPERLINK("https://brwmania.com.ua/gostinaja/modulnye-gostinye/sistema_nepo/gerbor-gerbor-prihozhaya-nepo-nepo-ppk-dub-sonoma/","1963")</f>
        <v>1963</v>
      </c>
      <c r="L3" s="174" t="str">
        <f aca="false">HYPERLINK("https://brwmania.com.ua/gostinaja/komplekty-gostinyh/aljaska-alaska-gostinaja/","7644")</f>
        <v>7644</v>
      </c>
      <c r="M3" s="174" t="str">
        <f aca="false">HYPERLINK("https://brwmania.com.ua/gostinaja/komplekty-gostinyh/stinka-kvatro-venge-magia/","3007")</f>
        <v>3007</v>
      </c>
      <c r="N3" s="174" t="str">
        <f aca="false">HYPERLINK("https://brwmania.com.ua/gostinaja/modulnye-gostinye/sistema-vusher-vusher/010-vusher-komod-kom-1w2d2s/","4195")</f>
        <v>4195</v>
      </c>
    </row>
    <row r="4" customFormat="false" ht="60.75" hidden="false" customHeight="true" outlineLevel="0" collapsed="false">
      <c r="A4" s="78" t="s">
        <v>29</v>
      </c>
      <c r="B4" s="160" t="s">
        <v>162</v>
      </c>
      <c r="C4" s="120" t="str">
        <f aca="false">HYPERLINK("http://redlight.com.ua/tv-stands/item-tumba-tv-rtv2d2s-4-15-atsteka","3343")</f>
        <v>3343</v>
      </c>
      <c r="D4" s="175" t="str">
        <f aca="false">HYPERLINK("http://redlight.com.ua/komod/item-komod-kom4s-8-11-atsteka","3924")</f>
        <v>3924</v>
      </c>
      <c r="E4" s="175" t="str">
        <f aca="false">HYPERLINK("http://redlight.com.ua/komod/item-komod-jkom-4s-80-indiana","3562")</f>
        <v>3562</v>
      </c>
      <c r="F4" s="175" t="str">
        <f aca="false">HYPERLINK("http://redlight.com.ua/stoly/item-stol-pismenniy-jbiu-2d2s-indiana","5158")</f>
        <v>5158</v>
      </c>
      <c r="G4" s="175" t="str">
        <f aca="false">HYPERLINK("http://redlight.com.ua/komod/item-komod-kom4s-90-dzhuli","2098")</f>
        <v>2098</v>
      </c>
      <c r="H4" s="175" t="str">
        <f aca="false">HYPERLINK("http://redlight.com.ua/raspashnyye-shkafy/item-porto-shkaf-szf3d2s","5377")</f>
        <v>5377</v>
      </c>
      <c r="I4" s="175" t="str">
        <f aca="false">HYPERLINK("http://redlight.com.ua/komod/item-komod-8s-sonata-","5683")</f>
        <v>5683</v>
      </c>
      <c r="J4" s="202" t="str">
        <f aca="false">HYPERLINK("http://redlight.com.ua/stoly/item-kaspian-pismenniy-stol-biu-1d1s-120-kaspian","2979")</f>
        <v>2979</v>
      </c>
      <c r="K4" s="175" t="str">
        <f aca="false">HYPERLINK("http://redlight.com.ua/prihozhie/item-nepo-prihozhaya-rrk-","1963")</f>
        <v>1963</v>
      </c>
      <c r="L4" s="175" t="str">
        <f aca="false">HYPERLINK("http://redlight.com.ua/stenki/item-stenka-alyaska","7644")</f>
        <v>7644</v>
      </c>
      <c r="M4" s="175" t="str">
        <f aca="false">HYPERLINK("http://redlight.com.ua/stenki/item-stenka-kvatro","3007")</f>
        <v>3007</v>
      </c>
      <c r="N4" s="175" t="str">
        <f aca="false">HYPERLINK("http://redlight.com.ua/nightstand/item-tumba-kom-1w2d2s-9-15-vusher","4195")</f>
        <v>4195</v>
      </c>
    </row>
    <row r="5" customFormat="false" ht="63" hidden="false" customHeight="true" outlineLevel="0" collapsed="false">
      <c r="A5" s="78" t="s">
        <v>30</v>
      </c>
      <c r="B5" s="204" t="s">
        <v>163</v>
      </c>
      <c r="C5" s="175" t="str">
        <f aca="false">HYPERLINK("https://mebli-bristol.com.ua/acteka-tumba-rtv-2d2s-4-15-brv-ukraina.html","3343")</f>
        <v>3343</v>
      </c>
      <c r="D5" s="175" t="str">
        <f aca="false">HYPERLINK("https://mebli-bristol.com.ua/acteka-komod-kom-4s-8-11-brv-ukraina.html","3924")</f>
        <v>3924</v>
      </c>
      <c r="E5" s="175" t="str">
        <f aca="false">HYPERLINK("https://mebli-bristol.com.ua/indiana-komod-jkom-4s-80-sosna-kan-jon-brv-ukraina.html","3562")</f>
        <v>3562</v>
      </c>
      <c r="F5" s="175" t="str">
        <f aca="false">HYPERLINK("https://mebli-bristol.com.ua/indiana-stil-pis-movij-jbiu-2d2s-140-sosna-kan-jon-brv-ukraina.html","5158")</f>
        <v>5158</v>
      </c>
      <c r="G5" s="175" t="str">
        <f aca="false">HYPERLINK("https://mebli-bristol.com.ua/dzhuli-komod-kom-4s-90-brv-ukraina.html","2098")</f>
        <v>2098</v>
      </c>
      <c r="H5" s="175" t="str">
        <f aca="false">HYPERLINK("https://mebli-bristol.com.ua/porto-shafa-szf-3d2s-brv-ukraina.html","5377")</f>
        <v>5377</v>
      </c>
      <c r="I5" s="175" t="str">
        <f aca="false">HYPERLINK("https://mebli-bristol.com.ua/sonata-komod-8s-gerbor.html","5683")</f>
        <v>5683</v>
      </c>
      <c r="J5" s="175" t="str">
        <f aca="false">HYPERLINK("https://mebli-bristol.com.ua/kaspian-stil-pis-movij-biu-1d1s-120-dub-sonoma-brv-ukraina.html","3002")</f>
        <v>3002</v>
      </c>
      <c r="K5" s="175" t="str">
        <f aca="false">HYPERLINK("https://mebli-bristol.com.ua/nepo-peredpokij-ppk-gerbor-9728.html","1963")</f>
        <v>1963</v>
      </c>
      <c r="L5" s="175" t="str">
        <f aca="false">HYPERLINK("https://mebli-bristol.com.ua/aljaska-brv-ukraina.html","7644")</f>
        <v>7644</v>
      </c>
      <c r="M5" s="175" t="str">
        <f aca="false">HYPERLINK("https://mebli-bristol.com.ua/kvatro-gerbor.html","3007")</f>
        <v>3007</v>
      </c>
      <c r="N5" s="175" t="str">
        <f aca="false">HYPERLINK("https://mebli-bristol.com.ua/vusher-komod-kom-1w-2d2s-gerbor.html","4195")</f>
        <v>4195</v>
      </c>
    </row>
    <row r="6" customFormat="false" ht="60" hidden="false" customHeight="true" outlineLevel="0" collapsed="false">
      <c r="A6" s="78" t="s">
        <v>17</v>
      </c>
      <c r="B6" s="205" t="s">
        <v>164</v>
      </c>
      <c r="C6" s="179" t="str">
        <f aca="false">HYPERLINK("https://gerbor.kiev.ua/mebelnye-sistemy/mebel-brw-azteca/azteca-tumba-tv-rtv2d2s-brv/","3343")</f>
        <v>3343</v>
      </c>
      <c r="D6" s="175" t="str">
        <f aca="false">HYPERLINK("https://gerbor.kiev.ua/mebelnye-sistemy/mebel-brw-azteca/azteca-komod-kom4s-brv/","3924")</f>
        <v>3924</v>
      </c>
      <c r="E6" s="175" t="str">
        <f aca="false">HYPERLINK("https://gerbor.kiev.ua/mebelnye-sistemy/mebel-indiana-brw/indiana-komod-jkom4s80-brv/","3562")</f>
        <v>3562</v>
      </c>
      <c r="F6" s="175" t="str">
        <f aca="false">HYPERLINK("https://gerbor.kiev.ua/mebelnye-sistemy/mebel-indiana-brw/indiana-stol-pismennyy-jbiu2d2s140-brv/","5158")</f>
        <v>5158</v>
      </c>
      <c r="G6" s="175" t="str">
        <f aca="false">HYPERLINK("https://gerbor.kiev.ua/mebelnye-sistemy/mebel-july-brw/july-komod-kom4s90-brv/","2098")</f>
        <v>2098</v>
      </c>
      <c r="H6" s="175" t="str">
        <f aca="false">HYPERLINK("https://gerbor.kiev.ua/mebelnye-sistemy/mebel-porto-brv/porto-shkaf-szf3d2s-brv/","5377")</f>
        <v>5377</v>
      </c>
      <c r="I6" s="175" t="str">
        <f aca="false">HYPERLINK("https://gerbor.kiev.ua/mebelnye-sistemy/mebel-sonata-gerbor/sonata-komod-8s-gerbor/","5683")</f>
        <v>5683</v>
      </c>
      <c r="J6" s="175" t="str">
        <f aca="false">HYPERLINK("https://gerbor.kiev.ua/mebelnye-sistemy/mebel-kaspian-sonoma-brw/kaspian-sonoma-stol-pismennyy-biu1d1s-brv/","3002")</f>
        <v>3002</v>
      </c>
      <c r="K6" s="175" t="str">
        <f aca="false">HYPERLINK("https://gerbor.kiev.ua/mebelnye-sistemy/mebel-nepo-gerbor/nepo-prikhozhaya-ppk-gerbor/","1963")</f>
        <v>1963</v>
      </c>
      <c r="L6" s="175" t="str">
        <f aca="false">HYPERLINK("https://gerbor.kiev.ua/mebelnye-sistemy/mebel-alaska-brw/alaska-gostinaya-brw/","7644")</f>
        <v>7644</v>
      </c>
      <c r="M6" s="84"/>
      <c r="N6" s="175" t="str">
        <f aca="false">HYPERLINK("https://gerbor.kiev.ua/mebelnye-sistemy/mebel-vusher-gerbor/vusher-komod-kom1w2d2s-gerbor/","4195")</f>
        <v>4195</v>
      </c>
    </row>
    <row r="7" customFormat="false" ht="63" hidden="false" customHeight="true" outlineLevel="0" collapsed="false">
      <c r="A7" s="78" t="s">
        <v>18</v>
      </c>
      <c r="B7" s="207" t="s">
        <v>175</v>
      </c>
      <c r="C7" s="175" t="str">
        <f aca="false">HYPERLINK("http://www.brwland.com.ua/product/azteca-tumba-tv-rtv2d2s415-brv-ukraina/","3343")</f>
        <v>3343</v>
      </c>
      <c r="D7" s="175" t="str">
        <f aca="false">HYPERLINK("http://www.brwland.com.ua/product/azteca-komod-kom4s811-brv-ukraina/","3924")</f>
        <v>3924</v>
      </c>
      <c r="E7" s="175" t="str">
        <f aca="false">HYPERLINK("http://www.brwland.com.ua/product/mebel-indiana-komod-jkom-4s-80-gerbor/","3562")</f>
        <v>3562</v>
      </c>
      <c r="F7" s="175" t="str">
        <f aca="false">HYPERLINK("http://www.brwland.com.ua/product/mebel-indiana-stol-pismennyj-jbiu-2d2s-140-gerbor/","5158")</f>
        <v>5158</v>
      </c>
      <c r="G7" s="175" t="str">
        <f aca="false">HYPERLINK("http://www.brwland.com.ua/product/dzhuli-komod-kom4s90-brv-ukraina/","2098")</f>
        <v>2098</v>
      </c>
      <c r="H7" s="175" t="str">
        <f aca="false">HYPERLINK("http://www.brwland.com.ua/product/porto-shkaf-szf3d2s-brv-ukraina/","5377")</f>
        <v>5377</v>
      </c>
      <c r="I7" s="175" t="str">
        <f aca="false">HYPERLINK("http://www.brwland.com.ua/product/komod-8s-sonata-gerbor/","5683")</f>
        <v>5683</v>
      </c>
      <c r="J7" s="175" t="str">
        <f aca="false">HYPERLINK("http://www.brwland.com.ua/product/kaspian-sonoma-stol-pismennyj-biu1d1s-brv-ukraina/","3002")</f>
        <v>3002</v>
      </c>
      <c r="K7" s="175" t="str">
        <f aca="false">HYPERLINK("http://www.brwland.com.ua/product/nepo-prihozhaja-ppk-gerbor/","1963")</f>
        <v>1963</v>
      </c>
      <c r="L7" s="175" t="str">
        <f aca="false">HYPERLINK("http://www.brwland.com.ua/product/gostinaja-aljaska-brv-ukraina/","7644")</f>
        <v>7644</v>
      </c>
      <c r="M7" s="175" t="str">
        <f aca="false">HYPERLINK("http://www.brwland.com.ua/product/komplekt-quatro/","3151")</f>
        <v>3151</v>
      </c>
      <c r="N7" s="175" t="str">
        <f aca="false">HYPERLINK("http://www.brwland.com.ua/product/vusher-bufet-kom1w2d2s915-gerbor/","4195")</f>
        <v>4195</v>
      </c>
    </row>
    <row r="8" customFormat="false" ht="60" hidden="false" customHeight="true" outlineLevel="0" collapsed="false">
      <c r="A8" s="78" t="s">
        <v>31</v>
      </c>
      <c r="B8" s="147" t="s">
        <v>128</v>
      </c>
      <c r="C8" s="175" t="str">
        <f aca="false">HYPERLINK("http://gerbor.dp.ua/index.php?route=product/product&amp;product_id=3138","3343")</f>
        <v>3343</v>
      </c>
      <c r="D8" s="175" t="str">
        <f aca="false">HYPERLINK("http://gerbor.dp.ua/index.php?route=product/product&amp;product_id=3131","3924")</f>
        <v>3924</v>
      </c>
      <c r="E8" s="175" t="str">
        <f aca="false">HYPERLINK("http://gerbor.dp.ua/index.php?route=product/product&amp;product_id=1730","3562")</f>
        <v>3562</v>
      </c>
      <c r="F8" s="175" t="str">
        <f aca="false">HYPERLINK("http://gerbor.dp.ua/index.php?route=product/product&amp;product_id=1725","5158")</f>
        <v>5158</v>
      </c>
      <c r="G8" s="175" t="str">
        <f aca="false">HYPERLINK("http://gerbor.dp.ua/index.php?route=product/product&amp;product_id=1755","2098")</f>
        <v>2098</v>
      </c>
      <c r="H8" s="175" t="str">
        <f aca="false">HYPERLINK("http://gerbor.dp.ua/index.php?route=product/product&amp;product_id=3905","5377")</f>
        <v>5377</v>
      </c>
      <c r="I8" s="175" t="str">
        <f aca="false">HYPERLINK("http://gerbor.dp.ua/index.php?route=product/product&amp;product_id=2156","5683")</f>
        <v>5683</v>
      </c>
      <c r="J8" s="175" t="str">
        <f aca="false">HYPERLINK("http://gerbor.dp.ua/index.php?route=product/product&amp;product_id=2819","3002")</f>
        <v>3002</v>
      </c>
      <c r="K8" s="175" t="str">
        <f aca="false">HYPERLINK("http://gerbor.dp.ua/index.php?route=product/product&amp;product_id=3473&amp;search=%D0%BD%D0%B5%D0%BF%D0%BE","1963")</f>
        <v>1963</v>
      </c>
      <c r="L8" s="175" t="str">
        <f aca="false">HYPERLINK("http://gerbor.dp.ua/index.php?route=product/product&amp;product_id=3031","7644")</f>
        <v>7644</v>
      </c>
      <c r="M8" s="175" t="str">
        <f aca="false">HYPERLINK("http://gerbor.dp.ua/index.php?route=product/product&amp;product_id=2040","3007")</f>
        <v>3007</v>
      </c>
      <c r="N8" s="175" t="str">
        <f aca="false">HYPERLINK("http://gerbor.dp.ua/index.php?route=product/product&amp;product_id=2775","4195")</f>
        <v>4195</v>
      </c>
    </row>
    <row r="9" customFormat="false" ht="56.25" hidden="false" customHeight="true" outlineLevel="0" collapsed="false">
      <c r="A9" s="105" t="s">
        <v>32</v>
      </c>
      <c r="B9" s="146" t="s">
        <v>166</v>
      </c>
      <c r="C9" s="179" t="str">
        <f aca="false">HYPERLINK("https://www.dybok.com.ua/ru/product/detail/35870","3347")</f>
        <v>3347</v>
      </c>
      <c r="D9" s="179" t="str">
        <f aca="false">HYPERLINK("https://www.dybok.com.ua/ru/product/detail/35870","3929")</f>
        <v>3929</v>
      </c>
      <c r="E9" s="179" t="str">
        <f aca="false">HYPERLINK("https://www.dybok.com.ua/ru/product/detail/55516","3565")</f>
        <v>3565</v>
      </c>
      <c r="F9" s="179" t="str">
        <f aca="false">HYPERLINK("https://www.dybok.com.ua/ru/product/detail/35870","5165")</f>
        <v>5165</v>
      </c>
      <c r="G9" s="179" t="str">
        <f aca="false">HYPERLINK("https://www.dybok.com.ua/ru/product/detail/9798","2101")</f>
        <v>2101</v>
      </c>
      <c r="H9" s="179" t="str">
        <f aca="false">HYPERLINK("https://www.dybok.com.ua/ru/product/detail/35840https://www.dybok.com.ua/ru/product/detail/35840","5384")</f>
        <v>5384</v>
      </c>
      <c r="I9" s="179" t="str">
        <f aca="false">HYPERLINK("https://www.dybok.com.ua/ru/product/detail/261","5690")</f>
        <v>5690</v>
      </c>
      <c r="J9" s="179" t="str">
        <f aca="false">HYPERLINK("https://www.dybok.com.ua/ru/product/detail/261","3006")</f>
        <v>3006</v>
      </c>
      <c r="K9" s="179" t="str">
        <f aca="false">HYPERLINK("https://www.dybok.com.ua/ru/product/detail/18085","1966")</f>
        <v>1966</v>
      </c>
      <c r="L9" s="179" t="str">
        <f aca="false">HYPERLINK("https://www.dybok.com.ua/ru/product/detail/50410","7652")</f>
        <v>7652</v>
      </c>
      <c r="M9" s="179" t="str">
        <f aca="false">HYPERLINK("https://www.dybok.com.ua/ru/product/detail/6077","3009")</f>
        <v>3009</v>
      </c>
      <c r="N9" s="179" t="str">
        <f aca="false">HYPERLINK("https://www.dybok.com.ua/ru/product/detail/7086","4199")</f>
        <v>4199</v>
      </c>
    </row>
    <row r="10" customFormat="false" ht="61.5" hidden="false" customHeight="true" outlineLevel="0" collapsed="false">
      <c r="A10" s="78" t="s">
        <v>19</v>
      </c>
      <c r="B10" s="157" t="s">
        <v>167</v>
      </c>
      <c r="C10" s="186" t="str">
        <f aca="false">HYPERLINK("https://vashamebel.in.ua/tumba-tv-brv-atsteka-rtv2d2s415/p12722","3343")</f>
        <v>3343</v>
      </c>
      <c r="D10" s="176" t="str">
        <f aca="false">HYPERLINK("https://vashamebel.in.ua/komod-brv-atsteka-kom4s811/p12731","3924")</f>
        <v>3924</v>
      </c>
      <c r="E10" s="176" t="str">
        <f aca="false">HYPERLINK("https://vashamebel.in.ua/komod-brv-indiana-jkom4s80/p921","3562")</f>
        <v>3562</v>
      </c>
      <c r="F10" s="176" t="str">
        <f aca="false">HYPERLINK("https://vashamebel.in.ua/stol-pismennyij-brv-indiana-jbiu-2d2s/p916","5158")</f>
        <v>5158</v>
      </c>
      <c r="G10" s="175" t="str">
        <f aca="false">HYPERLINK("https://vashamebel.in.ua/komod-brv-dzhuli-kom4s90/p7958","2098")</f>
        <v>2098</v>
      </c>
      <c r="H10" s="175" t="str">
        <f aca="false">HYPERLINK("https://vashamebel.in.ua/shkaf-brv-porto-szf3d2s/p12560","5377")</f>
        <v>5377</v>
      </c>
      <c r="I10" s="176" t="str">
        <f aca="false">HYPERLINK("https://vashamebel.in.ua/shkaf-brv-porto-szf3d2s/p12560","5683")</f>
        <v>5683</v>
      </c>
      <c r="J10" s="176" t="str">
        <f aca="false">HYPERLINK("https://vashamebel.in.ua/stol-pismennyij-kaspian-ii-biu1d1s-120/p488","3002")</f>
        <v>3002</v>
      </c>
      <c r="K10" s="176" t="str">
        <f aca="false">HYPERLINK("https://vashamebel.in.ua/prihozhaya-gerbor-nepo-ppk/p12249","1963")</f>
        <v>1963</v>
      </c>
      <c r="L10" s="176" t="str">
        <f aca="false">HYPERLINK("https://vashamebel.in.ua/gostinaya-brv-alyaska/p4420","7644")</f>
        <v>7644</v>
      </c>
      <c r="M10" s="176" t="str">
        <f aca="false">HYPERLINK("https://vashamebel.in.ua/stenka-gerbor-kvatro/p2359","3007")</f>
        <v>3007</v>
      </c>
      <c r="N10" s="175" t="str">
        <f aca="false">HYPERLINK("https://vashamebel.in.ua/komod-gerbor-vusher-kom1w2d2s/p4762","4195")</f>
        <v>4195</v>
      </c>
    </row>
    <row r="11" customFormat="false" ht="70.5" hidden="false" customHeight="true" outlineLevel="0" collapsed="false">
      <c r="A11" s="78" t="s">
        <v>20</v>
      </c>
      <c r="B11" s="157" t="s">
        <v>168</v>
      </c>
      <c r="C11" s="175" t="str">
        <f aca="false">HYPERLINK("https://mebel-mebel.com.ua/eshop/dom-tumby-dlia-tv/tumba_rtv2d2s_4_15_atsteka-id461.html","3343")</f>
        <v>3343</v>
      </c>
      <c r="D11" s="175" t="str">
        <f aca="false">HYPERLINK("https://mebel-mebel.com.ua/eshop/dom-komody/komod_kom4s_8_11_atsteka-id496.html","3924")</f>
        <v>3924</v>
      </c>
      <c r="E11" s="175" t="str">
        <f aca="false">HYPERLINK("https://mebel-mebel.com.ua/eshop/dom-tumby-dlia-tv/tumba_rtv2d2s_4_15_atsteka-id461.html","3562")</f>
        <v>3562</v>
      </c>
      <c r="F11" s="175" t="str">
        <f aca="false">HYPERLINK("https://mebel-mebel.com.ua/eshop/dom-stoly-kompiuternye/stol_pismenniy_jbiu_2d2s_140_indiana-id659.html","5158")</f>
        <v>5158</v>
      </c>
      <c r="G11" s="175" t="str">
        <f aca="false">HYPERLINK("https://mebel-mebel.com.ua/eshop/dom-komody/komod_kom_4s_90_dzhuli-id569.html","2098")</f>
        <v>2098</v>
      </c>
      <c r="H11" s="176" t="str">
        <f aca="false">HYPERLINK("https://mebel-mebel.com.ua/eshop/detskie-shkafy/shkaf_szf3d2s_porto-id35136.html","5377")</f>
        <v>5377</v>
      </c>
      <c r="I11" s="175" t="str">
        <f aca="false">HYPERLINK("https://mebel-mebel.com.ua/eshop/dom-komody/komod_8s_s_015_sonata-id1567.html","5683")</f>
        <v>5683</v>
      </c>
      <c r="J11" s="175" t="str">
        <f aca="false">HYPERLINK("https://mebel-mebel.com.ua/eshop/dom-stoly-kompiuternye/stol_pismenniy_biu_1d1s_120_kaspian-id797.html","3002")</f>
        <v>3002</v>
      </c>
      <c r="K11" s="175" t="str">
        <f aca="false">HYPERLINK("https://mebel-mebel.com.ua/eshop/dom-prihozhie/prihozhaya_ppk_nepo-id28028.html","1963")</f>
        <v>1963</v>
      </c>
      <c r="L11" s="202" t="str">
        <f aca="false">HYPERLINK("https://mebel-mebel.com.ua/eshop/dom-stenki-dlia-gostinoi/gostinaya_alyaska-id50834.html","6980")</f>
        <v>6980</v>
      </c>
      <c r="M11" s="175" t="str">
        <f aca="false">HYPERLINK("https://mebel-mebel.com.ua/eshop/dom-stenki-dlia-gostinoi/gostinaya_kvatro-id152.html","3007")</f>
        <v>3007</v>
      </c>
      <c r="N11" s="175" t="str">
        <f aca="false">HYPERLINK("https://mebel-mebel.com.ua/eshop/dom-komody/komod_kom_1w2d2s_vusher-id560.html","4195")</f>
        <v>4195</v>
      </c>
    </row>
    <row r="12" customFormat="false" ht="75.75" hidden="false" customHeight="true" outlineLevel="0" collapsed="false">
      <c r="A12" s="78" t="s">
        <v>21</v>
      </c>
      <c r="B12" s="150" t="s">
        <v>169</v>
      </c>
      <c r="C12" s="175" t="str">
        <f aca="false">HYPERLINK("https://abcmebli.com.ua/p14992-tumba_tv_rtv2d2s-4-15_atsteka","3343")</f>
        <v>3343</v>
      </c>
      <c r="D12" s="175" t="str">
        <f aca="false">HYPERLINK("https://abcmebli.com.ua/p15683-atsteka_komod_kom4s-8-11_brv","3924")</f>
        <v>3924</v>
      </c>
      <c r="E12" s="175" t="str">
        <f aca="false">HYPERLINK("https://abcmebli.com.ua/p1896-komod_jkom4s_80_indiana","3562")</f>
        <v>3562</v>
      </c>
      <c r="F12" s="175" t="str">
        <f aca="false">HYPERLINK("https://abcmebli.com.ua/p1892-stol_pismenniy_jbiu2d2s_140_indiana","5158")</f>
        <v>5158</v>
      </c>
      <c r="G12" s="175" t="str">
        <f aca="false">HYPERLINK("https://abcmebli.com.ua/p8553-komod_kom4s-90_july","2098")</f>
        <v>2098</v>
      </c>
      <c r="H12" s="175" t="str">
        <f aca="false">HYPERLINK("https://abcmebli.com.ua/p15039-shkaf_platyanoy_szf3d2s_porto","5377")</f>
        <v>5377</v>
      </c>
      <c r="I12" s="175" t="str">
        <f aca="false">HYPERLINK("https://abcmebli.com.ua/p2225-komod_8-s_sonata","5683")</f>
        <v>5683</v>
      </c>
      <c r="J12" s="175" t="str">
        <f aca="false">HYPERLINK("https://abcmebli.com.ua/p14308-stol_pismenniy_biu_1d1s_120_kaspian","3002")</f>
        <v>3002</v>
      </c>
      <c r="K12" s="176" t="str">
        <f aca="false">HYPERLINK("https://abcmebli.com.ua/p15897-nepo_prihozhaya_ppk_gerbor","1963")</f>
        <v>1963</v>
      </c>
      <c r="L12" s="175" t="str">
        <f aca="false">HYPERLINK("https://abcmebli.com.ua/p15950-gostinaya_alyaska_brv-ukraina","7644")</f>
        <v>7644</v>
      </c>
      <c r="M12" s="175" t="str">
        <f aca="false">HYPERLINK("https://abcmebli.com.ua/p2515-stenka_kvatro_gerbor","3007")</f>
        <v>3007</v>
      </c>
      <c r="N12" s="175" t="str">
        <f aca="false">HYPERLINK("https://abcmebli.com.ua/p4993-komod_kom1w2d2s_9_15_vusher","4195")</f>
        <v>4195</v>
      </c>
    </row>
    <row r="13" customFormat="false" ht="56.25" hidden="false" customHeight="true" outlineLevel="0" collapsed="false">
      <c r="A13" s="78" t="s">
        <v>22</v>
      </c>
      <c r="B13" s="157" t="s">
        <v>170</v>
      </c>
      <c r="C13" s="175" t="str">
        <f aca="false">HYPERLINK("https://www.mebelok.com/tymba-tv-rtv2d2s415-acteka/","3355")</f>
        <v>3355</v>
      </c>
      <c r="D13" s="176" t="str">
        <f aca="false">HYPERLINK("https://www.mebelok.com/komod-kom4s811-acteka/","3935")</f>
        <v>3935</v>
      </c>
      <c r="E13" s="186" t="str">
        <f aca="false">HYPERLINK("https://www.mebelok.com/komod-jkom-4s-80/","3575")</f>
        <v>3575</v>
      </c>
      <c r="F13" s="189"/>
      <c r="G13" s="176" t="str">
        <f aca="false">HYPERLINK("https://www.mebelok.com/komod-kom-4s-90-juli/","2105")</f>
        <v>2105</v>
      </c>
      <c r="H13" s="176" t="str">
        <f aca="false">HYPERLINK("https://www.mebelok.com/shkaf-szf3d2s-porto/","5385")</f>
        <v>5385</v>
      </c>
      <c r="I13" s="187"/>
      <c r="J13" s="175" t="str">
        <f aca="false">HYPERLINK("https://www.mebelok.com/stol-pismennyy-biu1d1s-120-kaspian/","3015")</f>
        <v>3015</v>
      </c>
      <c r="K13" s="175" t="str">
        <f aca="false">HYPERLINK("https://www.mebelok.com/prihojaya-ppk-nepo/","1975")</f>
        <v>1975</v>
      </c>
      <c r="L13" s="175" t="str">
        <f aca="false">HYPERLINK("https://www.mebelok.com/gostinaya-alyaska/","7655")</f>
        <v>7655</v>
      </c>
      <c r="M13" s="176" t="str">
        <f aca="false">HYPERLINK("https://www.mebelok.com/gostinaya-kvatro","3015")</f>
        <v>3015</v>
      </c>
      <c r="N13" s="176" t="str">
        <f aca="false">HYPERLINK("https://www.mebelok.com/komod-kom-1w2d2s-vusher/","4205")</f>
        <v>4205</v>
      </c>
    </row>
    <row r="14" customFormat="false" ht="48" hidden="false" customHeight="true" outlineLevel="0" collapsed="false">
      <c r="A14" s="78" t="s">
        <v>23</v>
      </c>
      <c r="B14" s="157" t="s">
        <v>171</v>
      </c>
      <c r="C14" s="175" t="str">
        <f aca="false">HYPERLINK("https://maxmebel.com.ua/atsteka_tumba_rtv2d2s","3343")</f>
        <v>3343</v>
      </c>
      <c r="D14" s="175" t="str">
        <f aca="false">HYPERLINK("https://maxmebel.com.ua/atsteka_komod_kom4s-8-11","3924")</f>
        <v>3924</v>
      </c>
      <c r="E14" s="175" t="str">
        <f aca="false">HYPERLINK("https://maxmebel.com.ua/indiana_komod_jkom_4s_80","3562")</f>
        <v>3562</v>
      </c>
      <c r="F14" s="175" t="str">
        <f aca="false">HYPERLINK("https://maxmebel.com.ua/indiana_pismenniy_stol_jbiu_2d2s","5159")</f>
        <v>5159</v>
      </c>
      <c r="G14" s="175" t="str">
        <f aca="false">HYPERLINK("https://maxmebel.com.ua/dzhuli_komod_kom4s-90","2099")</f>
        <v>2099</v>
      </c>
      <c r="H14" s="175" t="str">
        <f aca="false">HYPERLINK("https://maxmebel.com.ua/porto_shkaf_platyanoy_szf3d2s","5378")</f>
        <v>5378</v>
      </c>
      <c r="I14" s="175" t="str">
        <f aca="false">HYPERLINK("https://maxmebel.com.ua/sonata_komod_8-s","5683")</f>
        <v>5683</v>
      </c>
      <c r="J14" s="175" t="str">
        <f aca="false">HYPERLINK("https://maxmebel.com.ua/kaspian_stol_pismenniy_biu_1d1s","3002")</f>
        <v>3002</v>
      </c>
      <c r="K14" s="175" t="str">
        <f aca="false">HYPERLINK("https://maxmebel.com.ua/nepo_prihozhaya_rrk","1963")</f>
        <v>1963</v>
      </c>
      <c r="L14" s="175" t="str">
        <f aca="false">HYPERLINK("https://maxmebel.com.ua/stenka_alyaska","7645")</f>
        <v>7645</v>
      </c>
      <c r="M14" s="176" t="str">
        <f aca="false">HYPERLINK("https://maxmebel.com.ua/stenka_kvatro","3008")</f>
        <v>3008</v>
      </c>
      <c r="N14" s="175" t="str">
        <f aca="false">HYPERLINK("https://maxmebel.com.ua/vusher_komod_kom_1w2d2s","4196")</f>
        <v>4196</v>
      </c>
    </row>
    <row r="15" customFormat="false" ht="39" hidden="false" customHeight="true" outlineLevel="0" collapsed="false">
      <c r="A15" s="78" t="s">
        <v>24</v>
      </c>
      <c r="B15" s="147" t="s">
        <v>128</v>
      </c>
      <c r="C15" s="187"/>
      <c r="D15" s="175" t="str">
        <f aca="false">HYPERLINK("https://moyamebel.com.ua/ua/products/komod-atsteka","3924")</f>
        <v>3924</v>
      </c>
      <c r="E15" s="175" t="str">
        <f aca="false">HYPERLINK("https://moyamebel.com.ua/ua/products/komod-4s-80-indiana","3562")</f>
        <v>3562</v>
      </c>
      <c r="F15" s="175" t="str">
        <f aca="false">HYPERLINK("https://moyamebel.com.ua/ua/products/stol-pismennyj-2d2s-indiana","5158")</f>
        <v>5158</v>
      </c>
      <c r="G15" s="175" t="str">
        <f aca="false">HYPERLINK("https://moyamebel.com.ua/ua/products/komod-dzhuli-90","2098")</f>
        <v>2098</v>
      </c>
      <c r="H15" s="175" t="str">
        <f aca="false">HYPERLINK("https://moyamebel.com.ua/ua/products/shkaf-3d2sporto","5377")</f>
        <v>5377</v>
      </c>
      <c r="I15" s="187"/>
      <c r="J15" s="175" t="str">
        <f aca="false">HYPERLINK("https://moyamebel.com.ua/ua/products/stol-pismennyj-120-kaspian","3002")</f>
        <v>3002</v>
      </c>
      <c r="K15" s="176" t="str">
        <f aca="false">HYPERLINK("https://moyamebel.com.ua/ua/products/prihozhaya-nepo","1963")</f>
        <v>1963</v>
      </c>
      <c r="L15" s="175" t="str">
        <f aca="false">HYPERLINK("https://moyamebel.com.ua/ua/products/gostinaya-alyaska","7644")</f>
        <v>7644</v>
      </c>
      <c r="M15" s="176" t="str">
        <f aca="false">HYPERLINK("https://moyamebel.com.ua/ua/products/gostinaya-kvatro","3007")</f>
        <v>3007</v>
      </c>
      <c r="N15" s="187"/>
    </row>
    <row r="16" customFormat="false" ht="31.5" hidden="false" customHeight="true" outlineLevel="0" collapsed="false">
      <c r="A16" s="78" t="s">
        <v>35</v>
      </c>
      <c r="B16" s="157" t="s">
        <v>158</v>
      </c>
      <c r="C16" s="175" t="str">
        <f aca="false">HYPERLINK("https://mebel-soyuz.com.ua/12896.html","3343")</f>
        <v>3343</v>
      </c>
      <c r="D16" s="175" t="str">
        <f aca="false">HYPERLINK("https://mebel-soyuz.com.ua/12903.html","3924")</f>
        <v>3924</v>
      </c>
      <c r="E16" s="175" t="str">
        <f aca="false">HYPERLINK("https://mebel-soyuz.com.ua/2266.html","3562")</f>
        <v>3562</v>
      </c>
      <c r="F16" s="175" t="str">
        <f aca="false">HYPERLINK("https://mebel-soyuz.com.ua/stol-pismennyj-jbiu-2d2s-140-indiana.html","5158")</f>
        <v>5158</v>
      </c>
      <c r="G16" s="175" t="str">
        <f aca="false">HYPERLINK("https://mebel-soyuz.com.ua/komod-kom-4s-90-dzhuli.html","2098")</f>
        <v>2098</v>
      </c>
      <c r="H16" s="175" t="str">
        <f aca="false">HYPERLINK("https://mebel-soyuz.com.ua/shkaf-szf3d2s-porto.html","5377")</f>
        <v>5377</v>
      </c>
      <c r="I16" s="175" t="str">
        <f aca="false">HYPERLINK("https://mebel-soyuz.com.ua/473.html","5683")</f>
        <v>5683</v>
      </c>
      <c r="J16" s="176" t="str">
        <f aca="false">HYPERLINK("https://mebel-soyuz.com.ua/8687.html","3002")</f>
        <v>3002</v>
      </c>
      <c r="K16" s="175" t="str">
        <f aca="false">HYPERLINK("https://mebel-soyuz.com.ua/8926.html","1963")</f>
        <v>1963</v>
      </c>
      <c r="L16" s="175" t="str">
        <f aca="false">HYPERLINK("https://mebel-soyuz.com.ua/10995.html","7644")</f>
        <v>7644</v>
      </c>
      <c r="M16" s="175" t="str">
        <f aca="false">HYPERLINK("https://mebel-soyuz.com.ua/gostinaya-kvatro.html","3007")</f>
        <v>3007</v>
      </c>
      <c r="N16" s="175" t="str">
        <f aca="false">HYPERLINK("https://mebel-soyuz.com.ua/3933.html","4195")</f>
        <v>4195</v>
      </c>
    </row>
    <row r="17" customFormat="false" ht="33.75" hidden="false" customHeight="true" outlineLevel="0" collapsed="false">
      <c r="A17" s="78" t="s">
        <v>36</v>
      </c>
      <c r="B17" s="147" t="s">
        <v>128</v>
      </c>
      <c r="C17" s="202" t="str">
        <f aca="false">HYPERLINK("https://sofino.ua/brw-ukraina-tumba-rtv2d2s415-acteka-belyjj-dub-sanremo/g-594126","3176")</f>
        <v>3176</v>
      </c>
      <c r="D17" s="176" t="str">
        <f aca="false">HYPERLINK("https://sofino.ua/brw-ukraina-komod-kom4s811-acteka/g-95386","3924")</f>
        <v>3924</v>
      </c>
      <c r="E17" s="176" t="str">
        <f aca="false">HYPERLINK("https://sofino.ua/brw-ukraina-komod-jkom4s80-indiana/g-40903","3562")</f>
        <v>3562</v>
      </c>
      <c r="F17" s="176" t="str">
        <f aca="false">HYPERLINK("https://sofino.ua/brw-ukraina-stol-pismennyjj-jbiu2d2s140-indiana/g-40899","5158")</f>
        <v>5158</v>
      </c>
      <c r="G17" s="176" t="str">
        <f aca="false">HYPERLINK("https://sofino.ua/brw-ukraina-komod-kom4s90-dzhuli-akacija-mali-bronz/g-40377","2098")</f>
        <v>2098</v>
      </c>
      <c r="H17" s="176" t="str">
        <f aca="false">HYPERLINK("https://sofino.ua/brw-ukraina-shkaf-platjanojj-szf3d2s-porto-dzhanni-sosna-lariko/g-264368","5377")</f>
        <v>5377</v>
      </c>
      <c r="I17" s="176" t="str">
        <f aca="false">HYPERLINK("https://sofino.ua/gerbor-komod-8s-sonata/g-19192","5683")</f>
        <v>5683</v>
      </c>
      <c r="J17" s="208" t="str">
        <f aca="false">HYPERLINK("https://sofino.ua/brw-ukraina-stol-pismennyjj-biu-1d1s-kaspian/g-264409","3002")</f>
        <v>3002</v>
      </c>
      <c r="K17" s="176" t="str">
        <f aca="false">HYPERLINK("https://sofino.ua/gerbor-prikhozhaja-ppk-nepo/g-287089","1963")</f>
        <v>1963</v>
      </c>
      <c r="L17" s="176" t="str">
        <f aca="false">HYPERLINK("https://sofino.ua/brw-ukraina-stenka-aljaska-belyjj-gljanec/g-454107","7644")</f>
        <v>7644</v>
      </c>
      <c r="M17" s="176" t="str">
        <f aca="false">HYPERLINK("https://sofino.ua/gerbor-stenka-s-podsvetkojj-kvatro/g-18955","3007")</f>
        <v>3007</v>
      </c>
      <c r="N17" s="176" t="str">
        <f aca="false">HYPERLINK("https://sofino.ua/gerbor-bufet-kom1w2d2s-s-podsvetkojj-vusher/g-176785","4195")</f>
        <v>4195</v>
      </c>
    </row>
    <row r="18" customFormat="false" ht="40.5" hidden="false" customHeight="true" outlineLevel="0" collapsed="false">
      <c r="A18" s="78" t="s">
        <v>176</v>
      </c>
      <c r="B18" s="147" t="s">
        <v>177</v>
      </c>
      <c r="C18" s="187"/>
      <c r="D18" s="187"/>
      <c r="E18" s="187"/>
      <c r="F18" s="187"/>
      <c r="G18" s="187"/>
      <c r="H18" s="187"/>
      <c r="I18" s="202" t="str">
        <f aca="false">HYPERLINK("https://gerbor.mebli-smerichka.com.ua/product/komod-sonata-8s/","4900")</f>
        <v>4900</v>
      </c>
      <c r="J18" s="187"/>
      <c r="K18" s="187"/>
      <c r="L18" s="187"/>
      <c r="M18" s="187"/>
      <c r="N18" s="187"/>
    </row>
    <row r="19" customFormat="false" ht="54.75" hidden="false" customHeight="true" outlineLevel="0" collapsed="false">
      <c r="A19" s="78" t="s">
        <v>37</v>
      </c>
      <c r="B19" s="147" t="s">
        <v>139</v>
      </c>
      <c r="C19" s="187"/>
      <c r="D19" s="175" t="str">
        <f aca="false">HYPERLINK("https://www.brw-kiev.com.ua/catalog/mebel/azteca-komod-kom4s_8_11-000004816.html","3929")</f>
        <v>3929</v>
      </c>
      <c r="E19" s="175" t="str">
        <f aca="false">HYPERLINK("https://www.brw-kiev.com.ua/catalog/mebel/indiana-komod-jkom4s_80-000000261.html","3562")</f>
        <v>3562</v>
      </c>
      <c r="F19" s="175" t="str">
        <f aca="false">HYPERLINK("https://www.brw-kiev.com.ua/catalog/mebel/indiana-stil_pis_moviy-jbiu2d2s-000000254.html","5159")</f>
        <v>5159</v>
      </c>
      <c r="G19" s="175" t="str">
        <f aca="false">HYPERLINK("https://www.brw-kiev.com.ua/catalog/mebel/july-komod-kom4s_90-000005407.html","2098")</f>
        <v>2098</v>
      </c>
      <c r="H19" s="175" t="str">
        <f aca="false">HYPERLINK("https://www.brw-kiev.com.ua/catalog/mebel/porto-shafa-szf3d2s-000006440.html","5379")</f>
        <v>5379</v>
      </c>
      <c r="I19" s="189"/>
      <c r="J19" s="176" t="str">
        <f aca="false">HYPERLINK("https://www.brw-kiev.com.ua/catalog/mebel/kaspian-stil_pis_moviy-biu1d1s_120-000006188.html","3009")</f>
        <v>3009</v>
      </c>
      <c r="K19" s="209" t="n">
        <v>1969</v>
      </c>
      <c r="L19" s="187"/>
      <c r="M19" s="187"/>
      <c r="N19" s="187"/>
    </row>
    <row r="20" customFormat="false" ht="38.25" hidden="false" customHeight="true" outlineLevel="0" collapsed="false">
      <c r="A20" s="78" t="s">
        <v>25</v>
      </c>
      <c r="B20" s="157" t="s">
        <v>172</v>
      </c>
      <c r="C20" s="175" t="str">
        <f aca="false">HYPERLINK("https://brw.kiev.ua/mebel-brw-ukraina/azteca/tumba-tv-rtv2d2s-azteca-brv/","3343")</f>
        <v>3343</v>
      </c>
      <c r="D20" s="175" t="str">
        <f aca="false">HYPERLINK("https://brw.kiev.ua/mebel-brw-ukraina/azteca/komod-kom4s-azteca-brv/","3924")</f>
        <v>3924</v>
      </c>
      <c r="E20" s="175" t="str">
        <f aca="false">HYPERLINK("https://brw.kiev.ua/mebel-brw-ukraina/indiana-kanjon/komod-jkom4s80-indiana-brv-kanjon/","3562")</f>
        <v>3562</v>
      </c>
      <c r="F20" s="175" t="str">
        <f aca="false">HYPERLINK("https://brw.kiev.ua/mebel-brw-ukraina/indiana-shutter/stol-pismennyy-jbiu2d2s140-indiana-brv-shutter/","5158")</f>
        <v>5158</v>
      </c>
      <c r="G20" s="175" t="str">
        <f aca="false">HYPERLINK("https://brw.kiev.ua/mebel-brw-ukraina/july/komod-kom4s90-july-brv/","2098")</f>
        <v>2098</v>
      </c>
      <c r="H20" s="175" t="str">
        <f aca="false">HYPERLINK("https://brw.kiev.ua/mebel-brw-ukraina/porto/shkaf-szf3d2s-porto-brv/","5377")</f>
        <v>5377</v>
      </c>
      <c r="I20" s="175" t="str">
        <f aca="false">HYPERLINK("https://brw.kiev.ua/mebel-gerbor/sonata/komod-8s-sonata-gerbor/","5683")</f>
        <v>5683</v>
      </c>
      <c r="J20" s="175" t="str">
        <f aca="false">HYPERLINK("https://brw.kiev.ua/mebel-brw-ukraina/kaspian-venge/stol-pismennyy-biu1d1s-kaspian-brv-venge/","3002")</f>
        <v>3002</v>
      </c>
      <c r="K20" s="175" t="str">
        <f aca="false">HYPERLINK("https://brw.kiev.ua/mebel-gerbor/nepo/prikhozhaya-ppk-nepo-gerbor/","1963")</f>
        <v>1963</v>
      </c>
      <c r="L20" s="175" t="str">
        <f aca="false">HYPERLINK("https://brw.kiev.ua/mebel-brw-ukraina/alaska/stenka-alaska-brv/","7644")</f>
        <v>7644</v>
      </c>
      <c r="M20" s="187"/>
      <c r="N20" s="175" t="str">
        <f aca="false">HYPERLINK("https://brw.kiev.ua/mebel-gerbor/vusher/komod-kom1w2d2s-vusher-gerbor/","4195")</f>
        <v>4195</v>
      </c>
    </row>
    <row r="21" customFormat="false" ht="15.75" hidden="false" customHeight="true" outlineLevel="0" collapsed="false">
      <c r="A21" s="78" t="s">
        <v>123</v>
      </c>
      <c r="B21" s="160" t="s">
        <v>141</v>
      </c>
      <c r="C21" s="187"/>
      <c r="D21" s="187"/>
      <c r="E21" s="187"/>
      <c r="F21" s="187"/>
      <c r="G21" s="187"/>
      <c r="H21" s="187"/>
      <c r="I21" s="187"/>
      <c r="J21" s="187"/>
      <c r="K21" s="187"/>
      <c r="L21" s="187"/>
      <c r="M21" s="187"/>
      <c r="N21" s="187"/>
    </row>
    <row r="22" customFormat="false" ht="25.5" hidden="false" customHeight="true" outlineLevel="0" collapsed="false">
      <c r="A22" s="78" t="s">
        <v>124</v>
      </c>
      <c r="B22" s="147" t="s">
        <v>139</v>
      </c>
      <c r="C22" s="210" t="str">
        <f aca="false">HYPERLINK("https://mebelstyle.net/tumby-pod-tv/tumba-pod-tv-brw-ukraina-azteca-rtv2d2s415-82546.html","3294")</f>
        <v>3294</v>
      </c>
      <c r="D22" s="210" t="str">
        <f aca="false">HYPERLINK("https://mebelstyle.net/komody/komod-brw-ukraina-azteca-kom4s811-82553.html","3735")</f>
        <v>3735</v>
      </c>
      <c r="E22" s="202" t="str">
        <f aca="false">HYPERLINK("https://mebelstyle.net/komody/komod-brw-ukraina-indiana-011-jkom4s80-1274.html","3442")</f>
        <v>3442</v>
      </c>
      <c r="F22" s="203" t="str">
        <f aca="false">HYPERLINK("https://mebelstyle.net/ofisnye-stoly/pismennyj-stol-brw-ukraina-indiana-007-jbiu2d2s-1255.html","4979")</f>
        <v>4979</v>
      </c>
      <c r="G22" s="187"/>
      <c r="H22" s="187"/>
      <c r="I22" s="202" t="str">
        <f aca="false">HYPERLINK("https://mebelstyle.net/komody/komod-gerbor-sonata-s-015-8s-38625.html","5125")</f>
        <v>5125</v>
      </c>
      <c r="J22" s="203" t="str">
        <f aca="false">HYPERLINK("https://mebelstyle.net/ofisnye-stoly/ofisnyj-stol-brw-ukraina-kaspian-007-biu1d1s-58596.html","2783")</f>
        <v>2783</v>
      </c>
      <c r="K22" s="202" t="str">
        <f aca="false">HYPERLINK("https://mebelstyle.net/prikhozhie/prikhozhaja-gerbor-nepo-ppk-83649.html","1808")</f>
        <v>1808</v>
      </c>
      <c r="L22" s="187"/>
      <c r="M22" s="187"/>
      <c r="N22" s="202" t="str">
        <f aca="false">HYPERLINK("https://mebelstyle.net/komody/komod-gerbor-vusher-kom-1w2d2s-83553.html","4022")</f>
        <v>4022</v>
      </c>
    </row>
    <row r="23" customFormat="false" ht="34.5" hidden="false" customHeight="true" outlineLevel="0" collapsed="false">
      <c r="A23" s="78" t="s">
        <v>38</v>
      </c>
      <c r="B23" s="147" t="s">
        <v>139</v>
      </c>
      <c r="C23" s="175" t="str">
        <f aca="false">HYPERLINK("https://lvivmebli.com/13319/","4446")</f>
        <v>4446</v>
      </c>
      <c r="D23" s="175" t="str">
        <f aca="false">HYPERLINK("https://lvivmebli.com/13320/","5330")</f>
        <v>5330</v>
      </c>
      <c r="E23" s="175" t="str">
        <f aca="false">HYPERLINK("https://lvivmebli.com/5030/","4851")</f>
        <v>4851</v>
      </c>
      <c r="F23" s="175" t="str">
        <f aca="false">HYPERLINK("https://lvivmebli.com/5038/","6739")</f>
        <v>6739</v>
      </c>
      <c r="G23" s="175" t="str">
        <f aca="false">HYPERLINK("https://lvivmebli.com/11483/","2622")</f>
        <v>2622</v>
      </c>
      <c r="H23" s="175" t="str">
        <f aca="false">HYPERLINK("https://lvivmebli.com/18473/","7752")</f>
        <v>7752</v>
      </c>
      <c r="I23" s="187"/>
      <c r="J23" s="175" t="str">
        <f aca="false">HYPERLINK("https://lvivmebli.com/5099/","3120")</f>
        <v>3120</v>
      </c>
      <c r="K23" s="187"/>
      <c r="L23" s="187"/>
      <c r="M23" s="187"/>
      <c r="N23" s="187"/>
    </row>
    <row r="24" customFormat="false" ht="36.75" hidden="false" customHeight="true" outlineLevel="0" collapsed="false">
      <c r="A24" s="78" t="s">
        <v>39</v>
      </c>
      <c r="B24" s="157" t="s">
        <v>173</v>
      </c>
      <c r="C24" s="175" t="str">
        <f aca="false">HYPERLINK("http://centrmebliv.com.ua/modulni-mebli/brw-azteca/mebli-brw-brv-azteca-tumba-rtv2d2s?keyword=%D0%B0%D1%86%D1%82%D0%B5%D0%BA%D0%B0","3343")</f>
        <v>3343</v>
      </c>
      <c r="D24" s="175" t="str">
        <f aca="false">HYPERLINK("http://centrmebliv.com.ua/modulni-mebli/brw-azteca/mebli-brw-brv-azteca-komod-4s?keyword=%D0%B0%D1%86%D1%82%D0%B5%D0%BA%D0%B0","3924")</f>
        <v>3924</v>
      </c>
      <c r="E24" s="175" t="str">
        <f aca="false">HYPERLINK("http://centrmebliv.com.ua/mebli-dlya-spalni/komody/mebli-brw-brv-indiana-komod-jkom4s_80?keyword=%D1%96%D0%BD%D0%B4%D1%96%D0%B0%D0%BD%D0%B0","3562")</f>
        <v>3562</v>
      </c>
      <c r="F24" s="175" t="str">
        <f aca="false">HYPERLINK("http://centrmebliv.com.ua/modulni-mebli/brw-ukrayina-indiana/mebli-brw-brv-indiana-stil-pysmovyy-jbiu2d2s_140?keyword=%D1%96%D0%BD%D0%B4%D1%96%D0%B0%D0%BD%D0%B0","5158")</f>
        <v>5158</v>
      </c>
      <c r="G24" s="175" t="str">
        <f aca="false">HYPERLINK("http://centrmebliv.com.ua/spalni/komody/mebli-brw-brv-july-komod-kom4s/90?keyword=july","2098")</f>
        <v>2098</v>
      </c>
      <c r="H24" s="187"/>
      <c r="I24" s="211" t="str">
        <f aca="false">HYPERLINK("http://centrmebliv.com.ua/mebli-dlya-spalni/komody/mebli-gerbor-gerbor-s-015-sonata-_komod-8/s?keyword=%D1%81%D0%BE%D0%BD%D0%B0%D1%82%D0%B0","5596")</f>
        <v>5596</v>
      </c>
      <c r="J24" s="212" t="str">
        <f aca="false">HYPERLINK("http://centrmebliv.com.ua/ofisni-mebli/ofisni-stoly-vid-modulnyh-system/gerbor/brw-kaspian-stil-pysmovyy-biu-1d1s-120?keyword=%D0%BA%D0%B0%D1%81%D0%BF%D1%96%D0%B0%D0%BD","2831")</f>
        <v>2831</v>
      </c>
      <c r="K24" s="187"/>
      <c r="L24" s="187"/>
      <c r="M24" s="175" t="str">
        <f aca="false">HYPERLINK("http://centrmebliv.com.ua/mebli-dlya-vitalni/stinky/mebli-gerbor-gerbor-kvatro","3007")</f>
        <v>3007</v>
      </c>
      <c r="N24" s="175" t="str">
        <f aca="false">HYPERLINK("http://centrmebliv.com.ua/spalni/komody/mebli-gerbor-gerbor-voucher-komod-kom1w2d2s?keyword=%D0%B2%D1%83%D1%88%D0%B5%D1%80","4195")</f>
        <v>4195</v>
      </c>
    </row>
    <row r="25" customFormat="false" ht="27" hidden="false" customHeight="true" outlineLevel="0" collapsed="false">
      <c r="A25" s="78" t="s">
        <v>40</v>
      </c>
      <c r="B25" s="147" t="s">
        <v>139</v>
      </c>
      <c r="C25" s="187"/>
      <c r="D25" s="175" t="str">
        <f aca="false">HYPERLINK("https://letromebel.com.ua/p566126810-komod-kom4s811-atsteka.html","3924")</f>
        <v>3924</v>
      </c>
      <c r="E25" s="175" t="str">
        <f aca="false">HYPERLINK("https://letromebel.com.ua/p566921861-komod-jkom4s80-indiana.html","3562")</f>
        <v>3562</v>
      </c>
      <c r="F25" s="175" t="str">
        <f aca="false">HYPERLINK("https://letromebel.com.ua/p566921329-stol-pismennyj-jbiu2d2s140.html","5158")</f>
        <v>5158</v>
      </c>
      <c r="G25" s="175" t="str">
        <f aca="false">HYPERLINK("https://letromebel.com.ua/p445989920-komod-kom-dzhuli.html","2098")</f>
        <v>2098</v>
      </c>
      <c r="H25" s="175" t="str">
        <f aca="false">HYPERLINK("https://letromebel.com.ua/p567177190-shkaf-szf3d2s-porto.html","5377")</f>
        <v>5377</v>
      </c>
      <c r="I25" s="187"/>
      <c r="J25" s="187"/>
      <c r="K25" s="186" t="str">
        <f aca="false">HYPERLINK("https://letromebel.com.ua/p441285622-prihozhaya-ppk-nepo.html","1963")</f>
        <v>1963</v>
      </c>
      <c r="L25" s="175" t="str">
        <f aca="false">HYPERLINK("https://letromebel.com.ua/p822866700-stenka-gostinuyu-alyaska.html","7644")</f>
        <v>7644</v>
      </c>
      <c r="M25" s="176" t="str">
        <f aca="false">HYPERLINK("https://letromebel.com.ua/p436378844-stenka-kvatro-venge.html","3007")</f>
        <v>3007</v>
      </c>
      <c r="N25" s="175" t="str">
        <f aca="false">HYPERLINK("https://letromebel.com.ua/p332640892-bufet-kom1w2d2s-vusher.html","4195")</f>
        <v>4195</v>
      </c>
    </row>
    <row r="26" customFormat="false" ht="27" hidden="false" customHeight="true" outlineLevel="0" collapsed="false">
      <c r="A26" s="78" t="s">
        <v>26</v>
      </c>
      <c r="B26" s="147" t="s">
        <v>139</v>
      </c>
      <c r="C26" s="175" t="str">
        <f aca="false">HYPERLINK("https://shurup.net.ua/azteca-acteka-tumba-rtv2d2s415.p17205","3343")</f>
        <v>3343</v>
      </c>
      <c r="D26" s="175" t="str">
        <f aca="false">HYPERLINK("https://shurup.net.ua/azteca-acteka-komod-kom4s811.p17200","3924")</f>
        <v>3924</v>
      </c>
      <c r="E26" s="175" t="str">
        <f aca="false">HYPERLINK("https://shurup.net.ua/komod-jkom-4s80-indiana-sosna-kanon.p9412","3562")</f>
        <v>3562</v>
      </c>
      <c r="F26" s="175" t="str">
        <f aca="false">HYPERLINK("https://shurup.net.ua/stol-pismennyj-jbiu-2d2s-140-indiana-dub-shutter.p5488","5158")</f>
        <v>5158</v>
      </c>
      <c r="G26" s="175" t="str">
        <f aca="false">HYPERLINK("https://shurup.net.ua/komod-kom-4s-90-dzhuli.p7011","2098")</f>
        <v>2098</v>
      </c>
      <c r="H26" s="175" t="str">
        <f aca="false">HYPERLINK("https://shurup.net.ua/shkaf-szf3d2s-porto.p24169","5377")</f>
        <v>5377</v>
      </c>
      <c r="I26" s="175" t="str">
        <f aca="false">HYPERLINK("https://shurup.net.ua/komod-8s-sonata.p1034","5683")</f>
        <v>5683</v>
      </c>
      <c r="J26" s="202" t="str">
        <f aca="false">HYPERLINK("https://shurup.net.ua/stol-pismennyj-biu-1d1s-120-kaspian-dub-sonoma.p6492","2979")</f>
        <v>2979</v>
      </c>
      <c r="K26" s="175" t="str">
        <f aca="false">HYPERLINK("https://shurup.net.ua/prihozhaya-rrk-nepo.p13611","1963")</f>
        <v>1963</v>
      </c>
      <c r="L26" s="175" t="str">
        <f aca="false">HYPERLINK("https://shurup.net.ua/gostinaja-aljaska.p28551","7644")</f>
        <v>7644</v>
      </c>
      <c r="M26" s="175" t="str">
        <f aca="false">HYPERLINK("https://shurup.net.ua/gostinaya-kvatro-venge-magiya.p836","3007")</f>
        <v>3007</v>
      </c>
      <c r="N26" s="175" t="str">
        <f aca="false">HYPERLINK("https://shurup.net.ua/komod-kom1w2d2s-9-15-vusher.p1953","4195")</f>
        <v>4195</v>
      </c>
    </row>
    <row r="27" customFormat="false" ht="36.75" hidden="false" customHeight="true" outlineLevel="0" collapsed="false">
      <c r="A27" s="105" t="s">
        <v>41</v>
      </c>
      <c r="B27" s="206" t="s">
        <v>139</v>
      </c>
      <c r="C27" s="76"/>
      <c r="D27" s="76"/>
      <c r="E27" s="76"/>
      <c r="F27" s="76"/>
      <c r="G27" s="76"/>
      <c r="H27" s="76"/>
      <c r="I27" s="76"/>
      <c r="J27" s="76"/>
      <c r="K27" s="193" t="str">
        <f aca="false">HYPERLINK("https://www.taburetka.ua/prihozhie-40/prihozhaya-ppk-nepo-2914","2035")</f>
        <v>2035</v>
      </c>
      <c r="L27" s="76"/>
      <c r="M27" s="179" t="str">
        <f aca="false">HYPERLINK("https://www.taburetka.ua/gostinye-600/gostinaya-kvatro-2834","3170")</f>
        <v>3170</v>
      </c>
      <c r="N27" s="179" t="str">
        <f aca="false">HYPERLINK("https://www.taburetka.ua/komody-i-tumby-35/komod-kom1w2d2s-vusher-2974","4390")</f>
        <v>4390</v>
      </c>
    </row>
    <row r="28" customFormat="false" ht="37.5" hidden="false" customHeight="true" outlineLevel="0" collapsed="false">
      <c r="A28" s="106" t="s">
        <v>42</v>
      </c>
      <c r="B28" s="206" t="s">
        <v>139</v>
      </c>
      <c r="C28" s="175" t="str">
        <f aca="false">HYPERLINK("http://www.maxidom.com.ua/tumba-rtv-atsteka-2d2s415.html?search_string=%D2%F3%EC%E1%E0+%D0%D2%C2+%C0%F6%F2%E5%EA%E0+2D2S%2F4%2F15","3343")</f>
        <v>3343</v>
      </c>
      <c r="D28" s="193" t="str">
        <f aca="false">HYPERLINK("http://www.maxidom.com.ua/komod-atsteka-kom4s811.html?search_string=%CA%EE%EC%EE%E4+%C0%F6%F2%E5%EA%E0+KOM4S%2F8%2F11","3924")</f>
        <v>3924</v>
      </c>
      <c r="E28" s="193" t="str">
        <f aca="false">HYPERLINK("http://www.maxidom.com.ua/komod_indiana_jkom4s80.html?search_string=%CA%EE%EC%EE%E4+%C8%ED%E4%E8%E0%ED%E0+JKOM4s%2F80","3562")</f>
        <v>3562</v>
      </c>
      <c r="F28" s="193" t="str">
        <f aca="false">HYPERLINK("http://www.maxidom.com.ua/stol_pismenniy_indiana_jbiu2d2s.html?search_string=%D1%F2%EE%EB+%EF%E8%F1%FC%EC%E5%ED%ED%FB%E9+%C8%ED%E4%E8%E0%ED%E0+JBIU2d2s","5158")</f>
        <v>5158</v>
      </c>
      <c r="G28" s="193" t="str">
        <f aca="false">HYPERLINK("http://www.maxidom.com.ua/komod-kom4s90-dzhuli.html?search_string=%CA%EE%EC%EE%E4+KOM4S%2F90+%C4%E6%F3%EB%E8","2098")</f>
        <v>2098</v>
      </c>
      <c r="H28" s="193" t="str">
        <f aca="false">HYPERLINK("http://www.maxidom.com.ua/shkaf-porto-porto-szf3d2s.html?search_string=%D8%EA%E0%F4+%CF%EE%F0%F2%EE+%28Porto%29+SZF3D2S","5377")</f>
        <v>5377</v>
      </c>
      <c r="I28" s="193" t="str">
        <f aca="false">HYPERLINK("http://www.maxidom.com.ua/komod-sonata-8s.html?search_string=%CA%EE%EC%EE%E4+%D1%EE%ED%E0%F2%E0+8s","5683")</f>
        <v>5683</v>
      </c>
      <c r="J28" s="193" t="str">
        <f aca="false">HYPERLINK("http://www.maxidom.com.ua/stol-pismenniy-biu-1d1s-kaspian-kaspian.html?search_string=%D1%F2%EE%EB+%EF%E8%F1%FC%EC%E5%ED%ED%FB%E9+BIU+1D1S+%CA%E0%F1%EF%E8%E0%ED+%28Kaspian%29","3002")</f>
        <v>3002</v>
      </c>
      <c r="K28" s="193" t="str">
        <f aca="false">HYPERLINK("http://www.maxidom.com.ua/prihozhaya-nepo-ppk.html?search_string=%CF%F0%E8%F5%EE%E6%E0%FF+%CD%E5%EF%EE+PPK","1963")</f>
        <v>1963</v>
      </c>
      <c r="L28" s="193" t="str">
        <f aca="false">HYPERLINK("http://www.maxidom.com.ua/stenka-alyaska.html?search_string=%D1%F2%E5%ED%EA%E0+%C0%EB%FF%F1%EA%E0","7644")</f>
        <v>7644</v>
      </c>
      <c r="M28" s="179" t="str">
        <f aca="false">HYPERLINK("http://www.maxidom.com.ua/stenka-kvatro.html?search_string=%D1%F2%E5%ED%EA%E0+%CA%E2%E0%F2%F0%EE","3007")</f>
        <v>3007</v>
      </c>
      <c r="N28" s="179" t="str">
        <f aca="false">HYPERLINK("http://www.maxidom.com.ua/komod-kom-1w2d2s-vusher.html?search_string=%CA%EE%EC%EE%E4+KOM+1W2D2S+%C2%F3%F8%E5%F0","4195")</f>
        <v>4195</v>
      </c>
    </row>
    <row r="29" customFormat="false" ht="42" hidden="false" customHeight="true" outlineLevel="0" collapsed="false">
      <c r="A29" s="106" t="s">
        <v>27</v>
      </c>
      <c r="B29" s="118" t="s">
        <v>174</v>
      </c>
      <c r="C29" s="175" t="str">
        <f aca="false">HYPERLINK("https://mebel-online.com.ua/tymba-rtv2d2s-4-15-azteca?filter_name=azteca","3343")</f>
        <v>3343</v>
      </c>
      <c r="D29" s="193" t="str">
        <f aca="false">HYPERLINK("https://mebel-online.com.ua/komod-kom4s-8-11-azteca?filter_name=azteca","3924")</f>
        <v>3924</v>
      </c>
      <c r="E29" s="179" t="str">
        <f aca="false">HYPERLINK("https://mebel-online.com.ua/p5228-komod_jkom_4s_80_indiana_brw?filter_name=%D0%B8%D0%BD%D0%B4%D0%B8%D0%B0%D0%BD%D0%B0","3562")</f>
        <v>3562</v>
      </c>
      <c r="F29" s="193" t="str">
        <f aca="false">HYPERLINK("https://mebel-online.com.ua/p5223-stol_pismenniy_jbiu_2d2s_140_indiana_brw?filter_name=%D0%B8%D0%BD%D0%B4%D0%B8%D0%B0%D0%BD%D0%B0","5158")</f>
        <v>5158</v>
      </c>
      <c r="G29" s="193" t="str">
        <f aca="false">HYPERLINK("https://mebel-online.com.ua/komod-kom4s-90-july?filter_name=july","2098")</f>
        <v>2098</v>
      </c>
      <c r="H29" s="193" t="str">
        <f aca="false">HYPERLINK("https://mebel-online.com.ua/komod-kom4s-90-july?filter_name=july","5377")</f>
        <v>5377</v>
      </c>
      <c r="I29" s="194"/>
      <c r="J29" s="194"/>
      <c r="K29" s="179" t="str">
        <f aca="false">HYPERLINK("https://mebel-online.com.ua/prihozhaya-gerbor-ppk-nepo?filter_name=%D0%BD%D0%B5%D0%BF%D0%BE","1963")</f>
        <v>1963</v>
      </c>
      <c r="L29" s="193" t="str">
        <f aca="false">HYPERLINK("https://mebel-online.com.ua/stenka-aliaska-brw%20?filter_name=%D0%B0%D0%BB%D1%8F%D1%81%D0%BA%D0%B0","7644")</f>
        <v>7644</v>
      </c>
      <c r="M29" s="179" t="str">
        <f aca="false">HYPERLINK("https://mebel-online.com.ua/stenka-kvatro-gerbor?filter_name=%D0%BA%D0%B2%D0%B0%D1%82%D1%80%D0%BE","3007")</f>
        <v>3007</v>
      </c>
      <c r="N29" s="179" t="str">
        <f aca="false">HYPERLINK("https://mebel-online.com.ua/komod-kom-1w2d2s-vusher-gerbor?filter_name=%D0%B2%D1%83%D1%88%D0%B5%D1%80","4195")</f>
        <v>4195</v>
      </c>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L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A10" r:id="rId13" display="https://vashamebel.in.ua/"/>
    <hyperlink ref="A11" r:id="rId14" display="http://mebel-mebel.com.ua/"/>
    <hyperlink ref="A12" r:id="rId15" display="http://abcmebli.com.ua"/>
    <hyperlink ref="A13" r:id="rId16" display="https://gerbor.mebelok.com/"/>
    <hyperlink ref="A14" r:id="rId17" display="http://maxmebel.com.ua/"/>
    <hyperlink ref="A15" r:id="rId18" display="https://moyamebel.com.ua/ua"/>
    <hyperlink ref="A16" r:id="rId19" display="https://mebel-soyuz.com.ua/"/>
    <hyperlink ref="A17" r:id="rId20" display="https://sofino.ua/"/>
    <hyperlink ref="A18" r:id="rId21" display="http://gerbor.mebli-smerichka.com.ua/"/>
    <hyperlink ref="A19" r:id="rId22" display="https://www.brw-kiev.com.ua/"/>
    <hyperlink ref="A20" r:id="rId23" display="https://brw.kiev.ua/"/>
    <hyperlink ref="A21" r:id="rId24" display="http://brw.com.ua/"/>
    <hyperlink ref="A22" r:id="rId25" display="https://mebelstyle.net/"/>
    <hyperlink ref="A23" r:id="rId26" display="https://lvivmebli.com/"/>
    <hyperlink ref="A24" r:id="rId27" display="http://centrmebliv.com.ua/"/>
    <hyperlink ref="A25" r:id="rId28" display="https://letromebel.com.ua/"/>
    <hyperlink ref="A26" r:id="rId29" display="https://shurup.net.ua/"/>
    <hyperlink ref="A27" r:id="rId30" display="https://www.taburetka.ua"/>
    <hyperlink ref="A28" r:id="rId31" display="http://www.maxidom.com.ua/"/>
    <hyperlink ref="A29" r:id="rId32" display="https://mebel-online.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102.29"/>
    <col collapsed="false" customWidth="true" hidden="false" outlineLevel="0" max="4" min="3" style="0" width="22.86"/>
    <col collapsed="false" customWidth="true" hidden="false" outlineLevel="0" max="5" min="5" style="0" width="23.71"/>
    <col collapsed="false" customWidth="true" hidden="false" outlineLevel="0" max="12" min="12" style="0" width="28.43"/>
  </cols>
  <sheetData>
    <row r="1" customFormat="false" ht="93" hidden="false" customHeight="true" outlineLevel="0" collapsed="false">
      <c r="A1" s="213" t="s">
        <v>0</v>
      </c>
      <c r="B1" s="214" t="s">
        <v>126</v>
      </c>
      <c r="C1" s="215" t="s">
        <v>178</v>
      </c>
      <c r="D1" s="215" t="s">
        <v>1</v>
      </c>
      <c r="E1" s="130" t="s">
        <v>178</v>
      </c>
      <c r="F1" s="130" t="s">
        <v>4</v>
      </c>
      <c r="G1" s="215" t="s">
        <v>178</v>
      </c>
      <c r="H1" s="215" t="s">
        <v>179</v>
      </c>
      <c r="I1" s="130" t="s">
        <v>178</v>
      </c>
      <c r="J1" s="130" t="s">
        <v>180</v>
      </c>
      <c r="K1" s="216" t="s">
        <v>178</v>
      </c>
      <c r="L1" s="216" t="s">
        <v>9</v>
      </c>
      <c r="M1" s="217" t="s">
        <v>178</v>
      </c>
      <c r="N1" s="217" t="s">
        <v>15</v>
      </c>
      <c r="O1" s="218" t="s">
        <v>178</v>
      </c>
      <c r="P1" s="219" t="s">
        <v>10</v>
      </c>
      <c r="Q1" s="217" t="s">
        <v>178</v>
      </c>
      <c r="R1" s="217" t="s">
        <v>181</v>
      </c>
    </row>
    <row r="2" customFormat="false" ht="15.75" hidden="false" customHeight="true" outlineLevel="0" collapsed="false">
      <c r="A2" s="220" t="s">
        <v>182</v>
      </c>
      <c r="B2" s="146"/>
      <c r="C2" s="221"/>
      <c r="D2" s="221" t="n">
        <v>3343</v>
      </c>
      <c r="E2" s="222"/>
      <c r="F2" s="222" t="n">
        <v>5158</v>
      </c>
      <c r="G2" s="221"/>
      <c r="H2" s="221" t="n">
        <v>5232</v>
      </c>
      <c r="I2" s="222"/>
      <c r="J2" s="222" t="n">
        <v>5158</v>
      </c>
      <c r="K2" s="223"/>
      <c r="L2" s="223" t="n">
        <v>1930</v>
      </c>
      <c r="M2" s="224"/>
      <c r="N2" s="224" t="n">
        <v>7644</v>
      </c>
      <c r="O2" s="223"/>
      <c r="P2" s="223" t="n">
        <v>3007</v>
      </c>
      <c r="Q2" s="224"/>
      <c r="R2" s="224" t="n">
        <v>9154</v>
      </c>
    </row>
    <row r="3" customFormat="false" ht="15.75" hidden="false" customHeight="true" outlineLevel="0" collapsed="false">
      <c r="A3" s="225" t="s">
        <v>28</v>
      </c>
      <c r="B3" s="147" t="s">
        <v>183</v>
      </c>
      <c r="C3" s="226" t="s">
        <v>184</v>
      </c>
      <c r="D3" s="227" t="n">
        <v>3343</v>
      </c>
      <c r="E3" s="228" t="s">
        <v>185</v>
      </c>
      <c r="F3" s="229" t="n">
        <v>5158</v>
      </c>
      <c r="G3" s="226" t="s">
        <v>186</v>
      </c>
      <c r="H3" s="227" t="n">
        <v>5232</v>
      </c>
      <c r="I3" s="226" t="s">
        <v>187</v>
      </c>
      <c r="J3" s="229" t="n">
        <v>5158</v>
      </c>
      <c r="K3" s="226" t="s">
        <v>188</v>
      </c>
      <c r="L3" s="227" t="n">
        <v>1930</v>
      </c>
      <c r="M3" s="226" t="s">
        <v>189</v>
      </c>
      <c r="N3" s="229" t="n">
        <v>7644</v>
      </c>
      <c r="O3" s="226" t="s">
        <v>190</v>
      </c>
      <c r="P3" s="227" t="n">
        <v>3007</v>
      </c>
      <c r="Q3" s="226" t="s">
        <v>191</v>
      </c>
      <c r="R3" s="229" t="n">
        <v>9154</v>
      </c>
    </row>
    <row r="4" customFormat="false" ht="15.75" hidden="false" customHeight="true" outlineLevel="0" collapsed="false">
      <c r="A4" s="230" t="s">
        <v>192</v>
      </c>
      <c r="B4" s="147" t="s">
        <v>34</v>
      </c>
      <c r="C4" s="231"/>
      <c r="D4" s="231"/>
      <c r="E4" s="187"/>
      <c r="F4" s="232"/>
      <c r="G4" s="233"/>
      <c r="H4" s="233"/>
      <c r="I4" s="233"/>
      <c r="J4" s="232"/>
      <c r="K4" s="233"/>
      <c r="L4" s="233"/>
      <c r="M4" s="233"/>
      <c r="N4" s="232"/>
      <c r="O4" s="233"/>
      <c r="P4" s="233"/>
      <c r="Q4" s="233"/>
      <c r="R4" s="187"/>
    </row>
    <row r="5" customFormat="false" ht="36.75" hidden="false" customHeight="true" outlineLevel="0" collapsed="false">
      <c r="A5" s="225" t="s">
        <v>193</v>
      </c>
      <c r="B5" s="234" t="s">
        <v>194</v>
      </c>
      <c r="C5" s="235" t="s">
        <v>195</v>
      </c>
      <c r="D5" s="236" t="s">
        <v>196</v>
      </c>
      <c r="E5" s="235" t="s">
        <v>197</v>
      </c>
      <c r="F5" s="236" t="s">
        <v>198</v>
      </c>
      <c r="G5" s="235" t="s">
        <v>199</v>
      </c>
      <c r="H5" s="236" t="s">
        <v>200</v>
      </c>
      <c r="I5" s="235" t="s">
        <v>201</v>
      </c>
      <c r="J5" s="236" t="s">
        <v>198</v>
      </c>
      <c r="K5" s="235" t="s">
        <v>202</v>
      </c>
      <c r="L5" s="236" t="s">
        <v>203</v>
      </c>
      <c r="M5" s="235" t="s">
        <v>204</v>
      </c>
      <c r="N5" s="236" t="s">
        <v>205</v>
      </c>
      <c r="O5" s="235" t="s">
        <v>206</v>
      </c>
      <c r="P5" s="236" t="s">
        <v>207</v>
      </c>
      <c r="Q5" s="235" t="s">
        <v>208</v>
      </c>
      <c r="R5" s="236" t="s">
        <v>209</v>
      </c>
    </row>
    <row r="6" customFormat="false" ht="33" hidden="false" customHeight="true" outlineLevel="0" collapsed="false">
      <c r="A6" s="225" t="s">
        <v>30</v>
      </c>
      <c r="B6" s="204" t="s">
        <v>210</v>
      </c>
      <c r="C6" s="235" t="s">
        <v>211</v>
      </c>
      <c r="D6" s="236" t="n">
        <v>3343</v>
      </c>
      <c r="E6" s="235" t="s">
        <v>212</v>
      </c>
      <c r="F6" s="236" t="n">
        <v>5158</v>
      </c>
      <c r="G6" s="235" t="s">
        <v>213</v>
      </c>
      <c r="H6" s="236" t="n">
        <v>5232</v>
      </c>
      <c r="I6" s="235" t="s">
        <v>214</v>
      </c>
      <c r="J6" s="236" t="n">
        <v>5158</v>
      </c>
      <c r="K6" s="235" t="s">
        <v>215</v>
      </c>
      <c r="L6" s="236" t="n">
        <v>1930</v>
      </c>
      <c r="M6" s="235" t="s">
        <v>216</v>
      </c>
      <c r="N6" s="236" t="n">
        <v>7644</v>
      </c>
      <c r="O6" s="235" t="s">
        <v>217</v>
      </c>
      <c r="P6" s="236" t="n">
        <v>3007</v>
      </c>
      <c r="Q6" s="235" t="s">
        <v>218</v>
      </c>
      <c r="R6" s="229" t="n">
        <v>9154</v>
      </c>
    </row>
    <row r="7" customFormat="false" ht="33.75" hidden="false" customHeight="true" outlineLevel="0" collapsed="false">
      <c r="A7" s="225" t="s">
        <v>219</v>
      </c>
      <c r="B7" s="160" t="s">
        <v>220</v>
      </c>
      <c r="C7" s="235" t="str">
        <f aca="false">HYPERLINK("https://stuloff.com.ua/tumba-rtv-2d2s-4-15-acteka-belyj-glyanec-gerbor?search=Ацтек","https://stuloff.com.ua/tumba_rtv_2d2s_4_15_azteka_beluy?search=%D0%B0%D1%86%D1%82%D0%B5%D0%BA%D0%B0&amp;category_id=0")</f>
        <v>https://stuloff.com.ua/tumba_rtv_2d2s_4_15_azteka_beluy?search=%D0%B0%D1%86%D1%82%D0%B5%D0%BA%D0%B0&amp;category_id=0</v>
      </c>
      <c r="D7" s="236" t="n">
        <v>3343</v>
      </c>
      <c r="E7" s="235" t="s">
        <v>221</v>
      </c>
      <c r="F7" s="236" t="n">
        <v>5158</v>
      </c>
      <c r="G7" s="235" t="s">
        <v>222</v>
      </c>
      <c r="H7" s="236" t="n">
        <v>5232</v>
      </c>
      <c r="I7" s="235" t="s">
        <v>223</v>
      </c>
      <c r="J7" s="237" t="n">
        <v>5158</v>
      </c>
      <c r="K7" s="235" t="s">
        <v>224</v>
      </c>
      <c r="L7" s="236" t="n">
        <v>1930</v>
      </c>
      <c r="M7" s="235" t="s">
        <v>225</v>
      </c>
      <c r="N7" s="236" t="n">
        <v>7644</v>
      </c>
      <c r="O7" s="235" t="s">
        <v>226</v>
      </c>
      <c r="P7" s="236" t="s">
        <v>207</v>
      </c>
      <c r="Q7" s="235" t="s">
        <v>227</v>
      </c>
      <c r="R7" s="229" t="n">
        <v>9154</v>
      </c>
    </row>
    <row r="8" customFormat="false" ht="38.25" hidden="false" customHeight="true" outlineLevel="0" collapsed="false">
      <c r="A8" s="225" t="s">
        <v>228</v>
      </c>
      <c r="B8" s="160" t="s">
        <v>229</v>
      </c>
      <c r="C8" s="238" t="s">
        <v>230</v>
      </c>
      <c r="D8" s="236" t="n">
        <v>3343</v>
      </c>
      <c r="E8" s="235" t="s">
        <v>231</v>
      </c>
      <c r="F8" s="236" t="n">
        <v>5158</v>
      </c>
      <c r="G8" s="233" t="s">
        <v>34</v>
      </c>
      <c r="H8" s="233" t="s">
        <v>34</v>
      </c>
      <c r="I8" s="235" t="s">
        <v>232</v>
      </c>
      <c r="J8" s="237" t="n">
        <v>5158</v>
      </c>
      <c r="K8" s="235" t="s">
        <v>233</v>
      </c>
      <c r="L8" s="236" t="n">
        <v>1930</v>
      </c>
      <c r="M8" s="235" t="s">
        <v>234</v>
      </c>
      <c r="N8" s="236" t="n">
        <v>7644</v>
      </c>
      <c r="O8" s="233" t="s">
        <v>34</v>
      </c>
      <c r="P8" s="233" t="s">
        <v>34</v>
      </c>
      <c r="Q8" s="235" t="s">
        <v>235</v>
      </c>
      <c r="R8" s="229" t="n">
        <v>9154</v>
      </c>
    </row>
    <row r="9" customFormat="false" ht="57.75" hidden="false" customHeight="true" outlineLevel="0" collapsed="false">
      <c r="A9" s="225" t="s">
        <v>236</v>
      </c>
      <c r="B9" s="160" t="s">
        <v>237</v>
      </c>
      <c r="C9" s="235" t="s">
        <v>238</v>
      </c>
      <c r="D9" s="236" t="n">
        <v>3351</v>
      </c>
      <c r="E9" s="235" t="s">
        <v>239</v>
      </c>
      <c r="F9" s="236" t="n">
        <v>5171</v>
      </c>
      <c r="G9" s="235" t="s">
        <v>240</v>
      </c>
      <c r="H9" s="236" t="n">
        <v>5239</v>
      </c>
      <c r="I9" s="235" t="s">
        <v>241</v>
      </c>
      <c r="J9" s="236" t="n">
        <v>5166</v>
      </c>
      <c r="K9" s="235" t="s">
        <v>242</v>
      </c>
      <c r="L9" s="236" t="n">
        <v>1933</v>
      </c>
      <c r="M9" s="235" t="s">
        <v>243</v>
      </c>
      <c r="N9" s="236" t="n">
        <v>7644</v>
      </c>
      <c r="O9" s="235" t="s">
        <v>244</v>
      </c>
      <c r="P9" s="236" t="n">
        <v>3011</v>
      </c>
      <c r="Q9" s="235" t="s">
        <v>245</v>
      </c>
      <c r="R9" s="236" t="n">
        <v>9175</v>
      </c>
    </row>
    <row r="10" customFormat="false" ht="111" hidden="false" customHeight="true" outlineLevel="0" collapsed="false">
      <c r="A10" s="225" t="s">
        <v>42</v>
      </c>
      <c r="B10" s="160" t="s">
        <v>246</v>
      </c>
      <c r="C10" s="238" t="s">
        <v>247</v>
      </c>
      <c r="D10" s="236" t="n">
        <v>3343</v>
      </c>
      <c r="E10" s="238" t="s">
        <v>248</v>
      </c>
      <c r="F10" s="236" t="n">
        <v>5159</v>
      </c>
      <c r="G10" s="238" t="s">
        <v>249</v>
      </c>
      <c r="H10" s="236" t="n">
        <v>5232</v>
      </c>
      <c r="I10" s="238" t="s">
        <v>250</v>
      </c>
      <c r="J10" s="236" t="n">
        <v>5159</v>
      </c>
      <c r="K10" s="238" t="s">
        <v>251</v>
      </c>
      <c r="L10" s="236" t="n">
        <v>1930</v>
      </c>
      <c r="M10" s="238" t="s">
        <v>252</v>
      </c>
      <c r="N10" s="236" t="n">
        <v>7661</v>
      </c>
      <c r="O10" s="238" t="s">
        <v>253</v>
      </c>
      <c r="P10" s="236" t="n">
        <v>3007</v>
      </c>
      <c r="Q10" s="239" t="s">
        <v>254</v>
      </c>
      <c r="R10" s="229" t="n">
        <v>9154</v>
      </c>
      <c r="S10" s="240"/>
    </row>
    <row r="11" customFormat="false" ht="45.75" hidden="false" customHeight="true" outlineLevel="0" collapsed="false">
      <c r="A11" s="225" t="s">
        <v>32</v>
      </c>
      <c r="B11" s="160" t="s">
        <v>255</v>
      </c>
      <c r="C11" s="238" t="s">
        <v>256</v>
      </c>
      <c r="D11" s="241" t="n">
        <v>3347</v>
      </c>
      <c r="E11" s="238" t="s">
        <v>257</v>
      </c>
      <c r="F11" s="242" t="n">
        <v>5165</v>
      </c>
      <c r="G11" s="238" t="s">
        <v>258</v>
      </c>
      <c r="H11" s="243" t="n">
        <v>5238</v>
      </c>
      <c r="I11" s="238" t="s">
        <v>259</v>
      </c>
      <c r="J11" s="244" t="n">
        <v>5165</v>
      </c>
      <c r="K11" s="238" t="s">
        <v>260</v>
      </c>
      <c r="L11" s="245" t="n">
        <v>1932</v>
      </c>
      <c r="M11" s="238" t="s">
        <v>261</v>
      </c>
      <c r="N11" s="236" t="n">
        <v>7644</v>
      </c>
      <c r="O11" s="238" t="s">
        <v>262</v>
      </c>
      <c r="P11" s="245" t="n">
        <v>3009</v>
      </c>
      <c r="Q11" s="239" t="s">
        <v>263</v>
      </c>
      <c r="R11" s="245" t="n">
        <v>9165</v>
      </c>
      <c r="S11" s="84"/>
    </row>
    <row r="12" customFormat="false" ht="57.75" hidden="false" customHeight="true" outlineLevel="0" collapsed="false">
      <c r="A12" s="225" t="s">
        <v>264</v>
      </c>
      <c r="B12" s="147" t="s">
        <v>265</v>
      </c>
      <c r="C12" s="238" t="s">
        <v>266</v>
      </c>
      <c r="D12" s="236" t="n">
        <v>3343</v>
      </c>
      <c r="E12" s="238" t="s">
        <v>267</v>
      </c>
      <c r="F12" s="236" t="n">
        <v>5158</v>
      </c>
      <c r="G12" s="238" t="s">
        <v>268</v>
      </c>
      <c r="H12" s="246" t="n">
        <v>5232</v>
      </c>
      <c r="I12" s="247" t="s">
        <v>269</v>
      </c>
      <c r="J12" s="248"/>
      <c r="K12" s="233" t="s">
        <v>270</v>
      </c>
      <c r="L12" s="232"/>
      <c r="M12" s="233" t="s">
        <v>271</v>
      </c>
      <c r="N12" s="232"/>
      <c r="O12" s="238" t="s">
        <v>272</v>
      </c>
      <c r="P12" s="236" t="n">
        <v>3007</v>
      </c>
      <c r="Q12" s="233" t="s">
        <v>273</v>
      </c>
      <c r="R12" s="187"/>
    </row>
    <row r="13" customFormat="false" ht="15.75" hidden="false" customHeight="true" outlineLevel="0" collapsed="false">
      <c r="A13" s="225" t="s">
        <v>274</v>
      </c>
      <c r="B13" s="147" t="s">
        <v>34</v>
      </c>
      <c r="C13" s="238" t="s">
        <v>275</v>
      </c>
      <c r="D13" s="249" t="n">
        <v>3173</v>
      </c>
      <c r="E13" s="238" t="s">
        <v>276</v>
      </c>
      <c r="F13" s="250" t="s">
        <v>277</v>
      </c>
      <c r="G13" s="238" t="s">
        <v>278</v>
      </c>
      <c r="H13" s="236" t="n">
        <v>5232</v>
      </c>
      <c r="I13" s="238" t="s">
        <v>279</v>
      </c>
      <c r="J13" s="251" t="s">
        <v>280</v>
      </c>
      <c r="K13" s="238" t="str">
        <f aca="false">HYPERLINK("https://prom.ua/p322314373-prihozhaya-nepo-ppk.html","https://prom.ua/p573765214-peredpokij-nepo-ppk.html, https://prom.ua/p824583219-prihozha-dzerkalom-peredpokij.html")</f>
        <v>https://prom.ua/p573765214-peredpokij-nepo-ppk.html, https://prom.ua/p824583219-prihozha-dzerkalom-peredpokij.html</v>
      </c>
      <c r="L13" s="252" t="n">
        <v>1834</v>
      </c>
      <c r="M13" s="238" t="s">
        <v>281</v>
      </c>
      <c r="N13" s="236" t="n">
        <v>7644</v>
      </c>
      <c r="O13" s="238" t="str">
        <f aca="false">HYPERLINK("https://prom.ua/p12120301-gostinaya-kvatro-venge.html","https://prom.ua/p691214251-gostinnaya-barato-gerbor.html, https://prom.ua/p561346148-vitalnya-kvatro.html")</f>
        <v>https://prom.ua/p691214251-gostinnaya-barato-gerbor.html, https://prom.ua/p561346148-vitalnya-kvatro.html</v>
      </c>
      <c r="P13" s="236" t="n">
        <v>3007</v>
      </c>
      <c r="Q13" s="239" t="str">
        <f aca="false">HYPERLINK("https://prom.ua/p736754963-liberti-shkaf.html","https://prom.ua/p938957293-liberti-shkaf.html")</f>
        <v>https://prom.ua/p938957293-liberti-shkaf.html</v>
      </c>
      <c r="R13" s="229" t="n">
        <v>9154</v>
      </c>
    </row>
    <row r="14" customFormat="false" ht="15.75" hidden="false" customHeight="true" outlineLevel="0" collapsed="false">
      <c r="A14" s="225" t="s">
        <v>26</v>
      </c>
      <c r="B14" s="147" t="s">
        <v>282</v>
      </c>
      <c r="C14" s="238" t="s">
        <v>283</v>
      </c>
      <c r="D14" s="236" t="n">
        <v>3343</v>
      </c>
      <c r="E14" s="238" t="s">
        <v>284</v>
      </c>
      <c r="F14" s="236" t="n">
        <v>5158</v>
      </c>
      <c r="G14" s="238" t="s">
        <v>285</v>
      </c>
      <c r="H14" s="253" t="n">
        <v>5232</v>
      </c>
      <c r="I14" s="238" t="s">
        <v>286</v>
      </c>
      <c r="J14" s="254" t="n">
        <v>5158</v>
      </c>
      <c r="K14" s="238" t="s">
        <v>287</v>
      </c>
      <c r="L14" s="254" t="n">
        <v>1930</v>
      </c>
      <c r="M14" s="238" t="s">
        <v>288</v>
      </c>
      <c r="N14" s="236" t="n">
        <v>7644</v>
      </c>
      <c r="O14" s="238" t="s">
        <v>289</v>
      </c>
      <c r="P14" s="236" t="n">
        <v>3007</v>
      </c>
      <c r="Q14" s="233" t="s">
        <v>290</v>
      </c>
      <c r="R14" s="187"/>
    </row>
    <row r="15" customFormat="false" ht="15.75" hidden="false" customHeight="true" outlineLevel="0" collapsed="false">
      <c r="A15" s="255" t="s">
        <v>291</v>
      </c>
      <c r="B15" s="256" t="s">
        <v>34</v>
      </c>
      <c r="C15" s="257"/>
      <c r="D15" s="257" t="s">
        <v>34</v>
      </c>
      <c r="E15" s="257"/>
      <c r="F15" s="257" t="s">
        <v>34</v>
      </c>
      <c r="G15" s="257"/>
      <c r="H15" s="257" t="s">
        <v>34</v>
      </c>
      <c r="I15" s="257"/>
      <c r="J15" s="257" t="s">
        <v>34</v>
      </c>
      <c r="K15" s="257"/>
      <c r="L15" s="257" t="s">
        <v>34</v>
      </c>
      <c r="M15" s="257"/>
      <c r="N15" s="257" t="s">
        <v>34</v>
      </c>
      <c r="O15" s="257"/>
      <c r="P15" s="257" t="s">
        <v>34</v>
      </c>
      <c r="Q15" s="257"/>
      <c r="R15" s="257" t="s">
        <v>34</v>
      </c>
      <c r="S15" s="258"/>
      <c r="T15" s="258"/>
      <c r="U15" s="258"/>
      <c r="V15" s="258"/>
      <c r="W15" s="258"/>
      <c r="X15" s="258"/>
      <c r="Y15" s="258"/>
      <c r="Z15" s="258"/>
      <c r="AA15" s="258"/>
      <c r="AB15" s="258"/>
      <c r="AC15" s="258"/>
      <c r="AD15" s="258"/>
    </row>
    <row r="16" customFormat="false" ht="15.75" hidden="false" customHeight="true" outlineLevel="0" collapsed="false">
      <c r="A16" s="225" t="s">
        <v>37</v>
      </c>
      <c r="B16" s="160" t="s">
        <v>292</v>
      </c>
      <c r="C16" s="239" t="s">
        <v>293</v>
      </c>
      <c r="D16" s="259" t="s">
        <v>294</v>
      </c>
      <c r="E16" s="239" t="s">
        <v>295</v>
      </c>
      <c r="F16" s="259" t="s">
        <v>296</v>
      </c>
      <c r="G16" s="233" t="s">
        <v>297</v>
      </c>
      <c r="H16" s="232" t="s">
        <v>34</v>
      </c>
      <c r="I16" s="239" t="s">
        <v>298</v>
      </c>
      <c r="J16" s="259" t="s">
        <v>296</v>
      </c>
      <c r="K16" s="239" t="s">
        <v>299</v>
      </c>
      <c r="L16" s="259" t="s">
        <v>300</v>
      </c>
      <c r="M16" s="239" t="s">
        <v>301</v>
      </c>
      <c r="N16" s="259" t="s">
        <v>302</v>
      </c>
      <c r="O16" s="233" t="s">
        <v>273</v>
      </c>
      <c r="P16" s="233" t="s">
        <v>34</v>
      </c>
      <c r="Q16" s="239" t="s">
        <v>303</v>
      </c>
      <c r="R16" s="229" t="n">
        <v>9154</v>
      </c>
    </row>
    <row r="17" customFormat="false" ht="34.5" hidden="false" customHeight="true" outlineLevel="0" collapsed="false">
      <c r="A17" s="225" t="s">
        <v>18</v>
      </c>
      <c r="B17" s="160" t="s">
        <v>304</v>
      </c>
      <c r="C17" s="239" t="s">
        <v>305</v>
      </c>
      <c r="D17" s="236" t="n">
        <v>3343</v>
      </c>
      <c r="E17" s="239" t="s">
        <v>306</v>
      </c>
      <c r="F17" s="236" t="n">
        <v>5158</v>
      </c>
      <c r="G17" s="239" t="s">
        <v>307</v>
      </c>
      <c r="H17" s="260" t="n">
        <v>4216</v>
      </c>
      <c r="I17" s="239" t="s">
        <v>308</v>
      </c>
      <c r="J17" s="254" t="n">
        <v>5158</v>
      </c>
      <c r="K17" s="239" t="s">
        <v>309</v>
      </c>
      <c r="L17" s="254" t="n">
        <v>1930</v>
      </c>
      <c r="M17" s="239" t="s">
        <v>310</v>
      </c>
      <c r="N17" s="236" t="n">
        <v>7644</v>
      </c>
      <c r="O17" s="233" t="s">
        <v>297</v>
      </c>
      <c r="P17" s="233" t="s">
        <v>34</v>
      </c>
      <c r="Q17" s="239" t="s">
        <v>311</v>
      </c>
      <c r="R17" s="229" t="n">
        <v>9154</v>
      </c>
    </row>
    <row r="18" customFormat="false" ht="38.25" hidden="false" customHeight="true" outlineLevel="0" collapsed="false">
      <c r="A18" s="225" t="s">
        <v>17</v>
      </c>
      <c r="B18" s="118" t="s">
        <v>312</v>
      </c>
      <c r="C18" s="239" t="s">
        <v>313</v>
      </c>
      <c r="D18" s="236" t="n">
        <v>3343</v>
      </c>
      <c r="E18" s="239" t="s">
        <v>314</v>
      </c>
      <c r="F18" s="236" t="n">
        <v>5158</v>
      </c>
      <c r="G18" s="239" t="s">
        <v>315</v>
      </c>
      <c r="H18" s="261" t="n">
        <v>4433</v>
      </c>
      <c r="I18" s="239" t="s">
        <v>316</v>
      </c>
      <c r="J18" s="254" t="n">
        <v>5158</v>
      </c>
      <c r="K18" s="239" t="s">
        <v>317</v>
      </c>
      <c r="L18" s="254" t="n">
        <v>1930</v>
      </c>
      <c r="M18" s="239" t="s">
        <v>318</v>
      </c>
      <c r="N18" s="236" t="n">
        <v>7644</v>
      </c>
      <c r="O18" s="233" t="s">
        <v>297</v>
      </c>
      <c r="P18" s="233" t="s">
        <v>34</v>
      </c>
      <c r="Q18" s="239" t="s">
        <v>319</v>
      </c>
      <c r="R18" s="229" t="n">
        <v>9154</v>
      </c>
    </row>
    <row r="19" customFormat="false" ht="15.75" hidden="false" customHeight="true" outlineLevel="0" collapsed="false">
      <c r="A19" s="225" t="s">
        <v>23</v>
      </c>
      <c r="B19" s="239" t="s">
        <v>320</v>
      </c>
      <c r="C19" s="239" t="s">
        <v>321</v>
      </c>
      <c r="D19" s="236" t="n">
        <v>3343</v>
      </c>
      <c r="E19" s="239" t="s">
        <v>322</v>
      </c>
      <c r="F19" s="236" t="n">
        <v>5159</v>
      </c>
      <c r="G19" s="239" t="s">
        <v>323</v>
      </c>
      <c r="H19" s="253" t="n">
        <v>5232</v>
      </c>
      <c r="I19" s="239" t="s">
        <v>324</v>
      </c>
      <c r="J19" s="254" t="n">
        <v>5159</v>
      </c>
      <c r="K19" s="239" t="s">
        <v>325</v>
      </c>
      <c r="L19" s="254" t="n">
        <v>1930</v>
      </c>
      <c r="M19" s="239" t="s">
        <v>326</v>
      </c>
      <c r="N19" s="236" t="n">
        <v>7645</v>
      </c>
      <c r="O19" s="239" t="s">
        <v>327</v>
      </c>
      <c r="P19" s="236" t="n">
        <v>3008</v>
      </c>
      <c r="Q19" s="239" t="s">
        <v>328</v>
      </c>
      <c r="R19" s="229" t="n">
        <v>9154</v>
      </c>
    </row>
    <row r="20" customFormat="false" ht="43.5" hidden="false" customHeight="true" outlineLevel="0" collapsed="false">
      <c r="A20" s="225" t="s">
        <v>329</v>
      </c>
      <c r="B20" s="160" t="s">
        <v>330</v>
      </c>
      <c r="C20" s="239" t="s">
        <v>331</v>
      </c>
      <c r="D20" s="236" t="n">
        <v>3343</v>
      </c>
      <c r="E20" s="239" t="s">
        <v>332</v>
      </c>
      <c r="F20" s="236" t="n">
        <v>51158</v>
      </c>
      <c r="G20" s="239" t="s">
        <v>333</v>
      </c>
      <c r="H20" s="253" t="n">
        <v>5232</v>
      </c>
      <c r="I20" s="239" t="s">
        <v>334</v>
      </c>
      <c r="J20" s="254" t="n">
        <v>5158</v>
      </c>
      <c r="K20" s="239" t="s">
        <v>335</v>
      </c>
      <c r="L20" s="254" t="n">
        <v>1930</v>
      </c>
      <c r="M20" s="239" t="s">
        <v>336</v>
      </c>
      <c r="N20" s="236" t="n">
        <v>7644</v>
      </c>
      <c r="O20" s="239" t="s">
        <v>337</v>
      </c>
      <c r="P20" s="236" t="n">
        <v>3007</v>
      </c>
      <c r="Q20" s="239" t="s">
        <v>338</v>
      </c>
      <c r="R20" s="229" t="n">
        <v>9154</v>
      </c>
    </row>
    <row r="21" customFormat="false" ht="15.75" hidden="false" customHeight="true" outlineLevel="0" collapsed="false">
      <c r="A21" s="225" t="s">
        <v>339</v>
      </c>
      <c r="B21" s="160" t="s">
        <v>340</v>
      </c>
      <c r="C21" s="239" t="s">
        <v>341</v>
      </c>
      <c r="D21" s="236" t="n">
        <v>3343</v>
      </c>
      <c r="E21" s="239" t="s">
        <v>342</v>
      </c>
      <c r="F21" s="236" t="n">
        <v>3440</v>
      </c>
      <c r="G21" s="239" t="s">
        <v>343</v>
      </c>
      <c r="H21" s="253" t="n">
        <v>4216</v>
      </c>
      <c r="I21" s="239" t="s">
        <v>344</v>
      </c>
      <c r="J21" s="254" t="n">
        <v>5158</v>
      </c>
      <c r="K21" s="239" t="s">
        <v>345</v>
      </c>
      <c r="L21" s="254" t="n">
        <v>1930</v>
      </c>
      <c r="M21" s="239" t="s">
        <v>346</v>
      </c>
      <c r="N21" s="236" t="n">
        <v>7644</v>
      </c>
      <c r="O21" s="239" t="s">
        <v>347</v>
      </c>
      <c r="P21" s="236" t="n">
        <v>3007</v>
      </c>
      <c r="Q21" s="239" t="s">
        <v>348</v>
      </c>
      <c r="R21" s="229" t="n">
        <v>9154</v>
      </c>
    </row>
    <row r="22" customFormat="false" ht="15.75" hidden="false" customHeight="true" outlineLevel="0" collapsed="false">
      <c r="A22" s="225" t="s">
        <v>349</v>
      </c>
      <c r="B22" s="160" t="s">
        <v>350</v>
      </c>
      <c r="C22" s="239" t="s">
        <v>351</v>
      </c>
      <c r="D22" s="262" t="n">
        <v>3355</v>
      </c>
      <c r="E22" s="239" t="s">
        <v>352</v>
      </c>
      <c r="F22" s="262" t="n">
        <v>5165</v>
      </c>
      <c r="G22" s="239" t="s">
        <v>353</v>
      </c>
      <c r="H22" s="263" t="n">
        <v>5245</v>
      </c>
      <c r="I22" s="187" t="s">
        <v>297</v>
      </c>
      <c r="J22" s="232" t="s">
        <v>34</v>
      </c>
      <c r="K22" s="239" t="s">
        <v>354</v>
      </c>
      <c r="L22" s="262" t="n">
        <v>1935</v>
      </c>
      <c r="M22" s="187" t="s">
        <v>290</v>
      </c>
      <c r="N22" s="232" t="s">
        <v>34</v>
      </c>
      <c r="O22" s="239" t="s">
        <v>355</v>
      </c>
      <c r="P22" s="264" t="n">
        <v>3015</v>
      </c>
      <c r="Q22" s="239" t="s">
        <v>356</v>
      </c>
      <c r="R22" s="262" t="n">
        <v>9165</v>
      </c>
    </row>
    <row r="23" customFormat="false" ht="57" hidden="false" customHeight="true" outlineLevel="0" collapsed="false">
      <c r="A23" s="225" t="s">
        <v>29</v>
      </c>
      <c r="B23" s="160" t="s">
        <v>357</v>
      </c>
      <c r="C23" s="239" t="s">
        <v>358</v>
      </c>
      <c r="D23" s="236" t="n">
        <v>3343</v>
      </c>
      <c r="E23" s="239" t="s">
        <v>359</v>
      </c>
      <c r="F23" s="236" t="s">
        <v>198</v>
      </c>
      <c r="G23" s="239" t="s">
        <v>360</v>
      </c>
      <c r="H23" s="253" t="n">
        <v>5232</v>
      </c>
      <c r="I23" s="239" t="s">
        <v>361</v>
      </c>
      <c r="J23" s="254" t="n">
        <v>5158</v>
      </c>
      <c r="K23" s="239" t="s">
        <v>362</v>
      </c>
      <c r="L23" s="254" t="n">
        <v>1930</v>
      </c>
      <c r="M23" s="239" t="s">
        <v>363</v>
      </c>
      <c r="N23" s="236" t="n">
        <v>7644</v>
      </c>
      <c r="O23" s="239" t="s">
        <v>364</v>
      </c>
      <c r="P23" s="236" t="n">
        <v>3007</v>
      </c>
      <c r="Q23" s="239" t="s">
        <v>365</v>
      </c>
      <c r="R23" s="229" t="n">
        <v>9154</v>
      </c>
    </row>
    <row r="24" customFormat="false" ht="46.5" hidden="false" customHeight="true" outlineLevel="0" collapsed="false">
      <c r="A24" s="225" t="s">
        <v>366</v>
      </c>
      <c r="B24" s="160" t="s">
        <v>367</v>
      </c>
      <c r="C24" s="239" t="s">
        <v>368</v>
      </c>
      <c r="D24" s="236" t="s">
        <v>196</v>
      </c>
      <c r="E24" s="239" t="s">
        <v>369</v>
      </c>
      <c r="F24" s="236" t="s">
        <v>198</v>
      </c>
      <c r="G24" s="239" t="s">
        <v>370</v>
      </c>
      <c r="H24" s="253" t="n">
        <v>4971</v>
      </c>
      <c r="I24" s="239" t="s">
        <v>371</v>
      </c>
      <c r="J24" s="254" t="n">
        <v>4901</v>
      </c>
      <c r="K24" s="239" t="s">
        <v>372</v>
      </c>
      <c r="L24" s="254" t="n">
        <v>1834</v>
      </c>
      <c r="M24" s="239" t="s">
        <v>373</v>
      </c>
      <c r="N24" s="236" t="s">
        <v>205</v>
      </c>
      <c r="O24" s="239" t="s">
        <v>374</v>
      </c>
      <c r="P24" s="236" t="s">
        <v>207</v>
      </c>
      <c r="Q24" s="239" t="s">
        <v>375</v>
      </c>
      <c r="R24" s="236" t="s">
        <v>209</v>
      </c>
    </row>
    <row r="25" customFormat="false" ht="48.75" hidden="false" customHeight="true" outlineLevel="0" collapsed="false">
      <c r="A25" s="225" t="s">
        <v>376</v>
      </c>
      <c r="B25" s="160" t="s">
        <v>377</v>
      </c>
      <c r="C25" s="239" t="s">
        <v>378</v>
      </c>
      <c r="D25" s="236" t="n">
        <v>3343</v>
      </c>
      <c r="E25" s="239" t="s">
        <v>379</v>
      </c>
      <c r="F25" s="236" t="s">
        <v>198</v>
      </c>
      <c r="G25" s="239" t="s">
        <v>380</v>
      </c>
      <c r="H25" s="253" t="n">
        <v>5232</v>
      </c>
      <c r="I25" s="239" t="s">
        <v>381</v>
      </c>
      <c r="J25" s="254" t="n">
        <v>5158</v>
      </c>
      <c r="K25" s="239" t="s">
        <v>382</v>
      </c>
      <c r="L25" s="254" t="n">
        <v>1930</v>
      </c>
      <c r="M25" s="239" t="s">
        <v>383</v>
      </c>
      <c r="N25" s="236" t="n">
        <v>7644</v>
      </c>
      <c r="O25" s="239" t="s">
        <v>384</v>
      </c>
      <c r="P25" s="236" t="n">
        <v>3007</v>
      </c>
      <c r="Q25" s="239" t="s">
        <v>385</v>
      </c>
      <c r="R25" s="229" t="n">
        <v>9154</v>
      </c>
    </row>
    <row r="26" customFormat="false" ht="15.75" hidden="false" customHeight="true" outlineLevel="0" collapsed="false">
      <c r="A26" s="74"/>
      <c r="B26" s="146"/>
      <c r="C26" s="265"/>
      <c r="D26" s="265"/>
      <c r="E26" s="76"/>
      <c r="F26" s="76"/>
      <c r="G26" s="265"/>
      <c r="H26" s="265"/>
      <c r="I26" s="76"/>
      <c r="J26" s="76"/>
      <c r="K26" s="265"/>
      <c r="L26" s="265"/>
      <c r="M26" s="76"/>
      <c r="N26" s="76"/>
      <c r="O26" s="265"/>
      <c r="P26" s="265"/>
      <c r="Q26" s="76"/>
      <c r="R26" s="76"/>
    </row>
    <row r="27" customFormat="false" ht="15.75" hidden="false" customHeight="true" outlineLevel="0" collapsed="false">
      <c r="A27" s="74"/>
      <c r="B27" s="146"/>
      <c r="C27" s="265"/>
      <c r="D27" s="265"/>
      <c r="E27" s="76"/>
      <c r="F27" s="76"/>
      <c r="G27" s="265"/>
      <c r="H27" s="265"/>
      <c r="I27" s="76"/>
      <c r="J27" s="76"/>
      <c r="K27" s="265"/>
      <c r="L27" s="265"/>
      <c r="M27" s="76"/>
      <c r="N27" s="76"/>
      <c r="O27" s="265"/>
      <c r="P27" s="265"/>
      <c r="Q27" s="76"/>
      <c r="R27" s="76"/>
    </row>
    <row r="28" customFormat="false" ht="15.75" hidden="false" customHeight="true" outlineLevel="0" collapsed="false">
      <c r="A28" s="74"/>
      <c r="B28" s="146"/>
      <c r="C28" s="265"/>
      <c r="D28" s="265"/>
      <c r="E28" s="76"/>
      <c r="F28" s="76"/>
      <c r="G28" s="265"/>
      <c r="H28" s="265"/>
      <c r="I28" s="76"/>
      <c r="J28" s="76"/>
      <c r="K28" s="265"/>
      <c r="L28" s="265"/>
      <c r="M28" s="76"/>
      <c r="N28" s="76"/>
      <c r="O28" s="265"/>
      <c r="P28" s="265"/>
      <c r="Q28" s="76"/>
      <c r="R28" s="76"/>
    </row>
    <row r="29" customFormat="false" ht="15.75" hidden="false" customHeight="true" outlineLevel="0" collapsed="false">
      <c r="A29" s="74"/>
      <c r="B29" s="146"/>
      <c r="C29" s="265"/>
      <c r="D29" s="265"/>
      <c r="E29" s="76"/>
      <c r="F29" s="76"/>
      <c r="G29" s="265"/>
      <c r="H29" s="265"/>
      <c r="I29" s="76"/>
      <c r="J29" s="76"/>
      <c r="K29" s="265"/>
      <c r="L29" s="265"/>
      <c r="M29" s="76"/>
      <c r="N29" s="76"/>
      <c r="O29" s="265"/>
      <c r="P29" s="265"/>
      <c r="Q29" s="76"/>
      <c r="R29" s="76"/>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A1:AD26">
    <cfRule type="expression" priority="2" aboveAverage="0" equalAverage="0" bottom="0" percent="0" rank="0" text="" dxfId="0">
      <formula>LEN(TRIM(A1))&gt;0</formula>
    </cfRule>
  </conditionalFormatting>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C3" r:id="rId8" display="https://brwmania.com.ua/gostinaja/modulnye-gostinye/sistema-azteka/tumba-pod-tv-acteka-rtv2d2s415/"/>
    <hyperlink ref="E3" r:id="rId9" display="https://brwmania.com.ua/gostinaja/modulnye-gostinye/sistema_indiana__sosna_kanjon/indiana-sosna-kanyon-j-007-stol-pismennyy-jbiu-2d2s-140/"/>
    <hyperlink ref="G3" r:id="rId10" display="https://brwmania.com.ua/gostinaja/modulnye-gostinye/sistema_koen_mdf/014-koen-mdf-shafa-szf2d2s/"/>
    <hyperlink ref="I3" r:id="rId11" display="https://brwmania.com.ua/gostinaja/modulnye-gostinye/sistema_vajt/008-vayt-komod-4s-90/"/>
    <hyperlink ref="K3" r:id="rId12" display="https://brwmania.com.ua/gostinaja/modulnye-gostinye/sistema_nepo/nepo-prihozha-ppk/"/>
    <hyperlink ref="M3" r:id="rId13" display="https://brwmania.com.ua/gostinaja/komplekty-gostinyh/aljaska-alaska-gostinaja/"/>
    <hyperlink ref="O3" r:id="rId14" display="https://brwmania.com.ua/gostinaja/komplekty-gostinyh/stinka-kvatro-venge-magia/"/>
    <hyperlink ref="Q3" r:id="rId15" display="https://brwmania.com.ua/spalni/modulnye-spalni/sistema-spalni-liberti/005-shkaf-3d/"/>
    <hyperlink ref="A5" r:id="rId16" display="https://brwwood.com.ua/"/>
    <hyperlink ref="C5" r:id="rId17" display="https://brwwood.com.ua/tumbochki-i-tumby/tumby-pod-televizor/001-atsteka-tumba-rtv2d2s-4-15-tumba-pod-televizor"/>
    <hyperlink ref="E5" r:id="rId18" display="https://brwwood.com.ua/stoly/pismennye-stoly/stol-pismennyj-brw-indiana-sosna-kanjon-jbiu-2d2s-140"/>
    <hyperlink ref="G5" r:id="rId19" display="https://brwwood.com.ua/shkafy-i-xranenie/dvuxdvernye-shkafy/shkaf-gerbor-koen-mdf-szf2d2s"/>
    <hyperlink ref="I5" r:id="rId20" display="https://brwwood.com.ua/komody/komod-gerbor-vajt-4s-90"/>
    <hyperlink ref="K5" r:id="rId21" display="https://brwwood.com.ua/mebel-dlja-prixozhej/komplekty-prixozhyx/prixozhaja-gerbor-nepo-ppk"/>
    <hyperlink ref="M5" r:id="rId22" display="https://brwwood.com.ua/mebel-dlja-gostinoj/komplekty-stenok-v-gostnnuju/gostinaja-aljaska-brw"/>
    <hyperlink ref="O5" r:id="rId23" display="https://brwwood.com.ua/mebel-dlja-gostinoj/komplekty-stenok-v-gostnnuju/gostinaja-kvatro-gerbor"/>
    <hyperlink ref="Q5" r:id="rId24" display="https://brwwood.com.ua/shkafy-i-xranenie/trexdvernye-shkafy/shkaf-brw-liberti-3d"/>
    <hyperlink ref="A6" r:id="rId25" display="https://mebli-bristol.com.ua/"/>
    <hyperlink ref="C6" r:id="rId26" display="https://mebli-bristol.com.ua/acteka-tumba-rtv-2d2s-4-15-brv-ukraina.html"/>
    <hyperlink ref="E6" r:id="rId27" display="https://mebli-bristol.com.ua/indiana-stil-pis-movij-jbiu-2d2s-140-sosna-kan-jon-brv-ukraina.html"/>
    <hyperlink ref="G6" r:id="rId28" display="https://mebli-bristol.com.ua/koen-shafa-szf-2d2s-mdf-gerbor.html"/>
    <hyperlink ref="I6" r:id="rId29" display="https://mebli-bristol.com.ua/vajt-komod-4s-90-gerbor.html"/>
    <hyperlink ref="K6" r:id="rId30" display="https://mebli-bristol.com.ua/nepo-peredpokij-ppk-gerbor-9728.html"/>
    <hyperlink ref="M6" r:id="rId31" display="https://mebli-bristol.com.ua/aljaska-brv-ukraina.html"/>
    <hyperlink ref="O6" r:id="rId32" display="https://mebli-bristol.com.ua/kvatro-gerbor.html"/>
    <hyperlink ref="Q6" r:id="rId33" display="https://mebli-bristol.com.ua/liberti-shafa-szf-3d-brv-ukraina.html"/>
    <hyperlink ref="A7" r:id="rId34" display="https://stuloff.com.ua/index.php?route=common/home"/>
    <hyperlink ref="E7" r:id="rId35" display="https://stuloff.com.ua/stol_pism_jbiu_2d2s_140_indiana_kanjon-?search=%D0%B8%D0%BD%D0%B4%D0%B8%D0%B0%D0%BD%D0%B0&amp;category_id=0&amp;page=3"/>
    <hyperlink ref="G7" r:id="rId36" display="https://stuloff.com.ua/chkaf_szf_2d2s_koen_mdf?search=%D0%BA%D0%BE%D0%B5%D0%BD&amp;category_id=0&amp;page=3"/>
    <hyperlink ref="I7" r:id="rId37" display="https://stuloff.com.ua/komod_4s_90_white?search=%D0%B2%D0%B0%D0%B9%D1%82&amp;category_id=0"/>
    <hyperlink ref="K7" r:id="rId38" display="https://stuloff.com.ua/prichozay_ppk_nepo?search=%D0%BD%D0%B5%D0%BF%D0%BE&amp;category_id=0"/>
    <hyperlink ref="M7" r:id="rId39" display="https://stuloff.com.ua/gostinaya_alyaska_brw?search=%D0%B0%D0%BB%D1%8F%D1%81%D0%BA%D0%B0&amp;category_id=0"/>
    <hyperlink ref="O7" r:id="rId40" display="https://stuloff.com.ua/gostinay_kvatro_gerbor_venge?search=%D0%BA%D0%B2%D0%B0%D1%82%D1%80%D0%BE&amp;category_id=0"/>
    <hyperlink ref="Q7" r:id="rId41" display="https://stuloff.com.ua/chkaf_3d_liberti?search=%D0%BB%D0%B8%D0%B1%D0%B5%D1%80%D1%82%D0%B8&amp;category_id=0"/>
    <hyperlink ref="A8" r:id="rId42" display="https://www.mebelvdom.ua/"/>
    <hyperlink ref="C8" r:id="rId43" display="https://www.mebelvdom.ua/product/tumba-tv-rtv2d2s-4-15-acteka-brv"/>
    <hyperlink ref="E8" r:id="rId44" display="https://www.mebelvdom.ua/product/stol-pismennyj-jbiu2d2s-140-indiana-kanon-brv"/>
    <hyperlink ref="I8" r:id="rId45" display="https://www.mebelvdom.ua/product/komod-4s-90-vajt-gerbor"/>
    <hyperlink ref="K8" r:id="rId46" display="https://www.mebelvdom.ua/product/prihozhaya-ppk-nepo-gerbor"/>
    <hyperlink ref="M8" r:id="rId47" display="https://www.mebelvdom.ua/product/gostinaya-alyaska-brv"/>
    <hyperlink ref="Q8" r:id="rId48" display="https://www.mebelvdom.ua/product/shkaf-szf3d-liberti-brv"/>
    <hyperlink ref="A9" r:id="rId49" display="http://abcmebli.com.ua/"/>
    <hyperlink ref="C9" r:id="rId50" display="http://abcmebli.com.ua/p14992-tumba_tv_rtv2d2s-4-15_atsteka"/>
    <hyperlink ref="E9" r:id="rId51" display="http://abcmebli.com.ua/p1892-stol_pismenniy_jbiu2d2s_140_indiana"/>
    <hyperlink ref="G9" r:id="rId52" display="http://abcmebli.com.ua/p15143-koen_mdf_shkaf_szf2d2s"/>
    <hyperlink ref="I9" r:id="rId53" display="http://abcmebli.com.ua/p15658-komod_4s_90_vayt_gerbor"/>
    <hyperlink ref="K9" r:id="rId54" display="http://abcmebli.com.ua/p15897-nepo_prihozhaya_ppk_gerbor"/>
    <hyperlink ref="M9" r:id="rId55" display="http://abcmebli.com.ua/p15191-stenka_alyaska_brv"/>
    <hyperlink ref="O9" r:id="rId56" display="http://abcmebli.com.ua/p2515-stenka_kvatro_gerbor"/>
    <hyperlink ref="Q9" r:id="rId57" display="http://abcmebli.com.ua/p15617-shkaf_szf3d_liberti_brv"/>
    <hyperlink ref="A10" r:id="rId58" display="http://www.maxidom.com.ua/"/>
    <hyperlink ref="C10" r:id="rId59" display="http://www.maxidom.com.ua/tumba-rtv-atsteka-2d2s415.html?search_string=%D2%F3%EC%E1%E0+%D0%D2%C2+%C0%F6%F2%E5%EA%E0+2D2S%2F4%2F15"/>
    <hyperlink ref="E10" r:id="rId60" display="http://www.maxidom.com.ua/stol_pismenniy_indiana_jbiu2d2s.html?search_string=%E8%ED%E4%E8%E0%ED%E0"/>
    <hyperlink ref="G10" r:id="rId61" display="http://www.maxidom.com.ua/shkaf-szf2d2s-koen-mdf.html?search_string=%D8%EA%E0%F4+SZF2D2S+%CA%EE%E5%ED+%28%CC%C4%D4%29"/>
    <hyperlink ref="I10" r:id="rId62" display="http://www.maxidom.com.ua/komod-vayt-4s-90.html?search_string=%CA%EE%EC%EE%E4+%C2%E0%E9%F2+4S+90"/>
    <hyperlink ref="K10" r:id="rId63" display="http://www.maxidom.com.ua/prihozhaya-nepo-ppk.html?search_string=%ED%E5%EF%EE"/>
    <hyperlink ref="M10" r:id="rId64" display="http://www.maxidom.com.ua/stenka-alyaska.html?search_string=%C0%EB%FF%F1%EA%E0"/>
    <hyperlink ref="O10" r:id="rId65" display="http://www.maxidom.com.ua/stenka-kvatro.html?search_string=%EA%E2%E0%F2%F0%EE"/>
    <hyperlink ref="Q10" r:id="rId66" display="http://www.maxidom.com.ua/shkaf-liberti-3d.html?search_string=%EB%E8%E1%E5%F0%F2%E8"/>
    <hyperlink ref="A11" r:id="rId67" display="https://www.dybok.com.ua/"/>
    <hyperlink ref="C11" r:id="rId68" display="https://www.dybok.com.ua/ru/product/detail/35816"/>
    <hyperlink ref="E11" r:id="rId69" display="https://www.dybok.com.ua/ru/product/detail/4291"/>
    <hyperlink ref="G11" r:id="rId70" display="https://www.dybok.com.ua/ru/product/detail/6363"/>
    <hyperlink ref="I11" r:id="rId71" display="https://www.dybok.com.ua/ru/product/detail/12057"/>
    <hyperlink ref="K11" r:id="rId72" display="https://www.dybok.com.ua/ru/product/detail/18085"/>
    <hyperlink ref="M11" r:id="rId73" display="https://www.dybok.com.ua/ru/product/detail/50410"/>
    <hyperlink ref="O11" r:id="rId74" display="https://www.dybok.com.ua/ru/product/detail/6077"/>
    <hyperlink ref="Q11" r:id="rId75" display="https://www.dybok.com.ua/ru/product/detail/31073"/>
    <hyperlink ref="A12" r:id="rId76" location="meb-main" display="http://mebmarket.com.ua/#meb-main"/>
    <hyperlink ref="C12" r:id="rId77" display="http://mebmarket.com.ua/gostinaya1/modulnye-sistemy-dlya-gostinnykh/acteka/rtv2d2s-acteka-detail.html"/>
    <hyperlink ref="E12" r:id="rId78" display="http://mebmarket.com.ua/modulnye-sistemy/i-k/2014-04-30-13-16-35/stol-pismennyj-jbiu-2d2s-140-indiana-dub-shutter-3261-detail.html"/>
    <hyperlink ref="G12" r:id="rId79" display="http://mebmarket.com.ua/gostinaya1/shkafy/shkafy/szf2d2s-koen-mdf-detail.html"/>
    <hyperlink ref="O12" r:id="rId80" display="http://mebmarket.com.ua/gostinaya1/gostinye/gostinye-gerbor-i-brw/gostinaya-kvatro-venge-magiya-detail.html"/>
    <hyperlink ref="A13" r:id="rId81" display="https://prom.ua/"/>
    <hyperlink ref="C13" r:id="rId82" display="https://prom.ua/p942307244-atsteka-tumba-pod.html"/>
    <hyperlink ref="E13" r:id="rId83" display="https://prom.ua/p855482757-stol-pismennyj-jbiu.html"/>
    <hyperlink ref="G13" r:id="rId84" display="https://prom.ua/p356287589-shkaf-szf2d2s-koen.html"/>
    <hyperlink ref="I13" r:id="rId85" display="https://prom.ua/p571241833-komod-vajt.html"/>
    <hyperlink ref="M13" r:id="rId86" display="https://prom.ua/p589661092-stenka-alyaska-brv.html"/>
    <hyperlink ref="A14" r:id="rId87" display="https://shurup.net.ua/"/>
    <hyperlink ref="C14" r:id="rId88" display="https://shurup.net.ua/azteca-acteka-tumba-rtv2d2s415.p17205"/>
    <hyperlink ref="E14" r:id="rId89" display="https://shurup.net.ua/stol-pismennyj-jbiu-2d2s-140-indiana-sosna-kanon.p9423"/>
    <hyperlink ref="G14" r:id="rId90" display="https://shurup.net.ua/shkaf-szf2d2s-koen-mdf.p1208"/>
    <hyperlink ref="I14" r:id="rId91" display="https://shurup.net.ua/komod-4s-90-vajt.p11059"/>
    <hyperlink ref="K14" r:id="rId92" display="https://shurup.net.ua/prihozhaya-rrk-nepo.p13611"/>
    <hyperlink ref="M14" r:id="rId93" display="https://shurup.net.ua/gostinaja-aljaska.p28551"/>
    <hyperlink ref="O14" r:id="rId94" display="https://shurup.net.ua/gostinaya-kvatro-venge-magiya.p836"/>
    <hyperlink ref="A16" r:id="rId95" display="https://www.brw-kiev.com.ua/"/>
    <hyperlink ref="C16" r:id="rId96" display="https://www.brw-kiev.com.ua/catalog/mebel/kabinet/azteca-shafka_pid_tv-rtv2d2s_4_15-000004821.html?sphrase_id=71202"/>
    <hyperlink ref="E16" r:id="rId97" display="https://www.brw-kiev.com.ua/catalog/mebel/kabinet/indiana-stil_pis_moviy-jbiu2d2s-000000254.html"/>
    <hyperlink ref="I16" r:id="rId98" display="https://www.brw-kiev.com.ua/catalog/mebel/vayt-komod-kom4s_90-000008377.html"/>
    <hyperlink ref="K16" r:id="rId99" display="https://www.brw-kiev.com.ua/catalog/mebel/nepo-peredpokiy-ppk-000006567.html"/>
    <hyperlink ref="M16" r:id="rId100" display="https://www.brw-kiev.com.ua/catalog/mebel/stinki-vital_nya-alaska-000006901.html"/>
    <hyperlink ref="Q16" r:id="rId101" display="https://www.brw-kiev.com.ua/catalog/mebel/liberty-shafa-szf_3d-000006341.html"/>
    <hyperlink ref="A17" r:id="rId102" display="http://www.brwland.com.ua/"/>
    <hyperlink ref="C17" r:id="rId103" display="http://www.brwland.com.ua/product/azteca-tumba-tv-rtv2d2s415-brv-ukraina/"/>
    <hyperlink ref="E17" r:id="rId104" display="http://www.brwland.com.ua/product/indiana-kanjon-stol-pismennyj-jbiu-2d2s140-brv-ukraina/"/>
    <hyperlink ref="G17" r:id="rId105" display="http://www.brwland.com.ua/product/koen-szf-2d2s-shkaf-gerbor/"/>
    <hyperlink ref="I17" r:id="rId106" display="http://www.brwland.com.ua/product/white-komod-4s90-gerbor/"/>
    <hyperlink ref="K17" r:id="rId107" display="http://www.brwland.com.ua/product/nepo-prihozhaja-ppk-gerbor/"/>
    <hyperlink ref="M17" r:id="rId108" display="http://www.brwland.com.ua/category/mebel-alaska-brw-ukraina/"/>
    <hyperlink ref="Q17" r:id="rId109" display="http://www.brwland.com.ua/product/liberti-shkaf-szf3d-brv-ukraina/"/>
    <hyperlink ref="A18" r:id="rId110" display="http://gerbor.kiev.ua/"/>
    <hyperlink ref="C18" r:id="rId111" display="http://gerbor.kiev.ua/mebelnye-sistemy/mebel-brw-azteca/azteca-tumba-tv-rtv2d2s-brv/"/>
    <hyperlink ref="E18" r:id="rId112" display="http://gerbor.kiev.ua/mebelnye-sistemy/mebel-indiana-brw/indiana-stol-pismennyy-jbiu2d2s140-brv/"/>
    <hyperlink ref="G18" r:id="rId113" display="http://gerbor.kiev.ua/mebelnye-sistemy/mebel-koen-gerbor/koen-penal-reg2d2s-gerbor/"/>
    <hyperlink ref="I18" r:id="rId114" display="http://gerbor.kiev.ua/mebelnye-sistemy/mebel-white-gerbor/white-komod-4s90-gerbor/"/>
    <hyperlink ref="K18" r:id="rId115" display="http://gerbor.kiev.ua/mebelnye-sistemy/mebel-nepo-gerbor/nepo-prikhozhaya-ppk-gerbor/"/>
    <hyperlink ref="M18" r:id="rId116" display="http://gerbor.kiev.ua/mebelnye-sistemy/mebel-alaska-brw/alaska-gostinaya-brw/"/>
    <hyperlink ref="Q18" r:id="rId117" display="http://gerbor.kiev.ua/mebelnye-sistemy/mebel-liberti-brw/liberti-shkaf-szf3d-brv/"/>
    <hyperlink ref="A19" r:id="rId118" display="http://maxmebel.com.ua/"/>
    <hyperlink ref="B19" r:id="rId119" location="gg33" display="http://maxmebel.com.ua/_hh11.htm#gg33"/>
    <hyperlink ref="C19" r:id="rId120" display="http://maxmebel.com.ua/pi/products_id/15620"/>
    <hyperlink ref="E19" r:id="rId121" display="http://maxmebel.com.ua/pi/products_id/4909"/>
    <hyperlink ref="G19" r:id="rId122" display="http://maxmebel.com.ua/pi/products_id/6503"/>
    <hyperlink ref="I19" r:id="rId123" display="http://maxmebel.com.ua/pi/products_id/13019"/>
    <hyperlink ref="K19" r:id="rId124" display="http://maxmebel.com.ua/pi/products_id/14792"/>
    <hyperlink ref="M19" r:id="rId125" display="http://maxmebel.com.ua/pi/products_id/509"/>
    <hyperlink ref="O19" r:id="rId126" display="http://maxmebel.com.ua/pi/products_id/6732"/>
    <hyperlink ref="Q19" r:id="rId127" display="http://maxmebel.com.ua/pi/products_id/19831"/>
    <hyperlink ref="A20" r:id="rId128" display="https://promebli.ua/"/>
    <hyperlink ref="C20" r:id="rId129" display="https://promebli.ua/tv-tumba-rtv2d2s-4-15-azteca-brw-belaja.html"/>
    <hyperlink ref="E20" r:id="rId130" display="https://promebli.ua/jbiu2d2s.html"/>
    <hyperlink ref="G20" r:id="rId131" display="https://promebli.ua/shkaf-szf2d2s-koen-mdf-gerbor.html"/>
    <hyperlink ref="I20" r:id="rId132" display="https://promebli.ua/komod-4s-90-vait-gerbor.html"/>
    <hyperlink ref="K20" r:id="rId133" display="https://promebli.ua/prihozhaja-ppk-nepo-gerbor.html"/>
    <hyperlink ref="M20" r:id="rId134" display="https://promebli.ua/stenka-aljaska-brw.html"/>
    <hyperlink ref="O20" r:id="rId135" display="https://promebli.ua/stenka-quatro--kvatro--brw.html"/>
    <hyperlink ref="Q20" r:id="rId136" display="https://promebli.ua/shkaf-3d-liberty-brw.html"/>
    <hyperlink ref="A21" r:id="rId137" display="https://komod-bc.com.ua/"/>
    <hyperlink ref="C21" r:id="rId138" display="https://komod-bc.com.ua/products/tumba-s205-rtv2d2s415-atsteka-001"/>
    <hyperlink ref="E21" r:id="rId139" display="https://komod-bc.com.ua/products/stol-pismennyj-jbiu-2d2s-140-indiana-j-007"/>
    <hyperlink ref="G21" r:id="rId140" display="https://komod-bc.com.ua/products/shkaf-szf-2d2s-koen-014"/>
    <hyperlink ref="I21" r:id="rId141" display="https://komod-bc.com.ua/products/komod-4s-90-vajt-008"/>
    <hyperlink ref="K21" r:id="rId142" display="https://komod-bc.com.ua/products/prihozhaya-rrk-nepo-019"/>
    <hyperlink ref="M21" r:id="rId143" display="https://komod-bc.com.ua/products/gostinaya-alyaska"/>
    <hyperlink ref="O21" r:id="rId144" display="https://komod-bc.com.ua/products/gostinaya-kvatro"/>
    <hyperlink ref="Q21" r:id="rId145" display="https://komod-bc.com.ua/products/shkaf-3d-liberti-005"/>
    <hyperlink ref="A22" r:id="rId146" display="https://www.mebelok.com/"/>
    <hyperlink ref="C22" r:id="rId147" display="https://www.mebelok.com/tymba-tv-rtv2d2s415-acteka/"/>
    <hyperlink ref="E22" r:id="rId148" location="option-74736-549003/" display="https://www.mebelok.com/stol-pismennyy-jbiu-2d2s-140/#option-74736-549003/"/>
    <hyperlink ref="G22" r:id="rId149" display="https://www.mebelok.com/koen-shkaf-szf2d2s-mdf/"/>
    <hyperlink ref="K22" r:id="rId150" display="https://www.mebelok.com/prihojaya-ppk-nepo/"/>
    <hyperlink ref="O22" r:id="rId151" display="https://www.mebelok.com/gostinaya-kvatro/"/>
    <hyperlink ref="Q22" r:id="rId152" display="https://www.mebelok.com/shkaf-3d-liberti/"/>
    <hyperlink ref="A23" r:id="rId153" display="http://redlight.com.ua/"/>
    <hyperlink ref="C23" r:id="rId154" display="http://redlight.com.ua/cat/mebel-dlja-gostinnoj/tv-stands/tumba-tv-rtv2d2s-4-15-atsteka.html"/>
    <hyperlink ref="E23" r:id="rId155" display="http://redlight.com.ua/cat/stoly/pisminnye/stol-pismenniy-jbiu-2d2s-indiana.html"/>
    <hyperlink ref="G23" r:id="rId156" display="http://redlight.com.ua/cat/modulnaya-mebel/shkaf/shkaf-szf2d2s-koen-(mdf).html"/>
    <hyperlink ref="I23" r:id="rId157" display="http://redlight.com.ua/cat/modulnaya-mebel/komod/vayt-komod-4s-90.html"/>
    <hyperlink ref="K23" r:id="rId158" display="http://redlight.com.ua/cat/prihozhie/sovremennye/nepo-prihozhaya-rrk-.html"/>
    <hyperlink ref="M23" r:id="rId159" display="http://redlight.com.ua/cat/mebel-dlja-gostinnoj/stenki/stenka-alyaska.html"/>
    <hyperlink ref="O23" r:id="rId160" display="http://redlight.com.ua/cat/mebel-dlja-gostinnoj/stenki/stenka-kvatro.html"/>
    <hyperlink ref="Q23" r:id="rId161" display="http://redlight.com.ua/cat/modulnaya-mebel/shkaf/liberti-shkaf-szf3d.html"/>
    <hyperlink ref="A24" r:id="rId162" display="https://zapadmebel.com.ua/"/>
    <hyperlink ref="C24" r:id="rId163" display="https://zapadmebel.com.ua/mebel-brw/tumba-s205-rtv2d2s-4-15-atsteka-001/"/>
    <hyperlink ref="E24" r:id="rId164" display="https://zapadmebel.com.ua/mebel-brw/indiana-stol-pismennyj-jbiu2d2s/"/>
    <hyperlink ref="G24" r:id="rId165" display="https://zapadmebel.com.ua/mebel-gerbor/shkaf-szf2d2s-koen-mdf-014/"/>
    <hyperlink ref="I24" r:id="rId166" display="https://zapadmebel.com.ua/mebel-gerbor/vajt-komod-4s-90/"/>
    <hyperlink ref="K24" r:id="rId167" display="https://zapadmebel.com.ua/mebel-gerbor/prihozhaya-ppk-nepo/"/>
    <hyperlink ref="M24" r:id="rId168" display="https://zapadmebel.com.ua/mebel-brw/gostinaya-alyaska/"/>
    <hyperlink ref="O24" r:id="rId169" display="https://zapadmebel.com.ua/stenki-gostinye/stenka-kvatro/"/>
    <hyperlink ref="Q24" r:id="rId170" display="https://zapadmebel.com.ua/shkafy/liberti-shkaf-3d/"/>
    <hyperlink ref="A25" r:id="rId171" display="https://meblihit.com.ua/"/>
    <hyperlink ref="C25" r:id="rId172" display="https://meblihit.com.ua/catalog/tumby_dlya_tekhniki/tumba_rtv2d2s_4_15/"/>
    <hyperlink ref="E25" r:id="rId173" display="https://meblihit.com.ua/catalog/desks/modulna_sistema_nd_ana_st_l_pismoviy_jbiu_2s2d_140/"/>
    <hyperlink ref="G25" r:id="rId174" display="https://meblihit.com.ua/catalog/modular_system_of_absence_mdf/modular_system_of_absence_mdf_cupboard_hanging_wardrobe_szf_2d2s/"/>
    <hyperlink ref="I25" r:id="rId175" display="https://meblihit.com.ua/catalog/chests_of_drawers/modulnaya_systema_vayt_white_008_komod_4s_90/"/>
    <hyperlink ref="K25" r:id="rId176" display="https://meblihit.com.ua/catalog/priho_ii_suites/modular_system_nepo_nepo_hallway_ppk/"/>
    <hyperlink ref="M25" r:id="rId177" display="https://meblihit.com.ua/catalog/living_rooms/gostynaya_alyaska_alyaska/"/>
    <hyperlink ref="O25" r:id="rId178" display="https://meblihit.com.ua/catalog/living_rooms/quatro_room/"/>
    <hyperlink ref="Q25" r:id="rId179" display="https://meblihit.com.ua/catalog/cabinets_trekhdvernye/bedroom_liberty_liberty_wardrobe_3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102.29"/>
    <col collapsed="false" customWidth="true" hidden="false" outlineLevel="0" max="4" min="3" style="0" width="22.86"/>
    <col collapsed="false" customWidth="true" hidden="false" outlineLevel="0" max="5" min="5" style="0" width="23.71"/>
    <col collapsed="false" customWidth="true" hidden="false" outlineLevel="0" max="12" min="12" style="0" width="28.43"/>
  </cols>
  <sheetData>
    <row r="1" customFormat="false" ht="93" hidden="false" customHeight="true" outlineLevel="0" collapsed="false">
      <c r="A1" s="213" t="s">
        <v>0</v>
      </c>
      <c r="B1" s="214" t="s">
        <v>126</v>
      </c>
      <c r="C1" s="215" t="s">
        <v>178</v>
      </c>
      <c r="D1" s="215" t="s">
        <v>1</v>
      </c>
      <c r="E1" s="130" t="s">
        <v>178</v>
      </c>
      <c r="F1" s="130" t="s">
        <v>4</v>
      </c>
      <c r="G1" s="215" t="s">
        <v>178</v>
      </c>
      <c r="H1" s="215" t="s">
        <v>179</v>
      </c>
      <c r="I1" s="130" t="s">
        <v>178</v>
      </c>
      <c r="J1" s="130" t="s">
        <v>180</v>
      </c>
      <c r="K1" s="216" t="s">
        <v>178</v>
      </c>
      <c r="L1" s="216" t="s">
        <v>9</v>
      </c>
      <c r="M1" s="217" t="s">
        <v>178</v>
      </c>
      <c r="N1" s="217" t="s">
        <v>15</v>
      </c>
      <c r="O1" s="218" t="s">
        <v>178</v>
      </c>
      <c r="P1" s="219" t="s">
        <v>10</v>
      </c>
      <c r="Q1" s="217" t="s">
        <v>178</v>
      </c>
      <c r="R1" s="217" t="s">
        <v>181</v>
      </c>
    </row>
    <row r="2" customFormat="false" ht="15.75" hidden="false" customHeight="true" outlineLevel="0" collapsed="false">
      <c r="A2" s="220" t="s">
        <v>182</v>
      </c>
      <c r="B2" s="146"/>
      <c r="C2" s="221"/>
      <c r="D2" s="221" t="n">
        <v>3176</v>
      </c>
      <c r="E2" s="222"/>
      <c r="F2" s="222" t="n">
        <v>4901</v>
      </c>
      <c r="G2" s="221"/>
      <c r="H2" s="221" t="n">
        <v>4971</v>
      </c>
      <c r="I2" s="222"/>
      <c r="J2" s="222" t="n">
        <v>4901</v>
      </c>
      <c r="K2" s="223"/>
      <c r="L2" s="223" t="n">
        <v>1834</v>
      </c>
      <c r="M2" s="224"/>
      <c r="N2" s="224" t="n">
        <v>7262</v>
      </c>
      <c r="O2" s="223"/>
      <c r="P2" s="223" t="n">
        <v>2857</v>
      </c>
      <c r="Q2" s="224"/>
      <c r="R2" s="224" t="n">
        <v>8697</v>
      </c>
    </row>
    <row r="3" customFormat="false" ht="15.75" hidden="false" customHeight="true" outlineLevel="0" collapsed="false">
      <c r="A3" s="225" t="s">
        <v>28</v>
      </c>
      <c r="B3" s="147" t="s">
        <v>183</v>
      </c>
      <c r="C3" s="226" t="s">
        <v>184</v>
      </c>
      <c r="D3" s="227" t="n">
        <v>3176</v>
      </c>
      <c r="E3" s="228" t="s">
        <v>185</v>
      </c>
      <c r="F3" s="229" t="n">
        <v>4901</v>
      </c>
      <c r="G3" s="226" t="s">
        <v>186</v>
      </c>
      <c r="H3" s="227" t="n">
        <v>4971</v>
      </c>
      <c r="I3" s="226" t="s">
        <v>187</v>
      </c>
      <c r="J3" s="229" t="n">
        <v>4901</v>
      </c>
      <c r="K3" s="226" t="s">
        <v>188</v>
      </c>
      <c r="L3" s="227" t="n">
        <v>1834</v>
      </c>
      <c r="M3" s="226" t="s">
        <v>189</v>
      </c>
      <c r="N3" s="229" t="n">
        <v>7262</v>
      </c>
      <c r="O3" s="226" t="s">
        <v>190</v>
      </c>
      <c r="P3" s="227" t="n">
        <v>2857</v>
      </c>
      <c r="Q3" s="226" t="s">
        <v>191</v>
      </c>
      <c r="R3" s="229" t="n">
        <v>8697</v>
      </c>
    </row>
    <row r="4" customFormat="false" ht="15.75" hidden="false" customHeight="true" outlineLevel="0" collapsed="false">
      <c r="A4" s="230" t="s">
        <v>192</v>
      </c>
      <c r="B4" s="147" t="s">
        <v>34</v>
      </c>
      <c r="C4" s="231"/>
      <c r="D4" s="231"/>
      <c r="E4" s="187"/>
      <c r="F4" s="232"/>
      <c r="G4" s="233"/>
      <c r="H4" s="233"/>
      <c r="I4" s="233"/>
      <c r="J4" s="232"/>
      <c r="K4" s="233"/>
      <c r="L4" s="233"/>
      <c r="M4" s="233"/>
      <c r="N4" s="232"/>
      <c r="O4" s="233"/>
      <c r="P4" s="233"/>
      <c r="Q4" s="233"/>
      <c r="R4" s="187"/>
    </row>
    <row r="5" customFormat="false" ht="36.75" hidden="false" customHeight="true" outlineLevel="0" collapsed="false">
      <c r="A5" s="225" t="s">
        <v>193</v>
      </c>
      <c r="B5" s="234" t="s">
        <v>194</v>
      </c>
      <c r="C5" s="235" t="s">
        <v>195</v>
      </c>
      <c r="D5" s="236" t="s">
        <v>196</v>
      </c>
      <c r="E5" s="235" t="s">
        <v>197</v>
      </c>
      <c r="F5" s="236" t="s">
        <v>198</v>
      </c>
      <c r="G5" s="235" t="s">
        <v>199</v>
      </c>
      <c r="H5" s="236" t="s">
        <v>200</v>
      </c>
      <c r="I5" s="235" t="s">
        <v>201</v>
      </c>
      <c r="J5" s="236" t="s">
        <v>198</v>
      </c>
      <c r="K5" s="235" t="s">
        <v>202</v>
      </c>
      <c r="L5" s="236" t="s">
        <v>203</v>
      </c>
      <c r="M5" s="235" t="s">
        <v>204</v>
      </c>
      <c r="N5" s="236" t="s">
        <v>205</v>
      </c>
      <c r="O5" s="235" t="s">
        <v>206</v>
      </c>
      <c r="P5" s="236" t="s">
        <v>207</v>
      </c>
      <c r="Q5" s="235" t="s">
        <v>208</v>
      </c>
      <c r="R5" s="236" t="s">
        <v>209</v>
      </c>
    </row>
    <row r="6" customFormat="false" ht="33" hidden="false" customHeight="true" outlineLevel="0" collapsed="false">
      <c r="A6" s="225" t="s">
        <v>30</v>
      </c>
      <c r="B6" s="204" t="s">
        <v>210</v>
      </c>
      <c r="C6" s="235" t="s">
        <v>211</v>
      </c>
      <c r="D6" s="236" t="s">
        <v>196</v>
      </c>
      <c r="E6" s="235" t="s">
        <v>212</v>
      </c>
      <c r="F6" s="236" t="s">
        <v>198</v>
      </c>
      <c r="G6" s="235" t="s">
        <v>213</v>
      </c>
      <c r="H6" s="236" t="s">
        <v>200</v>
      </c>
      <c r="I6" s="235" t="s">
        <v>214</v>
      </c>
      <c r="J6" s="236" t="s">
        <v>198</v>
      </c>
      <c r="K6" s="235" t="s">
        <v>215</v>
      </c>
      <c r="L6" s="236" t="s">
        <v>203</v>
      </c>
      <c r="M6" s="235" t="s">
        <v>216</v>
      </c>
      <c r="N6" s="236" t="s">
        <v>205</v>
      </c>
      <c r="O6" s="235" t="s">
        <v>217</v>
      </c>
      <c r="P6" s="236" t="s">
        <v>207</v>
      </c>
      <c r="Q6" s="235" t="s">
        <v>218</v>
      </c>
      <c r="R6" s="236" t="s">
        <v>209</v>
      </c>
    </row>
    <row r="7" customFormat="false" ht="33.75" hidden="false" customHeight="true" outlineLevel="0" collapsed="false">
      <c r="A7" s="225" t="s">
        <v>219</v>
      </c>
      <c r="B7" s="160" t="s">
        <v>220</v>
      </c>
      <c r="C7" s="235" t="s">
        <v>386</v>
      </c>
      <c r="D7" s="236" t="s">
        <v>196</v>
      </c>
      <c r="E7" s="235" t="s">
        <v>221</v>
      </c>
      <c r="F7" s="236" t="s">
        <v>198</v>
      </c>
      <c r="G7" s="235" t="s">
        <v>222</v>
      </c>
      <c r="H7" s="236" t="s">
        <v>200</v>
      </c>
      <c r="I7" s="235" t="s">
        <v>223</v>
      </c>
      <c r="J7" s="236" t="s">
        <v>198</v>
      </c>
      <c r="K7" s="235" t="s">
        <v>224</v>
      </c>
      <c r="L7" s="236" t="s">
        <v>203</v>
      </c>
      <c r="M7" s="235" t="s">
        <v>225</v>
      </c>
      <c r="N7" s="236" t="s">
        <v>205</v>
      </c>
      <c r="O7" s="235" t="s">
        <v>226</v>
      </c>
      <c r="P7" s="236" t="s">
        <v>207</v>
      </c>
      <c r="Q7" s="235" t="s">
        <v>227</v>
      </c>
      <c r="R7" s="236" t="s">
        <v>209</v>
      </c>
    </row>
    <row r="8" customFormat="false" ht="38.25" hidden="false" customHeight="true" outlineLevel="0" collapsed="false">
      <c r="A8" s="225" t="s">
        <v>228</v>
      </c>
      <c r="B8" s="160" t="s">
        <v>229</v>
      </c>
      <c r="C8" s="238" t="s">
        <v>230</v>
      </c>
      <c r="D8" s="236" t="s">
        <v>196</v>
      </c>
      <c r="E8" s="235" t="s">
        <v>231</v>
      </c>
      <c r="F8" s="236" t="s">
        <v>198</v>
      </c>
      <c r="G8" s="233" t="s">
        <v>34</v>
      </c>
      <c r="H8" s="233" t="s">
        <v>34</v>
      </c>
      <c r="I8" s="235" t="s">
        <v>232</v>
      </c>
      <c r="J8" s="236" t="s">
        <v>198</v>
      </c>
      <c r="K8" s="235" t="s">
        <v>233</v>
      </c>
      <c r="L8" s="236" t="s">
        <v>203</v>
      </c>
      <c r="M8" s="235" t="s">
        <v>234</v>
      </c>
      <c r="N8" s="236" t="s">
        <v>205</v>
      </c>
      <c r="O8" s="233" t="s">
        <v>34</v>
      </c>
      <c r="P8" s="233" t="s">
        <v>34</v>
      </c>
      <c r="Q8" s="235" t="s">
        <v>235</v>
      </c>
      <c r="R8" s="236" t="s">
        <v>209</v>
      </c>
    </row>
    <row r="9" customFormat="false" ht="57.75" hidden="false" customHeight="true" outlineLevel="0" collapsed="false">
      <c r="A9" s="225" t="s">
        <v>236</v>
      </c>
      <c r="B9" s="160" t="s">
        <v>237</v>
      </c>
      <c r="C9" s="235" t="s">
        <v>238</v>
      </c>
      <c r="D9" s="236" t="s">
        <v>196</v>
      </c>
      <c r="E9" s="235" t="s">
        <v>239</v>
      </c>
      <c r="F9" s="236" t="s">
        <v>198</v>
      </c>
      <c r="G9" s="235" t="s">
        <v>240</v>
      </c>
      <c r="H9" s="236" t="s">
        <v>200</v>
      </c>
      <c r="I9" s="235" t="s">
        <v>241</v>
      </c>
      <c r="J9" s="236" t="s">
        <v>198</v>
      </c>
      <c r="K9" s="235" t="s">
        <v>242</v>
      </c>
      <c r="L9" s="236" t="s">
        <v>203</v>
      </c>
      <c r="M9" s="235" t="s">
        <v>243</v>
      </c>
      <c r="N9" s="236" t="s">
        <v>205</v>
      </c>
      <c r="O9" s="235" t="s">
        <v>244</v>
      </c>
      <c r="P9" s="236" t="s">
        <v>207</v>
      </c>
      <c r="Q9" s="235" t="s">
        <v>245</v>
      </c>
      <c r="R9" s="236" t="s">
        <v>209</v>
      </c>
    </row>
    <row r="10" customFormat="false" ht="68.25" hidden="false" customHeight="true" outlineLevel="0" collapsed="false">
      <c r="A10" s="225" t="s">
        <v>42</v>
      </c>
      <c r="B10" s="160" t="s">
        <v>246</v>
      </c>
      <c r="C10" s="238" t="s">
        <v>247</v>
      </c>
      <c r="D10" s="236" t="s">
        <v>196</v>
      </c>
      <c r="E10" s="238" t="s">
        <v>248</v>
      </c>
      <c r="F10" s="236" t="s">
        <v>198</v>
      </c>
      <c r="G10" s="238" t="s">
        <v>249</v>
      </c>
      <c r="H10" s="236" t="s">
        <v>200</v>
      </c>
      <c r="I10" s="238" t="s">
        <v>250</v>
      </c>
      <c r="J10" s="236" t="s">
        <v>198</v>
      </c>
      <c r="K10" s="238" t="s">
        <v>251</v>
      </c>
      <c r="L10" s="236" t="s">
        <v>203</v>
      </c>
      <c r="M10" s="238" t="s">
        <v>252</v>
      </c>
      <c r="N10" s="236" t="s">
        <v>205</v>
      </c>
      <c r="O10" s="238" t="s">
        <v>253</v>
      </c>
      <c r="P10" s="236" t="s">
        <v>207</v>
      </c>
      <c r="Q10" s="239" t="s">
        <v>254</v>
      </c>
      <c r="R10" s="236" t="s">
        <v>209</v>
      </c>
      <c r="S10" s="240"/>
    </row>
    <row r="11" customFormat="false" ht="45.75" hidden="false" customHeight="true" outlineLevel="0" collapsed="false">
      <c r="A11" s="225" t="s">
        <v>32</v>
      </c>
      <c r="B11" s="160" t="s">
        <v>255</v>
      </c>
      <c r="C11" s="238" t="s">
        <v>256</v>
      </c>
      <c r="D11" s="241" t="n">
        <v>3347</v>
      </c>
      <c r="E11" s="238" t="s">
        <v>257</v>
      </c>
      <c r="F11" s="242" t="n">
        <v>5165</v>
      </c>
      <c r="G11" s="238" t="s">
        <v>258</v>
      </c>
      <c r="H11" s="243" t="n">
        <v>5238</v>
      </c>
      <c r="I11" s="238" t="s">
        <v>259</v>
      </c>
      <c r="J11" s="244" t="n">
        <v>5165</v>
      </c>
      <c r="K11" s="238" t="s">
        <v>260</v>
      </c>
      <c r="L11" s="245" t="n">
        <v>1932</v>
      </c>
      <c r="M11" s="238" t="s">
        <v>261</v>
      </c>
      <c r="N11" s="245" t="n">
        <v>7652</v>
      </c>
      <c r="O11" s="238" t="s">
        <v>262</v>
      </c>
      <c r="P11" s="245" t="n">
        <v>3009</v>
      </c>
      <c r="Q11" s="239" t="s">
        <v>263</v>
      </c>
      <c r="R11" s="245" t="n">
        <v>9165</v>
      </c>
      <c r="S11" s="84"/>
    </row>
    <row r="12" customFormat="false" ht="57.75" hidden="false" customHeight="true" outlineLevel="0" collapsed="false">
      <c r="A12" s="225" t="s">
        <v>264</v>
      </c>
      <c r="B12" s="147" t="s">
        <v>265</v>
      </c>
      <c r="C12" s="238" t="s">
        <v>266</v>
      </c>
      <c r="D12" s="236" t="s">
        <v>196</v>
      </c>
      <c r="E12" s="238" t="s">
        <v>267</v>
      </c>
      <c r="F12" s="236" t="s">
        <v>198</v>
      </c>
      <c r="G12" s="238" t="s">
        <v>268</v>
      </c>
      <c r="H12" s="246" t="n">
        <v>5178</v>
      </c>
      <c r="I12" s="247" t="s">
        <v>269</v>
      </c>
      <c r="J12" s="248"/>
      <c r="K12" s="233" t="s">
        <v>270</v>
      </c>
      <c r="L12" s="232"/>
      <c r="M12" s="233" t="s">
        <v>271</v>
      </c>
      <c r="N12" s="232"/>
      <c r="O12" s="238" t="s">
        <v>272</v>
      </c>
      <c r="P12" s="236" t="s">
        <v>207</v>
      </c>
      <c r="Q12" s="233" t="s">
        <v>273</v>
      </c>
      <c r="R12" s="187"/>
    </row>
    <row r="13" customFormat="false" ht="15.75" hidden="false" customHeight="true" outlineLevel="0" collapsed="false">
      <c r="A13" s="225" t="s">
        <v>274</v>
      </c>
      <c r="B13" s="147" t="s">
        <v>34</v>
      </c>
      <c r="C13" s="238" t="s">
        <v>275</v>
      </c>
      <c r="D13" s="249" t="n">
        <v>3173</v>
      </c>
      <c r="E13" s="238" t="s">
        <v>276</v>
      </c>
      <c r="F13" s="250" t="s">
        <v>277</v>
      </c>
      <c r="G13" s="238" t="s">
        <v>278</v>
      </c>
      <c r="H13" s="236" t="s">
        <v>200</v>
      </c>
      <c r="I13" s="238" t="s">
        <v>279</v>
      </c>
      <c r="J13" s="251" t="s">
        <v>280</v>
      </c>
      <c r="K13" s="247" t="s">
        <v>387</v>
      </c>
      <c r="L13" s="252" t="s">
        <v>388</v>
      </c>
      <c r="M13" s="238" t="s">
        <v>281</v>
      </c>
      <c r="N13" s="266" t="n">
        <v>7400</v>
      </c>
      <c r="O13" s="247" t="s">
        <v>389</v>
      </c>
      <c r="P13" s="251" t="s">
        <v>390</v>
      </c>
      <c r="Q13" s="239" t="s">
        <v>391</v>
      </c>
      <c r="R13" s="251" t="s">
        <v>392</v>
      </c>
    </row>
    <row r="14" customFormat="false" ht="15.75" hidden="false" customHeight="true" outlineLevel="0" collapsed="false">
      <c r="A14" s="225" t="s">
        <v>26</v>
      </c>
      <c r="B14" s="147" t="s">
        <v>282</v>
      </c>
      <c r="C14" s="238" t="s">
        <v>283</v>
      </c>
      <c r="D14" s="236" t="s">
        <v>196</v>
      </c>
      <c r="E14" s="238" t="s">
        <v>284</v>
      </c>
      <c r="F14" s="236" t="s">
        <v>198</v>
      </c>
      <c r="G14" s="238" t="s">
        <v>285</v>
      </c>
      <c r="H14" s="253" t="n">
        <v>4971</v>
      </c>
      <c r="I14" s="238" t="s">
        <v>286</v>
      </c>
      <c r="J14" s="254" t="n">
        <v>4901</v>
      </c>
      <c r="K14" s="238" t="s">
        <v>287</v>
      </c>
      <c r="L14" s="254" t="n">
        <v>1834</v>
      </c>
      <c r="M14" s="238" t="s">
        <v>288</v>
      </c>
      <c r="N14" s="236" t="s">
        <v>205</v>
      </c>
      <c r="O14" s="238" t="s">
        <v>289</v>
      </c>
      <c r="P14" s="236" t="s">
        <v>207</v>
      </c>
      <c r="Q14" s="233" t="s">
        <v>290</v>
      </c>
      <c r="R14" s="187"/>
    </row>
    <row r="15" customFormat="false" ht="15.75" hidden="false" customHeight="true" outlineLevel="0" collapsed="false">
      <c r="A15" s="255" t="s">
        <v>291</v>
      </c>
      <c r="B15" s="256" t="s">
        <v>34</v>
      </c>
      <c r="C15" s="257"/>
      <c r="D15" s="257" t="s">
        <v>34</v>
      </c>
      <c r="E15" s="257"/>
      <c r="F15" s="257" t="s">
        <v>34</v>
      </c>
      <c r="G15" s="257"/>
      <c r="H15" s="257" t="s">
        <v>34</v>
      </c>
      <c r="I15" s="257"/>
      <c r="J15" s="257" t="s">
        <v>34</v>
      </c>
      <c r="K15" s="257"/>
      <c r="L15" s="257" t="s">
        <v>34</v>
      </c>
      <c r="M15" s="257"/>
      <c r="N15" s="257" t="s">
        <v>34</v>
      </c>
      <c r="O15" s="257"/>
      <c r="P15" s="257" t="s">
        <v>34</v>
      </c>
      <c r="Q15" s="257"/>
      <c r="R15" s="257" t="s">
        <v>34</v>
      </c>
      <c r="S15" s="258"/>
      <c r="T15" s="258"/>
      <c r="U15" s="258"/>
      <c r="V15" s="258"/>
      <c r="W15" s="258"/>
      <c r="X15" s="258"/>
      <c r="Y15" s="258"/>
      <c r="Z15" s="258"/>
      <c r="AA15" s="258"/>
      <c r="AB15" s="258"/>
      <c r="AC15" s="258"/>
      <c r="AD15" s="258"/>
    </row>
    <row r="16" customFormat="false" ht="15.75" hidden="false" customHeight="true" outlineLevel="0" collapsed="false">
      <c r="A16" s="225" t="s">
        <v>37</v>
      </c>
      <c r="B16" s="160" t="s">
        <v>292</v>
      </c>
      <c r="C16" s="239" t="s">
        <v>293</v>
      </c>
      <c r="D16" s="259" t="s">
        <v>294</v>
      </c>
      <c r="E16" s="239" t="s">
        <v>295</v>
      </c>
      <c r="F16" s="259" t="s">
        <v>296</v>
      </c>
      <c r="G16" s="233" t="s">
        <v>297</v>
      </c>
      <c r="H16" s="232" t="s">
        <v>34</v>
      </c>
      <c r="I16" s="239" t="s">
        <v>298</v>
      </c>
      <c r="J16" s="259" t="s">
        <v>296</v>
      </c>
      <c r="K16" s="239" t="s">
        <v>299</v>
      </c>
      <c r="L16" s="259" t="s">
        <v>300</v>
      </c>
      <c r="M16" s="239" t="s">
        <v>301</v>
      </c>
      <c r="N16" s="259" t="s">
        <v>302</v>
      </c>
      <c r="O16" s="233" t="s">
        <v>273</v>
      </c>
      <c r="P16" s="233" t="s">
        <v>34</v>
      </c>
      <c r="Q16" s="239" t="s">
        <v>303</v>
      </c>
      <c r="R16" s="259" t="s">
        <v>393</v>
      </c>
    </row>
    <row r="17" customFormat="false" ht="34.5" hidden="false" customHeight="true" outlineLevel="0" collapsed="false">
      <c r="A17" s="225" t="s">
        <v>18</v>
      </c>
      <c r="B17" s="160" t="s">
        <v>304</v>
      </c>
      <c r="C17" s="239" t="s">
        <v>305</v>
      </c>
      <c r="D17" s="236" t="s">
        <v>196</v>
      </c>
      <c r="E17" s="239" t="s">
        <v>306</v>
      </c>
      <c r="F17" s="236" t="s">
        <v>198</v>
      </c>
      <c r="G17" s="239" t="s">
        <v>307</v>
      </c>
      <c r="H17" s="260" t="n">
        <v>4006</v>
      </c>
      <c r="I17" s="239" t="s">
        <v>308</v>
      </c>
      <c r="J17" s="254" t="n">
        <v>4901</v>
      </c>
      <c r="K17" s="239" t="s">
        <v>309</v>
      </c>
      <c r="L17" s="254" t="n">
        <v>1834</v>
      </c>
      <c r="M17" s="239" t="s">
        <v>310</v>
      </c>
      <c r="N17" s="236" t="s">
        <v>205</v>
      </c>
      <c r="O17" s="233" t="s">
        <v>297</v>
      </c>
      <c r="P17" s="233" t="s">
        <v>34</v>
      </c>
      <c r="Q17" s="239" t="s">
        <v>311</v>
      </c>
      <c r="R17" s="236" t="s">
        <v>209</v>
      </c>
    </row>
    <row r="18" customFormat="false" ht="38.25" hidden="false" customHeight="true" outlineLevel="0" collapsed="false">
      <c r="A18" s="225" t="s">
        <v>17</v>
      </c>
      <c r="B18" s="118" t="s">
        <v>312</v>
      </c>
      <c r="C18" s="239" t="s">
        <v>313</v>
      </c>
      <c r="D18" s="236" t="s">
        <v>196</v>
      </c>
      <c r="E18" s="239" t="s">
        <v>314</v>
      </c>
      <c r="F18" s="236" t="s">
        <v>198</v>
      </c>
      <c r="G18" s="239" t="s">
        <v>315</v>
      </c>
      <c r="H18" s="267" t="s">
        <v>394</v>
      </c>
      <c r="I18" s="239" t="s">
        <v>316</v>
      </c>
      <c r="J18" s="254" t="n">
        <v>4901</v>
      </c>
      <c r="K18" s="239" t="s">
        <v>317</v>
      </c>
      <c r="L18" s="254" t="n">
        <v>1834</v>
      </c>
      <c r="M18" s="239" t="s">
        <v>318</v>
      </c>
      <c r="N18" s="236" t="s">
        <v>205</v>
      </c>
      <c r="O18" s="233" t="s">
        <v>297</v>
      </c>
      <c r="P18" s="233" t="s">
        <v>34</v>
      </c>
      <c r="Q18" s="239" t="s">
        <v>319</v>
      </c>
      <c r="R18" s="236" t="s">
        <v>209</v>
      </c>
    </row>
    <row r="19" customFormat="false" ht="15.75" hidden="false" customHeight="true" outlineLevel="0" collapsed="false">
      <c r="A19" s="225" t="s">
        <v>23</v>
      </c>
      <c r="B19" s="239" t="s">
        <v>320</v>
      </c>
      <c r="C19" s="239" t="s">
        <v>321</v>
      </c>
      <c r="D19" s="236" t="s">
        <v>196</v>
      </c>
      <c r="E19" s="239" t="s">
        <v>322</v>
      </c>
      <c r="F19" s="236" t="s">
        <v>198</v>
      </c>
      <c r="G19" s="239" t="s">
        <v>323</v>
      </c>
      <c r="H19" s="253" t="n">
        <v>4971</v>
      </c>
      <c r="I19" s="239" t="s">
        <v>324</v>
      </c>
      <c r="J19" s="254" t="n">
        <v>4901</v>
      </c>
      <c r="K19" s="239" t="s">
        <v>325</v>
      </c>
      <c r="L19" s="254" t="n">
        <v>1834</v>
      </c>
      <c r="M19" s="239" t="s">
        <v>326</v>
      </c>
      <c r="N19" s="236" t="s">
        <v>205</v>
      </c>
      <c r="O19" s="239" t="s">
        <v>327</v>
      </c>
      <c r="P19" s="236" t="s">
        <v>207</v>
      </c>
      <c r="Q19" s="239" t="s">
        <v>328</v>
      </c>
      <c r="R19" s="236" t="s">
        <v>209</v>
      </c>
    </row>
    <row r="20" customFormat="false" ht="43.5" hidden="false" customHeight="true" outlineLevel="0" collapsed="false">
      <c r="A20" s="225" t="s">
        <v>329</v>
      </c>
      <c r="B20" s="160" t="s">
        <v>330</v>
      </c>
      <c r="C20" s="239" t="s">
        <v>331</v>
      </c>
      <c r="D20" s="236" t="s">
        <v>196</v>
      </c>
      <c r="E20" s="239" t="s">
        <v>332</v>
      </c>
      <c r="F20" s="236" t="s">
        <v>198</v>
      </c>
      <c r="G20" s="239" t="s">
        <v>333</v>
      </c>
      <c r="H20" s="253" t="n">
        <v>4971</v>
      </c>
      <c r="I20" s="239" t="s">
        <v>334</v>
      </c>
      <c r="J20" s="254" t="n">
        <v>4901</v>
      </c>
      <c r="K20" s="239" t="s">
        <v>335</v>
      </c>
      <c r="L20" s="254" t="n">
        <v>1834</v>
      </c>
      <c r="M20" s="239" t="s">
        <v>336</v>
      </c>
      <c r="N20" s="236" t="s">
        <v>205</v>
      </c>
      <c r="O20" s="239" t="s">
        <v>337</v>
      </c>
      <c r="P20" s="236" t="s">
        <v>207</v>
      </c>
      <c r="Q20" s="239" t="s">
        <v>338</v>
      </c>
      <c r="R20" s="236" t="s">
        <v>209</v>
      </c>
    </row>
    <row r="21" customFormat="false" ht="15.75" hidden="false" customHeight="true" outlineLevel="0" collapsed="false">
      <c r="A21" s="225" t="s">
        <v>339</v>
      </c>
      <c r="B21" s="160" t="s">
        <v>340</v>
      </c>
      <c r="C21" s="239" t="s">
        <v>341</v>
      </c>
      <c r="D21" s="236" t="s">
        <v>196</v>
      </c>
      <c r="E21" s="239" t="s">
        <v>342</v>
      </c>
      <c r="F21" s="236" t="s">
        <v>198</v>
      </c>
      <c r="G21" s="239" t="s">
        <v>343</v>
      </c>
      <c r="H21" s="253" t="n">
        <v>4971</v>
      </c>
      <c r="I21" s="239" t="s">
        <v>344</v>
      </c>
      <c r="J21" s="254" t="n">
        <v>4901</v>
      </c>
      <c r="K21" s="239" t="s">
        <v>345</v>
      </c>
      <c r="L21" s="254" t="n">
        <v>1834</v>
      </c>
      <c r="M21" s="239" t="s">
        <v>346</v>
      </c>
      <c r="N21" s="236" t="s">
        <v>205</v>
      </c>
      <c r="O21" s="239" t="s">
        <v>347</v>
      </c>
      <c r="P21" s="236" t="s">
        <v>207</v>
      </c>
      <c r="Q21" s="239" t="s">
        <v>348</v>
      </c>
      <c r="R21" s="236" t="s">
        <v>209</v>
      </c>
    </row>
    <row r="22" customFormat="false" ht="15.75" hidden="false" customHeight="true" outlineLevel="0" collapsed="false">
      <c r="A22" s="225" t="s">
        <v>349</v>
      </c>
      <c r="B22" s="160" t="s">
        <v>350</v>
      </c>
      <c r="C22" s="239" t="s">
        <v>351</v>
      </c>
      <c r="D22" s="262" t="n">
        <v>3355</v>
      </c>
      <c r="E22" s="239" t="s">
        <v>352</v>
      </c>
      <c r="F22" s="262" t="n">
        <v>5165</v>
      </c>
      <c r="G22" s="239" t="s">
        <v>353</v>
      </c>
      <c r="H22" s="268" t="n">
        <v>5245</v>
      </c>
      <c r="I22" s="187" t="s">
        <v>297</v>
      </c>
      <c r="J22" s="232" t="s">
        <v>34</v>
      </c>
      <c r="K22" s="239" t="s">
        <v>354</v>
      </c>
      <c r="L22" s="262" t="n">
        <v>1935</v>
      </c>
      <c r="M22" s="187" t="s">
        <v>290</v>
      </c>
      <c r="N22" s="232" t="s">
        <v>34</v>
      </c>
      <c r="O22" s="239" t="s">
        <v>355</v>
      </c>
      <c r="P22" s="262" t="n">
        <v>3045</v>
      </c>
      <c r="Q22" s="239" t="s">
        <v>356</v>
      </c>
      <c r="R22" s="262" t="n">
        <v>9165</v>
      </c>
    </row>
    <row r="23" customFormat="false" ht="57" hidden="false" customHeight="true" outlineLevel="0" collapsed="false">
      <c r="A23" s="225" t="s">
        <v>29</v>
      </c>
      <c r="B23" s="160" t="s">
        <v>357</v>
      </c>
      <c r="C23" s="239" t="s">
        <v>358</v>
      </c>
      <c r="D23" s="236" t="s">
        <v>196</v>
      </c>
      <c r="E23" s="239" t="s">
        <v>359</v>
      </c>
      <c r="F23" s="236" t="s">
        <v>198</v>
      </c>
      <c r="G23" s="239" t="s">
        <v>360</v>
      </c>
      <c r="H23" s="253" t="n">
        <v>4971</v>
      </c>
      <c r="I23" s="239" t="s">
        <v>361</v>
      </c>
      <c r="J23" s="254" t="n">
        <v>4901</v>
      </c>
      <c r="K23" s="239" t="s">
        <v>362</v>
      </c>
      <c r="L23" s="254" t="n">
        <v>1834</v>
      </c>
      <c r="M23" s="239" t="s">
        <v>363</v>
      </c>
      <c r="N23" s="236" t="s">
        <v>205</v>
      </c>
      <c r="O23" s="239" t="s">
        <v>364</v>
      </c>
      <c r="P23" s="236" t="s">
        <v>207</v>
      </c>
      <c r="Q23" s="239" t="s">
        <v>365</v>
      </c>
      <c r="R23" s="236" t="s">
        <v>209</v>
      </c>
    </row>
    <row r="24" customFormat="false" ht="46.5" hidden="false" customHeight="true" outlineLevel="0" collapsed="false">
      <c r="A24" s="225" t="s">
        <v>366</v>
      </c>
      <c r="B24" s="160" t="s">
        <v>367</v>
      </c>
      <c r="C24" s="239" t="s">
        <v>368</v>
      </c>
      <c r="D24" s="236" t="s">
        <v>196</v>
      </c>
      <c r="E24" s="239" t="s">
        <v>369</v>
      </c>
      <c r="F24" s="236" t="s">
        <v>198</v>
      </c>
      <c r="G24" s="239" t="s">
        <v>370</v>
      </c>
      <c r="H24" s="253" t="n">
        <v>4971</v>
      </c>
      <c r="I24" s="239" t="s">
        <v>371</v>
      </c>
      <c r="J24" s="254" t="n">
        <v>4901</v>
      </c>
      <c r="K24" s="239" t="s">
        <v>372</v>
      </c>
      <c r="L24" s="254" t="n">
        <v>1834</v>
      </c>
      <c r="M24" s="239" t="s">
        <v>373</v>
      </c>
      <c r="N24" s="236" t="s">
        <v>205</v>
      </c>
      <c r="O24" s="239" t="s">
        <v>374</v>
      </c>
      <c r="P24" s="236" t="s">
        <v>207</v>
      </c>
      <c r="Q24" s="239" t="s">
        <v>375</v>
      </c>
      <c r="R24" s="236" t="s">
        <v>209</v>
      </c>
    </row>
    <row r="25" customFormat="false" ht="48.75" hidden="false" customHeight="true" outlineLevel="0" collapsed="false">
      <c r="A25" s="225" t="s">
        <v>376</v>
      </c>
      <c r="B25" s="160" t="s">
        <v>377</v>
      </c>
      <c r="C25" s="239" t="s">
        <v>378</v>
      </c>
      <c r="D25" s="236" t="s">
        <v>196</v>
      </c>
      <c r="E25" s="239" t="s">
        <v>379</v>
      </c>
      <c r="F25" s="236" t="s">
        <v>198</v>
      </c>
      <c r="G25" s="239" t="s">
        <v>380</v>
      </c>
      <c r="H25" s="253" t="n">
        <v>4971</v>
      </c>
      <c r="I25" s="239" t="s">
        <v>381</v>
      </c>
      <c r="J25" s="254" t="n">
        <v>4901</v>
      </c>
      <c r="K25" s="239" t="s">
        <v>382</v>
      </c>
      <c r="L25" s="254" t="n">
        <v>1834</v>
      </c>
      <c r="M25" s="239" t="s">
        <v>383</v>
      </c>
      <c r="N25" s="236" t="s">
        <v>205</v>
      </c>
      <c r="O25" s="239" t="s">
        <v>384</v>
      </c>
      <c r="P25" s="236" t="s">
        <v>207</v>
      </c>
      <c r="Q25" s="239" t="s">
        <v>385</v>
      </c>
      <c r="R25" s="236" t="s">
        <v>209</v>
      </c>
    </row>
    <row r="26" customFormat="false" ht="15.75" hidden="false" customHeight="true" outlineLevel="0" collapsed="false">
      <c r="A26" s="74"/>
      <c r="B26" s="146"/>
      <c r="C26" s="265"/>
      <c r="D26" s="265"/>
      <c r="E26" s="76"/>
      <c r="F26" s="76"/>
      <c r="G26" s="265"/>
      <c r="H26" s="265"/>
      <c r="I26" s="76"/>
      <c r="J26" s="76"/>
      <c r="K26" s="265"/>
      <c r="L26" s="265"/>
      <c r="M26" s="76"/>
      <c r="N26" s="76"/>
      <c r="O26" s="265"/>
      <c r="P26" s="265"/>
      <c r="Q26" s="76"/>
      <c r="R26" s="76"/>
    </row>
    <row r="27" customFormat="false" ht="15.75" hidden="false" customHeight="true" outlineLevel="0" collapsed="false">
      <c r="A27" s="74"/>
      <c r="B27" s="146"/>
      <c r="C27" s="265"/>
      <c r="D27" s="265"/>
      <c r="E27" s="76"/>
      <c r="F27" s="76"/>
      <c r="G27" s="265"/>
      <c r="H27" s="265"/>
      <c r="I27" s="76"/>
      <c r="J27" s="76"/>
      <c r="K27" s="265"/>
      <c r="L27" s="265"/>
      <c r="M27" s="76"/>
      <c r="N27" s="76"/>
      <c r="O27" s="265"/>
      <c r="P27" s="265"/>
      <c r="Q27" s="76"/>
      <c r="R27" s="76"/>
    </row>
    <row r="28" customFormat="false" ht="15.75" hidden="false" customHeight="true" outlineLevel="0" collapsed="false">
      <c r="A28" s="74"/>
      <c r="B28" s="146"/>
      <c r="C28" s="265"/>
      <c r="D28" s="265"/>
      <c r="E28" s="76"/>
      <c r="F28" s="76"/>
      <c r="G28" s="265"/>
      <c r="H28" s="265"/>
      <c r="I28" s="76"/>
      <c r="J28" s="76"/>
      <c r="K28" s="265"/>
      <c r="L28" s="265"/>
      <c r="M28" s="76"/>
      <c r="N28" s="76"/>
      <c r="O28" s="265"/>
      <c r="P28" s="265"/>
      <c r="Q28" s="76"/>
      <c r="R28" s="76"/>
    </row>
    <row r="29" customFormat="false" ht="15.75" hidden="false" customHeight="true" outlineLevel="0" collapsed="false">
      <c r="A29" s="74"/>
      <c r="B29" s="146"/>
      <c r="C29" s="265"/>
      <c r="D29" s="265"/>
      <c r="E29" s="76"/>
      <c r="F29" s="76"/>
      <c r="G29" s="265"/>
      <c r="H29" s="265"/>
      <c r="I29" s="76"/>
      <c r="J29" s="76"/>
      <c r="K29" s="265"/>
      <c r="L29" s="265"/>
      <c r="M29" s="76"/>
      <c r="N29" s="76"/>
      <c r="O29" s="265"/>
      <c r="P29" s="265"/>
      <c r="Q29" s="76"/>
      <c r="R29" s="76"/>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A1:AD26">
    <cfRule type="expression" priority="2" aboveAverage="0" equalAverage="0" bottom="0" percent="0" rank="0" text="" dxfId="0">
      <formula>LEN(TRIM(A1))&gt;0</formula>
    </cfRule>
  </conditionalFormatting>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C3" r:id="rId8" display="https://brwmania.com.ua/gostinaja/modulnye-gostinye/sistema-azteka/tumba-pod-tv-acteka-rtv2d2s415/"/>
    <hyperlink ref="E3" r:id="rId9" display="https://brwmania.com.ua/gostinaja/modulnye-gostinye/sistema_indiana__sosna_kanjon/indiana-sosna-kanyon-j-007-stol-pismennyy-jbiu-2d2s-140/"/>
    <hyperlink ref="G3" r:id="rId10" display="https://brwmania.com.ua/gostinaja/modulnye-gostinye/sistema_koen_mdf/014-koen-mdf-shafa-szf2d2s/"/>
    <hyperlink ref="I3" r:id="rId11" display="https://brwmania.com.ua/gostinaja/modulnye-gostinye/sistema_vajt/008-vayt-komod-4s-90/"/>
    <hyperlink ref="K3" r:id="rId12" display="https://brwmania.com.ua/gostinaja/modulnye-gostinye/sistema_nepo/nepo-prihozha-ppk/"/>
    <hyperlink ref="M3" r:id="rId13" display="https://brwmania.com.ua/gostinaja/komplekty-gostinyh/aljaska-alaska-gostinaja/"/>
    <hyperlink ref="O3" r:id="rId14" display="https://brwmania.com.ua/gostinaja/komplekty-gostinyh/stinka-kvatro-venge-magia/"/>
    <hyperlink ref="Q3" r:id="rId15" display="https://brwmania.com.ua/spalni/modulnye-spalni/sistema-spalni-liberti/005-shkaf-3d/"/>
    <hyperlink ref="A5" r:id="rId16" display="https://brwwood.com.ua/"/>
    <hyperlink ref="C5" r:id="rId17" display="https://brwwood.com.ua/tumbochki-i-tumby/tumby-pod-televizor/001-atsteka-tumba-rtv2d2s-4-15-tumba-pod-televizor"/>
    <hyperlink ref="E5" r:id="rId18" display="https://brwwood.com.ua/stoly/pismennye-stoly/stol-pismennyj-brw-indiana-sosna-kanjon-jbiu-2d2s-140"/>
    <hyperlink ref="G5" r:id="rId19" display="https://brwwood.com.ua/shkafy-i-xranenie/dvuxdvernye-shkafy/shkaf-gerbor-koen-mdf-szf2d2s"/>
    <hyperlink ref="I5" r:id="rId20" display="https://brwwood.com.ua/komody/komod-gerbor-vajt-4s-90"/>
    <hyperlink ref="K5" r:id="rId21" display="https://brwwood.com.ua/mebel-dlja-prixozhej/komplekty-prixozhyx/prixozhaja-gerbor-nepo-ppk"/>
    <hyperlink ref="M5" r:id="rId22" display="https://brwwood.com.ua/mebel-dlja-gostinoj/komplekty-stenok-v-gostnnuju/gostinaja-aljaska-brw"/>
    <hyperlink ref="O5" r:id="rId23" display="https://brwwood.com.ua/mebel-dlja-gostinoj/komplekty-stenok-v-gostnnuju/gostinaja-kvatro-gerbor"/>
    <hyperlink ref="Q5" r:id="rId24" display="https://brwwood.com.ua/shkafy-i-xranenie/trexdvernye-shkafy/shkaf-brw-liberti-3d"/>
    <hyperlink ref="A6" r:id="rId25" display="https://mebli-bristol.com.ua/"/>
    <hyperlink ref="C6" r:id="rId26" display="https://mebli-bristol.com.ua/acteka-tumba-rtv-2d2s-4-15-brv-ukraina.html"/>
    <hyperlink ref="E6" r:id="rId27" display="https://mebli-bristol.com.ua/indiana-stil-pis-movij-jbiu-2d2s-140-sosna-kan-jon-brv-ukraina.html"/>
    <hyperlink ref="G6" r:id="rId28" display="https://mebli-bristol.com.ua/koen-shafa-szf-2d2s-mdf-gerbor.html"/>
    <hyperlink ref="I6" r:id="rId29" display="https://mebli-bristol.com.ua/vajt-komod-4s-90-gerbor.html"/>
    <hyperlink ref="K6" r:id="rId30" display="https://mebli-bristol.com.ua/nepo-peredpokij-ppk-gerbor-9728.html"/>
    <hyperlink ref="M6" r:id="rId31" display="https://mebli-bristol.com.ua/aljaska-brv-ukraina.html"/>
    <hyperlink ref="O6" r:id="rId32" display="https://mebli-bristol.com.ua/kvatro-gerbor.html"/>
    <hyperlink ref="Q6" r:id="rId33" display="https://mebli-bristol.com.ua/liberti-shafa-szf-3d-brv-ukraina.html"/>
    <hyperlink ref="A7" r:id="rId34" display="https://stuloff.com.ua/index.php?route=common/home"/>
    <hyperlink ref="C7" r:id="rId35" display="https://stuloff.com.ua/tumba_rtv_2d2s_4_15_azteka_beluy?search=%D0%B0%D1%86%D1%82%D0%B5%D0%BA%D0%B0&amp;category_id=0"/>
    <hyperlink ref="E7" r:id="rId36" display="https://stuloff.com.ua/stol_pism_jbiu_2d2s_140_indiana_kanjon-?search=%D0%B8%D0%BD%D0%B4%D0%B8%D0%B0%D0%BD%D0%B0&amp;category_id=0&amp;page=3"/>
    <hyperlink ref="G7" r:id="rId37" display="https://stuloff.com.ua/chkaf_szf_2d2s_koen_mdf?search=%D0%BA%D0%BE%D0%B5%D0%BD&amp;category_id=0&amp;page=3"/>
    <hyperlink ref="I7" r:id="rId38" display="https://stuloff.com.ua/komod_4s_90_white?search=%D0%B2%D0%B0%D0%B9%D1%82&amp;category_id=0"/>
    <hyperlink ref="K7" r:id="rId39" display="https://stuloff.com.ua/prichozay_ppk_nepo?search=%D0%BD%D0%B5%D0%BF%D0%BE&amp;category_id=0"/>
    <hyperlink ref="M7" r:id="rId40" display="https://stuloff.com.ua/gostinaya_alyaska_brw?search=%D0%B0%D0%BB%D1%8F%D1%81%D0%BA%D0%B0&amp;category_id=0"/>
    <hyperlink ref="O7" r:id="rId41" display="https://stuloff.com.ua/gostinay_kvatro_gerbor_venge?search=%D0%BA%D0%B2%D0%B0%D1%82%D1%80%D0%BE&amp;category_id=0"/>
    <hyperlink ref="Q7" r:id="rId42" display="https://stuloff.com.ua/chkaf_3d_liberti?search=%D0%BB%D0%B8%D0%B1%D0%B5%D1%80%D1%82%D0%B8&amp;category_id=0"/>
    <hyperlink ref="A8" r:id="rId43" display="https://www.mebelvdom.ua/"/>
    <hyperlink ref="C8" r:id="rId44" display="https://www.mebelvdom.ua/product/tumba-tv-rtv2d2s-4-15-acteka-brv"/>
    <hyperlink ref="E8" r:id="rId45" display="https://www.mebelvdom.ua/product/stol-pismennyj-jbiu2d2s-140-indiana-kanon-brv"/>
    <hyperlink ref="I8" r:id="rId46" display="https://www.mebelvdom.ua/product/komod-4s-90-vajt-gerbor"/>
    <hyperlink ref="K8" r:id="rId47" display="https://www.mebelvdom.ua/product/prihozhaya-ppk-nepo-gerbor"/>
    <hyperlink ref="M8" r:id="rId48" display="https://www.mebelvdom.ua/product/gostinaya-alyaska-brv"/>
    <hyperlink ref="Q8" r:id="rId49" display="https://www.mebelvdom.ua/product/shkaf-szf3d-liberti-brv"/>
    <hyperlink ref="A9" r:id="rId50" display="http://abcmebli.com.ua/"/>
    <hyperlink ref="C9" r:id="rId51" display="http://abcmebli.com.ua/p14992-tumba_tv_rtv2d2s-4-15_atsteka"/>
    <hyperlink ref="E9" r:id="rId52" display="http://abcmebli.com.ua/p1892-stol_pismenniy_jbiu2d2s_140_indiana"/>
    <hyperlink ref="G9" r:id="rId53" display="http://abcmebli.com.ua/p15143-koen_mdf_shkaf_szf2d2s"/>
    <hyperlink ref="I9" r:id="rId54" display="http://abcmebli.com.ua/p15658-komod_4s_90_vayt_gerbor"/>
    <hyperlink ref="K9" r:id="rId55" display="http://abcmebli.com.ua/p15897-nepo_prihozhaya_ppk_gerbor"/>
    <hyperlink ref="M9" r:id="rId56" display="http://abcmebli.com.ua/p15191-stenka_alyaska_brv"/>
    <hyperlink ref="O9" r:id="rId57" display="http://abcmebli.com.ua/p2515-stenka_kvatro_gerbor"/>
    <hyperlink ref="Q9" r:id="rId58" display="http://abcmebli.com.ua/p15617-shkaf_szf3d_liberti_brv"/>
    <hyperlink ref="A10" r:id="rId59" display="http://www.maxidom.com.ua/"/>
    <hyperlink ref="C10" r:id="rId60" display="http://www.maxidom.com.ua/tumba-rtv-atsteka-2d2s415.html?search_string=%D2%F3%EC%E1%E0+%D0%D2%C2+%C0%F6%F2%E5%EA%E0+2D2S%2F4%2F15"/>
    <hyperlink ref="E10" r:id="rId61" display="http://www.maxidom.com.ua/stol_pismenniy_indiana_jbiu2d2s.html?search_string=%E8%ED%E4%E8%E0%ED%E0"/>
    <hyperlink ref="G10" r:id="rId62" display="http://www.maxidom.com.ua/shkaf-szf2d2s-koen-mdf.html?search_string=%D8%EA%E0%F4+SZF2D2S+%CA%EE%E5%ED+%28%CC%C4%D4%29"/>
    <hyperlink ref="I10" r:id="rId63" display="http://www.maxidom.com.ua/komod-vayt-4s-90.html?search_string=%CA%EE%EC%EE%E4+%C2%E0%E9%F2+4S+90"/>
    <hyperlink ref="K10" r:id="rId64" display="http://www.maxidom.com.ua/prihozhaya-nepo-ppk.html?search_string=%ED%E5%EF%EE"/>
    <hyperlink ref="M10" r:id="rId65" display="http://www.maxidom.com.ua/stenka-alyaska.html?search_string=%C0%EB%FF%F1%EA%E0"/>
    <hyperlink ref="O10" r:id="rId66" display="http://www.maxidom.com.ua/stenka-kvatro.html?search_string=%EA%E2%E0%F2%F0%EE"/>
    <hyperlink ref="Q10" r:id="rId67" display="http://www.maxidom.com.ua/shkaf-liberti-3d.html?search_string=%EB%E8%E1%E5%F0%F2%E8"/>
    <hyperlink ref="A11" r:id="rId68" display="https://www.dybok.com.ua/"/>
    <hyperlink ref="C11" r:id="rId69" display="https://www.dybok.com.ua/ru/product/detail/35816"/>
    <hyperlink ref="E11" r:id="rId70" display="https://www.dybok.com.ua/ru/product/detail/4291"/>
    <hyperlink ref="G11" r:id="rId71" display="https://www.dybok.com.ua/ru/product/detail/6363"/>
    <hyperlink ref="I11" r:id="rId72" display="https://www.dybok.com.ua/ru/product/detail/12057"/>
    <hyperlink ref="K11" r:id="rId73" display="https://www.dybok.com.ua/ru/product/detail/18085"/>
    <hyperlink ref="M11" r:id="rId74" display="https://www.dybok.com.ua/ru/product/detail/50410"/>
    <hyperlink ref="O11" r:id="rId75" display="https://www.dybok.com.ua/ru/product/detail/6077"/>
    <hyperlink ref="Q11" r:id="rId76" display="https://www.dybok.com.ua/ru/product/detail/31073"/>
    <hyperlink ref="A12" r:id="rId77" location="meb-main" display="http://mebmarket.com.ua/#meb-main"/>
    <hyperlink ref="C12" r:id="rId78" display="http://mebmarket.com.ua/gostinaya1/modulnye-sistemy-dlya-gostinnykh/acteka/rtv2d2s-acteka-detail.html"/>
    <hyperlink ref="E12" r:id="rId79" display="http://mebmarket.com.ua/modulnye-sistemy/i-k/2014-04-30-13-16-35/stol-pismennyj-jbiu-2d2s-140-indiana-dub-shutter-3261-detail.html"/>
    <hyperlink ref="G12" r:id="rId80" display="http://mebmarket.com.ua/gostinaya1/shkafy/shkafy/szf2d2s-koen-mdf-detail.html"/>
    <hyperlink ref="O12" r:id="rId81" display="http://mebmarket.com.ua/gostinaya1/gostinye/gostinye-gerbor-i-brw/gostinaya-kvatro-venge-magiya-detail.html"/>
    <hyperlink ref="A13" r:id="rId82" display="https://prom.ua/"/>
    <hyperlink ref="C13" r:id="rId83" display="https://prom.ua/p942307244-atsteka-tumba-pod.html"/>
    <hyperlink ref="E13" r:id="rId84" display="https://prom.ua/p855482757-stol-pismennyj-jbiu.html"/>
    <hyperlink ref="G13" r:id="rId85" display="https://prom.ua/p356287589-shkaf-szf2d2s-koen.html"/>
    <hyperlink ref="I13" r:id="rId86" display="https://prom.ua/p571241833-komod-vajt.html"/>
    <hyperlink ref="M13" r:id="rId87" display="https://prom.ua/p589661092-stenka-alyaska-brv.html"/>
    <hyperlink ref="Q13" r:id="rId88" display="https://prom.ua/p938957293-liberti-shkaf.html"/>
    <hyperlink ref="A14" r:id="rId89" display="https://shurup.net.ua/"/>
    <hyperlink ref="C14" r:id="rId90" display="https://shurup.net.ua/azteca-acteka-tumba-rtv2d2s415.p17205"/>
    <hyperlink ref="E14" r:id="rId91" display="https://shurup.net.ua/stol-pismennyj-jbiu-2d2s-140-indiana-sosna-kanon.p9423"/>
    <hyperlink ref="G14" r:id="rId92" display="https://shurup.net.ua/shkaf-szf2d2s-koen-mdf.p1208"/>
    <hyperlink ref="I14" r:id="rId93" display="https://shurup.net.ua/komod-4s-90-vajt.p11059"/>
    <hyperlink ref="K14" r:id="rId94" display="https://shurup.net.ua/prihozhaya-rrk-nepo.p13611"/>
    <hyperlink ref="M14" r:id="rId95" display="https://shurup.net.ua/gostinaja-aljaska.p28551"/>
    <hyperlink ref="O14" r:id="rId96" display="https://shurup.net.ua/gostinaya-kvatro-venge-magiya.p836"/>
    <hyperlink ref="A16" r:id="rId97" display="https://www.brw-kiev.com.ua/"/>
    <hyperlink ref="C16" r:id="rId98" display="https://www.brw-kiev.com.ua/catalog/mebel/kabinet/azteca-shafka_pid_tv-rtv2d2s_4_15-000004821.html?sphrase_id=71202"/>
    <hyperlink ref="E16" r:id="rId99" display="https://www.brw-kiev.com.ua/catalog/mebel/kabinet/indiana-stil_pis_moviy-jbiu2d2s-000000254.html"/>
    <hyperlink ref="I16" r:id="rId100" display="https://www.brw-kiev.com.ua/catalog/mebel/vayt-komod-kom4s_90-000008377.html"/>
    <hyperlink ref="K16" r:id="rId101" display="https://www.brw-kiev.com.ua/catalog/mebel/nepo-peredpokiy-ppk-000006567.html"/>
    <hyperlink ref="M16" r:id="rId102" display="https://www.brw-kiev.com.ua/catalog/mebel/stinki-vital_nya-alaska-000006901.html"/>
    <hyperlink ref="Q16" r:id="rId103" display="https://www.brw-kiev.com.ua/catalog/mebel/liberty-shafa-szf_3d-000006341.html"/>
    <hyperlink ref="A17" r:id="rId104" display="http://www.brwland.com.ua/"/>
    <hyperlink ref="C17" r:id="rId105" display="http://www.brwland.com.ua/product/azteca-tumba-tv-rtv2d2s415-brv-ukraina/"/>
    <hyperlink ref="E17" r:id="rId106" display="http://www.brwland.com.ua/product/indiana-kanjon-stol-pismennyj-jbiu-2d2s140-brv-ukraina/"/>
    <hyperlink ref="G17" r:id="rId107" display="http://www.brwland.com.ua/product/koen-szf-2d2s-shkaf-gerbor/"/>
    <hyperlink ref="I17" r:id="rId108" display="http://www.brwland.com.ua/product/white-komod-4s90-gerbor/"/>
    <hyperlink ref="K17" r:id="rId109" display="http://www.brwland.com.ua/product/nepo-prihozhaja-ppk-gerbor/"/>
    <hyperlink ref="M17" r:id="rId110" display="http://www.brwland.com.ua/category/mebel-alaska-brw-ukraina/"/>
    <hyperlink ref="Q17" r:id="rId111" display="http://www.brwland.com.ua/product/liberti-shkaf-szf3d-brv-ukraina/"/>
    <hyperlink ref="A18" r:id="rId112" display="http://gerbor.kiev.ua/"/>
    <hyperlink ref="C18" r:id="rId113" display="http://gerbor.kiev.ua/mebelnye-sistemy/mebel-brw-azteca/azteca-tumba-tv-rtv2d2s-brv/"/>
    <hyperlink ref="E18" r:id="rId114" display="http://gerbor.kiev.ua/mebelnye-sistemy/mebel-indiana-brw/indiana-stol-pismennyy-jbiu2d2s140-brv/"/>
    <hyperlink ref="G18" r:id="rId115" display="http://gerbor.kiev.ua/mebelnye-sistemy/mebel-koen-gerbor/koen-penal-reg2d2s-gerbor/"/>
    <hyperlink ref="I18" r:id="rId116" display="http://gerbor.kiev.ua/mebelnye-sistemy/mebel-white-gerbor/white-komod-4s90-gerbor/"/>
    <hyperlink ref="K18" r:id="rId117" display="http://gerbor.kiev.ua/mebelnye-sistemy/mebel-nepo-gerbor/nepo-prikhozhaya-ppk-gerbor/"/>
    <hyperlink ref="M18" r:id="rId118" display="http://gerbor.kiev.ua/mebelnye-sistemy/mebel-alaska-brw/alaska-gostinaya-brw/"/>
    <hyperlink ref="Q18" r:id="rId119" display="http://gerbor.kiev.ua/mebelnye-sistemy/mebel-liberti-brw/liberti-shkaf-szf3d-brv/"/>
    <hyperlink ref="A19" r:id="rId120" display="http://maxmebel.com.ua/"/>
    <hyperlink ref="B19" r:id="rId121" location="gg33" display="http://maxmebel.com.ua/_hh11.htm#gg33"/>
    <hyperlink ref="C19" r:id="rId122" display="http://maxmebel.com.ua/pi/products_id/15620"/>
    <hyperlink ref="E19" r:id="rId123" display="http://maxmebel.com.ua/pi/products_id/4909"/>
    <hyperlink ref="G19" r:id="rId124" display="http://maxmebel.com.ua/pi/products_id/6503"/>
    <hyperlink ref="I19" r:id="rId125" display="http://maxmebel.com.ua/pi/products_id/13019"/>
    <hyperlink ref="K19" r:id="rId126" display="http://maxmebel.com.ua/pi/products_id/14792"/>
    <hyperlink ref="M19" r:id="rId127" display="http://maxmebel.com.ua/pi/products_id/509"/>
    <hyperlink ref="O19" r:id="rId128" display="http://maxmebel.com.ua/pi/products_id/6732"/>
    <hyperlink ref="Q19" r:id="rId129" display="http://maxmebel.com.ua/pi/products_id/19831"/>
    <hyperlink ref="A20" r:id="rId130" display="https://promebli.ua/"/>
    <hyperlink ref="C20" r:id="rId131" display="https://promebli.ua/tv-tumba-rtv2d2s-4-15-azteca-brw-belaja.html"/>
    <hyperlink ref="E20" r:id="rId132" display="https://promebli.ua/jbiu2d2s.html"/>
    <hyperlink ref="G20" r:id="rId133" display="https://promebli.ua/shkaf-szf2d2s-koen-mdf-gerbor.html"/>
    <hyperlink ref="I20" r:id="rId134" display="https://promebli.ua/komod-4s-90-vait-gerbor.html"/>
    <hyperlink ref="K20" r:id="rId135" display="https://promebli.ua/prihozhaja-ppk-nepo-gerbor.html"/>
    <hyperlink ref="M20" r:id="rId136" display="https://promebli.ua/stenka-aljaska-brw.html"/>
    <hyperlink ref="O20" r:id="rId137" display="https://promebli.ua/stenka-quatro--kvatro--brw.html"/>
    <hyperlink ref="Q20" r:id="rId138" display="https://promebli.ua/shkaf-3d-liberty-brw.html"/>
    <hyperlink ref="A21" r:id="rId139" display="https://komod-bc.com.ua/"/>
    <hyperlink ref="C21" r:id="rId140" display="https://komod-bc.com.ua/products/tumba-s205-rtv2d2s415-atsteka-001"/>
    <hyperlink ref="E21" r:id="rId141" display="https://komod-bc.com.ua/products/stol-pismennyj-jbiu-2d2s-140-indiana-j-007"/>
    <hyperlink ref="G21" r:id="rId142" display="https://komod-bc.com.ua/products/shkaf-szf-2d2s-koen-014"/>
    <hyperlink ref="I21" r:id="rId143" display="https://komod-bc.com.ua/products/komod-4s-90-vajt-008"/>
    <hyperlink ref="K21" r:id="rId144" display="https://komod-bc.com.ua/products/prihozhaya-rrk-nepo-019"/>
    <hyperlink ref="M21" r:id="rId145" display="https://komod-bc.com.ua/products/gostinaya-alyaska"/>
    <hyperlink ref="O21" r:id="rId146" display="https://komod-bc.com.ua/products/gostinaya-kvatro"/>
    <hyperlink ref="Q21" r:id="rId147" display="https://komod-bc.com.ua/products/shkaf-3d-liberti-005"/>
    <hyperlink ref="A22" r:id="rId148" display="https://www.mebelok.com/"/>
    <hyperlink ref="C22" r:id="rId149" display="https://www.mebelok.com/tymba-tv-rtv2d2s415-acteka/"/>
    <hyperlink ref="E22" r:id="rId150" location="option-74736-549003/" display="https://www.mebelok.com/stol-pismennyy-jbiu-2d2s-140/#option-74736-549003/"/>
    <hyperlink ref="G22" r:id="rId151" display="https://www.mebelok.com/koen-shkaf-szf2d2s-mdf/"/>
    <hyperlink ref="K22" r:id="rId152" display="https://www.mebelok.com/prihojaya-ppk-nepo/"/>
    <hyperlink ref="O22" r:id="rId153" display="https://www.mebelok.com/gostinaya-kvatro/"/>
    <hyperlink ref="Q22" r:id="rId154" display="https://www.mebelok.com/shkaf-3d-liberti/"/>
    <hyperlink ref="A23" r:id="rId155" display="http://redlight.com.ua/"/>
    <hyperlink ref="C23" r:id="rId156" display="http://redlight.com.ua/cat/mebel-dlja-gostinnoj/tv-stands/tumba-tv-rtv2d2s-4-15-atsteka.html"/>
    <hyperlink ref="E23" r:id="rId157" display="http://redlight.com.ua/cat/stoly/pisminnye/stol-pismenniy-jbiu-2d2s-indiana.html"/>
    <hyperlink ref="G23" r:id="rId158" display="http://redlight.com.ua/cat/modulnaya-mebel/shkaf/shkaf-szf2d2s-koen-(mdf).html"/>
    <hyperlink ref="I23" r:id="rId159" display="http://redlight.com.ua/cat/modulnaya-mebel/komod/vayt-komod-4s-90.html"/>
    <hyperlink ref="K23" r:id="rId160" display="http://redlight.com.ua/cat/prihozhie/sovremennye/nepo-prihozhaya-rrk-.html"/>
    <hyperlink ref="M23" r:id="rId161" display="http://redlight.com.ua/cat/mebel-dlja-gostinnoj/stenki/stenka-alyaska.html"/>
    <hyperlink ref="O23" r:id="rId162" display="http://redlight.com.ua/cat/mebel-dlja-gostinnoj/stenki/stenka-kvatro.html"/>
    <hyperlink ref="Q23" r:id="rId163" display="http://redlight.com.ua/cat/modulnaya-mebel/shkaf/liberti-shkaf-szf3d.html"/>
    <hyperlink ref="A24" r:id="rId164" display="https://zapadmebel.com.ua/"/>
    <hyperlink ref="C24" r:id="rId165" display="https://zapadmebel.com.ua/mebel-brw/tumba-s205-rtv2d2s-4-15-atsteka-001/"/>
    <hyperlink ref="E24" r:id="rId166" display="https://zapadmebel.com.ua/mebel-brw/indiana-stol-pismennyj-jbiu2d2s/"/>
    <hyperlink ref="G24" r:id="rId167" display="https://zapadmebel.com.ua/mebel-gerbor/shkaf-szf2d2s-koen-mdf-014/"/>
    <hyperlink ref="I24" r:id="rId168" display="https://zapadmebel.com.ua/mebel-gerbor/vajt-komod-4s-90/"/>
    <hyperlink ref="K24" r:id="rId169" display="https://zapadmebel.com.ua/mebel-gerbor/prihozhaya-ppk-nepo/"/>
    <hyperlink ref="M24" r:id="rId170" display="https://zapadmebel.com.ua/mebel-brw/gostinaya-alyaska/"/>
    <hyperlink ref="O24" r:id="rId171" display="https://zapadmebel.com.ua/stenki-gostinye/stenka-kvatro/"/>
    <hyperlink ref="Q24" r:id="rId172" display="https://zapadmebel.com.ua/shkafy/liberti-shkaf-3d/"/>
    <hyperlink ref="A25" r:id="rId173" display="https://meblihit.com.ua/"/>
    <hyperlink ref="C25" r:id="rId174" display="https://meblihit.com.ua/catalog/tumby_dlya_tekhniki/tumba_rtv2d2s_4_15/"/>
    <hyperlink ref="E25" r:id="rId175" display="https://meblihit.com.ua/catalog/desks/modulna_sistema_nd_ana_st_l_pismoviy_jbiu_2s2d_140/"/>
    <hyperlink ref="G25" r:id="rId176" display="https://meblihit.com.ua/catalog/modular_system_of_absence_mdf/modular_system_of_absence_mdf_cupboard_hanging_wardrobe_szf_2d2s/"/>
    <hyperlink ref="I25" r:id="rId177" display="https://meblihit.com.ua/catalog/chests_of_drawers/modulnaya_systema_vayt_white_008_komod_4s_90/"/>
    <hyperlink ref="K25" r:id="rId178" display="https://meblihit.com.ua/catalog/priho_ii_suites/modular_system_nepo_nepo_hallway_ppk/"/>
    <hyperlink ref="M25" r:id="rId179" display="https://meblihit.com.ua/catalog/living_rooms/gostynaya_alyaska_alyaska/"/>
    <hyperlink ref="O25" r:id="rId180" display="https://meblihit.com.ua/catalog/living_rooms/quatro_room/"/>
    <hyperlink ref="Q25" r:id="rId181" display="https://meblihit.com.ua/catalog/cabinets_trekhdvernye/bedroom_liberty_liberty_wardrobe_3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99.87"/>
    <col collapsed="false" customWidth="true" hidden="false" outlineLevel="0" max="4" min="3" style="0" width="22.86"/>
    <col collapsed="false" customWidth="true" hidden="false" outlineLevel="0" max="5" min="5" style="0" width="23.71"/>
  </cols>
  <sheetData>
    <row r="1" customFormat="false" ht="93" hidden="false" customHeight="true" outlineLevel="0" collapsed="false">
      <c r="A1" s="269" t="s">
        <v>0</v>
      </c>
      <c r="B1" s="1" t="s">
        <v>126</v>
      </c>
      <c r="C1" s="131" t="s">
        <v>395</v>
      </c>
      <c r="D1" s="131" t="s">
        <v>1</v>
      </c>
      <c r="E1" s="130" t="s">
        <v>395</v>
      </c>
      <c r="F1" s="130" t="s">
        <v>4</v>
      </c>
      <c r="G1" s="131" t="s">
        <v>395</v>
      </c>
      <c r="H1" s="131" t="s">
        <v>179</v>
      </c>
      <c r="I1" s="130" t="s">
        <v>395</v>
      </c>
      <c r="J1" s="130" t="s">
        <v>180</v>
      </c>
      <c r="K1" s="124" t="s">
        <v>395</v>
      </c>
      <c r="L1" s="124" t="s">
        <v>9</v>
      </c>
      <c r="M1" s="217" t="s">
        <v>395</v>
      </c>
      <c r="N1" s="217" t="s">
        <v>15</v>
      </c>
      <c r="O1" s="123" t="s">
        <v>395</v>
      </c>
      <c r="P1" s="123" t="s">
        <v>10</v>
      </c>
      <c r="Q1" s="217" t="s">
        <v>395</v>
      </c>
      <c r="R1" s="217" t="s">
        <v>181</v>
      </c>
    </row>
    <row r="2" customFormat="false" ht="15.75" hidden="false" customHeight="true" outlineLevel="0" collapsed="false">
      <c r="A2" s="196" t="s">
        <v>182</v>
      </c>
      <c r="B2" s="146"/>
      <c r="C2" s="270"/>
      <c r="D2" s="270" t="n">
        <v>3176</v>
      </c>
      <c r="E2" s="222"/>
      <c r="F2" s="222" t="n">
        <v>4901</v>
      </c>
      <c r="G2" s="270"/>
      <c r="H2" s="270" t="n">
        <v>4971</v>
      </c>
      <c r="I2" s="222"/>
      <c r="J2" s="222" t="n">
        <v>4901</v>
      </c>
      <c r="K2" s="271"/>
      <c r="L2" s="271" t="n">
        <v>1834</v>
      </c>
      <c r="M2" s="224"/>
      <c r="N2" s="224" t="n">
        <v>7262</v>
      </c>
      <c r="O2" s="271"/>
      <c r="P2" s="271" t="n">
        <v>2857</v>
      </c>
      <c r="Q2" s="224"/>
      <c r="R2" s="224" t="n">
        <v>8697</v>
      </c>
    </row>
    <row r="3" customFormat="false" ht="15.75" hidden="false" customHeight="true" outlineLevel="0" collapsed="false">
      <c r="A3" s="78" t="s">
        <v>28</v>
      </c>
      <c r="B3" s="147" t="s">
        <v>128</v>
      </c>
      <c r="C3" s="272"/>
      <c r="D3" s="272" t="n">
        <v>3176</v>
      </c>
      <c r="E3" s="229"/>
      <c r="F3" s="229" t="n">
        <v>4901</v>
      </c>
      <c r="G3" s="272"/>
      <c r="H3" s="272" t="n">
        <v>4971</v>
      </c>
      <c r="I3" s="229"/>
      <c r="J3" s="229" t="n">
        <v>4901</v>
      </c>
      <c r="K3" s="272"/>
      <c r="L3" s="272" t="n">
        <v>1834</v>
      </c>
      <c r="M3" s="229"/>
      <c r="N3" s="229" t="n">
        <v>7262</v>
      </c>
      <c r="O3" s="272"/>
      <c r="P3" s="272" t="n">
        <v>2857</v>
      </c>
      <c r="Q3" s="229"/>
      <c r="R3" s="229" t="n">
        <v>8697</v>
      </c>
    </row>
    <row r="4" customFormat="false" ht="72.75" hidden="false" customHeight="true" outlineLevel="0" collapsed="false">
      <c r="A4" s="78" t="s">
        <v>29</v>
      </c>
      <c r="B4" s="160" t="s">
        <v>396</v>
      </c>
      <c r="C4" s="273" t="s">
        <v>358</v>
      </c>
      <c r="D4" s="231" t="n">
        <v>3176</v>
      </c>
      <c r="E4" s="175" t="s">
        <v>359</v>
      </c>
      <c r="F4" s="232" t="n">
        <v>4901</v>
      </c>
      <c r="G4" s="274" t="s">
        <v>360</v>
      </c>
      <c r="H4" s="233" t="n">
        <v>4971</v>
      </c>
      <c r="I4" s="175" t="s">
        <v>361</v>
      </c>
      <c r="J4" s="232" t="n">
        <v>4901</v>
      </c>
      <c r="K4" s="274" t="s">
        <v>362</v>
      </c>
      <c r="L4" s="275" t="n">
        <v>1834</v>
      </c>
      <c r="M4" s="276" t="s">
        <v>363</v>
      </c>
      <c r="N4" s="232" t="n">
        <v>7262</v>
      </c>
      <c r="O4" s="274" t="s">
        <v>364</v>
      </c>
      <c r="P4" s="233" t="n">
        <v>2857</v>
      </c>
      <c r="Q4" s="175" t="s">
        <v>365</v>
      </c>
      <c r="R4" s="187" t="n">
        <v>8697</v>
      </c>
    </row>
    <row r="5" customFormat="false" ht="15.75" hidden="false" customHeight="true" outlineLevel="0" collapsed="false">
      <c r="A5" s="78" t="s">
        <v>30</v>
      </c>
      <c r="B5" s="160" t="s">
        <v>397</v>
      </c>
      <c r="C5" s="274" t="s">
        <v>211</v>
      </c>
      <c r="D5" s="233" t="n">
        <v>3176</v>
      </c>
      <c r="E5" s="175" t="s">
        <v>212</v>
      </c>
      <c r="F5" s="232" t="n">
        <v>4901</v>
      </c>
      <c r="G5" s="274" t="s">
        <v>213</v>
      </c>
      <c r="H5" s="233" t="n">
        <v>4971</v>
      </c>
      <c r="I5" s="175" t="s">
        <v>214</v>
      </c>
      <c r="J5" s="232" t="n">
        <v>4901</v>
      </c>
      <c r="K5" s="274" t="s">
        <v>398</v>
      </c>
      <c r="L5" s="275" t="n">
        <v>1834</v>
      </c>
      <c r="M5" s="276" t="s">
        <v>216</v>
      </c>
      <c r="N5" s="232" t="n">
        <v>7262</v>
      </c>
      <c r="O5" s="274" t="s">
        <v>217</v>
      </c>
      <c r="P5" s="233" t="n">
        <v>2857</v>
      </c>
      <c r="Q5" s="175" t="s">
        <v>218</v>
      </c>
      <c r="R5" s="187" t="n">
        <v>8697</v>
      </c>
    </row>
    <row r="6" customFormat="false" ht="117.75" hidden="false" customHeight="true" outlineLevel="0" collapsed="false">
      <c r="A6" s="78" t="s">
        <v>17</v>
      </c>
      <c r="B6" s="160" t="s">
        <v>399</v>
      </c>
      <c r="C6" s="274" t="s">
        <v>313</v>
      </c>
      <c r="D6" s="233" t="n">
        <v>3176</v>
      </c>
      <c r="E6" s="175" t="s">
        <v>400</v>
      </c>
      <c r="F6" s="232" t="n">
        <v>4901</v>
      </c>
      <c r="G6" s="274" t="s">
        <v>401</v>
      </c>
      <c r="H6" s="233" t="n">
        <v>4971</v>
      </c>
      <c r="I6" s="175" t="s">
        <v>316</v>
      </c>
      <c r="J6" s="232" t="n">
        <v>4901</v>
      </c>
      <c r="K6" s="274" t="s">
        <v>317</v>
      </c>
      <c r="L6" s="275" t="n">
        <v>1834</v>
      </c>
      <c r="M6" s="276" t="s">
        <v>318</v>
      </c>
      <c r="N6" s="232" t="n">
        <v>7262</v>
      </c>
      <c r="O6" s="274" t="s">
        <v>402</v>
      </c>
      <c r="P6" s="233" t="n">
        <v>2857</v>
      </c>
      <c r="Q6" s="175" t="s">
        <v>319</v>
      </c>
      <c r="R6" s="187" t="n">
        <v>8697</v>
      </c>
    </row>
    <row r="7" customFormat="false" ht="15.75" hidden="false" customHeight="true" outlineLevel="0" collapsed="false">
      <c r="A7" s="78" t="s">
        <v>18</v>
      </c>
      <c r="B7" s="160" t="s">
        <v>403</v>
      </c>
      <c r="C7" s="274" t="s">
        <v>305</v>
      </c>
      <c r="D7" s="275" t="n">
        <v>3176</v>
      </c>
      <c r="E7" s="175" t="s">
        <v>306</v>
      </c>
      <c r="F7" s="187" t="n">
        <v>4901</v>
      </c>
      <c r="G7" s="274" t="s">
        <v>307</v>
      </c>
      <c r="H7" s="233" t="n">
        <v>4971</v>
      </c>
      <c r="I7" s="175" t="s">
        <v>308</v>
      </c>
      <c r="J7" s="187" t="n">
        <v>4901</v>
      </c>
      <c r="K7" s="274" t="s">
        <v>309</v>
      </c>
      <c r="L7" s="275" t="n">
        <v>1834</v>
      </c>
      <c r="M7" s="175" t="s">
        <v>404</v>
      </c>
      <c r="N7" s="187" t="n">
        <v>7262</v>
      </c>
      <c r="O7" s="274" t="s">
        <v>405</v>
      </c>
      <c r="P7" s="275" t="n">
        <v>2857</v>
      </c>
      <c r="Q7" s="175" t="s">
        <v>311</v>
      </c>
      <c r="R7" s="187" t="n">
        <v>8697</v>
      </c>
    </row>
    <row r="8" customFormat="false" ht="15.75" hidden="false" customHeight="true" outlineLevel="0" collapsed="false">
      <c r="A8" s="78" t="s">
        <v>31</v>
      </c>
      <c r="B8" s="160" t="s">
        <v>406</v>
      </c>
      <c r="C8" s="274" t="s">
        <v>407</v>
      </c>
      <c r="D8" s="233" t="n">
        <v>3176</v>
      </c>
      <c r="E8" s="175" t="s">
        <v>408</v>
      </c>
      <c r="F8" s="277" t="n">
        <v>4901</v>
      </c>
      <c r="G8" s="274" t="s">
        <v>409</v>
      </c>
      <c r="H8" s="233" t="n">
        <v>4971</v>
      </c>
      <c r="I8" s="175" t="s">
        <v>410</v>
      </c>
      <c r="J8" s="232" t="n">
        <v>4901</v>
      </c>
      <c r="K8" s="274" t="s">
        <v>411</v>
      </c>
      <c r="L8" s="275" t="n">
        <v>1834</v>
      </c>
      <c r="M8" s="175" t="s">
        <v>412</v>
      </c>
      <c r="N8" s="232" t="n">
        <v>7262</v>
      </c>
      <c r="O8" s="274" t="s">
        <v>413</v>
      </c>
      <c r="P8" s="233" t="n">
        <v>2857</v>
      </c>
      <c r="Q8" s="175" t="s">
        <v>414</v>
      </c>
      <c r="R8" s="187" t="n">
        <v>8697</v>
      </c>
    </row>
    <row r="9" customFormat="false" ht="126" hidden="false" customHeight="true" outlineLevel="0" collapsed="false">
      <c r="A9" s="78" t="s">
        <v>19</v>
      </c>
      <c r="B9" s="160" t="s">
        <v>415</v>
      </c>
      <c r="C9" s="274" t="s">
        <v>416</v>
      </c>
      <c r="D9" s="275" t="n">
        <v>3343</v>
      </c>
      <c r="E9" s="175" t="s">
        <v>417</v>
      </c>
      <c r="F9" s="187" t="n">
        <v>5158</v>
      </c>
      <c r="G9" s="274" t="s">
        <v>418</v>
      </c>
      <c r="H9" s="275" t="n">
        <v>5232</v>
      </c>
      <c r="I9" s="175" t="s">
        <v>419</v>
      </c>
      <c r="J9" s="187" t="n">
        <v>5013</v>
      </c>
      <c r="K9" s="274" t="s">
        <v>420</v>
      </c>
      <c r="L9" s="275" t="n">
        <v>1930</v>
      </c>
      <c r="M9" s="175" t="s">
        <v>421</v>
      </c>
      <c r="N9" s="232" t="n">
        <v>7605</v>
      </c>
      <c r="O9" s="274" t="s">
        <v>422</v>
      </c>
      <c r="P9" s="275" t="n">
        <v>2945</v>
      </c>
      <c r="Q9" s="187" t="s">
        <v>34</v>
      </c>
      <c r="R9" s="187" t="s">
        <v>34</v>
      </c>
    </row>
    <row r="10" customFormat="false" ht="193.5" hidden="false" customHeight="true" outlineLevel="0" collapsed="false">
      <c r="A10" s="78" t="s">
        <v>20</v>
      </c>
      <c r="B10" s="160" t="s">
        <v>423</v>
      </c>
      <c r="C10" s="275"/>
      <c r="D10" s="275"/>
      <c r="E10" s="187"/>
      <c r="F10" s="187"/>
      <c r="G10" s="275"/>
      <c r="H10" s="275"/>
      <c r="I10" s="187"/>
      <c r="J10" s="187"/>
      <c r="K10" s="275"/>
      <c r="L10" s="275"/>
      <c r="M10" s="187"/>
      <c r="N10" s="187"/>
      <c r="O10" s="275"/>
      <c r="P10" s="275"/>
      <c r="Q10" s="187"/>
      <c r="R10" s="187"/>
    </row>
    <row r="11" customFormat="false" ht="15.75" hidden="false" customHeight="true" outlineLevel="0" collapsed="false">
      <c r="A11" s="78" t="s">
        <v>21</v>
      </c>
      <c r="B11" s="160" t="s">
        <v>424</v>
      </c>
      <c r="C11" s="274" t="s">
        <v>238</v>
      </c>
      <c r="D11" s="233" t="n">
        <v>3176</v>
      </c>
      <c r="E11" s="175" t="s">
        <v>239</v>
      </c>
      <c r="F11" s="232" t="n">
        <v>4901</v>
      </c>
      <c r="G11" s="274" t="s">
        <v>240</v>
      </c>
      <c r="H11" s="275" t="n">
        <v>4971</v>
      </c>
      <c r="I11" s="175" t="s">
        <v>241</v>
      </c>
      <c r="J11" s="232" t="n">
        <v>4901</v>
      </c>
      <c r="K11" s="274" t="s">
        <v>242</v>
      </c>
      <c r="L11" s="275" t="n">
        <v>1834</v>
      </c>
      <c r="M11" s="175" t="s">
        <v>243</v>
      </c>
      <c r="N11" s="232" t="n">
        <v>7262</v>
      </c>
      <c r="O11" s="274" t="s">
        <v>244</v>
      </c>
      <c r="P11" s="233" t="n">
        <v>2857</v>
      </c>
      <c r="Q11" s="175" t="s">
        <v>245</v>
      </c>
      <c r="R11" s="187" t="n">
        <v>8697</v>
      </c>
      <c r="S11" s="84" t="s">
        <v>425</v>
      </c>
    </row>
    <row r="12" customFormat="false" ht="15.75" hidden="false" customHeight="true" outlineLevel="0" collapsed="false">
      <c r="A12" s="78" t="s">
        <v>22</v>
      </c>
      <c r="B12" s="160" t="s">
        <v>426</v>
      </c>
      <c r="C12" s="274" t="s">
        <v>351</v>
      </c>
      <c r="D12" s="275" t="n">
        <v>3355</v>
      </c>
      <c r="E12" s="175" t="s">
        <v>427</v>
      </c>
      <c r="F12" s="187" t="n">
        <v>5165</v>
      </c>
      <c r="G12" s="274" t="s">
        <v>353</v>
      </c>
      <c r="H12" s="275" t="n">
        <v>5245</v>
      </c>
      <c r="I12" s="187" t="s">
        <v>34</v>
      </c>
      <c r="J12" s="187" t="s">
        <v>34</v>
      </c>
      <c r="K12" s="274" t="s">
        <v>354</v>
      </c>
      <c r="L12" s="275" t="n">
        <v>1905</v>
      </c>
      <c r="M12" s="187" t="s">
        <v>34</v>
      </c>
      <c r="N12" s="187" t="s">
        <v>34</v>
      </c>
      <c r="O12" s="274" t="s">
        <v>355</v>
      </c>
      <c r="P12" s="275" t="n">
        <v>2955</v>
      </c>
      <c r="Q12" s="175" t="s">
        <v>356</v>
      </c>
      <c r="R12" s="187" t="n">
        <v>9165</v>
      </c>
    </row>
    <row r="13" customFormat="false" ht="15.75" hidden="false" customHeight="true" outlineLevel="0" collapsed="false">
      <c r="A13" s="78" t="s">
        <v>23</v>
      </c>
      <c r="B13" s="160" t="s">
        <v>428</v>
      </c>
      <c r="C13" s="274" t="s">
        <v>321</v>
      </c>
      <c r="D13" s="275" t="n">
        <v>3176</v>
      </c>
      <c r="E13" s="175" t="s">
        <v>322</v>
      </c>
      <c r="F13" s="187" t="n">
        <v>4901</v>
      </c>
      <c r="G13" s="274" t="s">
        <v>323</v>
      </c>
      <c r="H13" s="275" t="n">
        <v>4971</v>
      </c>
      <c r="I13" s="175" t="s">
        <v>324</v>
      </c>
      <c r="J13" s="187" t="n">
        <v>4906</v>
      </c>
      <c r="K13" s="274" t="s">
        <v>325</v>
      </c>
      <c r="L13" s="275" t="n">
        <v>1834</v>
      </c>
      <c r="M13" s="175" t="s">
        <v>326</v>
      </c>
      <c r="N13" s="187" t="n">
        <v>7262</v>
      </c>
      <c r="O13" s="274" t="s">
        <v>327</v>
      </c>
      <c r="P13" s="233" t="n">
        <v>2857</v>
      </c>
      <c r="Q13" s="175" t="s">
        <v>328</v>
      </c>
      <c r="R13" s="187" t="n">
        <v>8697</v>
      </c>
    </row>
    <row r="14" customFormat="false" ht="15.75" hidden="false" customHeight="true" outlineLevel="0" collapsed="false">
      <c r="A14" s="78" t="s">
        <v>24</v>
      </c>
      <c r="B14" s="160" t="s">
        <v>429</v>
      </c>
      <c r="C14" s="275" t="s">
        <v>34</v>
      </c>
      <c r="D14" s="275" t="s">
        <v>34</v>
      </c>
      <c r="E14" s="187" t="s">
        <v>34</v>
      </c>
      <c r="F14" s="187" t="s">
        <v>34</v>
      </c>
      <c r="G14" s="275" t="s">
        <v>34</v>
      </c>
      <c r="H14" s="275" t="s">
        <v>34</v>
      </c>
      <c r="I14" s="187" t="s">
        <v>34</v>
      </c>
      <c r="J14" s="187" t="s">
        <v>34</v>
      </c>
      <c r="K14" s="274" t="s">
        <v>430</v>
      </c>
      <c r="L14" s="275" t="n">
        <v>1838</v>
      </c>
      <c r="M14" s="187" t="s">
        <v>34</v>
      </c>
      <c r="N14" s="187" t="s">
        <v>34</v>
      </c>
      <c r="O14" s="274" t="s">
        <v>431</v>
      </c>
      <c r="P14" s="275" t="n">
        <v>2866</v>
      </c>
      <c r="Q14" s="187" t="s">
        <v>34</v>
      </c>
      <c r="R14" s="187" t="s">
        <v>34</v>
      </c>
    </row>
    <row r="15" customFormat="false" ht="15.75" hidden="false" customHeight="true" outlineLevel="0" collapsed="false">
      <c r="A15" s="78" t="s">
        <v>35</v>
      </c>
      <c r="B15" s="147" t="s">
        <v>432</v>
      </c>
      <c r="C15" s="275"/>
      <c r="D15" s="275"/>
      <c r="E15" s="187"/>
      <c r="F15" s="187"/>
      <c r="G15" s="275"/>
      <c r="H15" s="275"/>
      <c r="I15" s="187"/>
      <c r="J15" s="187"/>
      <c r="K15" s="275"/>
      <c r="L15" s="275"/>
      <c r="M15" s="175" t="s">
        <v>433</v>
      </c>
      <c r="N15" s="187" t="n">
        <v>7265</v>
      </c>
      <c r="O15" s="275"/>
      <c r="P15" s="275"/>
      <c r="Q15" s="187"/>
      <c r="R15" s="187"/>
    </row>
    <row r="16" customFormat="false" ht="15.75" hidden="false" customHeight="true" outlineLevel="0" collapsed="false">
      <c r="A16" s="78" t="s">
        <v>36</v>
      </c>
      <c r="B16" s="160" t="s">
        <v>434</v>
      </c>
      <c r="C16" s="275" t="s">
        <v>34</v>
      </c>
      <c r="D16" s="275" t="s">
        <v>34</v>
      </c>
      <c r="E16" s="175" t="s">
        <v>435</v>
      </c>
      <c r="F16" s="187" t="n">
        <v>4901</v>
      </c>
      <c r="G16" s="274" t="s">
        <v>436</v>
      </c>
      <c r="H16" s="275" t="n">
        <v>5617</v>
      </c>
      <c r="I16" s="175" t="s">
        <v>437</v>
      </c>
      <c r="J16" s="187" t="n">
        <v>5382</v>
      </c>
      <c r="K16" s="274" t="s">
        <v>438</v>
      </c>
      <c r="L16" s="233" t="n">
        <v>2141</v>
      </c>
      <c r="M16" s="175" t="s">
        <v>439</v>
      </c>
      <c r="N16" s="187" t="n">
        <v>7262</v>
      </c>
      <c r="O16" s="274" t="s">
        <v>440</v>
      </c>
      <c r="P16" s="275" t="n">
        <v>3328</v>
      </c>
      <c r="Q16" s="175" t="s">
        <v>441</v>
      </c>
      <c r="R16" s="187" t="n">
        <v>9828</v>
      </c>
    </row>
    <row r="17" customFormat="false" ht="15.75" hidden="false" customHeight="true" outlineLevel="0" collapsed="false">
      <c r="A17" s="78" t="s">
        <v>442</v>
      </c>
      <c r="B17" s="160" t="s">
        <v>443</v>
      </c>
      <c r="C17" s="275" t="s">
        <v>34</v>
      </c>
      <c r="D17" s="275" t="s">
        <v>34</v>
      </c>
      <c r="E17" s="278" t="s">
        <v>34</v>
      </c>
      <c r="F17" s="279" t="s">
        <v>444</v>
      </c>
      <c r="G17" s="275" t="s">
        <v>34</v>
      </c>
      <c r="H17" s="275" t="s">
        <v>34</v>
      </c>
      <c r="I17" s="175" t="s">
        <v>445</v>
      </c>
      <c r="J17" s="187" t="n">
        <v>4901</v>
      </c>
      <c r="K17" s="274" t="s">
        <v>446</v>
      </c>
      <c r="L17" s="275" t="n">
        <v>1834</v>
      </c>
      <c r="M17" s="175" t="s">
        <v>447</v>
      </c>
      <c r="N17" s="187" t="n">
        <v>7282</v>
      </c>
      <c r="O17" s="274" t="s">
        <v>448</v>
      </c>
      <c r="P17" s="275" t="n">
        <v>2857</v>
      </c>
      <c r="Q17" s="175" t="s">
        <v>449</v>
      </c>
      <c r="R17" s="187" t="n">
        <v>8697</v>
      </c>
    </row>
    <row r="18" customFormat="false" ht="15.75" hidden="false" customHeight="true" outlineLevel="0" collapsed="false">
      <c r="A18" s="78" t="s">
        <v>176</v>
      </c>
      <c r="B18" s="160" t="s">
        <v>450</v>
      </c>
      <c r="C18" s="275" t="s">
        <v>34</v>
      </c>
      <c r="D18" s="233" t="s">
        <v>34</v>
      </c>
      <c r="E18" s="187" t="s">
        <v>34</v>
      </c>
      <c r="F18" s="187" t="s">
        <v>34</v>
      </c>
      <c r="G18" s="275" t="s">
        <v>34</v>
      </c>
      <c r="H18" s="275" t="s">
        <v>34</v>
      </c>
      <c r="I18" s="187" t="s">
        <v>34</v>
      </c>
      <c r="J18" s="187" t="s">
        <v>34</v>
      </c>
      <c r="K18" s="275" t="s">
        <v>34</v>
      </c>
      <c r="L18" s="275" t="s">
        <v>34</v>
      </c>
      <c r="M18" s="187" t="s">
        <v>34</v>
      </c>
      <c r="N18" s="232" t="s">
        <v>34</v>
      </c>
      <c r="O18" s="275" t="s">
        <v>34</v>
      </c>
      <c r="P18" s="275" t="s">
        <v>34</v>
      </c>
      <c r="Q18" s="187" t="s">
        <v>34</v>
      </c>
      <c r="R18" s="232" t="s">
        <v>34</v>
      </c>
    </row>
    <row r="19" customFormat="false" ht="15.75" hidden="false" customHeight="true" outlineLevel="0" collapsed="false">
      <c r="A19" s="78" t="s">
        <v>451</v>
      </c>
      <c r="B19" s="160" t="s">
        <v>452</v>
      </c>
      <c r="C19" s="274" t="s">
        <v>453</v>
      </c>
      <c r="D19" s="275" t="n">
        <v>3176</v>
      </c>
      <c r="E19" s="175" t="s">
        <v>454</v>
      </c>
      <c r="F19" s="187" t="n">
        <v>4901</v>
      </c>
      <c r="G19" s="275" t="s">
        <v>34</v>
      </c>
      <c r="H19" s="275" t="s">
        <v>34</v>
      </c>
      <c r="I19" s="187" t="s">
        <v>34</v>
      </c>
      <c r="J19" s="187" t="s">
        <v>34</v>
      </c>
      <c r="K19" s="274" t="s">
        <v>455</v>
      </c>
      <c r="L19" s="275" t="n">
        <v>1834</v>
      </c>
      <c r="M19" s="175" t="s">
        <v>456</v>
      </c>
      <c r="N19" s="275" t="n">
        <v>7262</v>
      </c>
      <c r="O19" s="274" t="s">
        <v>457</v>
      </c>
      <c r="P19" s="275" t="n">
        <v>2857</v>
      </c>
      <c r="Q19" s="175" t="s">
        <v>458</v>
      </c>
      <c r="R19" s="275" t="n">
        <v>8697</v>
      </c>
    </row>
    <row r="20" customFormat="false" ht="15.75" hidden="false" customHeight="true" outlineLevel="0" collapsed="false">
      <c r="A20" s="280"/>
      <c r="B20" s="147"/>
      <c r="C20" s="275"/>
      <c r="D20" s="275"/>
      <c r="E20" s="187"/>
      <c r="F20" s="187"/>
      <c r="G20" s="275"/>
      <c r="H20" s="275"/>
      <c r="I20" s="187"/>
      <c r="J20" s="187"/>
      <c r="K20" s="275"/>
      <c r="L20" s="275"/>
      <c r="M20" s="187"/>
      <c r="N20" s="187"/>
      <c r="O20" s="275"/>
      <c r="P20" s="275"/>
      <c r="Q20" s="187"/>
      <c r="R20" s="187"/>
    </row>
    <row r="21" customFormat="false" ht="15.75" hidden="false" customHeight="true" outlineLevel="0" collapsed="false">
      <c r="A21" s="78" t="s">
        <v>37</v>
      </c>
      <c r="B21" s="160" t="s">
        <v>459</v>
      </c>
      <c r="C21" s="274" t="s">
        <v>460</v>
      </c>
      <c r="D21" s="275" t="n">
        <v>6719</v>
      </c>
      <c r="E21" s="187" t="s">
        <v>34</v>
      </c>
      <c r="F21" s="187" t="s">
        <v>34</v>
      </c>
      <c r="G21" s="274" t="s">
        <v>461</v>
      </c>
      <c r="H21" s="281" t="n">
        <v>4219</v>
      </c>
      <c r="I21" s="175" t="s">
        <v>462</v>
      </c>
      <c r="J21" s="232" t="n">
        <v>5159</v>
      </c>
      <c r="K21" s="274" t="s">
        <v>299</v>
      </c>
      <c r="L21" s="232" t="n">
        <v>1929</v>
      </c>
      <c r="M21" s="175" t="s">
        <v>301</v>
      </c>
      <c r="N21" s="232" t="n">
        <v>7649</v>
      </c>
      <c r="O21" s="275" t="s">
        <v>34</v>
      </c>
      <c r="P21" s="275" t="s">
        <v>34</v>
      </c>
      <c r="Q21" s="175" t="s">
        <v>463</v>
      </c>
      <c r="R21" s="232" t="n">
        <v>9159</v>
      </c>
    </row>
    <row r="22" customFormat="false" ht="15.75" hidden="false" customHeight="true" outlineLevel="0" collapsed="false">
      <c r="A22" s="78" t="s">
        <v>464</v>
      </c>
      <c r="B22" s="160" t="s">
        <v>465</v>
      </c>
      <c r="C22" s="274" t="s">
        <v>466</v>
      </c>
      <c r="D22" s="275" t="n">
        <v>3176</v>
      </c>
      <c r="E22" s="175" t="s">
        <v>467</v>
      </c>
      <c r="F22" s="187" t="n">
        <v>4979</v>
      </c>
      <c r="G22" s="274" t="s">
        <v>468</v>
      </c>
      <c r="H22" s="275" t="n">
        <v>4971</v>
      </c>
      <c r="I22" s="175" t="s">
        <v>469</v>
      </c>
      <c r="J22" s="187" t="n">
        <v>4901</v>
      </c>
      <c r="K22" s="274" t="s">
        <v>470</v>
      </c>
      <c r="L22" s="275" t="n">
        <v>1834</v>
      </c>
      <c r="M22" s="175" t="s">
        <v>471</v>
      </c>
      <c r="N22" s="257" t="s">
        <v>34</v>
      </c>
      <c r="O22" s="274" t="s">
        <v>472</v>
      </c>
      <c r="P22" s="275" t="n">
        <v>2857</v>
      </c>
      <c r="Q22" s="175" t="s">
        <v>473</v>
      </c>
      <c r="R22" s="187" t="n">
        <v>8697</v>
      </c>
    </row>
    <row r="23" customFormat="false" ht="15.75" hidden="false" customHeight="true" outlineLevel="0" collapsed="false">
      <c r="A23" s="78" t="s">
        <v>474</v>
      </c>
      <c r="B23" s="160" t="s">
        <v>475</v>
      </c>
      <c r="C23" s="274" t="s">
        <v>476</v>
      </c>
      <c r="D23" s="275" t="n">
        <v>4947</v>
      </c>
      <c r="E23" s="187" t="s">
        <v>34</v>
      </c>
      <c r="F23" s="187" t="s">
        <v>34</v>
      </c>
      <c r="G23" s="275" t="s">
        <v>34</v>
      </c>
      <c r="H23" s="275" t="s">
        <v>34</v>
      </c>
      <c r="I23" s="187" t="s">
        <v>34</v>
      </c>
      <c r="J23" s="187" t="s">
        <v>34</v>
      </c>
      <c r="K23" s="274" t="s">
        <v>477</v>
      </c>
      <c r="L23" s="275" t="n">
        <v>2005</v>
      </c>
      <c r="M23" s="187" t="s">
        <v>34</v>
      </c>
      <c r="N23" s="187" t="s">
        <v>34</v>
      </c>
      <c r="O23" s="274" t="s">
        <v>478</v>
      </c>
      <c r="P23" s="275" t="s">
        <v>34</v>
      </c>
      <c r="Q23" s="187" t="s">
        <v>34</v>
      </c>
      <c r="R23" s="187" t="s">
        <v>34</v>
      </c>
    </row>
    <row r="24" customFormat="false" ht="15.75" hidden="false" customHeight="true" outlineLevel="0" collapsed="false">
      <c r="A24" s="78" t="s">
        <v>25</v>
      </c>
      <c r="B24" s="160" t="s">
        <v>479</v>
      </c>
      <c r="C24" s="274" t="s">
        <v>480</v>
      </c>
      <c r="D24" s="275" t="n">
        <v>3176</v>
      </c>
      <c r="E24" s="175" t="s">
        <v>481</v>
      </c>
      <c r="F24" s="187" t="n">
        <v>4901</v>
      </c>
      <c r="G24" s="274" t="s">
        <v>482</v>
      </c>
      <c r="H24" s="275" t="n">
        <v>4971</v>
      </c>
      <c r="I24" s="175" t="s">
        <v>483</v>
      </c>
      <c r="J24" s="187" t="n">
        <v>4901</v>
      </c>
      <c r="K24" s="274" t="s">
        <v>484</v>
      </c>
      <c r="L24" s="275" t="n">
        <v>1834</v>
      </c>
      <c r="M24" s="175" t="s">
        <v>485</v>
      </c>
      <c r="N24" s="187" t="n">
        <v>7262</v>
      </c>
      <c r="O24" s="274" t="s">
        <v>486</v>
      </c>
      <c r="P24" s="275" t="n">
        <v>2857</v>
      </c>
      <c r="Q24" s="175" t="s">
        <v>487</v>
      </c>
      <c r="R24" s="187" t="n">
        <v>8697</v>
      </c>
    </row>
    <row r="25" customFormat="false" ht="15.75" hidden="false" customHeight="true" outlineLevel="0" collapsed="false">
      <c r="A25" s="78" t="s">
        <v>123</v>
      </c>
      <c r="B25" s="160" t="s">
        <v>488</v>
      </c>
      <c r="C25" s="275" t="s">
        <v>34</v>
      </c>
      <c r="D25" s="275" t="s">
        <v>34</v>
      </c>
      <c r="E25" s="187" t="s">
        <v>34</v>
      </c>
      <c r="F25" s="187" t="s">
        <v>34</v>
      </c>
      <c r="G25" s="275" t="s">
        <v>34</v>
      </c>
      <c r="H25" s="275" t="s">
        <v>34</v>
      </c>
      <c r="I25" s="187" t="s">
        <v>34</v>
      </c>
      <c r="J25" s="187" t="s">
        <v>34</v>
      </c>
      <c r="K25" s="275" t="s">
        <v>34</v>
      </c>
      <c r="L25" s="275" t="s">
        <v>34</v>
      </c>
      <c r="M25" s="187" t="s">
        <v>34</v>
      </c>
      <c r="N25" s="187" t="s">
        <v>34</v>
      </c>
      <c r="O25" s="275" t="s">
        <v>34</v>
      </c>
      <c r="P25" s="275" t="s">
        <v>34</v>
      </c>
      <c r="Q25" s="187" t="s">
        <v>34</v>
      </c>
      <c r="R25" s="187" t="s">
        <v>34</v>
      </c>
    </row>
    <row r="26" customFormat="false" ht="15.75" hidden="false" customHeight="true" outlineLevel="0" collapsed="false">
      <c r="A26" s="78" t="s">
        <v>124</v>
      </c>
      <c r="B26" s="160" t="s">
        <v>489</v>
      </c>
      <c r="C26" s="274" t="s">
        <v>490</v>
      </c>
      <c r="D26" s="275" t="n">
        <v>3294</v>
      </c>
      <c r="E26" s="187" t="s">
        <v>34</v>
      </c>
      <c r="F26" s="187" t="s">
        <v>34</v>
      </c>
      <c r="G26" s="275" t="s">
        <v>34</v>
      </c>
      <c r="H26" s="275" t="s">
        <v>34</v>
      </c>
      <c r="I26" s="175" t="s">
        <v>491</v>
      </c>
      <c r="J26" s="187" t="n">
        <v>4906</v>
      </c>
      <c r="K26" s="274" t="s">
        <v>492</v>
      </c>
      <c r="L26" s="281" t="n">
        <v>1808</v>
      </c>
      <c r="M26" s="187" t="s">
        <v>34</v>
      </c>
      <c r="N26" s="187" t="s">
        <v>34</v>
      </c>
      <c r="O26" s="274" t="s">
        <v>493</v>
      </c>
      <c r="P26" s="281" t="n">
        <v>2840</v>
      </c>
      <c r="Q26" s="187" t="s">
        <v>34</v>
      </c>
      <c r="R26" s="187" t="s">
        <v>34</v>
      </c>
    </row>
    <row r="27" customFormat="false" ht="15.75" hidden="false" customHeight="true" outlineLevel="0" collapsed="false">
      <c r="A27" s="78" t="s">
        <v>38</v>
      </c>
      <c r="B27" s="147" t="s">
        <v>494</v>
      </c>
      <c r="C27" s="274" t="s">
        <v>495</v>
      </c>
      <c r="D27" s="275" t="n">
        <v>4446</v>
      </c>
      <c r="E27" s="175" t="s">
        <v>496</v>
      </c>
      <c r="F27" s="187" t="n">
        <v>6739</v>
      </c>
      <c r="G27" s="275" t="s">
        <v>34</v>
      </c>
      <c r="H27" s="275" t="s">
        <v>34</v>
      </c>
      <c r="I27" s="175" t="s">
        <v>497</v>
      </c>
      <c r="J27" s="187" t="n">
        <v>4906</v>
      </c>
      <c r="K27" s="274" t="s">
        <v>498</v>
      </c>
      <c r="L27" s="275" t="n">
        <v>1834</v>
      </c>
      <c r="M27" s="187" t="s">
        <v>34</v>
      </c>
      <c r="N27" s="187" t="s">
        <v>34</v>
      </c>
      <c r="O27" s="274" t="s">
        <v>499</v>
      </c>
      <c r="P27" s="275" t="n">
        <v>2857</v>
      </c>
      <c r="Q27" s="175" t="s">
        <v>500</v>
      </c>
      <c r="R27" s="187" t="n">
        <v>8697</v>
      </c>
    </row>
    <row r="28" customFormat="false" ht="15.75" hidden="false" customHeight="true" outlineLevel="0" collapsed="false">
      <c r="A28" s="78" t="s">
        <v>39</v>
      </c>
      <c r="B28" s="147" t="s">
        <v>173</v>
      </c>
      <c r="C28" s="274" t="s">
        <v>501</v>
      </c>
      <c r="D28" s="275" t="n">
        <v>3294</v>
      </c>
      <c r="E28" s="187" t="s">
        <v>34</v>
      </c>
      <c r="F28" s="187" t="s">
        <v>34</v>
      </c>
      <c r="G28" s="274" t="s">
        <v>502</v>
      </c>
      <c r="H28" s="275" t="n">
        <v>4971</v>
      </c>
      <c r="I28" s="175" t="s">
        <v>503</v>
      </c>
      <c r="J28" s="187" t="n">
        <v>4901</v>
      </c>
      <c r="K28" s="274" t="s">
        <v>504</v>
      </c>
      <c r="L28" s="275" t="n">
        <v>1834</v>
      </c>
      <c r="M28" s="187" t="s">
        <v>34</v>
      </c>
      <c r="N28" s="187" t="s">
        <v>34</v>
      </c>
      <c r="O28" s="274" t="s">
        <v>505</v>
      </c>
      <c r="P28" s="275" t="n">
        <v>2857</v>
      </c>
      <c r="Q28" s="187" t="s">
        <v>34</v>
      </c>
      <c r="R28" s="187" t="s">
        <v>34</v>
      </c>
    </row>
    <row r="29" customFormat="false" ht="15.75" hidden="false" customHeight="true" outlineLevel="0" collapsed="false">
      <c r="A29" s="78" t="s">
        <v>40</v>
      </c>
      <c r="B29" s="147" t="s">
        <v>506</v>
      </c>
      <c r="C29" s="274" t="s">
        <v>507</v>
      </c>
      <c r="D29" s="275" t="n">
        <v>3343</v>
      </c>
      <c r="E29" s="187" t="s">
        <v>34</v>
      </c>
      <c r="F29" s="187" t="s">
        <v>34</v>
      </c>
      <c r="G29" s="275" t="s">
        <v>34</v>
      </c>
      <c r="H29" s="275" t="s">
        <v>34</v>
      </c>
      <c r="I29" s="175" t="s">
        <v>508</v>
      </c>
      <c r="J29" s="187" t="n">
        <v>5158</v>
      </c>
      <c r="K29" s="274" t="s">
        <v>509</v>
      </c>
      <c r="L29" s="275" t="n">
        <v>1930</v>
      </c>
      <c r="M29" s="187" t="s">
        <v>34</v>
      </c>
      <c r="N29" s="187" t="s">
        <v>34</v>
      </c>
      <c r="O29" s="274" t="s">
        <v>510</v>
      </c>
      <c r="P29" s="275" t="n">
        <v>3007</v>
      </c>
      <c r="Q29" s="175" t="s">
        <v>511</v>
      </c>
      <c r="R29" s="187" t="n">
        <v>9154</v>
      </c>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c r="A226" s="74"/>
      <c r="B226" s="146"/>
      <c r="C226" s="265"/>
      <c r="D226" s="265"/>
      <c r="E226" s="76"/>
      <c r="F226" s="76"/>
      <c r="G226" s="265"/>
      <c r="H226" s="265"/>
      <c r="I226" s="76"/>
      <c r="J226" s="76"/>
      <c r="K226" s="265"/>
      <c r="L226" s="265"/>
      <c r="M226" s="76"/>
      <c r="N226" s="76"/>
      <c r="O226" s="265"/>
      <c r="P226" s="265"/>
      <c r="Q226" s="76"/>
      <c r="R226" s="76"/>
    </row>
    <row r="227" customFormat="false" ht="15.75" hidden="false" customHeight="true" outlineLevel="0" collapsed="false">
      <c r="A227" s="74"/>
      <c r="B227" s="146"/>
      <c r="C227" s="265"/>
      <c r="D227" s="265"/>
      <c r="E227" s="76"/>
      <c r="F227" s="76"/>
      <c r="G227" s="265"/>
      <c r="H227" s="265"/>
      <c r="I227" s="76"/>
      <c r="J227" s="76"/>
      <c r="K227" s="265"/>
      <c r="L227" s="265"/>
      <c r="M227" s="76"/>
      <c r="N227" s="76"/>
      <c r="O227" s="265"/>
      <c r="P227" s="265"/>
      <c r="Q227" s="76"/>
      <c r="R227" s="76"/>
    </row>
    <row r="228" customFormat="false" ht="15.75" hidden="false" customHeight="true" outlineLevel="0" collapsed="false">
      <c r="A228" s="74"/>
      <c r="B228" s="146"/>
      <c r="C228" s="265"/>
      <c r="D228" s="265"/>
      <c r="E228" s="76"/>
      <c r="F228" s="76"/>
      <c r="G228" s="265"/>
      <c r="H228" s="265"/>
      <c r="I228" s="76"/>
      <c r="J228" s="76"/>
      <c r="K228" s="265"/>
      <c r="L228" s="265"/>
      <c r="M228" s="76"/>
      <c r="N228" s="76"/>
      <c r="O228" s="265"/>
      <c r="P228" s="265"/>
      <c r="Q228" s="76"/>
      <c r="R228" s="76"/>
    </row>
    <row r="229" customFormat="false" ht="15.75" hidden="false" customHeight="true" outlineLevel="0" collapsed="false">
      <c r="A229" s="74"/>
      <c r="B229" s="146"/>
      <c r="C229" s="265"/>
      <c r="D229" s="265"/>
      <c r="E229" s="76"/>
      <c r="F229" s="76"/>
      <c r="G229" s="265"/>
      <c r="H229" s="265"/>
      <c r="I229" s="76"/>
      <c r="J229" s="76"/>
      <c r="K229" s="265"/>
      <c r="L229" s="265"/>
      <c r="M229" s="76"/>
      <c r="N229" s="76"/>
      <c r="O229" s="265"/>
      <c r="P229" s="265"/>
      <c r="Q229" s="76"/>
      <c r="R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L6">
    <cfRule type="expression" priority="2" aboveAverage="0" equalAverage="0" bottom="0" percent="0" rank="0" text="" dxfId="0">
      <formula>LEN(TRIM(L6))&gt;0</formula>
    </cfRule>
  </conditionalFormatting>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A4" r:id="rId8" display="http://redlight.com.ua/"/>
    <hyperlink ref="C4" r:id="rId9" display="http://redlight.com.ua/cat/mebel-dlja-gostinnoj/tv-stands/tumba-tv-rtv2d2s-4-15-atsteka.html"/>
    <hyperlink ref="E4" r:id="rId10" display="http://redlight.com.ua/cat/stoly/pisminnye/stol-pismenniy-jbiu-2d2s-indiana.html"/>
    <hyperlink ref="G4" r:id="rId11" display="http://redlight.com.ua/cat/modulnaya-mebel/shkaf/shkaf-szf2d2s-koen-(mdf).html"/>
    <hyperlink ref="I4" r:id="rId12" display="http://redlight.com.ua/cat/modulnaya-mebel/komod/vayt-komod-4s-90.html"/>
    <hyperlink ref="K4" r:id="rId13" display="http://redlight.com.ua/cat/prihozhie/sovremennye/nepo-prihozhaya-rrk-.html"/>
    <hyperlink ref="M4" r:id="rId14" display="http://redlight.com.ua/cat/mebel-dlja-gostinnoj/stenki/stenka-alyaska.html"/>
    <hyperlink ref="O4" r:id="rId15" display="http://redlight.com.ua/cat/mebel-dlja-gostinnoj/stenki/stenka-kvatro.html"/>
    <hyperlink ref="Q4" r:id="rId16" display="http://redlight.com.ua/cat/modulnaya-mebel/shkaf/liberti-shkaf-szf3d.html"/>
    <hyperlink ref="A5" r:id="rId17" display="https://mebli-bristol.com.ua/"/>
    <hyperlink ref="C5" r:id="rId18" display="https://mebli-bristol.com.ua/acteka-tumba-rtv-2d2s-4-15-brv-ukraina.html"/>
    <hyperlink ref="E5" r:id="rId19" display="https://mebli-bristol.com.ua/indiana-stil-pis-movij-jbiu-2d2s-140-sosna-kan-jon-brv-ukraina.html"/>
    <hyperlink ref="G5" r:id="rId20" display="https://mebli-bristol.com.ua/koen-shafa-szf-2d2s-mdf-gerbor.html"/>
    <hyperlink ref="I5" r:id="rId21" display="https://mebli-bristol.com.ua/vajt-komod-4s-90-gerbor.html"/>
    <hyperlink ref="K5" r:id="rId22" display="https://mebli-bristol.com.ua/nepo-peredpokij-ppk-gerbor-9712.html"/>
    <hyperlink ref="M5" r:id="rId23" display="https://mebli-bristol.com.ua/aljaska-brv-ukraina.html"/>
    <hyperlink ref="O5" r:id="rId24" display="https://mebli-bristol.com.ua/kvatro-gerbor.html"/>
    <hyperlink ref="Q5" r:id="rId25" display="https://mebli-bristol.com.ua/liberti-shafa-szf-3d-brv-ukraina.html"/>
    <hyperlink ref="A6" r:id="rId26" display="http://gerbor.kiev.ua/"/>
    <hyperlink ref="C6" r:id="rId27" display="http://gerbor.kiev.ua/mebelnye-sistemy/mebel-brw-azteca/azteca-tumba-tv-rtv2d2s-brv/"/>
    <hyperlink ref="E6" r:id="rId28" display="http://gerbor.kiev.ua/mebelnye-sistemy/mebel-indiana-kanjon-brw/indiana-kanjon-stol-pismennyy-jbiu2d2s140-brv/"/>
    <hyperlink ref="G6" r:id="rId29" display="http://gerbor.kiev.ua/mebelnye-sistemy/mebel-koen-gerbor/koen-shkaf-szf2d2s-gerbor/"/>
    <hyperlink ref="I6" r:id="rId30" display="http://gerbor.kiev.ua/mebelnye-sistemy/mebel-white-gerbor/white-komod-4s90-gerbor/"/>
    <hyperlink ref="K6" r:id="rId31" display="http://gerbor.kiev.ua/mebelnye-sistemy/mebel-nepo-gerbor/nepo-prikhozhaya-ppk-gerbor/"/>
    <hyperlink ref="M6" r:id="rId32" display="http://gerbor.kiev.ua/mebelnye-sistemy/mebel-alaska-brw/alaska-gostinaya-brw/"/>
    <hyperlink ref="O6" r:id="rId33" display="http://gerbor.kiev.ua/mebelnye-sistemy/mebel-quatro-gerbor/quatro-gostinaya-gerbor/"/>
    <hyperlink ref="Q6" r:id="rId34" display="http://gerbor.kiev.ua/mebelnye-sistemy/mebel-liberti-brw/liberti-shkaf-szf3d-brv/"/>
    <hyperlink ref="A7" r:id="rId35" display="http://www.brwland.com.ua/"/>
    <hyperlink ref="C7" r:id="rId36" display="http://www.brwland.com.ua/product/azteca-tumba-tv-rtv2d2s415-brv-ukraina/"/>
    <hyperlink ref="E7" r:id="rId37" display="http://www.brwland.com.ua/product/indiana-kanjon-stol-pismennyj-jbiu-2d2s140-brv-ukraina/"/>
    <hyperlink ref="G7" r:id="rId38" display="http://www.brwland.com.ua/product/koen-szf-2d2s-shkaf-gerbor/"/>
    <hyperlink ref="I7" r:id="rId39" display="http://www.brwland.com.ua/product/white-komod-4s90-gerbor/"/>
    <hyperlink ref="K7" r:id="rId40" display="http://www.brwland.com.ua/product/nepo-prihozhaja-ppk-gerbor/"/>
    <hyperlink ref="M7" r:id="rId41" display="http://www.brwland.com.ua/product/gostinaja-aljaska-brv-ukraina/"/>
    <hyperlink ref="O7" r:id="rId42" display="http://www.brwland.com.ua/product/kvatro-gerbor/"/>
    <hyperlink ref="Q7" r:id="rId43" display="http://www.brwland.com.ua/product/liberti-shkaf-szf3d-brv-ukraina/"/>
    <hyperlink ref="A8" r:id="rId44" display="http://gerbor.dp.ua/"/>
    <hyperlink ref="C8" r:id="rId45" display="http://gerbor.dp.ua/index.php?route=product/product&amp;product_id=3138&amp;search=%D0%B0%D1%86%D1%82%D0%B5%D0%BA%D0%B0&amp;description=true&amp;sub_category=1&amp;page=2"/>
    <hyperlink ref="E8" r:id="rId46" display="http://gerbor.dp.ua/index.php?route=product/product&amp;product_id=1725&amp;search=%D0%B8%D0%BD%D0%B4%D0%B8%D0%B0%D0%BD%D0%B0&amp;description=true&amp;sub_category=1"/>
    <hyperlink ref="G8" r:id="rId47" display="http://gerbor.dp.ua/index.php?route=product/product&amp;product_id=3812&amp;search=%D0%BA%D0%BE%D0%B5%D0%BD+%D0%BC%D0%B4%D1%84&amp;description=true&amp;sub_category=1"/>
    <hyperlink ref="I8" r:id="rId48" display="http://gerbor.dp.ua/index.php?route=product/product&amp;product_id=3085&amp;search=%D0%B2%D0%B0%D0%B9%D1%82&amp;description=true"/>
    <hyperlink ref="K8" r:id="rId49" display="http://gerbor.dp.ua/index.php?route=product/product&amp;product_id=3473&amp;search=%D0%BD%D0%B5%D0%BF%D0%BE&amp;description=true&amp;page=2"/>
    <hyperlink ref="M8" r:id="rId50" display="http://gerbor.dp.ua/index.php?route=product/product&amp;product_id=3031&amp;search=%D0%B0%D0%BB%D1%8F%D1%81%D0%BA%D0%B0&amp;description=true"/>
    <hyperlink ref="O8" r:id="rId51" display="http://gerbor.dp.ua/index.php?route=product/product&amp;product_id=2040&amp;search=%D0%BA%D0%B2%D0%B0%D1%82%D1%80%D0%BE&amp;description=true"/>
    <hyperlink ref="Q8" r:id="rId52" display="http://gerbor.dp.ua/index.php?route=product/product&amp;product_id=3851&amp;search=%D0%BB%D0%B8%D0%B1%D0%B5%D1%80%D1%82%D0%B8&amp;description=true"/>
    <hyperlink ref="A9" r:id="rId53" display="https://vashamebel.in.ua/"/>
    <hyperlink ref="C9" r:id="rId54" display="https://vashamebel.in.ua/tumba-tv-brv-atsteka-rtv2d2s415/p12722"/>
    <hyperlink ref="E9" r:id="rId55" display="https://vashamebel.in.ua/stol-pismennyij-brv-indiana-jbiu-2d2s/p916"/>
    <hyperlink ref="G9" r:id="rId56" display="https://vashamebel.in.ua/shkaf-gerbor-koen-szf2d2s/p2181"/>
    <hyperlink ref="I9" r:id="rId57" display="https://vashamebel.in.ua/komod-gerbor-vajt-4s-90/p10774"/>
    <hyperlink ref="K9" r:id="rId58" display="https://vashamebel.in.ua/prihozhaya-gerbor-nepo-ppk/p12249"/>
    <hyperlink ref="M9" r:id="rId59" display="https://vashamebel.in.ua/gostinaya-brv-alyaska/p4420"/>
    <hyperlink ref="O9" r:id="rId60" display="https://vashamebel.in.ua/stenka-gerbor-kvatro/p2359"/>
    <hyperlink ref="A10" r:id="rId61" display="http://mebel-mebel.com.ua/"/>
    <hyperlink ref="A11" r:id="rId62" display="http://abcmebli.com.ua"/>
    <hyperlink ref="C11" r:id="rId63" display="http://abcmebli.com.ua/p14992-tumba_tv_rtv2d2s-4-15_atsteka"/>
    <hyperlink ref="E11" r:id="rId64" display="http://abcmebli.com.ua/p1892-stol_pismenniy_jbiu2d2s_140_indiana"/>
    <hyperlink ref="G11" r:id="rId65" display="http://abcmebli.com.ua/p15143-koen_mdf_shkaf_szf2d2s"/>
    <hyperlink ref="I11" r:id="rId66" display="http://abcmebli.com.ua/p15658-komod_4s_90_vayt_gerbor"/>
    <hyperlink ref="K11" r:id="rId67" display="http://abcmebli.com.ua/p15897-nepo_prihozhaya_ppk_gerbor"/>
    <hyperlink ref="M11" r:id="rId68" display="http://abcmebli.com.ua/p15191-stenka_alyaska_brv"/>
    <hyperlink ref="O11" r:id="rId69" display="http://abcmebli.com.ua/p2515-stenka_kvatro_gerbor"/>
    <hyperlink ref="Q11" r:id="rId70" display="http://abcmebli.com.ua/p15617-shkaf_szf3d_liberti_brv"/>
    <hyperlink ref="A12" r:id="rId71" display="https://gerbor.mebelok.com/"/>
    <hyperlink ref="C12" r:id="rId72" display="https://www.mebelok.com/tymba-tv-rtv2d2s415-acteka/"/>
    <hyperlink ref="E12" r:id="rId73" display="https://www.mebelok.com/stol-pismennyy-jbiu-2d2s-140/"/>
    <hyperlink ref="G12" r:id="rId74" display="https://www.mebelok.com/koen-shkaf-szf2d2s-mdf/"/>
    <hyperlink ref="K12" r:id="rId75" display="https://www.mebelok.com/prihojaya-ppk-nepo/"/>
    <hyperlink ref="O12" r:id="rId76" display="https://www.mebelok.com/gostinaya-kvatro/"/>
    <hyperlink ref="Q12" r:id="rId77" display="https://www.mebelok.com/shkaf-3d-liberti/"/>
    <hyperlink ref="A13" r:id="rId78" display="http://maxmebel.com.ua/"/>
    <hyperlink ref="C13" r:id="rId79" display="http://maxmebel.com.ua/pi/products_id/15620"/>
    <hyperlink ref="E13" r:id="rId80" display="http://maxmebel.com.ua/pi/products_id/4909"/>
    <hyperlink ref="G13" r:id="rId81" display="http://maxmebel.com.ua/pi/products_id/6503"/>
    <hyperlink ref="I13" r:id="rId82" display="http://maxmebel.com.ua/pi/products_id/13019"/>
    <hyperlink ref="K13" r:id="rId83" display="http://maxmebel.com.ua/pi/products_id/14792"/>
    <hyperlink ref="M13" r:id="rId84" display="http://maxmebel.com.ua/pi/products_id/509"/>
    <hyperlink ref="O13" r:id="rId85" display="http://maxmebel.com.ua/pi/products_id/6732"/>
    <hyperlink ref="Q13" r:id="rId86" display="http://maxmebel.com.ua/pi/products_id/19831"/>
    <hyperlink ref="A14" r:id="rId87" display="https://moyamebel.com.ua/ua"/>
    <hyperlink ref="K14" r:id="rId88" display="https://moyamebel.com.ua/ua/products/prihozhaya-nepo"/>
    <hyperlink ref="O14" r:id="rId89" display="https://moyamebel.com.ua/ua/products/gostinaya-kvatro"/>
    <hyperlink ref="A15" r:id="rId90" display="https://mebel-soyuz.com.ua/"/>
    <hyperlink ref="M15" r:id="rId91" display="https://mebel-soyuz.com.ua/10995/"/>
    <hyperlink ref="A16" r:id="rId92" display="https://sofino.ua/"/>
    <hyperlink ref="E16" r:id="rId93" display="https://sofino.ua/brw-ukraina-stol-pismennyjj-jbiu2d2s140-indiana/g-40899"/>
    <hyperlink ref="G16" r:id="rId94" display="https://sofino.ua/gerbor-shkaf-szf2d2s-koen-mdf-venge-magija-shtroks-temnyjj/g-19372"/>
    <hyperlink ref="I16" r:id="rId95" display="https://sofino.ua/gerbor-komod-4s-90-vajjt/g-95203"/>
    <hyperlink ref="K16" r:id="rId96" display="https://sofino.ua/gerbor-prikhozhaja-ppk-nepo/g-287089"/>
    <hyperlink ref="M16" r:id="rId97" display="https://sofino.ua/brw-ukraina-stenka-aljaska-belyjj-gljanec/g-454107"/>
    <hyperlink ref="O16" r:id="rId98" display="https://sofino.ua/gerbor-stenka-s-podsvetkojj-kvatro/g-18955"/>
    <hyperlink ref="Q16" r:id="rId99" display="https://sofino.ua/brw-ukraina-shkaf-3d-liberti-dub-sonoma-belyjj-gljanec/g-95147"/>
    <hyperlink ref="A17" r:id="rId100" display="http://www.brw-gerbor.od.ua/"/>
    <hyperlink ref="I17" r:id="rId101" display="http://brw-gerbor.od.ua/index.php?route=product/product&amp;filter_name=%D0%B2%D0%B0%D0%B9%D1%82&amp;product_id=3155"/>
    <hyperlink ref="K17" r:id="rId102" display="http://brw-gerbor.od.ua/index.php?route=product/product&amp;filter_name=%D0%BD%D0%B5%D0%BF%D0%BE&amp;page=2&amp;product_id=3266"/>
    <hyperlink ref="M17" r:id="rId103" display="http://brw-gerbor.od.ua/index.php?route=product/product&amp;filter_name=%D0%B0%D0%BB%D1%8F%D1%81%D0%BA%D0%B0&amp;product_id=4574"/>
    <hyperlink ref="O17" r:id="rId104" display="http://brw-gerbor.od.ua/index.php?route=product/product&amp;filter_name=%D0%BA%D0%B2%D0%B0%D1%82%D1%80%D0%BE&amp;product_id=116"/>
    <hyperlink ref="Q17" r:id="rId105" display="http://brw-gerbor.od.ua/index.php?route=product/product&amp;filter_name=%D0%BB%D0%B8%D0%B1%D0%B5%D1%80%D1%82%D0%B8&amp;product_id=2703"/>
    <hyperlink ref="A18" r:id="rId106" display="http://gerbor.mebli-smerichka.com.ua/"/>
    <hyperlink ref="A19" r:id="rId107" display="http://furniture.zp.ua/"/>
    <hyperlink ref="C19" r:id="rId108" display="http://furniture.zp.ua/gerbor-xolding/gostinnie/modulnie-nabori/5562-gostinaya-atsteka.html?search_query=acteka&amp;results=2"/>
    <hyperlink ref="E19" r:id="rId109" display="http://furniture.zp.ua/gerbor-xolding/detskie/3184-stol-pismenniie-jbiu-2d2s-140-indiana.html?search_query=indiana&amp;results=24"/>
    <hyperlink ref="K19" r:id="rId110" display="http://furniture.zp.ua/gerbor-xolding/prixojie/modulnie-sistemi/6017-prihozhaya-nepo-ppk.html?search_query=nepo&amp;results=151"/>
    <hyperlink ref="M19" r:id="rId111" display="http://furniture.zp.ua/gerbor-xolding/gostinnie/modulnie-nabori/6155-gostinaya-alyaska.html?search_query=alyaska&amp;results=3"/>
    <hyperlink ref="O19" r:id="rId112" display="http://furniture.zp.ua/gerbor-xolding/gostinnie/1467-kvatro.html?search_query=kvatro&amp;results=4"/>
    <hyperlink ref="Q19" r:id="rId113" display="http://furniture.zp.ua/gerbor-xolding/spalni/modulnie-sistemi/5565-spalnya-liberti.html?search_query=liberti&amp;results=2"/>
    <hyperlink ref="A21" r:id="rId114" display="https://www.brw-kiev.com.ua/"/>
    <hyperlink ref="C21" r:id="rId115" display="https://www.brw-kiev.com.ua/catalog/mebel/azteca-shafka_pid_tv-rtv2d2s_4_15-000004821.html"/>
    <hyperlink ref="G21" r:id="rId116" display="https://www.brw-kiev.com.ua/catalog/mebel/koen-shafa-szf2d2s-000003944.html"/>
    <hyperlink ref="I21" r:id="rId117" display="https://www.brw-kiev.com.ua/catalog/mebel/spalnya/vayt-komod-kom4s_90-000008377.html"/>
    <hyperlink ref="K21" r:id="rId118" display="https://www.brw-kiev.com.ua/catalog/mebel/nepo-peredpokiy-ppk-000006567.html"/>
    <hyperlink ref="M21" r:id="rId119" display="https://www.brw-kiev.com.ua/catalog/mebel/stinki-vital_nya-alaska-000006901.html"/>
    <hyperlink ref="Q21" r:id="rId120" display="https://www.brw-kiev.com.ua/catalog/mebel/spalnya/liberty-shafa-szf_3d-000006341.html"/>
    <hyperlink ref="A22" r:id="rId121" display="https://brw-lviv.com.ua/"/>
    <hyperlink ref="C22" r:id="rId122" display="https://brw-lviv.com.ua/product/atsteky-tumba-tv-rtv2d2s-4-15-brv-ukrayina"/>
    <hyperlink ref="E22" r:id="rId123" display="https://brw-lviv.com.ua/product/indiana-kanjon-stil-pysmovyj-jbiu-2d2s-140-brv-ukrayina"/>
    <hyperlink ref="G22" r:id="rId124" display="https://brw-lviv.com.ua/product/koen-mdf-shafa-szf-2d2s-gerbor"/>
    <hyperlink ref="I22" r:id="rId125" display="https://brw-lviv.com.ua/product/vajt-komod-4s-90-gerbor"/>
    <hyperlink ref="K22" r:id="rId126" display="https://brw-lviv.com.ua/product/nepo-peredpokij-ppk-gerbor"/>
    <hyperlink ref="M22" r:id="rId127" display="https://brw-lviv.com.ua/product/vitalnya-alyaska-brv-ukrayina-2"/>
    <hyperlink ref="O22" r:id="rId128" display="https://brw-lviv.com.ua/product/vitalnya-kvatro-gerbor"/>
    <hyperlink ref="Q22" r:id="rId129" display="https://brw-lviv.com.ua/product/lyberty-shafa-szf3d-brv-ukrayina"/>
    <hyperlink ref="A23" r:id="rId130" display="http://beruvse.com/"/>
    <hyperlink ref="C23" r:id="rId131" display="http://beruvse.com/product/azteca-rtv2d2s415-tumba-tv-brw/"/>
    <hyperlink ref="K23" r:id="rId132" display="http://beruvse.com/product/nepo-prihozhaja-ppk/"/>
    <hyperlink ref="O23" r:id="rId133" display="http://beruvse.com/product/stenka-kvatro/"/>
    <hyperlink ref="A24" r:id="rId134" display="https://brw.kiev.ua/"/>
    <hyperlink ref="C24" r:id="rId135" display="https://brw.kiev.ua/mebel-brw-ukraina/azteca/tumba-tv-rtv2d2s-azteca-brv/"/>
    <hyperlink ref="E24" r:id="rId136" display="https://brw.kiev.ua/mebel-brw-ukraina/indiana-kanjon/stol-pismennyy-jbiu2d2s140-indiana-brv-kanjon/"/>
    <hyperlink ref="G24" r:id="rId137" display="https://brw.kiev.ua/mebel-gerbor/koen/shkaf-szf2d2s-koen-gerbor/"/>
    <hyperlink ref="I24" r:id="rId138" display="https://brw.kiev.ua/mebel-gerbor/white/komod-4s90-white-gerbor/"/>
    <hyperlink ref="K24" r:id="rId139" display="https://brw.kiev.ua/mebel-gerbor/nepo/prikhozhaya-ppk-nepo-gerbor/"/>
    <hyperlink ref="M24" r:id="rId140" display="https://brw.kiev.ua/mebel-brw-ukraina/alaska/stenka-alaska-brv/"/>
    <hyperlink ref="O24" r:id="rId141" display="https://brw.kiev.ua/mebel-gerbor/quatro/stenka-quatro-gerbor/"/>
    <hyperlink ref="Q24" r:id="rId142" display="https://brw.kiev.ua/mebel-brw-ukraina/liberti/shkaf-szf3d-liberti-brv/"/>
    <hyperlink ref="A25" r:id="rId143" display="http://brw.com.ua/"/>
    <hyperlink ref="A26" r:id="rId144" display="https://mebelstyle.net/"/>
    <hyperlink ref="C26" r:id="rId145" display="https://mebelstyle.net/tumby-pod-tv/tumba-pod-tv-brw-ukraina-azteca-rtv2d2s415-82546.html"/>
    <hyperlink ref="I26" r:id="rId146" display="https://mebelstyle.net/komody/komod-gerbor-vajt-4s90-83449.html"/>
    <hyperlink ref="K26" r:id="rId147" display="https://mebelstyle.net/prikhozhie/prikhozhaja-gerbor-nepo-ppk-83649.html"/>
    <hyperlink ref="O26" r:id="rId148" display="https://mebelstyle.net/gostinye/gostinaja-gerbor-kvatro-venge-56219.html"/>
    <hyperlink ref="A27" r:id="rId149" display="https://lvivmebli.com/"/>
    <hyperlink ref="C27" r:id="rId150" display="https://lvivmebli.com/13319/"/>
    <hyperlink ref="E27" r:id="rId151" display="https://lvivmebli.com/5039/"/>
    <hyperlink ref="I27" r:id="rId152" display="https://lvivmebli.com/20467/"/>
    <hyperlink ref="K27" r:id="rId153" display="https://lvivmebli.com/20985/"/>
    <hyperlink ref="O27" r:id="rId154" display="https://lvivmebli.com/20532/"/>
    <hyperlink ref="Q27" r:id="rId155" display="https://lvivmebli.com/20571/"/>
    <hyperlink ref="A28" r:id="rId156" display="http://centrmebliv.com.ua/"/>
    <hyperlink ref="C28" r:id="rId157" display="http://centrmebliv.com.ua/modulni-mebli/brw-azteca/mebli-brw-brv-azteca-tumba-rtv2d2s?keyword=%D0%B0%D1%86%D1%82%D0%B5%D0%BA%D0%B0"/>
    <hyperlink ref="G28" r:id="rId158" display="http://centrmebliv.com.ua/modulni-mebli/gerbor-koen-mdf/gerbor/brw-koen-mdf-shafa-sf-2d2s"/>
    <hyperlink ref="I28" r:id="rId159" display="http://centrmebliv.com.ua/modulni-mebli/gerbor-vayt/mebli-gerbor-gerbor-vayt-komod-4s-90"/>
    <hyperlink ref="K28" r:id="rId160" display="http://centrmebliv.com.ua/modulni-mebli/gerbor-nepo/mebli-gerbor-gerbor-nepo-pryhozha-rrk"/>
    <hyperlink ref="O28" r:id="rId161" display="http://centrmebliv.com.ua/mebli-dlya-vitalni/stinky/mebli-gerbor-gerbor-kvatro"/>
    <hyperlink ref="A29" r:id="rId162" display="https://letromebel.com.ua/"/>
    <hyperlink ref="C29" r:id="rId163" display="https://letromebel.com.ua/p566111870-tumba-rtv2d2s415-atsteka.html"/>
    <hyperlink ref="I29" r:id="rId164" display="https://letromebel.com.ua/p565553911-komod-4s90-vajt.html"/>
    <hyperlink ref="K29" r:id="rId165" display="https://letromebel.com.ua/p441285622-prihozhaya-ppk-nepo.html"/>
    <hyperlink ref="O29" r:id="rId166" display="https://letromebel.com.ua/p436378844-stenka-kvatro-venge.html"/>
    <hyperlink ref="Q29" r:id="rId167" display="https://letromebel.com.ua/p567125880-shkaf-szf3d-liberti.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2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99.87"/>
    <col collapsed="false" customWidth="true" hidden="false" outlineLevel="0" max="4" min="3" style="0" width="22.86"/>
    <col collapsed="false" customWidth="true" hidden="false" outlineLevel="0" max="5" min="5" style="0" width="23.71"/>
    <col collapsed="false" customWidth="true" hidden="false" outlineLevel="0" max="12" min="12" style="0" width="28.43"/>
  </cols>
  <sheetData>
    <row r="1" customFormat="false" ht="93" hidden="false" customHeight="true" outlineLevel="0" collapsed="false">
      <c r="A1" s="213" t="s">
        <v>0</v>
      </c>
      <c r="B1" s="214" t="s">
        <v>126</v>
      </c>
      <c r="C1" s="215" t="s">
        <v>178</v>
      </c>
      <c r="D1" s="215" t="s">
        <v>1</v>
      </c>
      <c r="E1" s="130" t="s">
        <v>178</v>
      </c>
      <c r="F1" s="130" t="s">
        <v>4</v>
      </c>
      <c r="G1" s="215" t="s">
        <v>178</v>
      </c>
      <c r="H1" s="215" t="s">
        <v>179</v>
      </c>
      <c r="I1" s="130" t="s">
        <v>178</v>
      </c>
      <c r="J1" s="130" t="s">
        <v>180</v>
      </c>
      <c r="K1" s="216" t="s">
        <v>178</v>
      </c>
      <c r="L1" s="216" t="s">
        <v>9</v>
      </c>
      <c r="M1" s="217" t="s">
        <v>178</v>
      </c>
      <c r="N1" s="217" t="s">
        <v>15</v>
      </c>
      <c r="O1" s="218" t="s">
        <v>178</v>
      </c>
      <c r="P1" s="219" t="s">
        <v>10</v>
      </c>
      <c r="Q1" s="217" t="s">
        <v>178</v>
      </c>
      <c r="R1" s="217" t="s">
        <v>181</v>
      </c>
    </row>
    <row r="2" customFormat="false" ht="15.75" hidden="false" customHeight="true" outlineLevel="0" collapsed="false">
      <c r="A2" s="220" t="s">
        <v>182</v>
      </c>
      <c r="B2" s="146"/>
      <c r="C2" s="221"/>
      <c r="D2" s="221" t="n">
        <v>3176</v>
      </c>
      <c r="E2" s="222"/>
      <c r="F2" s="222" t="n">
        <v>4901</v>
      </c>
      <c r="G2" s="221"/>
      <c r="H2" s="221" t="n">
        <v>4971</v>
      </c>
      <c r="I2" s="222"/>
      <c r="J2" s="222" t="n">
        <v>4901</v>
      </c>
      <c r="K2" s="223"/>
      <c r="L2" s="223" t="n">
        <v>1834</v>
      </c>
      <c r="M2" s="224"/>
      <c r="N2" s="224" t="n">
        <v>7262</v>
      </c>
      <c r="O2" s="223"/>
      <c r="P2" s="223" t="n">
        <v>2857</v>
      </c>
      <c r="Q2" s="224"/>
      <c r="R2" s="224" t="n">
        <v>8697</v>
      </c>
    </row>
    <row r="3" customFormat="false" ht="15.75" hidden="false" customHeight="true" outlineLevel="0" collapsed="false">
      <c r="A3" s="225" t="s">
        <v>28</v>
      </c>
      <c r="B3" s="147" t="s">
        <v>183</v>
      </c>
      <c r="C3" s="226" t="s">
        <v>184</v>
      </c>
      <c r="D3" s="227" t="n">
        <v>3176</v>
      </c>
      <c r="E3" s="174" t="s">
        <v>185</v>
      </c>
      <c r="F3" s="229" t="n">
        <v>4901</v>
      </c>
      <c r="G3" s="226" t="s">
        <v>186</v>
      </c>
      <c r="H3" s="227" t="n">
        <v>4971</v>
      </c>
      <c r="I3" s="226" t="s">
        <v>187</v>
      </c>
      <c r="J3" s="229" t="n">
        <v>4901</v>
      </c>
      <c r="K3" s="226" t="s">
        <v>188</v>
      </c>
      <c r="L3" s="227" t="n">
        <v>1834</v>
      </c>
      <c r="M3" s="226" t="s">
        <v>189</v>
      </c>
      <c r="N3" s="229" t="n">
        <v>7262</v>
      </c>
      <c r="O3" s="226" t="s">
        <v>190</v>
      </c>
      <c r="P3" s="227" t="n">
        <v>2857</v>
      </c>
      <c r="Q3" s="226" t="s">
        <v>191</v>
      </c>
      <c r="R3" s="229" t="n">
        <v>8697</v>
      </c>
    </row>
    <row r="4" customFormat="false" ht="15.75" hidden="false" customHeight="true" outlineLevel="0" collapsed="false">
      <c r="A4" s="230" t="s">
        <v>192</v>
      </c>
      <c r="B4" s="147" t="s">
        <v>34</v>
      </c>
      <c r="C4" s="231"/>
      <c r="D4" s="231"/>
      <c r="E4" s="187"/>
      <c r="F4" s="232"/>
      <c r="G4" s="233"/>
      <c r="H4" s="233"/>
      <c r="I4" s="233"/>
      <c r="J4" s="232"/>
      <c r="K4" s="233"/>
      <c r="L4" s="233"/>
      <c r="M4" s="233"/>
      <c r="N4" s="232"/>
      <c r="O4" s="233"/>
      <c r="P4" s="233"/>
      <c r="Q4" s="233"/>
      <c r="R4" s="187"/>
    </row>
    <row r="5" customFormat="false" ht="15.75" hidden="false" customHeight="true" outlineLevel="0" collapsed="false">
      <c r="A5" s="225" t="s">
        <v>193</v>
      </c>
      <c r="B5" s="147" t="s">
        <v>34</v>
      </c>
      <c r="C5" s="235" t="s">
        <v>195</v>
      </c>
      <c r="D5" s="236" t="s">
        <v>196</v>
      </c>
      <c r="E5" s="235" t="s">
        <v>197</v>
      </c>
      <c r="F5" s="236" t="s">
        <v>198</v>
      </c>
      <c r="G5" s="235" t="s">
        <v>199</v>
      </c>
      <c r="H5" s="236" t="s">
        <v>200</v>
      </c>
      <c r="I5" s="235" t="s">
        <v>201</v>
      </c>
      <c r="J5" s="236" t="s">
        <v>198</v>
      </c>
      <c r="K5" s="235" t="s">
        <v>202</v>
      </c>
      <c r="L5" s="236" t="s">
        <v>203</v>
      </c>
      <c r="M5" s="235" t="s">
        <v>204</v>
      </c>
      <c r="N5" s="236" t="s">
        <v>205</v>
      </c>
      <c r="O5" s="235" t="s">
        <v>206</v>
      </c>
      <c r="P5" s="236" t="s">
        <v>207</v>
      </c>
      <c r="Q5" s="235" t="s">
        <v>208</v>
      </c>
      <c r="R5" s="236" t="s">
        <v>209</v>
      </c>
    </row>
    <row r="6" customFormat="false" ht="22.5" hidden="false" customHeight="true" outlineLevel="0" collapsed="false">
      <c r="A6" s="225" t="s">
        <v>30</v>
      </c>
      <c r="B6" s="147" t="s">
        <v>34</v>
      </c>
      <c r="C6" s="235" t="s">
        <v>211</v>
      </c>
      <c r="D6" s="236" t="s">
        <v>196</v>
      </c>
      <c r="E6" s="235" t="s">
        <v>212</v>
      </c>
      <c r="F6" s="236" t="s">
        <v>198</v>
      </c>
      <c r="G6" s="235" t="s">
        <v>213</v>
      </c>
      <c r="H6" s="236" t="s">
        <v>200</v>
      </c>
      <c r="I6" s="235" t="s">
        <v>214</v>
      </c>
      <c r="J6" s="236" t="s">
        <v>198</v>
      </c>
      <c r="K6" s="235" t="s">
        <v>215</v>
      </c>
      <c r="L6" s="236" t="s">
        <v>203</v>
      </c>
      <c r="M6" s="235" t="s">
        <v>216</v>
      </c>
      <c r="N6" s="236" t="s">
        <v>205</v>
      </c>
      <c r="O6" s="235" t="s">
        <v>217</v>
      </c>
      <c r="P6" s="236" t="s">
        <v>207</v>
      </c>
      <c r="Q6" s="235" t="s">
        <v>218</v>
      </c>
      <c r="R6" s="236" t="s">
        <v>209</v>
      </c>
    </row>
    <row r="7" customFormat="false" ht="15.75" hidden="false" customHeight="true" outlineLevel="0" collapsed="false">
      <c r="A7" s="225" t="s">
        <v>219</v>
      </c>
      <c r="B7" s="147" t="s">
        <v>34</v>
      </c>
      <c r="C7" s="235" t="s">
        <v>386</v>
      </c>
      <c r="D7" s="236" t="s">
        <v>196</v>
      </c>
      <c r="E7" s="235" t="s">
        <v>221</v>
      </c>
      <c r="F7" s="236" t="s">
        <v>198</v>
      </c>
      <c r="G7" s="235" t="s">
        <v>222</v>
      </c>
      <c r="H7" s="236" t="s">
        <v>200</v>
      </c>
      <c r="I7" s="235" t="s">
        <v>223</v>
      </c>
      <c r="J7" s="236" t="s">
        <v>198</v>
      </c>
      <c r="K7" s="235" t="s">
        <v>224</v>
      </c>
      <c r="L7" s="236" t="s">
        <v>203</v>
      </c>
      <c r="M7" s="235" t="s">
        <v>225</v>
      </c>
      <c r="N7" s="236" t="s">
        <v>205</v>
      </c>
      <c r="O7" s="235" t="s">
        <v>226</v>
      </c>
      <c r="P7" s="236" t="s">
        <v>207</v>
      </c>
      <c r="Q7" s="235" t="s">
        <v>227</v>
      </c>
      <c r="R7" s="236" t="s">
        <v>209</v>
      </c>
    </row>
    <row r="8" customFormat="false" ht="15.75" hidden="false" customHeight="true" outlineLevel="0" collapsed="false">
      <c r="A8" s="225" t="s">
        <v>228</v>
      </c>
      <c r="B8" s="147" t="s">
        <v>34</v>
      </c>
      <c r="C8" s="238" t="s">
        <v>230</v>
      </c>
      <c r="D8" s="236" t="s">
        <v>196</v>
      </c>
      <c r="E8" s="235" t="s">
        <v>231</v>
      </c>
      <c r="F8" s="236" t="s">
        <v>198</v>
      </c>
      <c r="G8" s="233" t="s">
        <v>34</v>
      </c>
      <c r="H8" s="233" t="s">
        <v>34</v>
      </c>
      <c r="I8" s="235" t="s">
        <v>232</v>
      </c>
      <c r="J8" s="236" t="s">
        <v>198</v>
      </c>
      <c r="K8" s="235" t="s">
        <v>233</v>
      </c>
      <c r="L8" s="236" t="s">
        <v>203</v>
      </c>
      <c r="M8" s="235" t="s">
        <v>234</v>
      </c>
      <c r="N8" s="236" t="s">
        <v>205</v>
      </c>
      <c r="O8" s="233" t="s">
        <v>34</v>
      </c>
      <c r="P8" s="233" t="s">
        <v>34</v>
      </c>
      <c r="Q8" s="235" t="s">
        <v>235</v>
      </c>
      <c r="R8" s="236" t="s">
        <v>209</v>
      </c>
    </row>
    <row r="9" customFormat="false" ht="28.5" hidden="false" customHeight="true" outlineLevel="0" collapsed="false">
      <c r="A9" s="225" t="s">
        <v>236</v>
      </c>
      <c r="B9" s="147" t="s">
        <v>34</v>
      </c>
      <c r="C9" s="235" t="s">
        <v>238</v>
      </c>
      <c r="D9" s="236" t="s">
        <v>196</v>
      </c>
      <c r="E9" s="235" t="s">
        <v>239</v>
      </c>
      <c r="F9" s="236" t="s">
        <v>198</v>
      </c>
      <c r="G9" s="235" t="s">
        <v>240</v>
      </c>
      <c r="H9" s="236" t="s">
        <v>200</v>
      </c>
      <c r="I9" s="235" t="s">
        <v>241</v>
      </c>
      <c r="J9" s="236" t="s">
        <v>198</v>
      </c>
      <c r="K9" s="235" t="s">
        <v>242</v>
      </c>
      <c r="L9" s="236" t="s">
        <v>203</v>
      </c>
      <c r="M9" s="235" t="s">
        <v>243</v>
      </c>
      <c r="N9" s="236" t="s">
        <v>205</v>
      </c>
      <c r="O9" s="235" t="s">
        <v>244</v>
      </c>
      <c r="P9" s="236" t="s">
        <v>207</v>
      </c>
      <c r="Q9" s="235" t="s">
        <v>245</v>
      </c>
      <c r="R9" s="236" t="s">
        <v>209</v>
      </c>
    </row>
    <row r="10" customFormat="false" ht="23.25" hidden="false" customHeight="true" outlineLevel="0" collapsed="false">
      <c r="A10" s="225" t="s">
        <v>42</v>
      </c>
      <c r="B10" s="147" t="s">
        <v>34</v>
      </c>
      <c r="C10" s="238" t="s">
        <v>247</v>
      </c>
      <c r="D10" s="236" t="s">
        <v>196</v>
      </c>
      <c r="E10" s="238" t="s">
        <v>248</v>
      </c>
      <c r="F10" s="236" t="s">
        <v>198</v>
      </c>
      <c r="G10" s="238" t="s">
        <v>249</v>
      </c>
      <c r="H10" s="236" t="s">
        <v>200</v>
      </c>
      <c r="I10" s="238" t="s">
        <v>250</v>
      </c>
      <c r="J10" s="236" t="s">
        <v>198</v>
      </c>
      <c r="K10" s="238" t="s">
        <v>251</v>
      </c>
      <c r="L10" s="236" t="s">
        <v>203</v>
      </c>
      <c r="M10" s="238" t="s">
        <v>252</v>
      </c>
      <c r="N10" s="236" t="s">
        <v>205</v>
      </c>
      <c r="O10" s="238" t="s">
        <v>253</v>
      </c>
      <c r="P10" s="236" t="s">
        <v>207</v>
      </c>
      <c r="Q10" s="208" t="s">
        <v>254</v>
      </c>
      <c r="R10" s="236" t="s">
        <v>209</v>
      </c>
      <c r="S10" s="240"/>
    </row>
    <row r="11" customFormat="false" ht="15.75" hidden="false" customHeight="true" outlineLevel="0" collapsed="false">
      <c r="A11" s="225" t="s">
        <v>32</v>
      </c>
      <c r="B11" s="147" t="s">
        <v>34</v>
      </c>
      <c r="C11" s="238" t="s">
        <v>256</v>
      </c>
      <c r="D11" s="241" t="n">
        <v>3347</v>
      </c>
      <c r="E11" s="238" t="s">
        <v>257</v>
      </c>
      <c r="F11" s="242" t="n">
        <v>5165</v>
      </c>
      <c r="G11" s="238" t="s">
        <v>258</v>
      </c>
      <c r="H11" s="243" t="n">
        <v>5238</v>
      </c>
      <c r="I11" s="238" t="s">
        <v>259</v>
      </c>
      <c r="J11" s="244" t="n">
        <v>5165</v>
      </c>
      <c r="K11" s="238" t="s">
        <v>260</v>
      </c>
      <c r="L11" s="245" t="n">
        <v>1932</v>
      </c>
      <c r="M11" s="238" t="s">
        <v>261</v>
      </c>
      <c r="N11" s="245" t="n">
        <v>7652</v>
      </c>
      <c r="O11" s="238" t="s">
        <v>262</v>
      </c>
      <c r="P11" s="245" t="n">
        <v>3009</v>
      </c>
      <c r="Q11" s="208" t="s">
        <v>263</v>
      </c>
      <c r="R11" s="245" t="n">
        <v>9165</v>
      </c>
      <c r="S11" s="84"/>
    </row>
    <row r="12" customFormat="false" ht="15.75" hidden="false" customHeight="true" outlineLevel="0" collapsed="false">
      <c r="A12" s="225" t="s">
        <v>264</v>
      </c>
      <c r="B12" s="147" t="s">
        <v>34</v>
      </c>
      <c r="C12" s="238" t="s">
        <v>266</v>
      </c>
      <c r="D12" s="236" t="s">
        <v>196</v>
      </c>
      <c r="E12" s="238" t="s">
        <v>267</v>
      </c>
      <c r="F12" s="236" t="s">
        <v>198</v>
      </c>
      <c r="G12" s="238" t="s">
        <v>268</v>
      </c>
      <c r="H12" s="246" t="n">
        <v>5178</v>
      </c>
      <c r="I12" s="247" t="s">
        <v>269</v>
      </c>
      <c r="J12" s="248"/>
      <c r="K12" s="233" t="s">
        <v>270</v>
      </c>
      <c r="L12" s="232"/>
      <c r="M12" s="233" t="s">
        <v>271</v>
      </c>
      <c r="N12" s="232"/>
      <c r="O12" s="238" t="s">
        <v>272</v>
      </c>
      <c r="P12" s="236" t="s">
        <v>207</v>
      </c>
      <c r="Q12" s="233" t="s">
        <v>273</v>
      </c>
      <c r="R12" s="187"/>
    </row>
    <row r="13" customFormat="false" ht="15.75" hidden="false" customHeight="true" outlineLevel="0" collapsed="false">
      <c r="A13" s="225" t="s">
        <v>274</v>
      </c>
      <c r="B13" s="147" t="s">
        <v>34</v>
      </c>
      <c r="C13" s="238" t="s">
        <v>275</v>
      </c>
      <c r="D13" s="249" t="n">
        <v>3173</v>
      </c>
      <c r="E13" s="238" t="s">
        <v>276</v>
      </c>
      <c r="F13" s="250" t="s">
        <v>277</v>
      </c>
      <c r="G13" s="238" t="s">
        <v>278</v>
      </c>
      <c r="H13" s="236" t="s">
        <v>200</v>
      </c>
      <c r="I13" s="238" t="s">
        <v>279</v>
      </c>
      <c r="J13" s="251" t="s">
        <v>280</v>
      </c>
      <c r="K13" s="247" t="s">
        <v>387</v>
      </c>
      <c r="L13" s="252" t="s">
        <v>388</v>
      </c>
      <c r="M13" s="238" t="s">
        <v>281</v>
      </c>
      <c r="N13" s="251" t="s">
        <v>512</v>
      </c>
      <c r="O13" s="247" t="s">
        <v>389</v>
      </c>
      <c r="P13" s="251" t="s">
        <v>390</v>
      </c>
      <c r="Q13" s="208" t="s">
        <v>391</v>
      </c>
      <c r="R13" s="251" t="s">
        <v>392</v>
      </c>
    </row>
    <row r="14" customFormat="false" ht="15.75" hidden="false" customHeight="true" outlineLevel="0" collapsed="false">
      <c r="A14" s="225" t="s">
        <v>26</v>
      </c>
      <c r="B14" s="147" t="s">
        <v>34</v>
      </c>
      <c r="C14" s="238" t="s">
        <v>283</v>
      </c>
      <c r="D14" s="236" t="s">
        <v>196</v>
      </c>
      <c r="E14" s="238" t="s">
        <v>284</v>
      </c>
      <c r="F14" s="236" t="s">
        <v>198</v>
      </c>
      <c r="G14" s="238" t="s">
        <v>285</v>
      </c>
      <c r="H14" s="253" t="n">
        <v>4971</v>
      </c>
      <c r="I14" s="238" t="s">
        <v>286</v>
      </c>
      <c r="J14" s="254" t="n">
        <v>4901</v>
      </c>
      <c r="K14" s="238" t="s">
        <v>287</v>
      </c>
      <c r="L14" s="254" t="n">
        <v>1834</v>
      </c>
      <c r="M14" s="238" t="s">
        <v>288</v>
      </c>
      <c r="N14" s="236" t="s">
        <v>205</v>
      </c>
      <c r="O14" s="238" t="s">
        <v>289</v>
      </c>
      <c r="P14" s="236" t="s">
        <v>207</v>
      </c>
      <c r="Q14" s="233" t="s">
        <v>290</v>
      </c>
      <c r="R14" s="187"/>
    </row>
    <row r="15" customFormat="false" ht="15.75" hidden="false" customHeight="true" outlineLevel="0" collapsed="false">
      <c r="A15" s="282" t="s">
        <v>291</v>
      </c>
      <c r="B15" s="256" t="s">
        <v>34</v>
      </c>
      <c r="C15" s="257"/>
      <c r="D15" s="257" t="s">
        <v>34</v>
      </c>
      <c r="E15" s="257"/>
      <c r="F15" s="257" t="s">
        <v>34</v>
      </c>
      <c r="G15" s="257"/>
      <c r="H15" s="257" t="s">
        <v>34</v>
      </c>
      <c r="I15" s="257"/>
      <c r="J15" s="257" t="s">
        <v>34</v>
      </c>
      <c r="K15" s="257"/>
      <c r="L15" s="257" t="s">
        <v>34</v>
      </c>
      <c r="M15" s="257"/>
      <c r="N15" s="257" t="s">
        <v>34</v>
      </c>
      <c r="O15" s="257"/>
      <c r="P15" s="257" t="s">
        <v>34</v>
      </c>
      <c r="Q15" s="257"/>
      <c r="R15" s="257" t="s">
        <v>34</v>
      </c>
      <c r="S15" s="258"/>
      <c r="T15" s="258"/>
      <c r="U15" s="258"/>
      <c r="V15" s="258"/>
      <c r="W15" s="258"/>
      <c r="X15" s="258"/>
      <c r="Y15" s="258"/>
      <c r="Z15" s="258"/>
      <c r="AA15" s="258"/>
      <c r="AB15" s="258"/>
      <c r="AC15" s="258"/>
      <c r="AD15" s="258"/>
    </row>
    <row r="16" customFormat="false" ht="15.75" hidden="false" customHeight="true" outlineLevel="0" collapsed="false">
      <c r="A16" s="225" t="s">
        <v>37</v>
      </c>
      <c r="B16" s="147" t="s">
        <v>34</v>
      </c>
      <c r="C16" s="208" t="s">
        <v>293</v>
      </c>
      <c r="D16" s="259" t="s">
        <v>294</v>
      </c>
      <c r="E16" s="208" t="s">
        <v>295</v>
      </c>
      <c r="F16" s="259" t="s">
        <v>296</v>
      </c>
      <c r="G16" s="233" t="s">
        <v>297</v>
      </c>
      <c r="H16" s="232" t="s">
        <v>34</v>
      </c>
      <c r="I16" s="208" t="s">
        <v>298</v>
      </c>
      <c r="J16" s="259" t="s">
        <v>296</v>
      </c>
      <c r="K16" s="208" t="s">
        <v>299</v>
      </c>
      <c r="L16" s="259" t="s">
        <v>300</v>
      </c>
      <c r="M16" s="208" t="s">
        <v>301</v>
      </c>
      <c r="N16" s="259" t="s">
        <v>302</v>
      </c>
      <c r="O16" s="233" t="s">
        <v>273</v>
      </c>
      <c r="P16" s="233" t="s">
        <v>34</v>
      </c>
      <c r="Q16" s="208" t="s">
        <v>303</v>
      </c>
      <c r="R16" s="259" t="s">
        <v>393</v>
      </c>
    </row>
    <row r="17" customFormat="false" ht="15.75" hidden="false" customHeight="true" outlineLevel="0" collapsed="false">
      <c r="A17" s="225" t="s">
        <v>18</v>
      </c>
      <c r="B17" s="147" t="s">
        <v>34</v>
      </c>
      <c r="C17" s="208" t="s">
        <v>305</v>
      </c>
      <c r="D17" s="236" t="s">
        <v>196</v>
      </c>
      <c r="E17" s="208" t="s">
        <v>306</v>
      </c>
      <c r="F17" s="236" t="s">
        <v>198</v>
      </c>
      <c r="G17" s="208" t="s">
        <v>307</v>
      </c>
      <c r="H17" s="253" t="n">
        <v>4971</v>
      </c>
      <c r="I17" s="208" t="s">
        <v>308</v>
      </c>
      <c r="J17" s="254" t="n">
        <v>4901</v>
      </c>
      <c r="K17" s="208" t="s">
        <v>309</v>
      </c>
      <c r="L17" s="254" t="n">
        <v>1834</v>
      </c>
      <c r="M17" s="208" t="s">
        <v>310</v>
      </c>
      <c r="N17" s="236" t="s">
        <v>205</v>
      </c>
      <c r="O17" s="233" t="s">
        <v>297</v>
      </c>
      <c r="P17" s="233" t="s">
        <v>34</v>
      </c>
      <c r="Q17" s="208" t="s">
        <v>311</v>
      </c>
      <c r="R17" s="236" t="s">
        <v>209</v>
      </c>
    </row>
    <row r="18" customFormat="false" ht="15.75" hidden="false" customHeight="true" outlineLevel="0" collapsed="false">
      <c r="A18" s="225" t="s">
        <v>17</v>
      </c>
      <c r="B18" s="147" t="s">
        <v>34</v>
      </c>
      <c r="C18" s="208" t="s">
        <v>313</v>
      </c>
      <c r="D18" s="236" t="s">
        <v>196</v>
      </c>
      <c r="E18" s="208" t="s">
        <v>314</v>
      </c>
      <c r="F18" s="236" t="s">
        <v>198</v>
      </c>
      <c r="G18" s="208" t="s">
        <v>315</v>
      </c>
      <c r="H18" s="267" t="s">
        <v>394</v>
      </c>
      <c r="I18" s="208" t="s">
        <v>316</v>
      </c>
      <c r="J18" s="254" t="n">
        <v>4901</v>
      </c>
      <c r="K18" s="208" t="s">
        <v>317</v>
      </c>
      <c r="L18" s="254" t="n">
        <v>1834</v>
      </c>
      <c r="M18" s="208" t="s">
        <v>318</v>
      </c>
      <c r="N18" s="236" t="s">
        <v>205</v>
      </c>
      <c r="O18" s="233" t="s">
        <v>297</v>
      </c>
      <c r="P18" s="233" t="s">
        <v>34</v>
      </c>
      <c r="Q18" s="208" t="s">
        <v>319</v>
      </c>
      <c r="R18" s="236" t="s">
        <v>209</v>
      </c>
    </row>
    <row r="19" customFormat="false" ht="15.75" hidden="false" customHeight="true" outlineLevel="0" collapsed="false">
      <c r="A19" s="225" t="s">
        <v>23</v>
      </c>
      <c r="B19" s="147" t="s">
        <v>34</v>
      </c>
      <c r="C19" s="208" t="s">
        <v>321</v>
      </c>
      <c r="D19" s="236" t="s">
        <v>196</v>
      </c>
      <c r="E19" s="208" t="s">
        <v>322</v>
      </c>
      <c r="F19" s="236" t="s">
        <v>198</v>
      </c>
      <c r="G19" s="208" t="s">
        <v>323</v>
      </c>
      <c r="H19" s="253" t="n">
        <v>4971</v>
      </c>
      <c r="I19" s="208" t="s">
        <v>324</v>
      </c>
      <c r="J19" s="254" t="n">
        <v>4901</v>
      </c>
      <c r="K19" s="208" t="s">
        <v>325</v>
      </c>
      <c r="L19" s="254" t="n">
        <v>1834</v>
      </c>
      <c r="M19" s="208" t="s">
        <v>326</v>
      </c>
      <c r="N19" s="236" t="s">
        <v>205</v>
      </c>
      <c r="O19" s="208" t="s">
        <v>327</v>
      </c>
      <c r="P19" s="236" t="s">
        <v>207</v>
      </c>
      <c r="Q19" s="208" t="s">
        <v>328</v>
      </c>
      <c r="R19" s="236" t="s">
        <v>209</v>
      </c>
    </row>
    <row r="20" customFormat="false" ht="15.75" hidden="false" customHeight="true" outlineLevel="0" collapsed="false">
      <c r="A20" s="225" t="s">
        <v>329</v>
      </c>
      <c r="B20" s="147" t="s">
        <v>34</v>
      </c>
      <c r="C20" s="208" t="s">
        <v>331</v>
      </c>
      <c r="D20" s="236" t="s">
        <v>196</v>
      </c>
      <c r="E20" s="208" t="s">
        <v>332</v>
      </c>
      <c r="F20" s="236" t="s">
        <v>198</v>
      </c>
      <c r="G20" s="208" t="s">
        <v>333</v>
      </c>
      <c r="H20" s="253" t="n">
        <v>4971</v>
      </c>
      <c r="I20" s="208" t="s">
        <v>334</v>
      </c>
      <c r="J20" s="254" t="n">
        <v>4901</v>
      </c>
      <c r="K20" s="208" t="s">
        <v>335</v>
      </c>
      <c r="L20" s="254" t="n">
        <v>1834</v>
      </c>
      <c r="M20" s="208" t="s">
        <v>336</v>
      </c>
      <c r="N20" s="236" t="s">
        <v>205</v>
      </c>
      <c r="O20" s="208" t="s">
        <v>337</v>
      </c>
      <c r="P20" s="236" t="s">
        <v>207</v>
      </c>
      <c r="Q20" s="208" t="s">
        <v>338</v>
      </c>
      <c r="R20" s="236" t="s">
        <v>209</v>
      </c>
    </row>
    <row r="21" customFormat="false" ht="15.75" hidden="false" customHeight="true" outlineLevel="0" collapsed="false">
      <c r="A21" s="225" t="s">
        <v>339</v>
      </c>
      <c r="B21" s="147" t="s">
        <v>34</v>
      </c>
      <c r="C21" s="208" t="s">
        <v>341</v>
      </c>
      <c r="D21" s="236" t="s">
        <v>196</v>
      </c>
      <c r="E21" s="208" t="s">
        <v>342</v>
      </c>
      <c r="F21" s="236" t="s">
        <v>198</v>
      </c>
      <c r="G21" s="208" t="s">
        <v>343</v>
      </c>
      <c r="H21" s="253" t="n">
        <v>4971</v>
      </c>
      <c r="I21" s="208" t="s">
        <v>344</v>
      </c>
      <c r="J21" s="254" t="n">
        <v>4901</v>
      </c>
      <c r="K21" s="208" t="s">
        <v>345</v>
      </c>
      <c r="L21" s="254" t="n">
        <v>1834</v>
      </c>
      <c r="M21" s="208" t="s">
        <v>346</v>
      </c>
      <c r="N21" s="236" t="s">
        <v>205</v>
      </c>
      <c r="O21" s="208" t="s">
        <v>347</v>
      </c>
      <c r="P21" s="236" t="s">
        <v>207</v>
      </c>
      <c r="Q21" s="208" t="s">
        <v>348</v>
      </c>
      <c r="R21" s="236" t="s">
        <v>209</v>
      </c>
    </row>
    <row r="22" customFormat="false" ht="15.75" hidden="false" customHeight="true" outlineLevel="0" collapsed="false">
      <c r="A22" s="225" t="s">
        <v>349</v>
      </c>
      <c r="B22" s="147" t="s">
        <v>34</v>
      </c>
      <c r="C22" s="208" t="s">
        <v>351</v>
      </c>
      <c r="D22" s="262" t="n">
        <v>3355</v>
      </c>
      <c r="E22" s="208" t="s">
        <v>352</v>
      </c>
      <c r="F22" s="262" t="n">
        <v>5165</v>
      </c>
      <c r="G22" s="208" t="s">
        <v>353</v>
      </c>
      <c r="H22" s="268" t="n">
        <v>5245</v>
      </c>
      <c r="I22" s="187" t="s">
        <v>297</v>
      </c>
      <c r="J22" s="232" t="s">
        <v>34</v>
      </c>
      <c r="K22" s="208" t="s">
        <v>354</v>
      </c>
      <c r="L22" s="262" t="n">
        <v>1935</v>
      </c>
      <c r="M22" s="187" t="s">
        <v>290</v>
      </c>
      <c r="N22" s="232" t="s">
        <v>34</v>
      </c>
      <c r="O22" s="208" t="s">
        <v>355</v>
      </c>
      <c r="P22" s="262" t="n">
        <v>3045</v>
      </c>
      <c r="Q22" s="208" t="s">
        <v>356</v>
      </c>
      <c r="R22" s="262" t="n">
        <v>9165</v>
      </c>
    </row>
    <row r="23" customFormat="false" ht="15.75" hidden="false" customHeight="true" outlineLevel="0" collapsed="false">
      <c r="A23" s="225" t="s">
        <v>29</v>
      </c>
      <c r="B23" s="147" t="s">
        <v>34</v>
      </c>
      <c r="C23" s="208" t="s">
        <v>358</v>
      </c>
      <c r="D23" s="236" t="s">
        <v>196</v>
      </c>
      <c r="E23" s="208" t="s">
        <v>359</v>
      </c>
      <c r="F23" s="236" t="s">
        <v>198</v>
      </c>
      <c r="G23" s="208" t="s">
        <v>360</v>
      </c>
      <c r="H23" s="253" t="n">
        <v>4971</v>
      </c>
      <c r="I23" s="208" t="s">
        <v>361</v>
      </c>
      <c r="J23" s="254" t="n">
        <v>4901</v>
      </c>
      <c r="K23" s="208" t="s">
        <v>362</v>
      </c>
      <c r="L23" s="254" t="n">
        <v>1834</v>
      </c>
      <c r="M23" s="208" t="s">
        <v>363</v>
      </c>
      <c r="N23" s="236" t="s">
        <v>205</v>
      </c>
      <c r="O23" s="208" t="s">
        <v>364</v>
      </c>
      <c r="P23" s="236" t="s">
        <v>207</v>
      </c>
      <c r="Q23" s="208" t="s">
        <v>365</v>
      </c>
      <c r="R23" s="236" t="s">
        <v>209</v>
      </c>
    </row>
    <row r="24" customFormat="false" ht="15.75" hidden="false" customHeight="true" outlineLevel="0" collapsed="false">
      <c r="A24" s="225" t="s">
        <v>366</v>
      </c>
      <c r="B24" s="147" t="s">
        <v>34</v>
      </c>
      <c r="C24" s="208" t="s">
        <v>368</v>
      </c>
      <c r="D24" s="236" t="s">
        <v>196</v>
      </c>
      <c r="E24" s="208" t="s">
        <v>369</v>
      </c>
      <c r="F24" s="236" t="s">
        <v>198</v>
      </c>
      <c r="G24" s="208" t="s">
        <v>370</v>
      </c>
      <c r="H24" s="253" t="n">
        <v>4971</v>
      </c>
      <c r="I24" s="208" t="s">
        <v>371</v>
      </c>
      <c r="J24" s="254" t="n">
        <v>4901</v>
      </c>
      <c r="K24" s="208" t="s">
        <v>372</v>
      </c>
      <c r="L24" s="254" t="n">
        <v>1834</v>
      </c>
      <c r="M24" s="208" t="s">
        <v>373</v>
      </c>
      <c r="N24" s="236" t="s">
        <v>205</v>
      </c>
      <c r="O24" s="208" t="s">
        <v>374</v>
      </c>
      <c r="P24" s="236" t="s">
        <v>207</v>
      </c>
      <c r="Q24" s="208" t="s">
        <v>375</v>
      </c>
      <c r="R24" s="236" t="s">
        <v>209</v>
      </c>
    </row>
    <row r="25" customFormat="false" ht="15.75" hidden="false" customHeight="true" outlineLevel="0" collapsed="false">
      <c r="A25" s="225" t="s">
        <v>376</v>
      </c>
      <c r="B25" s="147" t="s">
        <v>34</v>
      </c>
      <c r="C25" s="208" t="s">
        <v>378</v>
      </c>
      <c r="D25" s="236" t="s">
        <v>196</v>
      </c>
      <c r="E25" s="208" t="s">
        <v>379</v>
      </c>
      <c r="F25" s="236" t="s">
        <v>198</v>
      </c>
      <c r="G25" s="208" t="s">
        <v>380</v>
      </c>
      <c r="H25" s="253" t="n">
        <v>4971</v>
      </c>
      <c r="I25" s="208" t="s">
        <v>381</v>
      </c>
      <c r="J25" s="254" t="n">
        <v>4901</v>
      </c>
      <c r="K25" s="208" t="s">
        <v>382</v>
      </c>
      <c r="L25" s="254" t="n">
        <v>1834</v>
      </c>
      <c r="M25" s="208" t="s">
        <v>383</v>
      </c>
      <c r="N25" s="236" t="s">
        <v>205</v>
      </c>
      <c r="O25" s="208" t="s">
        <v>384</v>
      </c>
      <c r="P25" s="236" t="s">
        <v>207</v>
      </c>
      <c r="Q25" s="208" t="s">
        <v>385</v>
      </c>
      <c r="R25" s="236" t="s">
        <v>209</v>
      </c>
    </row>
    <row r="26" customFormat="false" ht="15.75" hidden="false" customHeight="true" outlineLevel="0" collapsed="false">
      <c r="A26" s="74"/>
      <c r="B26" s="146"/>
      <c r="C26" s="265"/>
      <c r="D26" s="265"/>
      <c r="E26" s="76"/>
      <c r="F26" s="76"/>
      <c r="G26" s="265"/>
      <c r="H26" s="265"/>
      <c r="I26" s="76"/>
      <c r="J26" s="76"/>
      <c r="K26" s="265"/>
      <c r="L26" s="265"/>
      <c r="M26" s="76"/>
      <c r="N26" s="76"/>
      <c r="O26" s="265"/>
      <c r="P26" s="265"/>
      <c r="Q26" s="76"/>
      <c r="R26" s="76"/>
    </row>
    <row r="27" customFormat="false" ht="15.75" hidden="false" customHeight="true" outlineLevel="0" collapsed="false">
      <c r="A27" s="74"/>
      <c r="B27" s="146"/>
      <c r="C27" s="265"/>
      <c r="D27" s="265"/>
      <c r="E27" s="76"/>
      <c r="F27" s="76"/>
      <c r="G27" s="265"/>
      <c r="H27" s="265"/>
      <c r="I27" s="76"/>
      <c r="J27" s="76"/>
      <c r="K27" s="265"/>
      <c r="L27" s="265"/>
      <c r="M27" s="76"/>
      <c r="N27" s="76"/>
      <c r="O27" s="265"/>
      <c r="P27" s="265"/>
      <c r="Q27" s="76"/>
      <c r="R27" s="76"/>
    </row>
    <row r="28" customFormat="false" ht="15.75" hidden="false" customHeight="true" outlineLevel="0" collapsed="false">
      <c r="A28" s="74"/>
      <c r="B28" s="146"/>
      <c r="C28" s="265"/>
      <c r="D28" s="265"/>
      <c r="E28" s="76"/>
      <c r="F28" s="76"/>
      <c r="G28" s="265"/>
      <c r="H28" s="265"/>
      <c r="I28" s="76"/>
      <c r="J28" s="76"/>
      <c r="K28" s="265"/>
      <c r="L28" s="265"/>
      <c r="M28" s="76"/>
      <c r="N28" s="76"/>
      <c r="O28" s="265"/>
      <c r="P28" s="265"/>
      <c r="Q28" s="76"/>
      <c r="R28" s="76"/>
    </row>
    <row r="29" customFormat="false" ht="15.75" hidden="false" customHeight="true" outlineLevel="0" collapsed="false">
      <c r="A29" s="74"/>
      <c r="B29" s="146"/>
      <c r="C29" s="265"/>
      <c r="D29" s="265"/>
      <c r="E29" s="76"/>
      <c r="F29" s="76"/>
      <c r="G29" s="265"/>
      <c r="H29" s="265"/>
      <c r="I29" s="76"/>
      <c r="J29" s="76"/>
      <c r="K29" s="265"/>
      <c r="L29" s="265"/>
      <c r="M29" s="76"/>
      <c r="N29" s="76"/>
      <c r="O29" s="265"/>
      <c r="P29" s="265"/>
      <c r="Q29" s="76"/>
      <c r="R29" s="76"/>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C3" r:id="rId8" display="https://brwmania.com.ua/gostinaja/modulnye-gostinye/sistema-azteka/tumba-pod-tv-acteka-rtv2d2s415/"/>
    <hyperlink ref="E3" r:id="rId9" display="https://brwmania.com.ua/gostinaja/modulnye-gostinye/sistema_indiana__sosna_kanjon/indiana-sosna-kanyon-j-007-stol-pismennyy-jbiu-2d2s-140/"/>
    <hyperlink ref="G3" r:id="rId10" display="https://brwmania.com.ua/gostinaja/modulnye-gostinye/sistema_koen_mdf/014-koen-mdf-shafa-szf2d2s/"/>
    <hyperlink ref="I3" r:id="rId11" display="https://brwmania.com.ua/gostinaja/modulnye-gostinye/sistema_vajt/008-vayt-komod-4s-90/"/>
    <hyperlink ref="K3" r:id="rId12" display="https://brwmania.com.ua/gostinaja/modulnye-gostinye/sistema_nepo/nepo-prihozha-ppk/"/>
    <hyperlink ref="M3" r:id="rId13" display="https://brwmania.com.ua/gostinaja/komplekty-gostinyh/aljaska-alaska-gostinaja/"/>
    <hyperlink ref="O3" r:id="rId14" display="https://brwmania.com.ua/gostinaja/komplekty-gostinyh/stinka-kvatro-venge-magia/"/>
    <hyperlink ref="Q3" r:id="rId15" display="https://brwmania.com.ua/spalni/modulnye-spalni/sistema-spalni-liberti/005-shkaf-3d/"/>
    <hyperlink ref="A5" r:id="rId16" display="https://brwwood.com.ua/"/>
    <hyperlink ref="C5" r:id="rId17" display="https://brwwood.com.ua/tumbochki-i-tumby/tumby-pod-televizor/001-atsteka-tumba-rtv2d2s-4-15-tumba-pod-televizor"/>
    <hyperlink ref="E5" r:id="rId18" display="https://brwwood.com.ua/stoly/pismennye-stoly/stol-pismennyj-brw-indiana-sosna-kanjon-jbiu-2d2s-140"/>
    <hyperlink ref="G5" r:id="rId19" display="https://brwwood.com.ua/shkafy-i-xranenie/dvuxdvernye-shkafy/shkaf-gerbor-koen-mdf-szf2d2s"/>
    <hyperlink ref="I5" r:id="rId20" display="https://brwwood.com.ua/komody/komod-gerbor-vajt-4s-90"/>
    <hyperlink ref="K5" r:id="rId21" display="https://brwwood.com.ua/mebel-dlja-prixozhej/komplekty-prixozhyx/prixozhaja-gerbor-nepo-ppk"/>
    <hyperlink ref="M5" r:id="rId22" display="https://brwwood.com.ua/mebel-dlja-gostinoj/komplekty-stenok-v-gostnnuju/gostinaja-aljaska-brw"/>
    <hyperlink ref="O5" r:id="rId23" display="https://brwwood.com.ua/mebel-dlja-gostinoj/komplekty-stenok-v-gostnnuju/gostinaja-kvatro-gerbor"/>
    <hyperlink ref="Q5" r:id="rId24" display="https://brwwood.com.ua/shkafy-i-xranenie/trexdvernye-shkafy/shkaf-brw-liberti-3d"/>
    <hyperlink ref="A6" r:id="rId25" display="https://mebli-bristol.com.ua/"/>
    <hyperlink ref="C6" r:id="rId26" display="https://mebli-bristol.com.ua/acteka-tumba-rtv-2d2s-4-15-brv-ukraina.html"/>
    <hyperlink ref="E6" r:id="rId27" display="https://mebli-bristol.com.ua/indiana-stil-pis-movij-jbiu-2d2s-140-sosna-kan-jon-brv-ukraina.html"/>
    <hyperlink ref="G6" r:id="rId28" display="https://mebli-bristol.com.ua/koen-shafa-szf-2d2s-mdf-gerbor.html"/>
    <hyperlink ref="I6" r:id="rId29" display="https://mebli-bristol.com.ua/vajt-komod-4s-90-gerbor.html"/>
    <hyperlink ref="K6" r:id="rId30" display="https://mebli-bristol.com.ua/nepo-peredpokij-ppk-gerbor-9728.html"/>
    <hyperlink ref="M6" r:id="rId31" display="https://mebli-bristol.com.ua/aljaska-brv-ukraina.html"/>
    <hyperlink ref="O6" r:id="rId32" display="https://mebli-bristol.com.ua/kvatro-gerbor.html"/>
    <hyperlink ref="Q6" r:id="rId33" display="https://mebli-bristol.com.ua/liberti-shafa-szf-3d-brv-ukraina.html"/>
    <hyperlink ref="A7" r:id="rId34" display="https://stuloff.com.ua/index.php?route=common/home"/>
    <hyperlink ref="C7" r:id="rId35" display="https://stuloff.com.ua/tumba_rtv_2d2s_4_15_azteka_beluy?search=%D0%B0%D1%86%D1%82%D0%B5%D0%BA%D0%B0&amp;category_id=0"/>
    <hyperlink ref="E7" r:id="rId36" display="https://stuloff.com.ua/stol_pism_jbiu_2d2s_140_indiana_kanjon-?search=%D0%B8%D0%BD%D0%B4%D0%B8%D0%B0%D0%BD%D0%B0&amp;category_id=0&amp;page=3"/>
    <hyperlink ref="G7" r:id="rId37" display="https://stuloff.com.ua/chkaf_szf_2d2s_koen_mdf?search=%D0%BA%D0%BE%D0%B5%D0%BD&amp;category_id=0&amp;page=3"/>
    <hyperlink ref="I7" r:id="rId38" display="https://stuloff.com.ua/komod_4s_90_white?search=%D0%B2%D0%B0%D0%B9%D1%82&amp;category_id=0"/>
    <hyperlink ref="K7" r:id="rId39" display="https://stuloff.com.ua/prichozay_ppk_nepo?search=%D0%BD%D0%B5%D0%BF%D0%BE&amp;category_id=0"/>
    <hyperlink ref="M7" r:id="rId40" display="https://stuloff.com.ua/gostinaya_alyaska_brw?search=%D0%B0%D0%BB%D1%8F%D1%81%D0%BA%D0%B0&amp;category_id=0"/>
    <hyperlink ref="O7" r:id="rId41" display="https://stuloff.com.ua/gostinay_kvatro_gerbor_venge?search=%D0%BA%D0%B2%D0%B0%D1%82%D1%80%D0%BE&amp;category_id=0"/>
    <hyperlink ref="Q7" r:id="rId42" display="https://stuloff.com.ua/chkaf_3d_liberti?search=%D0%BB%D0%B8%D0%B1%D0%B5%D1%80%D1%82%D0%B8&amp;category_id=0"/>
    <hyperlink ref="A8" r:id="rId43" display="https://www.mebelvdom.ua/"/>
    <hyperlink ref="C8" r:id="rId44" display="https://www.mebelvdom.ua/product/tumba-tv-rtv2d2s-4-15-acteka-brv"/>
    <hyperlink ref="E8" r:id="rId45" display="https://www.mebelvdom.ua/product/stol-pismennyj-jbiu2d2s-140-indiana-kanon-brv"/>
    <hyperlink ref="I8" r:id="rId46" display="https://www.mebelvdom.ua/product/komod-4s-90-vajt-gerbor"/>
    <hyperlink ref="K8" r:id="rId47" display="https://www.mebelvdom.ua/product/prihozhaya-ppk-nepo-gerbor"/>
    <hyperlink ref="M8" r:id="rId48" display="https://www.mebelvdom.ua/product/gostinaya-alyaska-brv"/>
    <hyperlink ref="Q8" r:id="rId49" display="https://www.mebelvdom.ua/product/shkaf-szf3d-liberti-brv"/>
    <hyperlink ref="A9" r:id="rId50" display="http://abcmebli.com.ua/"/>
    <hyperlink ref="C9" r:id="rId51" display="http://abcmebli.com.ua/p14992-tumba_tv_rtv2d2s-4-15_atsteka"/>
    <hyperlink ref="E9" r:id="rId52" display="http://abcmebli.com.ua/p1892-stol_pismenniy_jbiu2d2s_140_indiana"/>
    <hyperlink ref="G9" r:id="rId53" display="http://abcmebli.com.ua/p15143-koen_mdf_shkaf_szf2d2s"/>
    <hyperlink ref="I9" r:id="rId54" display="http://abcmebli.com.ua/p15658-komod_4s_90_vayt_gerbor"/>
    <hyperlink ref="K9" r:id="rId55" display="http://abcmebli.com.ua/p15897-nepo_prihozhaya_ppk_gerbor"/>
    <hyperlink ref="M9" r:id="rId56" display="http://abcmebli.com.ua/p15191-stenka_alyaska_brv"/>
    <hyperlink ref="O9" r:id="rId57" display="http://abcmebli.com.ua/p2515-stenka_kvatro_gerbor"/>
    <hyperlink ref="Q9" r:id="rId58" display="http://abcmebli.com.ua/p15617-shkaf_szf3d_liberti_brv"/>
    <hyperlink ref="A10" r:id="rId59" display="http://www.maxidom.com.ua/"/>
    <hyperlink ref="C10" r:id="rId60" display="http://www.maxidom.com.ua/tumba-rtv-atsteka-2d2s415.html?search_string=%D2%F3%EC%E1%E0+%D0%D2%C2+%C0%F6%F2%E5%EA%E0+2D2S%2F4%2F15"/>
    <hyperlink ref="E10" r:id="rId61" display="http://www.maxidom.com.ua/stol_pismenniy_indiana_jbiu2d2s.html?search_string=%E8%ED%E4%E8%E0%ED%E0"/>
    <hyperlink ref="G10" r:id="rId62" display="http://www.maxidom.com.ua/shkaf-szf2d2s-koen-mdf.html?search_string=%D8%EA%E0%F4+SZF2D2S+%CA%EE%E5%ED+%28%CC%C4%D4%29"/>
    <hyperlink ref="I10" r:id="rId63" display="http://www.maxidom.com.ua/komod-vayt-4s-90.html?search_string=%CA%EE%EC%EE%E4+%C2%E0%E9%F2+4S+90"/>
    <hyperlink ref="K10" r:id="rId64" display="http://www.maxidom.com.ua/prihozhaya-nepo-ppk.html?search_string=%ED%E5%EF%EE"/>
    <hyperlink ref="M10" r:id="rId65" display="http://www.maxidom.com.ua/stenka-alyaska.html?search_string=%C0%EB%FF%F1%EA%E0"/>
    <hyperlink ref="O10" r:id="rId66" display="http://www.maxidom.com.ua/stenka-kvatro.html?search_string=%EA%E2%E0%F2%F0%EE"/>
    <hyperlink ref="Q10" r:id="rId67" display="http://www.maxidom.com.ua/shkaf-liberti-3d.html?search_string=%EB%E8%E1%E5%F0%F2%E8"/>
    <hyperlink ref="A11" r:id="rId68" display="https://www.dybok.com.ua/"/>
    <hyperlink ref="C11" r:id="rId69" display="https://www.dybok.com.ua/ru/product/detail/35816"/>
    <hyperlink ref="E11" r:id="rId70" display="https://www.dybok.com.ua/ru/product/detail/4291"/>
    <hyperlink ref="G11" r:id="rId71" display="https://www.dybok.com.ua/ru/product/detail/6363"/>
    <hyperlink ref="I11" r:id="rId72" display="https://www.dybok.com.ua/ru/product/detail/12057"/>
    <hyperlink ref="K11" r:id="rId73" display="https://www.dybok.com.ua/ru/product/detail/18085"/>
    <hyperlink ref="M11" r:id="rId74" display="https://www.dybok.com.ua/ru/product/detail/50410"/>
    <hyperlink ref="O11" r:id="rId75" display="https://www.dybok.com.ua/ru/product/detail/6077"/>
    <hyperlink ref="Q11" r:id="rId76" display="https://www.dybok.com.ua/ru/product/detail/31073"/>
    <hyperlink ref="A12" r:id="rId77" location="meb-main" display="http://mebmarket.com.ua/#meb-main"/>
    <hyperlink ref="C12" r:id="rId78" display="http://mebmarket.com.ua/gostinaya1/modulnye-sistemy-dlya-gostinnykh/acteka/rtv2d2s-acteka-detail.html"/>
    <hyperlink ref="E12" r:id="rId79" display="http://mebmarket.com.ua/modulnye-sistemy/i-k/2014-04-30-13-16-35/stol-pismennyj-jbiu-2d2s-140-indiana-dub-shutter-3261-detail.html"/>
    <hyperlink ref="G12" r:id="rId80" display="http://mebmarket.com.ua/gostinaya1/shkafy/shkafy/szf2d2s-koen-mdf-detail.html"/>
    <hyperlink ref="O12" r:id="rId81" display="http://mebmarket.com.ua/gostinaya1/gostinye/gostinye-gerbor-i-brw/gostinaya-kvatro-venge-magiya-detail.html"/>
    <hyperlink ref="A13" r:id="rId82" display="https://prom.ua/"/>
    <hyperlink ref="C13" r:id="rId83" display="https://prom.ua/p942307244-atsteka-tumba-pod.html"/>
    <hyperlink ref="E13" r:id="rId84" display="https://prom.ua/p855482757-stol-pismennyj-jbiu.html"/>
    <hyperlink ref="G13" r:id="rId85" display="https://prom.ua/p356287589-shkaf-szf2d2s-koen.html"/>
    <hyperlink ref="I13" r:id="rId86" display="https://prom.ua/p571241833-komod-vajt.html"/>
    <hyperlink ref="M13" r:id="rId87" display="https://prom.ua/p589661092-stenka-alyaska-brv.html"/>
    <hyperlink ref="Q13" r:id="rId88" display="https://prom.ua/p938957293-liberti-shkaf.html"/>
    <hyperlink ref="A14" r:id="rId89" display="https://shurup.net.ua/"/>
    <hyperlink ref="C14" r:id="rId90" display="https://shurup.net.ua/azteca-acteka-tumba-rtv2d2s415.p17205"/>
    <hyperlink ref="E14" r:id="rId91" display="https://shurup.net.ua/stol-pismennyj-jbiu-2d2s-140-indiana-sosna-kanon.p9423"/>
    <hyperlink ref="G14" r:id="rId92" display="https://shurup.net.ua/shkaf-szf2d2s-koen-mdf.p1208"/>
    <hyperlink ref="I14" r:id="rId93" display="https://shurup.net.ua/komod-4s-90-vajt.p11059"/>
    <hyperlink ref="K14" r:id="rId94" display="https://shurup.net.ua/prihozhaya-rrk-nepo.p13611"/>
    <hyperlink ref="M14" r:id="rId95" display="https://shurup.net.ua/gostinaja-aljaska.p28551"/>
    <hyperlink ref="O14" r:id="rId96" display="https://shurup.net.ua/gostinaya-kvatro-venge-magiya.p836"/>
    <hyperlink ref="A16" r:id="rId97" display="https://www.brw-kiev.com.ua/"/>
    <hyperlink ref="C16" r:id="rId98" display="https://www.brw-kiev.com.ua/catalog/mebel/kabinet/azteca-shafka_pid_tv-rtv2d2s_4_15-000004821.html?sphrase_id=71202"/>
    <hyperlink ref="E16" r:id="rId99" display="https://www.brw-kiev.com.ua/catalog/mebel/kabinet/indiana-stil_pis_moviy-jbiu2d2s-000000254.html"/>
    <hyperlink ref="I16" r:id="rId100" display="https://www.brw-kiev.com.ua/catalog/mebel/vayt-komod-kom4s_90-000008377.html"/>
    <hyperlink ref="K16" r:id="rId101" display="https://www.brw-kiev.com.ua/catalog/mebel/nepo-peredpokiy-ppk-000006567.html"/>
    <hyperlink ref="M16" r:id="rId102" display="https://www.brw-kiev.com.ua/catalog/mebel/stinki-vital_nya-alaska-000006901.html"/>
    <hyperlink ref="Q16" r:id="rId103" display="https://www.brw-kiev.com.ua/catalog/mebel/liberty-shafa-szf_3d-000006341.html"/>
    <hyperlink ref="A17" r:id="rId104" display="http://www.brwland.com.ua/"/>
    <hyperlink ref="C17" r:id="rId105" display="http://www.brwland.com.ua/product/azteca-tumba-tv-rtv2d2s415-brv-ukraina/"/>
    <hyperlink ref="E17" r:id="rId106" display="http://www.brwland.com.ua/product/indiana-kanjon-stol-pismennyj-jbiu-2d2s140-brv-ukraina/"/>
    <hyperlink ref="G17" r:id="rId107" display="http://www.brwland.com.ua/product/koen-szf-2d2s-shkaf-gerbor/"/>
    <hyperlink ref="I17" r:id="rId108" display="http://www.brwland.com.ua/product/white-komod-4s90-gerbor/"/>
    <hyperlink ref="K17" r:id="rId109" display="http://www.brwland.com.ua/product/nepo-prihozhaja-ppk-gerbor/"/>
    <hyperlink ref="M17" r:id="rId110" display="http://www.brwland.com.ua/category/mebel-alaska-brw-ukraina/"/>
    <hyperlink ref="Q17" r:id="rId111" display="http://www.brwland.com.ua/product/liberti-shkaf-szf3d-brv-ukraina/"/>
    <hyperlink ref="A18" r:id="rId112" display="http://gerbor.kiev.ua/"/>
    <hyperlink ref="C18" r:id="rId113" display="http://gerbor.kiev.ua/mebelnye-sistemy/mebel-brw-azteca/azteca-tumba-tv-rtv2d2s-brv/"/>
    <hyperlink ref="E18" r:id="rId114" display="http://gerbor.kiev.ua/mebelnye-sistemy/mebel-indiana-brw/indiana-stol-pismennyy-jbiu2d2s140-brv/"/>
    <hyperlink ref="G18" r:id="rId115" display="http://gerbor.kiev.ua/mebelnye-sistemy/mebel-koen-gerbor/koen-penal-reg2d2s-gerbor/"/>
    <hyperlink ref="I18" r:id="rId116" display="http://gerbor.kiev.ua/mebelnye-sistemy/mebel-white-gerbor/white-komod-4s90-gerbor/"/>
    <hyperlink ref="K18" r:id="rId117" display="http://gerbor.kiev.ua/mebelnye-sistemy/mebel-nepo-gerbor/nepo-prikhozhaya-ppk-gerbor/"/>
    <hyperlink ref="M18" r:id="rId118" display="http://gerbor.kiev.ua/mebelnye-sistemy/mebel-alaska-brw/alaska-gostinaya-brw/"/>
    <hyperlink ref="Q18" r:id="rId119" display="http://gerbor.kiev.ua/mebelnye-sistemy/mebel-liberti-brw/liberti-shkaf-szf3d-brv/"/>
    <hyperlink ref="A19" r:id="rId120" display="http://maxmebel.com.ua/"/>
    <hyperlink ref="C19" r:id="rId121" display="http://maxmebel.com.ua/pi/products_id/15620"/>
    <hyperlink ref="E19" r:id="rId122" display="http://maxmebel.com.ua/pi/products_id/4909"/>
    <hyperlink ref="G19" r:id="rId123" display="http://maxmebel.com.ua/pi/products_id/6503"/>
    <hyperlink ref="I19" r:id="rId124" display="http://maxmebel.com.ua/pi/products_id/13019"/>
    <hyperlink ref="K19" r:id="rId125" display="http://maxmebel.com.ua/pi/products_id/14792"/>
    <hyperlink ref="M19" r:id="rId126" display="http://maxmebel.com.ua/pi/products_id/509"/>
    <hyperlink ref="O19" r:id="rId127" display="http://maxmebel.com.ua/pi/products_id/6732"/>
    <hyperlink ref="Q19" r:id="rId128" display="http://maxmebel.com.ua/pi/products_id/19831"/>
    <hyperlink ref="A20" r:id="rId129" display="https://promebli.ua/"/>
    <hyperlink ref="C20" r:id="rId130" display="https://promebli.ua/tv-tumba-rtv2d2s-4-15-azteca-brw-belaja.html"/>
    <hyperlink ref="E20" r:id="rId131" display="https://promebli.ua/jbiu2d2s.html"/>
    <hyperlink ref="G20" r:id="rId132" display="https://promebli.ua/shkaf-szf2d2s-koen-mdf-gerbor.html"/>
    <hyperlink ref="I20" r:id="rId133" display="https://promebli.ua/komod-4s-90-vait-gerbor.html"/>
    <hyperlink ref="K20" r:id="rId134" display="https://promebli.ua/prihozhaja-ppk-nepo-gerbor.html"/>
    <hyperlink ref="M20" r:id="rId135" display="https://promebli.ua/stenka-aljaska-brw.html"/>
    <hyperlink ref="O20" r:id="rId136" display="https://promebli.ua/stenka-quatro--kvatro--brw.html"/>
    <hyperlink ref="Q20" r:id="rId137" display="https://promebli.ua/shkaf-3d-liberty-brw.html"/>
    <hyperlink ref="A21" r:id="rId138" display="https://komod-bc.com.ua/"/>
    <hyperlink ref="C21" r:id="rId139" display="https://komod-bc.com.ua/products/tumba-s205-rtv2d2s415-atsteka-001"/>
    <hyperlink ref="E21" r:id="rId140" display="https://komod-bc.com.ua/products/stol-pismennyj-jbiu-2d2s-140-indiana-j-007"/>
    <hyperlink ref="G21" r:id="rId141" display="https://komod-bc.com.ua/products/shkaf-szf-2d2s-koen-014"/>
    <hyperlink ref="I21" r:id="rId142" display="https://komod-bc.com.ua/products/komod-4s-90-vajt-008"/>
    <hyperlink ref="K21" r:id="rId143" display="https://komod-bc.com.ua/products/prihozhaya-rrk-nepo-019"/>
    <hyperlink ref="M21" r:id="rId144" display="https://komod-bc.com.ua/products/gostinaya-alyaska"/>
    <hyperlink ref="O21" r:id="rId145" display="https://komod-bc.com.ua/products/gostinaya-kvatro"/>
    <hyperlink ref="Q21" r:id="rId146" display="https://komod-bc.com.ua/products/shkaf-3d-liberti-005"/>
    <hyperlink ref="A22" r:id="rId147" display="https://www.mebelok.com/"/>
    <hyperlink ref="C22" r:id="rId148" display="https://www.mebelok.com/tymba-tv-rtv2d2s415-acteka/"/>
    <hyperlink ref="E22" r:id="rId149" location="option-74736-549003/" display="https://www.mebelok.com/stol-pismennyy-jbiu-2d2s-140/#option-74736-549003/"/>
    <hyperlink ref="G22" r:id="rId150" display="https://www.mebelok.com/koen-shkaf-szf2d2s-mdf/"/>
    <hyperlink ref="K22" r:id="rId151" display="https://www.mebelok.com/prihojaya-ppk-nepo/"/>
    <hyperlink ref="O22" r:id="rId152" display="https://www.mebelok.com/gostinaya-kvatro/"/>
    <hyperlink ref="Q22" r:id="rId153" display="https://www.mebelok.com/shkaf-3d-liberti/"/>
    <hyperlink ref="A23" r:id="rId154" display="http://redlight.com.ua/"/>
    <hyperlink ref="C23" r:id="rId155" display="http://redlight.com.ua/cat/mebel-dlja-gostinnoj/tv-stands/tumba-tv-rtv2d2s-4-15-atsteka.html"/>
    <hyperlink ref="E23" r:id="rId156" display="http://redlight.com.ua/cat/stoly/pisminnye/stol-pismenniy-jbiu-2d2s-indiana.html"/>
    <hyperlink ref="G23" r:id="rId157" display="http://redlight.com.ua/cat/modulnaya-mebel/shkaf/shkaf-szf2d2s-koen-(mdf).html"/>
    <hyperlink ref="I23" r:id="rId158" display="http://redlight.com.ua/cat/modulnaya-mebel/komod/vayt-komod-4s-90.html"/>
    <hyperlink ref="K23" r:id="rId159" display="http://redlight.com.ua/cat/prihozhie/sovremennye/nepo-prihozhaya-rrk-.html"/>
    <hyperlink ref="M23" r:id="rId160" display="http://redlight.com.ua/cat/mebel-dlja-gostinnoj/stenki/stenka-alyaska.html"/>
    <hyperlink ref="O23" r:id="rId161" display="http://redlight.com.ua/cat/mebel-dlja-gostinnoj/stenki/stenka-kvatro.html"/>
    <hyperlink ref="Q23" r:id="rId162" display="http://redlight.com.ua/cat/modulnaya-mebel/shkaf/liberti-shkaf-szf3d.html"/>
    <hyperlink ref="A24" r:id="rId163" display="https://zapadmebel.com.ua/"/>
    <hyperlink ref="C24" r:id="rId164" display="https://zapadmebel.com.ua/mebel-brw/tumba-s205-rtv2d2s-4-15-atsteka-001/"/>
    <hyperlink ref="E24" r:id="rId165" display="https://zapadmebel.com.ua/mebel-brw/indiana-stol-pismennyj-jbiu2d2s/"/>
    <hyperlink ref="G24" r:id="rId166" display="https://zapadmebel.com.ua/mebel-gerbor/shkaf-szf2d2s-koen-mdf-014/"/>
    <hyperlink ref="I24" r:id="rId167" display="https://zapadmebel.com.ua/mebel-gerbor/vajt-komod-4s-90/"/>
    <hyperlink ref="K24" r:id="rId168" display="https://zapadmebel.com.ua/mebel-gerbor/prihozhaya-ppk-nepo/"/>
    <hyperlink ref="M24" r:id="rId169" display="https://zapadmebel.com.ua/mebel-brw/gostinaya-alyaska/"/>
    <hyperlink ref="O24" r:id="rId170" display="https://zapadmebel.com.ua/stenki-gostinye/stenka-kvatro/"/>
    <hyperlink ref="Q24" r:id="rId171" display="https://zapadmebel.com.ua/shkafy/liberti-shkaf-3d/"/>
    <hyperlink ref="A25" r:id="rId172" display="https://meblihit.com.ua/"/>
    <hyperlink ref="C25" r:id="rId173" display="https://meblihit.com.ua/catalog/tumby_dlya_tekhniki/tumba_rtv2d2s_4_15/"/>
    <hyperlink ref="E25" r:id="rId174" display="https://meblihit.com.ua/catalog/desks/modulna_sistema_nd_ana_st_l_pismoviy_jbiu_2s2d_140/"/>
    <hyperlink ref="G25" r:id="rId175" display="https://meblihit.com.ua/catalog/modular_system_of_absence_mdf/modular_system_of_absence_mdf_cupboard_hanging_wardrobe_szf_2d2s/"/>
    <hyperlink ref="I25" r:id="rId176" display="https://meblihit.com.ua/catalog/chests_of_drawers/modulnaya_systema_vayt_white_008_komod_4s_90/"/>
    <hyperlink ref="K25" r:id="rId177" display="https://meblihit.com.ua/catalog/priho_ii_suites/modular_system_nepo_nepo_hallway_ppk/"/>
    <hyperlink ref="M25" r:id="rId178" display="https://meblihit.com.ua/catalog/living_rooms/gostynaya_alyaska_alyaska/"/>
    <hyperlink ref="O25" r:id="rId179" display="https://meblihit.com.ua/catalog/living_rooms/quatro_room/"/>
    <hyperlink ref="Q25" r:id="rId180" display="https://meblihit.com.ua/catalog/cabinets_trekhdvernye/bedroom_liberty_liberty_wardrobe_3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44"/>
    <col collapsed="false" customWidth="true" hidden="false" outlineLevel="0" max="3" min="3" style="0" width="22.86"/>
  </cols>
  <sheetData>
    <row r="1" customFormat="false" ht="15.75" hidden="false" customHeight="true" outlineLevel="0" collapsed="false">
      <c r="A1" s="1" t="s">
        <v>0</v>
      </c>
      <c r="B1" s="1" t="s">
        <v>126</v>
      </c>
      <c r="C1" s="131" t="s">
        <v>1</v>
      </c>
      <c r="D1" s="131" t="s">
        <v>2</v>
      </c>
      <c r="E1" s="131" t="s">
        <v>3</v>
      </c>
      <c r="F1" s="131" t="s">
        <v>4</v>
      </c>
      <c r="G1" s="131" t="s">
        <v>513</v>
      </c>
      <c r="H1" s="131" t="s">
        <v>179</v>
      </c>
      <c r="I1" s="131" t="s">
        <v>180</v>
      </c>
      <c r="J1" s="131" t="s">
        <v>514</v>
      </c>
      <c r="K1" s="124" t="s">
        <v>9</v>
      </c>
      <c r="L1" s="124" t="s">
        <v>15</v>
      </c>
      <c r="M1" s="123" t="s">
        <v>10</v>
      </c>
      <c r="N1" s="124" t="s">
        <v>181</v>
      </c>
    </row>
    <row r="2" customFormat="false" ht="15.75" hidden="false" customHeight="true" outlineLevel="0" collapsed="false">
      <c r="A2" s="196" t="s">
        <v>515</v>
      </c>
      <c r="B2" s="146"/>
      <c r="C2" s="172" t="n">
        <v>3294</v>
      </c>
      <c r="D2" s="172" t="n">
        <v>3735</v>
      </c>
      <c r="E2" s="172" t="n">
        <v>3442</v>
      </c>
      <c r="F2" s="172" t="n">
        <v>4979</v>
      </c>
      <c r="G2" s="172" t="n">
        <v>3222</v>
      </c>
      <c r="H2" s="172" t="n">
        <v>5053</v>
      </c>
      <c r="I2" s="172" t="n">
        <v>4906</v>
      </c>
      <c r="J2" s="172" t="n">
        <v>6808</v>
      </c>
      <c r="K2" s="173" t="n">
        <v>1808</v>
      </c>
      <c r="L2" s="173" t="n">
        <v>7225</v>
      </c>
      <c r="M2" s="173" t="n">
        <v>2840</v>
      </c>
      <c r="N2" s="173" t="n">
        <v>8638</v>
      </c>
    </row>
    <row r="3" customFormat="false" ht="15.75" hidden="false" customHeight="true" outlineLevel="0" collapsed="false">
      <c r="A3" s="78" t="s">
        <v>28</v>
      </c>
      <c r="B3" s="147" t="s">
        <v>128</v>
      </c>
      <c r="C3" s="229" t="n">
        <v>3294</v>
      </c>
      <c r="D3" s="229" t="n">
        <v>3735</v>
      </c>
      <c r="E3" s="229" t="n">
        <v>3442</v>
      </c>
      <c r="F3" s="229" t="n">
        <v>4979</v>
      </c>
      <c r="G3" s="229" t="n">
        <v>3222</v>
      </c>
      <c r="H3" s="229" t="n">
        <v>5053</v>
      </c>
      <c r="I3" s="229" t="n">
        <v>4906</v>
      </c>
      <c r="J3" s="229" t="n">
        <v>6808</v>
      </c>
      <c r="K3" s="229" t="n">
        <v>1808</v>
      </c>
      <c r="L3" s="229" t="n">
        <v>7225</v>
      </c>
      <c r="M3" s="229" t="n">
        <v>2840</v>
      </c>
      <c r="N3" s="229" t="n">
        <v>8638</v>
      </c>
    </row>
    <row r="4" customFormat="false" ht="15.75" hidden="false" customHeight="true" outlineLevel="0" collapsed="false">
      <c r="A4" s="78" t="s">
        <v>29</v>
      </c>
      <c r="B4" s="160" t="s">
        <v>516</v>
      </c>
      <c r="C4" s="283" t="s">
        <v>517</v>
      </c>
      <c r="D4" s="281" t="s">
        <v>518</v>
      </c>
      <c r="E4" s="281" t="s">
        <v>519</v>
      </c>
      <c r="F4" s="281" t="s">
        <v>520</v>
      </c>
      <c r="G4" s="281" t="s">
        <v>517</v>
      </c>
      <c r="H4" s="281" t="s">
        <v>521</v>
      </c>
      <c r="I4" s="281" t="s">
        <v>522</v>
      </c>
      <c r="J4" s="281" t="s">
        <v>523</v>
      </c>
      <c r="K4" s="281" t="s">
        <v>524</v>
      </c>
      <c r="L4" s="281" t="s">
        <v>525</v>
      </c>
      <c r="M4" s="281" t="s">
        <v>526</v>
      </c>
      <c r="N4" s="281" t="s">
        <v>527</v>
      </c>
    </row>
    <row r="5" customFormat="false" ht="15.75" hidden="false" customHeight="true" outlineLevel="0" collapsed="false">
      <c r="A5" s="78" t="s">
        <v>30</v>
      </c>
      <c r="B5" s="160" t="s">
        <v>397</v>
      </c>
      <c r="C5" s="281" t="s">
        <v>517</v>
      </c>
      <c r="D5" s="281" t="s">
        <v>518</v>
      </c>
      <c r="E5" s="281" t="s">
        <v>528</v>
      </c>
      <c r="F5" s="281" t="s">
        <v>520</v>
      </c>
      <c r="G5" s="281" t="s">
        <v>517</v>
      </c>
      <c r="H5" s="281" t="s">
        <v>521</v>
      </c>
      <c r="I5" s="281" t="s">
        <v>529</v>
      </c>
      <c r="J5" s="281" t="s">
        <v>523</v>
      </c>
      <c r="K5" s="281" t="s">
        <v>524</v>
      </c>
      <c r="L5" s="281"/>
      <c r="M5" s="281" t="s">
        <v>526</v>
      </c>
      <c r="N5" s="281" t="s">
        <v>527</v>
      </c>
    </row>
    <row r="6" customFormat="false" ht="102" hidden="false" customHeight="true" outlineLevel="0" collapsed="false">
      <c r="A6" s="78" t="s">
        <v>17</v>
      </c>
      <c r="B6" s="160" t="s">
        <v>530</v>
      </c>
      <c r="C6" s="187" t="s">
        <v>531</v>
      </c>
      <c r="D6" s="187" t="s">
        <v>532</v>
      </c>
      <c r="E6" s="187" t="s">
        <v>533</v>
      </c>
      <c r="F6" s="187" t="s">
        <v>534</v>
      </c>
      <c r="G6" s="187" t="s">
        <v>535</v>
      </c>
      <c r="H6" s="187" t="s">
        <v>536</v>
      </c>
      <c r="I6" s="187" t="s">
        <v>537</v>
      </c>
      <c r="J6" s="187" t="s">
        <v>538</v>
      </c>
      <c r="K6" s="281" t="s">
        <v>539</v>
      </c>
      <c r="L6" s="187" t="s">
        <v>540</v>
      </c>
      <c r="M6" s="187"/>
      <c r="N6" s="187" t="s">
        <v>541</v>
      </c>
    </row>
    <row r="7" customFormat="false" ht="15.75" hidden="false" customHeight="true" outlineLevel="0" collapsed="false">
      <c r="A7" s="78" t="s">
        <v>18</v>
      </c>
      <c r="B7" s="160" t="s">
        <v>403</v>
      </c>
      <c r="C7" s="187" t="n">
        <v>3294</v>
      </c>
      <c r="D7" s="187" t="n">
        <v>3735</v>
      </c>
      <c r="E7" s="187" t="n">
        <v>3420</v>
      </c>
      <c r="F7" s="187" t="n">
        <v>4785</v>
      </c>
      <c r="G7" s="187" t="n">
        <v>3269</v>
      </c>
      <c r="H7" s="187" t="n">
        <v>5166</v>
      </c>
      <c r="I7" s="187" t="n">
        <v>5013</v>
      </c>
      <c r="J7" s="187" t="n">
        <v>6910</v>
      </c>
      <c r="K7" s="281" t="n">
        <v>1769</v>
      </c>
      <c r="L7" s="187" t="n">
        <v>7225</v>
      </c>
      <c r="M7" s="187"/>
      <c r="N7" s="187" t="n">
        <v>8638</v>
      </c>
    </row>
    <row r="8" customFormat="false" ht="15.75" hidden="false" customHeight="true" outlineLevel="0" collapsed="false">
      <c r="A8" s="78" t="s">
        <v>31</v>
      </c>
      <c r="B8" s="160" t="s">
        <v>406</v>
      </c>
      <c r="C8" s="281" t="n">
        <v>2971</v>
      </c>
      <c r="D8" s="281" t="n">
        <v>3452</v>
      </c>
      <c r="E8" s="281" t="n">
        <v>3109</v>
      </c>
      <c r="F8" s="281" t="n">
        <v>4350</v>
      </c>
      <c r="G8" s="281" t="n">
        <v>2971</v>
      </c>
      <c r="H8" s="281" t="n">
        <v>4695</v>
      </c>
      <c r="I8" s="281" t="n">
        <v>4557</v>
      </c>
      <c r="J8" s="281" t="n">
        <v>6281</v>
      </c>
      <c r="K8" s="281"/>
      <c r="L8" s="281" t="n">
        <v>6426</v>
      </c>
      <c r="M8" s="281" t="n">
        <v>2483</v>
      </c>
      <c r="N8" s="187"/>
    </row>
    <row r="9" customFormat="false" ht="15.75" hidden="false" customHeight="true" outlineLevel="0" collapsed="false">
      <c r="A9" s="78" t="s">
        <v>19</v>
      </c>
      <c r="B9" s="160" t="s">
        <v>415</v>
      </c>
      <c r="C9" s="281" t="s">
        <v>542</v>
      </c>
      <c r="D9" s="281" t="s">
        <v>543</v>
      </c>
      <c r="E9" s="281" t="s">
        <v>544</v>
      </c>
      <c r="F9" s="281" t="n">
        <v>4578</v>
      </c>
      <c r="G9" s="281" t="n">
        <v>3127</v>
      </c>
      <c r="H9" s="281" t="n">
        <v>4942</v>
      </c>
      <c r="I9" s="281" t="s">
        <v>545</v>
      </c>
      <c r="J9" s="281" t="s">
        <v>546</v>
      </c>
      <c r="K9" s="281" t="s">
        <v>547</v>
      </c>
      <c r="L9" s="281" t="s">
        <v>548</v>
      </c>
      <c r="M9" s="281" t="s">
        <v>549</v>
      </c>
      <c r="N9" s="187"/>
    </row>
    <row r="10" customFormat="false" ht="193.5" hidden="false" customHeight="true" outlineLevel="0" collapsed="false">
      <c r="A10" s="78" t="s">
        <v>20</v>
      </c>
      <c r="B10" s="160" t="s">
        <v>423</v>
      </c>
      <c r="C10" s="281" t="s">
        <v>517</v>
      </c>
      <c r="D10" s="281" t="s">
        <v>550</v>
      </c>
      <c r="E10" s="281" t="s">
        <v>528</v>
      </c>
      <c r="F10" s="281" t="s">
        <v>551</v>
      </c>
      <c r="G10" s="187" t="s">
        <v>552</v>
      </c>
      <c r="H10" s="187" t="s">
        <v>553</v>
      </c>
      <c r="I10" s="187" t="s">
        <v>554</v>
      </c>
      <c r="J10" s="187" t="s">
        <v>555</v>
      </c>
      <c r="K10" s="187" t="s">
        <v>556</v>
      </c>
      <c r="L10" s="281" t="s">
        <v>525</v>
      </c>
      <c r="M10" s="187" t="s">
        <v>557</v>
      </c>
      <c r="N10" s="187"/>
    </row>
    <row r="11" customFormat="false" ht="15.75" hidden="false" customHeight="true" outlineLevel="0" collapsed="false">
      <c r="A11" s="78" t="s">
        <v>21</v>
      </c>
      <c r="B11" s="160" t="s">
        <v>424</v>
      </c>
      <c r="C11" s="281" t="s">
        <v>535</v>
      </c>
      <c r="D11" s="187" t="s">
        <v>558</v>
      </c>
      <c r="E11" s="187"/>
      <c r="F11" s="187"/>
      <c r="G11" s="281" t="s">
        <v>559</v>
      </c>
      <c r="H11" s="281" t="s">
        <v>560</v>
      </c>
      <c r="I11" s="281" t="s">
        <v>561</v>
      </c>
      <c r="J11" s="281" t="s">
        <v>562</v>
      </c>
      <c r="K11" s="281" t="s">
        <v>563</v>
      </c>
      <c r="L11" s="281" t="s">
        <v>564</v>
      </c>
      <c r="M11" s="281" t="s">
        <v>565</v>
      </c>
      <c r="N11" s="281" t="s">
        <v>566</v>
      </c>
    </row>
    <row r="12" customFormat="false" ht="15.75" hidden="false" customHeight="true" outlineLevel="0" collapsed="false">
      <c r="A12" s="78" t="s">
        <v>22</v>
      </c>
      <c r="B12" s="160" t="s">
        <v>567</v>
      </c>
      <c r="C12" s="187"/>
      <c r="D12" s="187"/>
      <c r="E12" s="187" t="n">
        <v>3635</v>
      </c>
      <c r="F12" s="187" t="n">
        <v>5255</v>
      </c>
      <c r="G12" s="187" t="n">
        <v>3405</v>
      </c>
      <c r="H12" s="187" t="n">
        <v>5325</v>
      </c>
      <c r="I12" s="187"/>
      <c r="J12" s="187"/>
      <c r="K12" s="187"/>
      <c r="L12" s="187"/>
      <c r="M12" s="187" t="n">
        <v>2995</v>
      </c>
      <c r="N12" s="281" t="n">
        <v>8145</v>
      </c>
    </row>
    <row r="13" customFormat="false" ht="15.75" hidden="false" customHeight="true" outlineLevel="0" collapsed="false">
      <c r="A13" s="78" t="s">
        <v>23</v>
      </c>
      <c r="B13" s="160" t="s">
        <v>568</v>
      </c>
      <c r="C13" s="187" t="s">
        <v>531</v>
      </c>
      <c r="D13" s="187" t="s">
        <v>532</v>
      </c>
      <c r="E13" s="187" t="s">
        <v>569</v>
      </c>
      <c r="F13" s="187" t="s">
        <v>570</v>
      </c>
      <c r="G13" s="187" t="s">
        <v>552</v>
      </c>
      <c r="H13" s="187" t="s">
        <v>571</v>
      </c>
      <c r="I13" s="187" t="s">
        <v>554</v>
      </c>
      <c r="J13" s="187" t="s">
        <v>555</v>
      </c>
      <c r="K13" s="187" t="s">
        <v>556</v>
      </c>
      <c r="L13" s="187" t="s">
        <v>540</v>
      </c>
      <c r="M13" s="281" t="s">
        <v>565</v>
      </c>
      <c r="N13" s="187"/>
    </row>
    <row r="14" customFormat="false" ht="15.75" hidden="false" customHeight="true" outlineLevel="0" collapsed="false">
      <c r="A14" s="78" t="s">
        <v>24</v>
      </c>
      <c r="B14" s="160" t="s">
        <v>429</v>
      </c>
      <c r="C14" s="187"/>
      <c r="D14" s="187"/>
      <c r="E14" s="187"/>
      <c r="F14" s="187"/>
      <c r="G14" s="187"/>
      <c r="H14" s="187"/>
      <c r="I14" s="187"/>
      <c r="J14" s="187"/>
      <c r="K14" s="281" t="s">
        <v>572</v>
      </c>
      <c r="L14" s="281"/>
      <c r="M14" s="281" t="s">
        <v>573</v>
      </c>
      <c r="N14" s="187"/>
    </row>
    <row r="15" customFormat="false" ht="15.75" hidden="false" customHeight="true" outlineLevel="0" collapsed="false">
      <c r="A15" s="78" t="s">
        <v>35</v>
      </c>
      <c r="B15" s="147" t="s">
        <v>432</v>
      </c>
      <c r="C15" s="281" t="n">
        <v>2971</v>
      </c>
      <c r="D15" s="281" t="n">
        <v>3452</v>
      </c>
      <c r="E15" s="281" t="n">
        <v>3109</v>
      </c>
      <c r="F15" s="281" t="n">
        <v>4350</v>
      </c>
      <c r="G15" s="281" t="n">
        <v>2971</v>
      </c>
      <c r="H15" s="281" t="n">
        <v>4695</v>
      </c>
      <c r="I15" s="281" t="n">
        <v>4557</v>
      </c>
      <c r="J15" s="281" t="n">
        <v>6281</v>
      </c>
      <c r="K15" s="281" t="n">
        <v>1608</v>
      </c>
      <c r="L15" s="281" t="n">
        <v>6426</v>
      </c>
      <c r="M15" s="281" t="n">
        <v>2620</v>
      </c>
      <c r="N15" s="281" t="n">
        <v>7730</v>
      </c>
    </row>
    <row r="16" customFormat="false" ht="15.75" hidden="false" customHeight="true" outlineLevel="0" collapsed="false">
      <c r="A16" s="78" t="s">
        <v>36</v>
      </c>
      <c r="B16" s="160" t="s">
        <v>434</v>
      </c>
      <c r="C16" s="187" t="s">
        <v>574</v>
      </c>
      <c r="D16" s="187" t="s">
        <v>575</v>
      </c>
      <c r="E16" s="187" t="s">
        <v>576</v>
      </c>
      <c r="F16" s="187" t="s">
        <v>394</v>
      </c>
      <c r="G16" s="187" t="s">
        <v>577</v>
      </c>
      <c r="H16" s="187" t="s">
        <v>578</v>
      </c>
      <c r="I16" s="187" t="s">
        <v>579</v>
      </c>
      <c r="J16" s="187" t="s">
        <v>580</v>
      </c>
      <c r="K16" s="187" t="s">
        <v>581</v>
      </c>
      <c r="L16" s="187"/>
      <c r="M16" s="187" t="s">
        <v>582</v>
      </c>
      <c r="N16" s="187" t="s">
        <v>583</v>
      </c>
    </row>
    <row r="17" customFormat="false" ht="15.75" hidden="false" customHeight="true" outlineLevel="0" collapsed="false">
      <c r="A17" s="78" t="s">
        <v>442</v>
      </c>
      <c r="B17" s="160" t="s">
        <v>443</v>
      </c>
      <c r="C17" s="187" t="n">
        <v>3294</v>
      </c>
      <c r="D17" s="187" t="n">
        <v>3735</v>
      </c>
      <c r="E17" s="187" t="n">
        <v>3442</v>
      </c>
      <c r="F17" s="284" t="n">
        <v>4979</v>
      </c>
      <c r="G17" s="187"/>
      <c r="H17" s="281" t="n">
        <v>4695</v>
      </c>
      <c r="I17" s="187" t="n">
        <v>4.906</v>
      </c>
      <c r="J17" s="187"/>
      <c r="K17" s="187" t="n">
        <v>1808</v>
      </c>
      <c r="L17" s="187"/>
      <c r="M17" s="187" t="n">
        <v>2840</v>
      </c>
      <c r="N17" s="187" t="n">
        <v>8638</v>
      </c>
    </row>
    <row r="18" customFormat="false" ht="15.75" hidden="false" customHeight="true" outlineLevel="0" collapsed="false">
      <c r="A18" s="78" t="s">
        <v>176</v>
      </c>
      <c r="B18" s="160" t="s">
        <v>450</v>
      </c>
      <c r="C18" s="187"/>
      <c r="D18" s="187"/>
      <c r="E18" s="187"/>
      <c r="F18" s="187"/>
      <c r="G18" s="187"/>
      <c r="H18" s="187"/>
      <c r="I18" s="187"/>
      <c r="J18" s="187"/>
      <c r="K18" s="187"/>
      <c r="L18" s="187"/>
      <c r="M18" s="187" t="n">
        <v>2750</v>
      </c>
      <c r="N18" s="187"/>
    </row>
    <row r="19" customFormat="false" ht="15.75" hidden="false" customHeight="true" outlineLevel="0" collapsed="false">
      <c r="A19" s="78" t="s">
        <v>451</v>
      </c>
      <c r="B19" s="160" t="s">
        <v>452</v>
      </c>
      <c r="C19" s="281" t="n">
        <v>2970</v>
      </c>
      <c r="D19" s="281" t="n">
        <v>3450</v>
      </c>
      <c r="E19" s="281" t="s">
        <v>584</v>
      </c>
      <c r="F19" s="281" t="s">
        <v>520</v>
      </c>
      <c r="G19" s="281" t="s">
        <v>517</v>
      </c>
      <c r="H19" s="281" t="s">
        <v>521</v>
      </c>
      <c r="I19" s="281"/>
      <c r="J19" s="281"/>
      <c r="K19" s="281" t="s">
        <v>524</v>
      </c>
      <c r="L19" s="281" t="s">
        <v>585</v>
      </c>
      <c r="M19" s="281" t="s">
        <v>526</v>
      </c>
      <c r="N19" s="281" t="n">
        <v>7730</v>
      </c>
    </row>
    <row r="20" customFormat="false" ht="15.75" hidden="false" customHeight="true" outlineLevel="0" collapsed="false">
      <c r="A20" s="280"/>
      <c r="B20" s="147"/>
      <c r="C20" s="187"/>
      <c r="D20" s="187"/>
      <c r="E20" s="187"/>
      <c r="F20" s="187"/>
      <c r="G20" s="187"/>
      <c r="H20" s="187"/>
      <c r="I20" s="187"/>
      <c r="J20" s="187"/>
      <c r="K20" s="187"/>
      <c r="L20" s="187"/>
      <c r="M20" s="187"/>
      <c r="N20" s="187"/>
    </row>
    <row r="21" customFormat="false" ht="15.75" hidden="false" customHeight="true" outlineLevel="0" collapsed="false">
      <c r="A21" s="78" t="s">
        <v>37</v>
      </c>
      <c r="B21" s="160" t="s">
        <v>586</v>
      </c>
      <c r="C21" s="187" t="s">
        <v>587</v>
      </c>
      <c r="D21" s="187" t="s">
        <v>588</v>
      </c>
      <c r="E21" s="187"/>
      <c r="F21" s="187"/>
      <c r="G21" s="187"/>
      <c r="H21" s="187"/>
      <c r="I21" s="187"/>
      <c r="J21" s="187"/>
      <c r="K21" s="187" t="s">
        <v>589</v>
      </c>
      <c r="L21" s="187"/>
      <c r="M21" s="187"/>
      <c r="N21" s="187" t="s">
        <v>590</v>
      </c>
    </row>
    <row r="22" customFormat="false" ht="15.75" hidden="false" customHeight="true" outlineLevel="0" collapsed="false">
      <c r="A22" s="78" t="s">
        <v>464</v>
      </c>
      <c r="B22" s="160" t="s">
        <v>465</v>
      </c>
      <c r="C22" s="281" t="n">
        <v>2971</v>
      </c>
      <c r="D22" s="281" t="n">
        <v>3452</v>
      </c>
      <c r="E22" s="187"/>
      <c r="F22" s="187"/>
      <c r="G22" s="187"/>
      <c r="H22" s="187"/>
      <c r="I22" s="281" t="n">
        <v>4557</v>
      </c>
      <c r="J22" s="281" t="n">
        <v>6281</v>
      </c>
      <c r="K22" s="281" t="n">
        <v>1.608</v>
      </c>
      <c r="L22" s="281" t="n">
        <v>6426</v>
      </c>
      <c r="M22" s="281" t="n">
        <v>2483</v>
      </c>
      <c r="N22" s="281" t="n">
        <v>7730</v>
      </c>
    </row>
    <row r="23" customFormat="false" ht="15.75" hidden="false" customHeight="true" outlineLevel="0" collapsed="false">
      <c r="A23" s="78" t="s">
        <v>474</v>
      </c>
      <c r="B23" s="160" t="s">
        <v>475</v>
      </c>
      <c r="C23" s="187"/>
      <c r="D23" s="187"/>
      <c r="E23" s="281" t="s">
        <v>591</v>
      </c>
      <c r="F23" s="281" t="s">
        <v>592</v>
      </c>
      <c r="G23" s="187"/>
      <c r="H23" s="187"/>
      <c r="I23" s="187"/>
      <c r="J23" s="187"/>
      <c r="K23" s="187"/>
      <c r="L23" s="187"/>
      <c r="M23" s="187"/>
      <c r="N23" s="187"/>
    </row>
    <row r="24" customFormat="false" ht="15.75" hidden="false" customHeight="true" outlineLevel="0" collapsed="false">
      <c r="A24" s="78" t="s">
        <v>25</v>
      </c>
      <c r="B24" s="160" t="s">
        <v>593</v>
      </c>
      <c r="C24" s="187" t="s">
        <v>594</v>
      </c>
      <c r="D24" s="187" t="s">
        <v>595</v>
      </c>
      <c r="E24" s="187" t="s">
        <v>596</v>
      </c>
      <c r="F24" s="187" t="s">
        <v>597</v>
      </c>
      <c r="G24" s="187"/>
      <c r="H24" s="187"/>
      <c r="I24" s="187"/>
      <c r="J24" s="187"/>
      <c r="K24" s="281" t="s">
        <v>598</v>
      </c>
      <c r="L24" s="187"/>
      <c r="M24" s="187"/>
      <c r="N24" s="187"/>
    </row>
    <row r="25" customFormat="false" ht="15.75" hidden="false" customHeight="true" outlineLevel="0" collapsed="false">
      <c r="A25" s="78" t="s">
        <v>123</v>
      </c>
      <c r="B25" s="160" t="s">
        <v>488</v>
      </c>
      <c r="C25" s="187"/>
      <c r="D25" s="187"/>
      <c r="E25" s="187" t="n">
        <v>1</v>
      </c>
      <c r="F25" s="187" t="n">
        <v>1</v>
      </c>
      <c r="G25" s="187"/>
      <c r="H25" s="187"/>
      <c r="I25" s="187"/>
      <c r="J25" s="187"/>
      <c r="K25" s="187"/>
      <c r="L25" s="187"/>
      <c r="M25" s="187"/>
      <c r="N25" s="187"/>
    </row>
    <row r="26" customFormat="false" ht="15.75" hidden="false" customHeight="true" outlineLevel="0" collapsed="false">
      <c r="A26" s="78" t="s">
        <v>124</v>
      </c>
      <c r="B26" s="160" t="s">
        <v>599</v>
      </c>
      <c r="C26" s="281" t="s">
        <v>517</v>
      </c>
      <c r="D26" s="281" t="s">
        <v>550</v>
      </c>
      <c r="E26" s="281" t="n">
        <v>3109</v>
      </c>
      <c r="F26" s="281" t="n">
        <v>4350</v>
      </c>
      <c r="G26" s="187"/>
      <c r="H26" s="187"/>
      <c r="I26" s="187"/>
      <c r="J26" s="187"/>
      <c r="K26" s="187"/>
      <c r="L26" s="187"/>
      <c r="M26" s="187"/>
      <c r="N26" s="187"/>
    </row>
    <row r="27" customFormat="false" ht="15.75" hidden="false" customHeight="true" outlineLevel="0" collapsed="false">
      <c r="A27" s="78" t="s">
        <v>38</v>
      </c>
      <c r="B27" s="147" t="s">
        <v>494</v>
      </c>
      <c r="C27" s="187"/>
      <c r="D27" s="187"/>
      <c r="E27" s="281" t="n">
        <v>2548</v>
      </c>
      <c r="F27" s="281" t="n">
        <v>4056</v>
      </c>
      <c r="G27" s="187"/>
      <c r="H27" s="187"/>
      <c r="I27" s="281" t="n">
        <v>4082</v>
      </c>
      <c r="J27" s="281" t="n">
        <v>5174</v>
      </c>
      <c r="K27" s="281" t="n">
        <v>1586</v>
      </c>
      <c r="L27" s="187"/>
      <c r="M27" s="281" t="n">
        <v>2496</v>
      </c>
      <c r="N27" s="281" t="n">
        <v>6448</v>
      </c>
    </row>
    <row r="28" customFormat="false" ht="15.75" hidden="false" customHeight="true" outlineLevel="0" collapsed="false">
      <c r="A28" s="78" t="s">
        <v>39</v>
      </c>
      <c r="B28" s="147" t="s">
        <v>173</v>
      </c>
      <c r="C28" s="187" t="n">
        <v>3294</v>
      </c>
      <c r="D28" s="187" t="n">
        <v>3735</v>
      </c>
      <c r="E28" s="187" t="n">
        <v>3442</v>
      </c>
      <c r="F28" s="187" t="n">
        <v>4979</v>
      </c>
      <c r="G28" s="187" t="n">
        <v>3222</v>
      </c>
      <c r="H28" s="187" t="n">
        <v>5053</v>
      </c>
      <c r="I28" s="187" t="n">
        <v>4906</v>
      </c>
      <c r="J28" s="187" t="n">
        <v>6808</v>
      </c>
      <c r="K28" s="187" t="n">
        <v>1808</v>
      </c>
      <c r="L28" s="187"/>
      <c r="M28" s="187" t="n">
        <v>2840</v>
      </c>
      <c r="N28" s="187"/>
    </row>
    <row r="29" customFormat="false" ht="15.75" hidden="false" customHeight="true" outlineLevel="0" collapsed="false">
      <c r="A29" s="78" t="s">
        <v>40</v>
      </c>
      <c r="B29" s="147" t="s">
        <v>506</v>
      </c>
      <c r="C29" s="187" t="s">
        <v>600</v>
      </c>
      <c r="D29" s="187" t="s">
        <v>601</v>
      </c>
      <c r="E29" s="281" t="s">
        <v>544</v>
      </c>
      <c r="F29" s="281" t="s">
        <v>602</v>
      </c>
      <c r="G29" s="187"/>
      <c r="H29" s="187"/>
      <c r="I29" s="187" t="s">
        <v>603</v>
      </c>
      <c r="J29" s="187" t="s">
        <v>604</v>
      </c>
      <c r="K29" s="187" t="s">
        <v>581</v>
      </c>
      <c r="L29" s="187"/>
      <c r="M29" s="187" t="s">
        <v>582</v>
      </c>
      <c r="N29" s="281" t="s">
        <v>605</v>
      </c>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G1" r:id="rId5" display="Комод Коэн Коен МДФ KOM4S"/>
    <hyperlink ref="H1" r:id="rId6" display="Шкаф Коэн Коен МДФ SZF2D2S"/>
    <hyperlink ref="I1" r:id="rId7" display="Комод Вайт White 4S _90"/>
    <hyperlink ref="J1" r:id="rId8" display="Шкаф Вайт White 2D"/>
    <hyperlink ref="L1" r:id="rId9" display="Аляска Alaska гостиная"/>
    <hyperlink ref="N1" r:id="rId10" display="Шкаф Либерти Liberti 3D"/>
    <hyperlink ref="A3" r:id="rId11" display="BRWmania.com.ua "/>
    <hyperlink ref="A4" r:id="rId12" display="http://redlight.com.ua/"/>
    <hyperlink ref="A5" r:id="rId13" display="https://mebli-bristol.com.ua/"/>
    <hyperlink ref="A6" r:id="rId14" display="http://gerbor.kiev.ua/"/>
    <hyperlink ref="A7" r:id="rId15" display="http://www.brwland.com.ua/"/>
    <hyperlink ref="A8" r:id="rId16" display="http://gerbor.dp.ua/"/>
    <hyperlink ref="A9" r:id="rId17" display="https://vashamebel.in.ua/"/>
    <hyperlink ref="A10" r:id="rId18" display="http://mebel-mebel.com.ua/"/>
    <hyperlink ref="A11" r:id="rId19" display="http://abcmebli.com.ua"/>
    <hyperlink ref="A12" r:id="rId20" display="https://gerbor.mebelok.com/"/>
    <hyperlink ref="A13" r:id="rId21" display="http://maxmebel.com.ua/"/>
    <hyperlink ref="A14" r:id="rId22" display="https://moyamebel.com.ua/ua"/>
    <hyperlink ref="A15" r:id="rId23" display="https://mebel-soyuz.com.ua/"/>
    <hyperlink ref="A16" r:id="rId24" display="https://sofino.ua/"/>
    <hyperlink ref="A17" r:id="rId25" display="http://www.brw-gerbor.od.ua/"/>
    <hyperlink ref="A18" r:id="rId26" display="http://gerbor.mebli-smerichka.com.ua/"/>
    <hyperlink ref="A19" r:id="rId27" display="http://furniture.zp.ua/"/>
    <hyperlink ref="A21" r:id="rId28" display="https://www.brw-kiev.com.ua/"/>
    <hyperlink ref="A22" r:id="rId29" display="https://brw-lviv.com.ua/"/>
    <hyperlink ref="A23" r:id="rId30" display="http://beruvse.com/"/>
    <hyperlink ref="A24" r:id="rId31" display="https://brw.kiev.ua/"/>
    <hyperlink ref="A25" r:id="rId32" display="http://brw.com.ua/"/>
    <hyperlink ref="A26" r:id="rId33" display="https://mebelstyle.net/"/>
    <hyperlink ref="A27" r:id="rId34" display="https://lvivmebli.com/"/>
    <hyperlink ref="A28" r:id="rId35" display="http://centrmebliv.com.ua/"/>
    <hyperlink ref="A29" r:id="rId36" display="https://letro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99.87"/>
    <col collapsed="false" customWidth="true" hidden="false" outlineLevel="0" max="4" min="3" style="0" width="22.86"/>
    <col collapsed="false" customWidth="true" hidden="false" outlineLevel="0" max="5" min="5" style="0" width="23.71"/>
  </cols>
  <sheetData>
    <row r="1" customFormat="false" ht="108" hidden="false" customHeight="true" outlineLevel="0" collapsed="false">
      <c r="A1" s="269" t="s">
        <v>0</v>
      </c>
      <c r="B1" s="1" t="s">
        <v>126</v>
      </c>
      <c r="C1" s="131" t="s">
        <v>395</v>
      </c>
      <c r="D1" s="131" t="s">
        <v>1</v>
      </c>
      <c r="E1" s="130" t="s">
        <v>395</v>
      </c>
      <c r="F1" s="130" t="s">
        <v>4</v>
      </c>
      <c r="G1" s="131" t="s">
        <v>395</v>
      </c>
      <c r="H1" s="131" t="s">
        <v>179</v>
      </c>
      <c r="I1" s="130" t="s">
        <v>395</v>
      </c>
      <c r="J1" s="130" t="s">
        <v>180</v>
      </c>
      <c r="K1" s="124" t="s">
        <v>395</v>
      </c>
      <c r="L1" s="124" t="s">
        <v>9</v>
      </c>
      <c r="M1" s="217" t="s">
        <v>395</v>
      </c>
      <c r="N1" s="217" t="s">
        <v>15</v>
      </c>
      <c r="O1" s="123" t="s">
        <v>395</v>
      </c>
      <c r="P1" s="123" t="s">
        <v>10</v>
      </c>
      <c r="Q1" s="217" t="s">
        <v>395</v>
      </c>
      <c r="R1" s="217" t="s">
        <v>181</v>
      </c>
    </row>
    <row r="2" customFormat="false" ht="15.75" hidden="false" customHeight="true" outlineLevel="0" collapsed="false">
      <c r="A2" s="196" t="s">
        <v>182</v>
      </c>
      <c r="B2" s="146"/>
      <c r="C2" s="270"/>
      <c r="D2" s="270" t="n">
        <v>3176</v>
      </c>
      <c r="E2" s="222"/>
      <c r="F2" s="222" t="n">
        <v>4901</v>
      </c>
      <c r="G2" s="270"/>
      <c r="H2" s="270" t="n">
        <v>4971</v>
      </c>
      <c r="I2" s="222"/>
      <c r="J2" s="222" t="n">
        <v>4901</v>
      </c>
      <c r="K2" s="271"/>
      <c r="L2" s="271" t="n">
        <v>1834</v>
      </c>
      <c r="M2" s="224"/>
      <c r="N2" s="224" t="n">
        <v>7262</v>
      </c>
      <c r="O2" s="271"/>
      <c r="P2" s="271" t="n">
        <v>2857</v>
      </c>
      <c r="Q2" s="224"/>
      <c r="R2" s="224" t="n">
        <v>8697</v>
      </c>
    </row>
    <row r="3" customFormat="false" ht="15.75" hidden="false" customHeight="true" outlineLevel="0" collapsed="false">
      <c r="A3" s="78" t="s">
        <v>28</v>
      </c>
      <c r="B3" s="147" t="s">
        <v>128</v>
      </c>
      <c r="C3" s="272"/>
      <c r="D3" s="272" t="n">
        <v>3176</v>
      </c>
      <c r="E3" s="229"/>
      <c r="F3" s="229" t="n">
        <v>4901</v>
      </c>
      <c r="G3" s="272"/>
      <c r="H3" s="272" t="n">
        <v>4971</v>
      </c>
      <c r="I3" s="229"/>
      <c r="J3" s="229" t="n">
        <v>4901</v>
      </c>
      <c r="K3" s="272"/>
      <c r="L3" s="272" t="n">
        <v>1834</v>
      </c>
      <c r="M3" s="229"/>
      <c r="N3" s="229" t="n">
        <v>7262</v>
      </c>
      <c r="O3" s="272"/>
      <c r="P3" s="272" t="n">
        <v>2857</v>
      </c>
      <c r="Q3" s="229"/>
      <c r="R3" s="229" t="n">
        <v>8697</v>
      </c>
    </row>
    <row r="4" customFormat="false" ht="15.75" hidden="false" customHeight="true" outlineLevel="0" collapsed="false">
      <c r="A4" s="78" t="s">
        <v>29</v>
      </c>
      <c r="B4" s="160" t="s">
        <v>516</v>
      </c>
      <c r="C4" s="273" t="s">
        <v>358</v>
      </c>
      <c r="D4" s="231" t="n">
        <v>3176</v>
      </c>
      <c r="E4" s="175" t="s">
        <v>359</v>
      </c>
      <c r="F4" s="232" t="n">
        <v>4901</v>
      </c>
      <c r="G4" s="274" t="s">
        <v>360</v>
      </c>
      <c r="H4" s="233" t="n">
        <v>4971</v>
      </c>
      <c r="I4" s="175" t="s">
        <v>361</v>
      </c>
      <c r="J4" s="232" t="n">
        <v>4901</v>
      </c>
      <c r="K4" s="274" t="s">
        <v>362</v>
      </c>
      <c r="L4" s="275" t="n">
        <v>1834</v>
      </c>
      <c r="M4" s="276" t="s">
        <v>363</v>
      </c>
      <c r="N4" s="232" t="n">
        <v>7262</v>
      </c>
      <c r="O4" s="274" t="s">
        <v>364</v>
      </c>
      <c r="P4" s="233" t="n">
        <v>2857</v>
      </c>
      <c r="Q4" s="175" t="s">
        <v>365</v>
      </c>
      <c r="R4" s="187" t="n">
        <v>8697</v>
      </c>
    </row>
    <row r="5" customFormat="false" ht="15.75" hidden="false" customHeight="true" outlineLevel="0" collapsed="false">
      <c r="A5" s="78" t="s">
        <v>30</v>
      </c>
      <c r="B5" s="160" t="s">
        <v>397</v>
      </c>
      <c r="C5" s="274" t="s">
        <v>211</v>
      </c>
      <c r="D5" s="233" t="n">
        <v>3176</v>
      </c>
      <c r="E5" s="175" t="s">
        <v>212</v>
      </c>
      <c r="F5" s="232" t="n">
        <v>4901</v>
      </c>
      <c r="G5" s="274" t="s">
        <v>213</v>
      </c>
      <c r="H5" s="233" t="n">
        <v>4971</v>
      </c>
      <c r="I5" s="175" t="s">
        <v>214</v>
      </c>
      <c r="J5" s="232" t="n">
        <v>4901</v>
      </c>
      <c r="K5" s="274" t="s">
        <v>398</v>
      </c>
      <c r="L5" s="275" t="n">
        <v>1834</v>
      </c>
      <c r="M5" s="276" t="s">
        <v>216</v>
      </c>
      <c r="N5" s="232" t="n">
        <v>7262</v>
      </c>
      <c r="O5" s="274" t="s">
        <v>217</v>
      </c>
      <c r="P5" s="233" t="n">
        <v>2857</v>
      </c>
      <c r="Q5" s="175" t="s">
        <v>218</v>
      </c>
      <c r="R5" s="187" t="n">
        <v>8697</v>
      </c>
    </row>
    <row r="6" customFormat="false" ht="102" hidden="false" customHeight="true" outlineLevel="0" collapsed="false">
      <c r="A6" s="78" t="s">
        <v>17</v>
      </c>
      <c r="B6" s="160" t="s">
        <v>530</v>
      </c>
      <c r="C6" s="274" t="s">
        <v>313</v>
      </c>
      <c r="D6" s="233" t="n">
        <v>3176</v>
      </c>
      <c r="E6" s="175" t="s">
        <v>400</v>
      </c>
      <c r="F6" s="232" t="n">
        <v>4901</v>
      </c>
      <c r="G6" s="274" t="s">
        <v>401</v>
      </c>
      <c r="H6" s="233" t="n">
        <v>4971</v>
      </c>
      <c r="I6" s="175" t="s">
        <v>316</v>
      </c>
      <c r="J6" s="232" t="n">
        <v>4901</v>
      </c>
      <c r="K6" s="274" t="s">
        <v>317</v>
      </c>
      <c r="L6" s="275" t="n">
        <v>1834</v>
      </c>
      <c r="M6" s="276" t="s">
        <v>318</v>
      </c>
      <c r="N6" s="232" t="n">
        <v>7262</v>
      </c>
      <c r="O6" s="274" t="s">
        <v>402</v>
      </c>
      <c r="P6" s="233" t="n">
        <v>2857</v>
      </c>
      <c r="Q6" s="175" t="s">
        <v>319</v>
      </c>
      <c r="R6" s="187" t="n">
        <v>8697</v>
      </c>
    </row>
    <row r="7" customFormat="false" ht="15.75" hidden="false" customHeight="true" outlineLevel="0" collapsed="false">
      <c r="A7" s="78" t="s">
        <v>18</v>
      </c>
      <c r="B7" s="160" t="s">
        <v>403</v>
      </c>
      <c r="C7" s="274" t="s">
        <v>305</v>
      </c>
      <c r="D7" s="275" t="n">
        <v>3176</v>
      </c>
      <c r="E7" s="175" t="s">
        <v>306</v>
      </c>
      <c r="F7" s="187" t="n">
        <v>4901</v>
      </c>
      <c r="G7" s="274" t="s">
        <v>307</v>
      </c>
      <c r="H7" s="233" t="n">
        <v>4971</v>
      </c>
      <c r="I7" s="175" t="s">
        <v>308</v>
      </c>
      <c r="J7" s="187" t="n">
        <v>4901</v>
      </c>
      <c r="K7" s="274" t="s">
        <v>309</v>
      </c>
      <c r="L7" s="275" t="n">
        <v>1834</v>
      </c>
      <c r="M7" s="175" t="s">
        <v>404</v>
      </c>
      <c r="N7" s="187" t="n">
        <v>7262</v>
      </c>
      <c r="O7" s="274" t="s">
        <v>405</v>
      </c>
      <c r="P7" s="275" t="n">
        <v>2857</v>
      </c>
      <c r="Q7" s="175" t="s">
        <v>311</v>
      </c>
      <c r="R7" s="187" t="n">
        <v>8697</v>
      </c>
    </row>
    <row r="8" customFormat="false" ht="15.75" hidden="false" customHeight="true" outlineLevel="0" collapsed="false">
      <c r="A8" s="78" t="s">
        <v>31</v>
      </c>
      <c r="B8" s="160" t="s">
        <v>406</v>
      </c>
      <c r="C8" s="274" t="s">
        <v>407</v>
      </c>
      <c r="D8" s="233" t="n">
        <v>3176</v>
      </c>
      <c r="E8" s="175" t="s">
        <v>408</v>
      </c>
      <c r="F8" s="277" t="n">
        <v>4901</v>
      </c>
      <c r="G8" s="274" t="s">
        <v>409</v>
      </c>
      <c r="H8" s="233" t="n">
        <v>4971</v>
      </c>
      <c r="I8" s="175" t="s">
        <v>410</v>
      </c>
      <c r="J8" s="232" t="n">
        <v>4901</v>
      </c>
      <c r="K8" s="274" t="s">
        <v>411</v>
      </c>
      <c r="L8" s="275" t="n">
        <v>1834</v>
      </c>
      <c r="M8" s="175" t="s">
        <v>412</v>
      </c>
      <c r="N8" s="232" t="n">
        <v>7262</v>
      </c>
      <c r="O8" s="274" t="s">
        <v>413</v>
      </c>
      <c r="P8" s="233" t="n">
        <v>2857</v>
      </c>
      <c r="Q8" s="175" t="s">
        <v>414</v>
      </c>
      <c r="R8" s="187" t="n">
        <v>8697</v>
      </c>
    </row>
    <row r="9" customFormat="false" ht="15.75" hidden="false" customHeight="true" outlineLevel="0" collapsed="false">
      <c r="A9" s="78" t="s">
        <v>19</v>
      </c>
      <c r="B9" s="160" t="s">
        <v>415</v>
      </c>
      <c r="C9" s="274" t="s">
        <v>416</v>
      </c>
      <c r="D9" s="275" t="n">
        <v>3343</v>
      </c>
      <c r="E9" s="175" t="s">
        <v>417</v>
      </c>
      <c r="F9" s="187" t="n">
        <v>5158</v>
      </c>
      <c r="G9" s="274" t="s">
        <v>418</v>
      </c>
      <c r="H9" s="275" t="n">
        <v>5232</v>
      </c>
      <c r="I9" s="175" t="s">
        <v>419</v>
      </c>
      <c r="J9" s="187" t="n">
        <v>5013</v>
      </c>
      <c r="K9" s="274" t="s">
        <v>420</v>
      </c>
      <c r="L9" s="275" t="n">
        <v>1930</v>
      </c>
      <c r="M9" s="175" t="s">
        <v>421</v>
      </c>
      <c r="N9" s="232" t="n">
        <v>7605</v>
      </c>
      <c r="O9" s="274" t="s">
        <v>422</v>
      </c>
      <c r="P9" s="275" t="n">
        <v>2945</v>
      </c>
      <c r="Q9" s="187" t="s">
        <v>34</v>
      </c>
      <c r="R9" s="187" t="s">
        <v>34</v>
      </c>
    </row>
    <row r="10" customFormat="false" ht="193.5" hidden="false" customHeight="true" outlineLevel="0" collapsed="false">
      <c r="A10" s="78" t="s">
        <v>20</v>
      </c>
      <c r="B10" s="160" t="s">
        <v>423</v>
      </c>
      <c r="C10" s="275"/>
      <c r="D10" s="275"/>
      <c r="E10" s="187"/>
      <c r="F10" s="187"/>
      <c r="G10" s="275"/>
      <c r="H10" s="275"/>
      <c r="I10" s="187"/>
      <c r="J10" s="187"/>
      <c r="K10" s="275"/>
      <c r="L10" s="275"/>
      <c r="M10" s="187"/>
      <c r="N10" s="187"/>
      <c r="O10" s="275"/>
      <c r="P10" s="275"/>
      <c r="Q10" s="187"/>
      <c r="R10" s="187"/>
    </row>
    <row r="11" customFormat="false" ht="15.75" hidden="false" customHeight="true" outlineLevel="0" collapsed="false">
      <c r="A11" s="78" t="s">
        <v>21</v>
      </c>
      <c r="B11" s="160" t="s">
        <v>424</v>
      </c>
      <c r="C11" s="274" t="s">
        <v>238</v>
      </c>
      <c r="D11" s="233" t="n">
        <v>3176</v>
      </c>
      <c r="E11" s="175" t="s">
        <v>239</v>
      </c>
      <c r="F11" s="232" t="n">
        <v>4901</v>
      </c>
      <c r="G11" s="274" t="s">
        <v>240</v>
      </c>
      <c r="H11" s="275" t="n">
        <v>4971</v>
      </c>
      <c r="I11" s="175" t="s">
        <v>241</v>
      </c>
      <c r="J11" s="232" t="n">
        <v>4901</v>
      </c>
      <c r="K11" s="274" t="s">
        <v>242</v>
      </c>
      <c r="L11" s="275" t="n">
        <v>1834</v>
      </c>
      <c r="M11" s="175" t="s">
        <v>243</v>
      </c>
      <c r="N11" s="232" t="n">
        <v>7262</v>
      </c>
      <c r="O11" s="274" t="s">
        <v>244</v>
      </c>
      <c r="P11" s="233" t="n">
        <v>2857</v>
      </c>
      <c r="Q11" s="175" t="s">
        <v>245</v>
      </c>
      <c r="R11" s="187" t="n">
        <v>8697</v>
      </c>
      <c r="S11" s="84" t="s">
        <v>425</v>
      </c>
    </row>
    <row r="12" customFormat="false" ht="15.75" hidden="false" customHeight="true" outlineLevel="0" collapsed="false">
      <c r="A12" s="78" t="s">
        <v>22</v>
      </c>
      <c r="B12" s="160" t="s">
        <v>567</v>
      </c>
      <c r="C12" s="274" t="s">
        <v>351</v>
      </c>
      <c r="D12" s="275" t="n">
        <v>3355</v>
      </c>
      <c r="E12" s="175" t="s">
        <v>427</v>
      </c>
      <c r="F12" s="187" t="n">
        <v>5165</v>
      </c>
      <c r="G12" s="274" t="s">
        <v>353</v>
      </c>
      <c r="H12" s="275" t="n">
        <v>5245</v>
      </c>
      <c r="I12" s="187" t="s">
        <v>34</v>
      </c>
      <c r="J12" s="187" t="s">
        <v>34</v>
      </c>
      <c r="K12" s="274" t="s">
        <v>354</v>
      </c>
      <c r="L12" s="275" t="n">
        <v>1905</v>
      </c>
      <c r="M12" s="187" t="s">
        <v>34</v>
      </c>
      <c r="N12" s="187" t="s">
        <v>34</v>
      </c>
      <c r="O12" s="274" t="s">
        <v>355</v>
      </c>
      <c r="P12" s="275" t="n">
        <v>2955</v>
      </c>
      <c r="Q12" s="175" t="s">
        <v>356</v>
      </c>
      <c r="R12" s="187" t="n">
        <v>9165</v>
      </c>
    </row>
    <row r="13" customFormat="false" ht="15.75" hidden="false" customHeight="true" outlineLevel="0" collapsed="false">
      <c r="A13" s="78" t="s">
        <v>23</v>
      </c>
      <c r="B13" s="160" t="s">
        <v>568</v>
      </c>
      <c r="C13" s="274" t="s">
        <v>321</v>
      </c>
      <c r="D13" s="275" t="n">
        <v>3176</v>
      </c>
      <c r="E13" s="175" t="s">
        <v>322</v>
      </c>
      <c r="F13" s="187" t="n">
        <v>4901</v>
      </c>
      <c r="G13" s="274" t="s">
        <v>323</v>
      </c>
      <c r="H13" s="275" t="n">
        <v>4971</v>
      </c>
      <c r="I13" s="175" t="s">
        <v>324</v>
      </c>
      <c r="J13" s="187" t="n">
        <v>4906</v>
      </c>
      <c r="K13" s="274" t="s">
        <v>325</v>
      </c>
      <c r="L13" s="275" t="n">
        <v>1834</v>
      </c>
      <c r="M13" s="175" t="s">
        <v>326</v>
      </c>
      <c r="N13" s="187" t="n">
        <v>7262</v>
      </c>
      <c r="O13" s="274" t="s">
        <v>327</v>
      </c>
      <c r="P13" s="233" t="n">
        <v>2857</v>
      </c>
      <c r="Q13" s="175" t="s">
        <v>328</v>
      </c>
      <c r="R13" s="187" t="n">
        <v>8697</v>
      </c>
    </row>
    <row r="14" customFormat="false" ht="15.75" hidden="false" customHeight="true" outlineLevel="0" collapsed="false">
      <c r="A14" s="78" t="s">
        <v>24</v>
      </c>
      <c r="B14" s="160" t="s">
        <v>429</v>
      </c>
      <c r="C14" s="275" t="s">
        <v>34</v>
      </c>
      <c r="D14" s="275" t="s">
        <v>34</v>
      </c>
      <c r="E14" s="187" t="s">
        <v>34</v>
      </c>
      <c r="F14" s="187" t="s">
        <v>34</v>
      </c>
      <c r="G14" s="275" t="s">
        <v>34</v>
      </c>
      <c r="H14" s="275" t="s">
        <v>34</v>
      </c>
      <c r="I14" s="187" t="s">
        <v>34</v>
      </c>
      <c r="J14" s="187" t="s">
        <v>34</v>
      </c>
      <c r="K14" s="274" t="s">
        <v>430</v>
      </c>
      <c r="L14" s="275" t="n">
        <v>1838</v>
      </c>
      <c r="M14" s="187" t="s">
        <v>34</v>
      </c>
      <c r="N14" s="187" t="s">
        <v>34</v>
      </c>
      <c r="O14" s="274" t="s">
        <v>431</v>
      </c>
      <c r="P14" s="275" t="n">
        <v>2849</v>
      </c>
      <c r="Q14" s="187" t="s">
        <v>34</v>
      </c>
      <c r="R14" s="187" t="s">
        <v>34</v>
      </c>
    </row>
    <row r="15" customFormat="false" ht="15.75" hidden="false" customHeight="true" outlineLevel="0" collapsed="false">
      <c r="A15" s="78" t="s">
        <v>35</v>
      </c>
      <c r="B15" s="147" t="s">
        <v>432</v>
      </c>
      <c r="C15" s="274" t="s">
        <v>606</v>
      </c>
      <c r="D15" s="275" t="n">
        <v>3176</v>
      </c>
      <c r="E15" s="175" t="s">
        <v>607</v>
      </c>
      <c r="F15" s="187" t="n">
        <v>4901</v>
      </c>
      <c r="G15" s="274" t="s">
        <v>608</v>
      </c>
      <c r="H15" s="275" t="n">
        <v>4971</v>
      </c>
      <c r="I15" s="175" t="s">
        <v>609</v>
      </c>
      <c r="J15" s="187" t="n">
        <v>4901</v>
      </c>
      <c r="K15" s="274" t="s">
        <v>610</v>
      </c>
      <c r="L15" s="275" t="n">
        <v>1834</v>
      </c>
      <c r="M15" s="175" t="s">
        <v>433</v>
      </c>
      <c r="N15" s="187" t="n">
        <v>7262</v>
      </c>
      <c r="O15" s="274" t="s">
        <v>611</v>
      </c>
      <c r="P15" s="275" t="n">
        <v>2857</v>
      </c>
      <c r="Q15" s="175" t="s">
        <v>612</v>
      </c>
      <c r="R15" s="187" t="n">
        <v>8697</v>
      </c>
    </row>
    <row r="16" customFormat="false" ht="15.75" hidden="false" customHeight="true" outlineLevel="0" collapsed="false">
      <c r="A16" s="78" t="s">
        <v>36</v>
      </c>
      <c r="B16" s="160" t="s">
        <v>434</v>
      </c>
      <c r="C16" s="275" t="s">
        <v>34</v>
      </c>
      <c r="D16" s="275" t="s">
        <v>34</v>
      </c>
      <c r="E16" s="175" t="s">
        <v>435</v>
      </c>
      <c r="F16" s="187" t="n">
        <v>4901</v>
      </c>
      <c r="G16" s="274" t="s">
        <v>436</v>
      </c>
      <c r="H16" s="275" t="n">
        <v>4971</v>
      </c>
      <c r="I16" s="175" t="s">
        <v>437</v>
      </c>
      <c r="J16" s="187" t="n">
        <v>4901</v>
      </c>
      <c r="K16" s="274" t="s">
        <v>438</v>
      </c>
      <c r="L16" s="233" t="n">
        <v>1895</v>
      </c>
      <c r="M16" s="175" t="s">
        <v>439</v>
      </c>
      <c r="N16" s="187" t="n">
        <v>7509</v>
      </c>
      <c r="O16" s="274" t="s">
        <v>440</v>
      </c>
      <c r="P16" s="275" t="n">
        <v>2945</v>
      </c>
      <c r="Q16" s="175" t="s">
        <v>441</v>
      </c>
      <c r="R16" s="187" t="n">
        <v>8697</v>
      </c>
    </row>
    <row r="17" customFormat="false" ht="15.75" hidden="false" customHeight="true" outlineLevel="0" collapsed="false">
      <c r="A17" s="78" t="s">
        <v>442</v>
      </c>
      <c r="B17" s="160" t="s">
        <v>443</v>
      </c>
      <c r="C17" s="275" t="s">
        <v>34</v>
      </c>
      <c r="D17" s="275" t="s">
        <v>34</v>
      </c>
      <c r="E17" s="278" t="s">
        <v>34</v>
      </c>
      <c r="F17" s="279" t="s">
        <v>444</v>
      </c>
      <c r="G17" s="275" t="s">
        <v>34</v>
      </c>
      <c r="H17" s="275" t="s">
        <v>34</v>
      </c>
      <c r="I17" s="175" t="s">
        <v>445</v>
      </c>
      <c r="J17" s="187" t="n">
        <v>4901</v>
      </c>
      <c r="K17" s="274" t="s">
        <v>446</v>
      </c>
      <c r="L17" s="275" t="n">
        <v>1834</v>
      </c>
      <c r="M17" s="175" t="s">
        <v>447</v>
      </c>
      <c r="N17" s="187" t="n">
        <v>7262</v>
      </c>
      <c r="O17" s="274" t="s">
        <v>448</v>
      </c>
      <c r="P17" s="275" t="n">
        <v>2857</v>
      </c>
      <c r="Q17" s="175" t="s">
        <v>449</v>
      </c>
      <c r="R17" s="187" t="n">
        <v>8697</v>
      </c>
    </row>
    <row r="18" customFormat="false" ht="15.75" hidden="false" customHeight="true" outlineLevel="0" collapsed="false">
      <c r="A18" s="78" t="s">
        <v>176</v>
      </c>
      <c r="B18" s="160" t="s">
        <v>450</v>
      </c>
      <c r="C18" s="275" t="s">
        <v>34</v>
      </c>
      <c r="D18" s="233" t="s">
        <v>34</v>
      </c>
      <c r="E18" s="187" t="s">
        <v>34</v>
      </c>
      <c r="F18" s="187" t="s">
        <v>34</v>
      </c>
      <c r="G18" s="275" t="s">
        <v>34</v>
      </c>
      <c r="H18" s="275" t="s">
        <v>34</v>
      </c>
      <c r="I18" s="187" t="s">
        <v>34</v>
      </c>
      <c r="J18" s="187" t="s">
        <v>34</v>
      </c>
      <c r="K18" s="275" t="s">
        <v>34</v>
      </c>
      <c r="L18" s="275" t="s">
        <v>34</v>
      </c>
      <c r="M18" s="187" t="s">
        <v>34</v>
      </c>
      <c r="N18" s="232" t="s">
        <v>34</v>
      </c>
      <c r="O18" s="275" t="s">
        <v>34</v>
      </c>
      <c r="P18" s="275" t="s">
        <v>34</v>
      </c>
      <c r="Q18" s="187" t="s">
        <v>34</v>
      </c>
      <c r="R18" s="232" t="s">
        <v>34</v>
      </c>
    </row>
    <row r="19" customFormat="false" ht="15.75" hidden="false" customHeight="true" outlineLevel="0" collapsed="false">
      <c r="A19" s="78" t="s">
        <v>451</v>
      </c>
      <c r="B19" s="160" t="s">
        <v>452</v>
      </c>
      <c r="C19" s="274" t="s">
        <v>453</v>
      </c>
      <c r="D19" s="275" t="n">
        <v>3176</v>
      </c>
      <c r="E19" s="175" t="s">
        <v>454</v>
      </c>
      <c r="F19" s="187" t="n">
        <v>4900</v>
      </c>
      <c r="G19" s="275" t="s">
        <v>34</v>
      </c>
      <c r="H19" s="275" t="s">
        <v>34</v>
      </c>
      <c r="I19" s="187" t="s">
        <v>34</v>
      </c>
      <c r="J19" s="187" t="s">
        <v>34</v>
      </c>
      <c r="K19" s="274" t="s">
        <v>455</v>
      </c>
      <c r="L19" s="281" t="n">
        <v>1599</v>
      </c>
      <c r="M19" s="175" t="s">
        <v>456</v>
      </c>
      <c r="N19" s="281" t="n">
        <v>6399</v>
      </c>
      <c r="O19" s="274" t="s">
        <v>457</v>
      </c>
      <c r="P19" s="275" t="n">
        <v>2857</v>
      </c>
      <c r="Q19" s="175" t="s">
        <v>458</v>
      </c>
      <c r="R19" s="281" t="n">
        <v>7789</v>
      </c>
    </row>
    <row r="20" customFormat="false" ht="15.75" hidden="false" customHeight="true" outlineLevel="0" collapsed="false">
      <c r="A20" s="280"/>
      <c r="B20" s="147"/>
      <c r="C20" s="275"/>
      <c r="D20" s="275"/>
      <c r="E20" s="187"/>
      <c r="F20" s="187"/>
      <c r="G20" s="275"/>
      <c r="H20" s="275"/>
      <c r="I20" s="187"/>
      <c r="J20" s="187"/>
      <c r="K20" s="275"/>
      <c r="L20" s="275"/>
      <c r="M20" s="187"/>
      <c r="N20" s="187"/>
      <c r="O20" s="275"/>
      <c r="P20" s="275"/>
      <c r="Q20" s="187"/>
      <c r="R20" s="187"/>
    </row>
    <row r="21" customFormat="false" ht="15.75" hidden="false" customHeight="true" outlineLevel="0" collapsed="false">
      <c r="A21" s="78" t="s">
        <v>37</v>
      </c>
      <c r="B21" s="160" t="s">
        <v>586</v>
      </c>
      <c r="C21" s="274" t="s">
        <v>460</v>
      </c>
      <c r="D21" s="275" t="n">
        <v>6479</v>
      </c>
      <c r="E21" s="187" t="s">
        <v>34</v>
      </c>
      <c r="F21" s="187" t="s">
        <v>34</v>
      </c>
      <c r="G21" s="274" t="s">
        <v>461</v>
      </c>
      <c r="H21" s="275" t="n">
        <v>4971</v>
      </c>
      <c r="I21" s="175" t="s">
        <v>462</v>
      </c>
      <c r="J21" s="281" t="n">
        <v>4199</v>
      </c>
      <c r="K21" s="274" t="s">
        <v>299</v>
      </c>
      <c r="L21" s="281" t="n">
        <v>1599</v>
      </c>
      <c r="M21" s="175" t="s">
        <v>301</v>
      </c>
      <c r="N21" s="281" t="n">
        <v>6339</v>
      </c>
      <c r="O21" s="275" t="s">
        <v>34</v>
      </c>
      <c r="P21" s="275" t="s">
        <v>34</v>
      </c>
      <c r="Q21" s="175" t="s">
        <v>463</v>
      </c>
      <c r="R21" s="281" t="n">
        <v>7789</v>
      </c>
    </row>
    <row r="22" customFormat="false" ht="15.75" hidden="false" customHeight="true" outlineLevel="0" collapsed="false">
      <c r="A22" s="78" t="s">
        <v>464</v>
      </c>
      <c r="B22" s="160" t="s">
        <v>465</v>
      </c>
      <c r="C22" s="274" t="s">
        <v>466</v>
      </c>
      <c r="D22" s="275" t="n">
        <v>3176</v>
      </c>
      <c r="E22" s="175" t="s">
        <v>467</v>
      </c>
      <c r="F22" s="187" t="n">
        <v>4979</v>
      </c>
      <c r="G22" s="274" t="s">
        <v>468</v>
      </c>
      <c r="H22" s="275" t="n">
        <v>4971</v>
      </c>
      <c r="I22" s="175" t="s">
        <v>469</v>
      </c>
      <c r="J22" s="187" t="n">
        <v>4901</v>
      </c>
      <c r="K22" s="274" t="s">
        <v>470</v>
      </c>
      <c r="L22" s="275" t="n">
        <v>1834</v>
      </c>
      <c r="M22" s="175" t="s">
        <v>471</v>
      </c>
      <c r="N22" s="257" t="s">
        <v>34</v>
      </c>
      <c r="O22" s="274" t="s">
        <v>472</v>
      </c>
      <c r="P22" s="275" t="n">
        <v>2857</v>
      </c>
      <c r="Q22" s="175" t="s">
        <v>473</v>
      </c>
      <c r="R22" s="187" t="n">
        <v>8697</v>
      </c>
    </row>
    <row r="23" customFormat="false" ht="15.75" hidden="false" customHeight="true" outlineLevel="0" collapsed="false">
      <c r="A23" s="78" t="s">
        <v>474</v>
      </c>
      <c r="B23" s="160" t="s">
        <v>475</v>
      </c>
      <c r="C23" s="274" t="s">
        <v>476</v>
      </c>
      <c r="D23" s="275" t="n">
        <v>4947</v>
      </c>
      <c r="E23" s="187" t="s">
        <v>34</v>
      </c>
      <c r="F23" s="187" t="s">
        <v>34</v>
      </c>
      <c r="G23" s="275" t="s">
        <v>34</v>
      </c>
      <c r="H23" s="275" t="s">
        <v>34</v>
      </c>
      <c r="I23" s="187" t="s">
        <v>34</v>
      </c>
      <c r="J23" s="187" t="s">
        <v>34</v>
      </c>
      <c r="K23" s="274" t="s">
        <v>477</v>
      </c>
      <c r="L23" s="275" t="n">
        <v>2005</v>
      </c>
      <c r="M23" s="187" t="s">
        <v>34</v>
      </c>
      <c r="N23" s="187" t="s">
        <v>34</v>
      </c>
      <c r="O23" s="274" t="s">
        <v>478</v>
      </c>
      <c r="P23" s="275" t="s">
        <v>34</v>
      </c>
      <c r="Q23" s="187" t="s">
        <v>34</v>
      </c>
      <c r="R23" s="187" t="s">
        <v>34</v>
      </c>
    </row>
    <row r="24" customFormat="false" ht="15.75" hidden="false" customHeight="true" outlineLevel="0" collapsed="false">
      <c r="A24" s="78" t="s">
        <v>25</v>
      </c>
      <c r="B24" s="160" t="s">
        <v>593</v>
      </c>
      <c r="C24" s="274" t="s">
        <v>480</v>
      </c>
      <c r="D24" s="275" t="n">
        <v>3176</v>
      </c>
      <c r="E24" s="175" t="s">
        <v>481</v>
      </c>
      <c r="F24" s="187" t="n">
        <v>4901</v>
      </c>
      <c r="G24" s="274" t="s">
        <v>482</v>
      </c>
      <c r="H24" s="275" t="n">
        <v>4971</v>
      </c>
      <c r="I24" s="175" t="s">
        <v>483</v>
      </c>
      <c r="J24" s="187" t="n">
        <v>4901</v>
      </c>
      <c r="K24" s="274" t="s">
        <v>484</v>
      </c>
      <c r="L24" s="275" t="n">
        <v>1834</v>
      </c>
      <c r="M24" s="175" t="s">
        <v>485</v>
      </c>
      <c r="N24" s="187" t="n">
        <v>7262</v>
      </c>
      <c r="O24" s="274" t="s">
        <v>486</v>
      </c>
      <c r="P24" s="275" t="n">
        <v>2857</v>
      </c>
      <c r="Q24" s="175" t="s">
        <v>487</v>
      </c>
      <c r="R24" s="187" t="n">
        <v>8697</v>
      </c>
    </row>
    <row r="25" customFormat="false" ht="15.75" hidden="false" customHeight="true" outlineLevel="0" collapsed="false">
      <c r="A25" s="78" t="s">
        <v>123</v>
      </c>
      <c r="B25" s="160" t="s">
        <v>488</v>
      </c>
      <c r="C25" s="275" t="s">
        <v>34</v>
      </c>
      <c r="D25" s="275" t="s">
        <v>34</v>
      </c>
      <c r="E25" s="187" t="s">
        <v>34</v>
      </c>
      <c r="F25" s="187" t="s">
        <v>34</v>
      </c>
      <c r="G25" s="275" t="s">
        <v>34</v>
      </c>
      <c r="H25" s="275" t="s">
        <v>34</v>
      </c>
      <c r="I25" s="187" t="s">
        <v>34</v>
      </c>
      <c r="J25" s="187" t="s">
        <v>34</v>
      </c>
      <c r="K25" s="275" t="s">
        <v>34</v>
      </c>
      <c r="L25" s="275" t="s">
        <v>34</v>
      </c>
      <c r="M25" s="187" t="s">
        <v>34</v>
      </c>
      <c r="N25" s="187" t="s">
        <v>34</v>
      </c>
      <c r="O25" s="275" t="s">
        <v>34</v>
      </c>
      <c r="P25" s="275" t="s">
        <v>34</v>
      </c>
      <c r="Q25" s="187" t="s">
        <v>34</v>
      </c>
      <c r="R25" s="187" t="s">
        <v>34</v>
      </c>
    </row>
    <row r="26" customFormat="false" ht="15.75" hidden="false" customHeight="true" outlineLevel="0" collapsed="false">
      <c r="A26" s="78" t="s">
        <v>124</v>
      </c>
      <c r="B26" s="160" t="s">
        <v>599</v>
      </c>
      <c r="C26" s="274" t="s">
        <v>490</v>
      </c>
      <c r="D26" s="275" t="n">
        <v>3294</v>
      </c>
      <c r="E26" s="187" t="s">
        <v>34</v>
      </c>
      <c r="F26" s="187" t="s">
        <v>34</v>
      </c>
      <c r="G26" s="275" t="s">
        <v>34</v>
      </c>
      <c r="H26" s="275" t="s">
        <v>34</v>
      </c>
      <c r="I26" s="175" t="s">
        <v>491</v>
      </c>
      <c r="J26" s="187" t="n">
        <v>4906</v>
      </c>
      <c r="K26" s="274" t="s">
        <v>492</v>
      </c>
      <c r="L26" s="281" t="n">
        <v>1808</v>
      </c>
      <c r="M26" s="187" t="s">
        <v>34</v>
      </c>
      <c r="N26" s="187" t="s">
        <v>34</v>
      </c>
      <c r="O26" s="274" t="s">
        <v>493</v>
      </c>
      <c r="P26" s="281" t="n">
        <v>2840</v>
      </c>
      <c r="Q26" s="187" t="s">
        <v>34</v>
      </c>
      <c r="R26" s="187" t="s">
        <v>34</v>
      </c>
    </row>
    <row r="27" customFormat="false" ht="15.75" hidden="false" customHeight="true" outlineLevel="0" collapsed="false">
      <c r="A27" s="78" t="s">
        <v>38</v>
      </c>
      <c r="B27" s="147" t="s">
        <v>494</v>
      </c>
      <c r="C27" s="274" t="s">
        <v>495</v>
      </c>
      <c r="D27" s="275" t="n">
        <v>4446</v>
      </c>
      <c r="E27" s="175" t="s">
        <v>496</v>
      </c>
      <c r="F27" s="187" t="n">
        <v>6739</v>
      </c>
      <c r="G27" s="275" t="s">
        <v>34</v>
      </c>
      <c r="H27" s="275" t="s">
        <v>34</v>
      </c>
      <c r="I27" s="175" t="s">
        <v>497</v>
      </c>
      <c r="J27" s="187" t="n">
        <v>4906</v>
      </c>
      <c r="K27" s="274" t="s">
        <v>498</v>
      </c>
      <c r="L27" s="281" t="n">
        <v>1808</v>
      </c>
      <c r="M27" s="187" t="s">
        <v>34</v>
      </c>
      <c r="N27" s="187" t="s">
        <v>34</v>
      </c>
      <c r="O27" s="274" t="s">
        <v>499</v>
      </c>
      <c r="P27" s="281" t="n">
        <v>2840</v>
      </c>
      <c r="Q27" s="175" t="s">
        <v>500</v>
      </c>
      <c r="R27" s="187" t="n">
        <v>8697</v>
      </c>
    </row>
    <row r="28" customFormat="false" ht="15.75" hidden="false" customHeight="true" outlineLevel="0" collapsed="false">
      <c r="A28" s="78" t="s">
        <v>39</v>
      </c>
      <c r="B28" s="147" t="s">
        <v>173</v>
      </c>
      <c r="C28" s="274" t="s">
        <v>501</v>
      </c>
      <c r="D28" s="275" t="n">
        <v>3294</v>
      </c>
      <c r="E28" s="187" t="s">
        <v>34</v>
      </c>
      <c r="F28" s="187" t="s">
        <v>34</v>
      </c>
      <c r="G28" s="274" t="s">
        <v>502</v>
      </c>
      <c r="H28" s="275" t="n">
        <v>4971</v>
      </c>
      <c r="I28" s="175" t="s">
        <v>503</v>
      </c>
      <c r="J28" s="187" t="n">
        <v>4901</v>
      </c>
      <c r="K28" s="274" t="s">
        <v>504</v>
      </c>
      <c r="L28" s="275" t="n">
        <v>1834</v>
      </c>
      <c r="M28" s="187" t="s">
        <v>34</v>
      </c>
      <c r="N28" s="187" t="s">
        <v>34</v>
      </c>
      <c r="O28" s="274" t="s">
        <v>505</v>
      </c>
      <c r="P28" s="275" t="n">
        <v>2857</v>
      </c>
      <c r="Q28" s="187" t="s">
        <v>34</v>
      </c>
      <c r="R28" s="187" t="s">
        <v>34</v>
      </c>
    </row>
    <row r="29" customFormat="false" ht="15.75" hidden="false" customHeight="true" outlineLevel="0" collapsed="false">
      <c r="A29" s="78" t="s">
        <v>40</v>
      </c>
      <c r="B29" s="147" t="s">
        <v>506</v>
      </c>
      <c r="C29" s="274" t="s">
        <v>507</v>
      </c>
      <c r="D29" s="275" t="n">
        <v>3343</v>
      </c>
      <c r="E29" s="187" t="s">
        <v>34</v>
      </c>
      <c r="F29" s="187" t="s">
        <v>34</v>
      </c>
      <c r="G29" s="275" t="s">
        <v>34</v>
      </c>
      <c r="H29" s="275" t="s">
        <v>34</v>
      </c>
      <c r="I29" s="175" t="s">
        <v>508</v>
      </c>
      <c r="J29" s="187" t="n">
        <v>5013</v>
      </c>
      <c r="K29" s="274" t="s">
        <v>509</v>
      </c>
      <c r="L29" s="275" t="n">
        <v>1930</v>
      </c>
      <c r="M29" s="187" t="s">
        <v>34</v>
      </c>
      <c r="N29" s="187" t="s">
        <v>34</v>
      </c>
      <c r="O29" s="274" t="s">
        <v>510</v>
      </c>
      <c r="P29" s="275" t="n">
        <v>3007</v>
      </c>
      <c r="Q29" s="175" t="s">
        <v>511</v>
      </c>
      <c r="R29" s="187" t="n">
        <v>9154</v>
      </c>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c r="A226" s="74"/>
      <c r="B226" s="146"/>
      <c r="C226" s="265"/>
      <c r="D226" s="265"/>
      <c r="E226" s="76"/>
      <c r="F226" s="76"/>
      <c r="G226" s="265"/>
      <c r="H226" s="265"/>
      <c r="I226" s="76"/>
      <c r="J226" s="76"/>
      <c r="K226" s="265"/>
      <c r="L226" s="265"/>
      <c r="M226" s="76"/>
      <c r="N226" s="76"/>
      <c r="O226" s="265"/>
      <c r="P226" s="265"/>
      <c r="Q226" s="76"/>
      <c r="R226" s="76"/>
    </row>
    <row r="227" customFormat="false" ht="15.75" hidden="false" customHeight="true" outlineLevel="0" collapsed="false">
      <c r="A227" s="74"/>
      <c r="B227" s="146"/>
      <c r="C227" s="265"/>
      <c r="D227" s="265"/>
      <c r="E227" s="76"/>
      <c r="F227" s="76"/>
      <c r="G227" s="265"/>
      <c r="H227" s="265"/>
      <c r="I227" s="76"/>
      <c r="J227" s="76"/>
      <c r="K227" s="265"/>
      <c r="L227" s="265"/>
      <c r="M227" s="76"/>
      <c r="N227" s="76"/>
      <c r="O227" s="265"/>
      <c r="P227" s="265"/>
      <c r="Q227" s="76"/>
      <c r="R227" s="76"/>
    </row>
    <row r="228" customFormat="false" ht="15.75" hidden="false" customHeight="true" outlineLevel="0" collapsed="false">
      <c r="A228" s="74"/>
      <c r="B228" s="146"/>
      <c r="C228" s="265"/>
      <c r="D228" s="265"/>
      <c r="E228" s="76"/>
      <c r="F228" s="76"/>
      <c r="G228" s="265"/>
      <c r="H228" s="265"/>
      <c r="I228" s="76"/>
      <c r="J228" s="76"/>
      <c r="K228" s="265"/>
      <c r="L228" s="265"/>
      <c r="M228" s="76"/>
      <c r="N228" s="76"/>
      <c r="O228" s="265"/>
      <c r="P228" s="265"/>
      <c r="Q228" s="76"/>
      <c r="R228" s="76"/>
    </row>
    <row r="229" customFormat="false" ht="15.75" hidden="false" customHeight="true" outlineLevel="0" collapsed="false">
      <c r="A229" s="74"/>
      <c r="B229" s="146"/>
      <c r="C229" s="265"/>
      <c r="D229" s="265"/>
      <c r="E229" s="76"/>
      <c r="F229" s="76"/>
      <c r="G229" s="265"/>
      <c r="H229" s="265"/>
      <c r="I229" s="76"/>
      <c r="J229" s="76"/>
      <c r="K229" s="265"/>
      <c r="L229" s="265"/>
      <c r="M229" s="76"/>
      <c r="N229" s="76"/>
      <c r="O229" s="265"/>
      <c r="P229" s="265"/>
      <c r="Q229" s="76"/>
      <c r="R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L6">
    <cfRule type="expression" priority="2" aboveAverage="0" equalAverage="0" bottom="0" percent="0" rank="0" text="" dxfId="0">
      <formula>LEN(TRIM(L6))&gt;0</formula>
    </cfRule>
  </conditionalFormatting>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A4" r:id="rId8" display="http://redlight.com.ua/"/>
    <hyperlink ref="C4" r:id="rId9" display="http://redlight.com.ua/cat/mebel-dlja-gostinnoj/tv-stands/tumba-tv-rtv2d2s-4-15-atsteka.html"/>
    <hyperlink ref="E4" r:id="rId10" display="http://redlight.com.ua/cat/stoly/pisminnye/stol-pismenniy-jbiu-2d2s-indiana.html"/>
    <hyperlink ref="G4" r:id="rId11" display="http://redlight.com.ua/cat/modulnaya-mebel/shkaf/shkaf-szf2d2s-koen-(mdf).html"/>
    <hyperlink ref="I4" r:id="rId12" display="http://redlight.com.ua/cat/modulnaya-mebel/komod/vayt-komod-4s-90.html"/>
    <hyperlink ref="K4" r:id="rId13" display="http://redlight.com.ua/cat/prihozhie/sovremennye/nepo-prihozhaya-rrk-.html"/>
    <hyperlink ref="M4" r:id="rId14" display="http://redlight.com.ua/cat/mebel-dlja-gostinnoj/stenki/stenka-alyaska.html"/>
    <hyperlink ref="O4" r:id="rId15" display="http://redlight.com.ua/cat/mebel-dlja-gostinnoj/stenki/stenka-kvatro.html"/>
    <hyperlink ref="Q4" r:id="rId16" display="http://redlight.com.ua/cat/modulnaya-mebel/shkaf/liberti-shkaf-szf3d.html"/>
    <hyperlink ref="A5" r:id="rId17" display="https://mebli-bristol.com.ua/"/>
    <hyperlink ref="C5" r:id="rId18" display="https://mebli-bristol.com.ua/acteka-tumba-rtv-2d2s-4-15-brv-ukraina.html"/>
    <hyperlink ref="E5" r:id="rId19" display="https://mebli-bristol.com.ua/indiana-stil-pis-movij-jbiu-2d2s-140-sosna-kan-jon-brv-ukraina.html"/>
    <hyperlink ref="G5" r:id="rId20" display="https://mebli-bristol.com.ua/koen-shafa-szf-2d2s-mdf-gerbor.html"/>
    <hyperlink ref="I5" r:id="rId21" display="https://mebli-bristol.com.ua/vajt-komod-4s-90-gerbor.html"/>
    <hyperlink ref="K5" r:id="rId22" display="https://mebli-bristol.com.ua/nepo-peredpokij-ppk-gerbor-9712.html"/>
    <hyperlink ref="M5" r:id="rId23" display="https://mebli-bristol.com.ua/aljaska-brv-ukraina.html"/>
    <hyperlink ref="O5" r:id="rId24" display="https://mebli-bristol.com.ua/kvatro-gerbor.html"/>
    <hyperlink ref="Q5" r:id="rId25" display="https://mebli-bristol.com.ua/liberti-shafa-szf-3d-brv-ukraina.html"/>
    <hyperlink ref="A6" r:id="rId26" display="http://gerbor.kiev.ua/"/>
    <hyperlink ref="C6" r:id="rId27" display="http://gerbor.kiev.ua/mebelnye-sistemy/mebel-brw-azteca/azteca-tumba-tv-rtv2d2s-brv/"/>
    <hyperlink ref="E6" r:id="rId28" display="http://gerbor.kiev.ua/mebelnye-sistemy/mebel-indiana-kanjon-brw/indiana-kanjon-stol-pismennyy-jbiu2d2s140-brv/"/>
    <hyperlink ref="G6" r:id="rId29" display="http://gerbor.kiev.ua/mebelnye-sistemy/mebel-koen-gerbor/koen-shkaf-szf2d2s-gerbor/"/>
    <hyperlink ref="I6" r:id="rId30" display="http://gerbor.kiev.ua/mebelnye-sistemy/mebel-white-gerbor/white-komod-4s90-gerbor/"/>
    <hyperlink ref="K6" r:id="rId31" display="http://gerbor.kiev.ua/mebelnye-sistemy/mebel-nepo-gerbor/nepo-prikhozhaya-ppk-gerbor/"/>
    <hyperlink ref="M6" r:id="rId32" display="http://gerbor.kiev.ua/mebelnye-sistemy/mebel-alaska-brw/alaska-gostinaya-brw/"/>
    <hyperlink ref="O6" r:id="rId33" display="http://gerbor.kiev.ua/mebelnye-sistemy/mebel-quatro-gerbor/quatro-gostinaya-gerbor/"/>
    <hyperlink ref="Q6" r:id="rId34" display="http://gerbor.kiev.ua/mebelnye-sistemy/mebel-liberti-brw/liberti-shkaf-szf3d-brv/"/>
    <hyperlink ref="A7" r:id="rId35" display="http://www.brwland.com.ua/"/>
    <hyperlink ref="C7" r:id="rId36" display="http://www.brwland.com.ua/product/azteca-tumba-tv-rtv2d2s415-brv-ukraina/"/>
    <hyperlink ref="E7" r:id="rId37" display="http://www.brwland.com.ua/product/indiana-kanjon-stol-pismennyj-jbiu-2d2s140-brv-ukraina/"/>
    <hyperlink ref="G7" r:id="rId38" display="http://www.brwland.com.ua/product/koen-szf-2d2s-shkaf-gerbor/"/>
    <hyperlink ref="I7" r:id="rId39" display="http://www.brwland.com.ua/product/white-komod-4s90-gerbor/"/>
    <hyperlink ref="K7" r:id="rId40" display="http://www.brwland.com.ua/product/nepo-prihozhaja-ppk-gerbor/"/>
    <hyperlink ref="M7" r:id="rId41" display="http://www.brwland.com.ua/product/gostinaja-aljaska-brv-ukraina/"/>
    <hyperlink ref="O7" r:id="rId42" display="http://www.brwland.com.ua/product/kvatro-gerbor/"/>
    <hyperlink ref="Q7" r:id="rId43" display="http://www.brwland.com.ua/product/liberti-shkaf-szf3d-brv-ukraina/"/>
    <hyperlink ref="A8" r:id="rId44" display="http://gerbor.dp.ua/"/>
    <hyperlink ref="C8" r:id="rId45" display="http://gerbor.dp.ua/index.php?route=product/product&amp;product_id=3138&amp;search=%D0%B0%D1%86%D1%82%D0%B5%D0%BA%D0%B0&amp;description=true&amp;sub_category=1&amp;page=2"/>
    <hyperlink ref="E8" r:id="rId46" display="http://gerbor.dp.ua/index.php?route=product/product&amp;product_id=1725&amp;search=%D0%B8%D0%BD%D0%B4%D0%B8%D0%B0%D0%BD%D0%B0&amp;description=true&amp;sub_category=1"/>
    <hyperlink ref="G8" r:id="rId47" display="http://gerbor.dp.ua/index.php?route=product/product&amp;product_id=3812&amp;search=%D0%BA%D0%BE%D0%B5%D0%BD+%D0%BC%D0%B4%D1%84&amp;description=true&amp;sub_category=1"/>
    <hyperlink ref="I8" r:id="rId48" display="http://gerbor.dp.ua/index.php?route=product/product&amp;product_id=3085&amp;search=%D0%B2%D0%B0%D0%B9%D1%82&amp;description=true"/>
    <hyperlink ref="K8" r:id="rId49" display="http://gerbor.dp.ua/index.php?route=product/product&amp;product_id=3473&amp;search=%D0%BD%D0%B5%D0%BF%D0%BE&amp;description=true&amp;page=2"/>
    <hyperlink ref="M8" r:id="rId50" display="http://gerbor.dp.ua/index.php?route=product/product&amp;product_id=3031&amp;search=%D0%B0%D0%BB%D1%8F%D1%81%D0%BA%D0%B0&amp;description=true"/>
    <hyperlink ref="O8" r:id="rId51" display="http://gerbor.dp.ua/index.php?route=product/product&amp;product_id=2040&amp;search=%D0%BA%D0%B2%D0%B0%D1%82%D1%80%D0%BE&amp;description=true"/>
    <hyperlink ref="Q8" r:id="rId52" display="http://gerbor.dp.ua/index.php?route=product/product&amp;product_id=3851&amp;search=%D0%BB%D0%B8%D0%B1%D0%B5%D1%80%D1%82%D0%B8&amp;description=true"/>
    <hyperlink ref="A9" r:id="rId53" display="https://vashamebel.in.ua/"/>
    <hyperlink ref="C9" r:id="rId54" display="https://vashamebel.in.ua/tumba-tv-brv-atsteka-rtv2d2s415/p12722"/>
    <hyperlink ref="E9" r:id="rId55" display="https://vashamebel.in.ua/stol-pismennyij-brv-indiana-jbiu-2d2s/p916"/>
    <hyperlink ref="G9" r:id="rId56" display="https://vashamebel.in.ua/shkaf-gerbor-koen-szf2d2s/p2181"/>
    <hyperlink ref="I9" r:id="rId57" display="https://vashamebel.in.ua/komod-gerbor-vajt-4s-90/p10774"/>
    <hyperlink ref="K9" r:id="rId58" display="https://vashamebel.in.ua/prihozhaya-gerbor-nepo-ppk/p12249"/>
    <hyperlink ref="M9" r:id="rId59" display="https://vashamebel.in.ua/gostinaya-brv-alyaska/p4420"/>
    <hyperlink ref="O9" r:id="rId60" display="https://vashamebel.in.ua/stenka-gerbor-kvatro/p2359"/>
    <hyperlink ref="A10" r:id="rId61" display="http://mebel-mebel.com.ua/"/>
    <hyperlink ref="A11" r:id="rId62" display="http://abcmebli.com.ua"/>
    <hyperlink ref="C11" r:id="rId63" display="http://abcmebli.com.ua/p14992-tumba_tv_rtv2d2s-4-15_atsteka"/>
    <hyperlink ref="E11" r:id="rId64" display="http://abcmebli.com.ua/p1892-stol_pismenniy_jbiu2d2s_140_indiana"/>
    <hyperlink ref="G11" r:id="rId65" display="http://abcmebli.com.ua/p15143-koen_mdf_shkaf_szf2d2s"/>
    <hyperlink ref="I11" r:id="rId66" display="http://abcmebli.com.ua/p15658-komod_4s_90_vayt_gerbor"/>
    <hyperlink ref="K11" r:id="rId67" display="http://abcmebli.com.ua/p15897-nepo_prihozhaya_ppk_gerbor"/>
    <hyperlink ref="M11" r:id="rId68" display="http://abcmebli.com.ua/p15191-stenka_alyaska_brv"/>
    <hyperlink ref="O11" r:id="rId69" display="http://abcmebli.com.ua/p2515-stenka_kvatro_gerbor"/>
    <hyperlink ref="Q11" r:id="rId70" display="http://abcmebli.com.ua/p15617-shkaf_szf3d_liberti_brv"/>
    <hyperlink ref="A12" r:id="rId71" display="https://gerbor.mebelok.com/"/>
    <hyperlink ref="C12" r:id="rId72" display="https://www.mebelok.com/tymba-tv-rtv2d2s415-acteka/"/>
    <hyperlink ref="E12" r:id="rId73" display="https://www.mebelok.com/stol-pismennyy-jbiu-2d2s-140/"/>
    <hyperlink ref="G12" r:id="rId74" display="https://www.mebelok.com/koen-shkaf-szf2d2s-mdf/"/>
    <hyperlink ref="K12" r:id="rId75" display="https://www.mebelok.com/prihojaya-ppk-nepo/"/>
    <hyperlink ref="O12" r:id="rId76" display="https://www.mebelok.com/gostinaya-kvatro/"/>
    <hyperlink ref="Q12" r:id="rId77" display="https://www.mebelok.com/shkaf-3d-liberti/"/>
    <hyperlink ref="A13" r:id="rId78" display="http://maxmebel.com.ua/"/>
    <hyperlink ref="C13" r:id="rId79" display="http://maxmebel.com.ua/pi/products_id/15620"/>
    <hyperlink ref="E13" r:id="rId80" display="http://maxmebel.com.ua/pi/products_id/4909"/>
    <hyperlink ref="G13" r:id="rId81" display="http://maxmebel.com.ua/pi/products_id/6503"/>
    <hyperlink ref="I13" r:id="rId82" display="http://maxmebel.com.ua/pi/products_id/13019"/>
    <hyperlink ref="K13" r:id="rId83" display="http://maxmebel.com.ua/pi/products_id/14792"/>
    <hyperlink ref="M13" r:id="rId84" display="http://maxmebel.com.ua/pi/products_id/509"/>
    <hyperlink ref="O13" r:id="rId85" display="http://maxmebel.com.ua/pi/products_id/6732"/>
    <hyperlink ref="Q13" r:id="rId86" display="http://maxmebel.com.ua/pi/products_id/19831"/>
    <hyperlink ref="A14" r:id="rId87" display="https://moyamebel.com.ua/ua"/>
    <hyperlink ref="K14" r:id="rId88" display="https://moyamebel.com.ua/ua/products/prihozhaya-nepo"/>
    <hyperlink ref="O14" r:id="rId89" display="https://moyamebel.com.ua/ua/products/gostinaya-kvatro"/>
    <hyperlink ref="A15" r:id="rId90" display="https://mebel-soyuz.com.ua/"/>
    <hyperlink ref="C15" r:id="rId91" display="https://mebel-soyuz.com.ua/13769/"/>
    <hyperlink ref="E15" r:id="rId92" display="https://mebel-soyuz.com.ua/8676/"/>
    <hyperlink ref="G15" r:id="rId93" display="https://mebel-soyuz.com.ua/3180/"/>
    <hyperlink ref="I15" r:id="rId94" display="https://mebel-soyuz.com.ua/6202//"/>
    <hyperlink ref="K15" r:id="rId95" display="https://mebel-soyuz.com.ua/8926/"/>
    <hyperlink ref="M15" r:id="rId96" display="https://mebel-soyuz.com.ua/10995/"/>
    <hyperlink ref="O15" r:id="rId97" display="https://mebel-soyuz.com.ua/stenky/gerbor/kvatro//"/>
    <hyperlink ref="Q15" r:id="rId98" display="https://mebel-soyuz.com.ua/7243/"/>
    <hyperlink ref="A16" r:id="rId99" display="https://sofino.ua/"/>
    <hyperlink ref="E16" r:id="rId100" display="https://sofino.ua/brw-ukraina-stol-pismennyjj-jbiu2d2s140-indiana/g-40899"/>
    <hyperlink ref="G16" r:id="rId101" display="https://sofino.ua/gerbor-shkaf-szf2d2s-koen-mdf-venge-magija-shtroks-temnyjj/g-19372"/>
    <hyperlink ref="I16" r:id="rId102" display="https://sofino.ua/gerbor-komod-4s-90-vajjt/g-95203"/>
    <hyperlink ref="K16" r:id="rId103" display="https://sofino.ua/gerbor-prikhozhaja-ppk-nepo/g-287089"/>
    <hyperlink ref="M16" r:id="rId104" display="https://sofino.ua/brw-ukraina-stenka-aljaska-belyjj-gljanec/g-454107"/>
    <hyperlink ref="O16" r:id="rId105" display="https://sofino.ua/gerbor-stenka-s-podsvetkojj-kvatro/g-18955"/>
    <hyperlink ref="Q16" r:id="rId106" display="https://sofino.ua/brw-ukraina-shkaf-3d-liberti-dub-sonoma-belyjj-gljanec/g-95147"/>
    <hyperlink ref="A17" r:id="rId107" display="http://www.brw-gerbor.od.ua/"/>
    <hyperlink ref="I17" r:id="rId108" display="http://brw-gerbor.od.ua/index.php?route=product/product&amp;filter_name=%D0%B2%D0%B0%D0%B9%D1%82&amp;product_id=3155"/>
    <hyperlink ref="K17" r:id="rId109" display="http://brw-gerbor.od.ua/index.php?route=product/product&amp;filter_name=%D0%BD%D0%B5%D0%BF%D0%BE&amp;page=2&amp;product_id=3266"/>
    <hyperlink ref="M17" r:id="rId110" display="http://brw-gerbor.od.ua/index.php?route=product/product&amp;filter_name=%D0%B0%D0%BB%D1%8F%D1%81%D0%BA%D0%B0&amp;product_id=4574"/>
    <hyperlink ref="O17" r:id="rId111" display="http://brw-gerbor.od.ua/index.php?route=product/product&amp;filter_name=%D0%BA%D0%B2%D0%B0%D1%82%D1%80%D0%BE&amp;product_id=116"/>
    <hyperlink ref="Q17" r:id="rId112" display="http://brw-gerbor.od.ua/index.php?route=product/product&amp;filter_name=%D0%BB%D0%B8%D0%B1%D0%B5%D1%80%D1%82%D0%B8&amp;product_id=2703"/>
    <hyperlink ref="A18" r:id="rId113" display="http://gerbor.mebli-smerichka.com.ua/"/>
    <hyperlink ref="A19" r:id="rId114" display="http://furniture.zp.ua/"/>
    <hyperlink ref="C19" r:id="rId115" display="http://furniture.zp.ua/gerbor-xolding/gostinnie/modulnie-nabori/5562-gostinaya-atsteka.html?search_query=acteka&amp;results=2"/>
    <hyperlink ref="E19" r:id="rId116" display="http://furniture.zp.ua/gerbor-xolding/detskie/3184-stol-pismenniie-jbiu-2d2s-140-indiana.html?search_query=indiana&amp;results=24"/>
    <hyperlink ref="K19" r:id="rId117" display="http://furniture.zp.ua/gerbor-xolding/prixojie/modulnie-sistemi/6017-prihozhaya-nepo-ppk.html?search_query=nepo&amp;results=151"/>
    <hyperlink ref="M19" r:id="rId118" display="http://furniture.zp.ua/gerbor-xolding/gostinnie/modulnie-nabori/6155-gostinaya-alyaska.html?search_query=alyaska&amp;results=3"/>
    <hyperlink ref="O19" r:id="rId119" display="http://furniture.zp.ua/gerbor-xolding/gostinnie/1467-kvatro.html?search_query=kvatro&amp;results=4"/>
    <hyperlink ref="Q19" r:id="rId120" display="http://furniture.zp.ua/gerbor-xolding/spalni/modulnie-sistemi/5565-spalnya-liberti.html?search_query=liberti&amp;results=2"/>
    <hyperlink ref="A21" r:id="rId121" display="https://www.brw-kiev.com.ua/"/>
    <hyperlink ref="C21" r:id="rId122" display="https://www.brw-kiev.com.ua/catalog/mebel/azteca-shafka_pid_tv-rtv2d2s_4_15-000004821.html"/>
    <hyperlink ref="G21" r:id="rId123" display="https://www.brw-kiev.com.ua/catalog/mebel/koen-shafa-szf2d2s-000003944.html"/>
    <hyperlink ref="I21" r:id="rId124" display="https://www.brw-kiev.com.ua/catalog/mebel/spalnya/vayt-komod-kom4s_90-000008377.html"/>
    <hyperlink ref="K21" r:id="rId125" display="https://www.brw-kiev.com.ua/catalog/mebel/nepo-peredpokiy-ppk-000006567.html"/>
    <hyperlink ref="M21" r:id="rId126" display="https://www.brw-kiev.com.ua/catalog/mebel/stinki-vital_nya-alaska-000006901.html"/>
    <hyperlink ref="Q21" r:id="rId127" display="https://www.brw-kiev.com.ua/catalog/mebel/spalnya/liberty-shafa-szf_3d-000006341.html"/>
    <hyperlink ref="A22" r:id="rId128" display="https://brw-lviv.com.ua/"/>
    <hyperlink ref="C22" r:id="rId129" display="https://brw-lviv.com.ua/product/atsteky-tumba-tv-rtv2d2s-4-15-brv-ukrayina"/>
    <hyperlink ref="E22" r:id="rId130" display="https://brw-lviv.com.ua/product/indiana-kanjon-stil-pysmovyj-jbiu-2d2s-140-brv-ukrayina"/>
    <hyperlink ref="G22" r:id="rId131" display="https://brw-lviv.com.ua/product/koen-mdf-shafa-szf-2d2s-gerbor"/>
    <hyperlink ref="I22" r:id="rId132" display="https://brw-lviv.com.ua/product/vajt-komod-4s-90-gerbor"/>
    <hyperlink ref="K22" r:id="rId133" display="https://brw-lviv.com.ua/product/nepo-peredpokij-ppk-gerbor"/>
    <hyperlink ref="M22" r:id="rId134" display="https://brw-lviv.com.ua/product/vitalnya-alyaska-brv-ukrayina-2"/>
    <hyperlink ref="O22" r:id="rId135" display="https://brw-lviv.com.ua/product/vitalnya-kvatro-gerbor"/>
    <hyperlink ref="Q22" r:id="rId136" display="https://brw-lviv.com.ua/product/lyberty-shafa-szf3d-brv-ukrayina"/>
    <hyperlink ref="A23" r:id="rId137" display="http://beruvse.com/"/>
    <hyperlink ref="C23" r:id="rId138" display="http://beruvse.com/product/azteca-rtv2d2s415-tumba-tv-brw/"/>
    <hyperlink ref="K23" r:id="rId139" display="http://beruvse.com/product/nepo-prihozhaja-ppk/"/>
    <hyperlink ref="O23" r:id="rId140" display="http://beruvse.com/product/stenka-kvatro/"/>
    <hyperlink ref="A24" r:id="rId141" display="https://brw.kiev.ua/"/>
    <hyperlink ref="C24" r:id="rId142" display="https://brw.kiev.ua/mebel-brw-ukraina/azteca/tumba-tv-rtv2d2s-azteca-brv/"/>
    <hyperlink ref="E24" r:id="rId143" display="https://brw.kiev.ua/mebel-brw-ukraina/indiana-kanjon/stol-pismennyy-jbiu2d2s140-indiana-brv-kanjon/"/>
    <hyperlink ref="G24" r:id="rId144" display="https://brw.kiev.ua/mebel-gerbor/koen/shkaf-szf2d2s-koen-gerbor/"/>
    <hyperlink ref="I24" r:id="rId145" display="https://brw.kiev.ua/mebel-gerbor/white/komod-4s90-white-gerbor/"/>
    <hyperlink ref="K24" r:id="rId146" display="https://brw.kiev.ua/mebel-gerbor/nepo/prikhozhaya-ppk-nepo-gerbor/"/>
    <hyperlink ref="M24" r:id="rId147" display="https://brw.kiev.ua/mebel-brw-ukraina/alaska/stenka-alaska-brv/"/>
    <hyperlink ref="O24" r:id="rId148" display="https://brw.kiev.ua/mebel-gerbor/quatro/stenka-quatro-gerbor/"/>
    <hyperlink ref="Q24" r:id="rId149" display="https://brw.kiev.ua/mebel-brw-ukraina/liberti/shkaf-szf3d-liberti-brv/"/>
    <hyperlink ref="A25" r:id="rId150" display="http://brw.com.ua/"/>
    <hyperlink ref="A26" r:id="rId151" display="https://mebelstyle.net/"/>
    <hyperlink ref="C26" r:id="rId152" display="https://mebelstyle.net/tumby-pod-tv/tumba-pod-tv-brw-ukraina-azteca-rtv2d2s415-82546.html"/>
    <hyperlink ref="I26" r:id="rId153" display="https://mebelstyle.net/komody/komod-gerbor-vajt-4s90-83449.html"/>
    <hyperlink ref="K26" r:id="rId154" display="https://mebelstyle.net/prikhozhie/prikhozhaja-gerbor-nepo-ppk-83649.html"/>
    <hyperlink ref="O26" r:id="rId155" display="https://mebelstyle.net/gostinye/gostinaja-gerbor-kvatro-venge-56219.html"/>
    <hyperlink ref="A27" r:id="rId156" display="https://lvivmebli.com/"/>
    <hyperlink ref="C27" r:id="rId157" display="https://lvivmebli.com/13319/"/>
    <hyperlink ref="E27" r:id="rId158" display="https://lvivmebli.com/5039/"/>
    <hyperlink ref="I27" r:id="rId159" display="https://lvivmebli.com/20467/"/>
    <hyperlink ref="K27" r:id="rId160" display="https://lvivmebli.com/20985/"/>
    <hyperlink ref="O27" r:id="rId161" display="https://lvivmebli.com/20532/"/>
    <hyperlink ref="Q27" r:id="rId162" display="https://lvivmebli.com/20571/"/>
    <hyperlink ref="A28" r:id="rId163" display="http://centrmebliv.com.ua/"/>
    <hyperlink ref="C28" r:id="rId164" display="http://centrmebliv.com.ua/modulni-mebli/brw-azteca/mebli-brw-brv-azteca-tumba-rtv2d2s?keyword=%D0%B0%D1%86%D1%82%D0%B5%D0%BA%D0%B0"/>
    <hyperlink ref="G28" r:id="rId165" display="http://centrmebliv.com.ua/modulni-mebli/gerbor-koen-mdf/gerbor/brw-koen-mdf-shafa-sf-2d2s"/>
    <hyperlink ref="I28" r:id="rId166" display="http://centrmebliv.com.ua/modulni-mebli/gerbor-vayt/mebli-gerbor-gerbor-vayt-komod-4s-90"/>
    <hyperlink ref="K28" r:id="rId167" display="http://centrmebliv.com.ua/modulni-mebli/gerbor-nepo/mebli-gerbor-gerbor-nepo-pryhozha-rrk"/>
    <hyperlink ref="O28" r:id="rId168" display="http://centrmebliv.com.ua/mebli-dlya-vitalni/stinky/mebli-gerbor-gerbor-kvatro"/>
    <hyperlink ref="A29" r:id="rId169" display="https://letromebel.com.ua/"/>
    <hyperlink ref="C29" r:id="rId170" display="https://letromebel.com.ua/p566111870-tumba-rtv2d2s415-atsteka.html"/>
    <hyperlink ref="I29" r:id="rId171" display="https://letromebel.com.ua/p565553911-komod-4s90-vajt.html"/>
    <hyperlink ref="K29" r:id="rId172" display="https://letromebel.com.ua/p441285622-prihozhaya-ppk-nepo.html"/>
    <hyperlink ref="O29" r:id="rId173" display="https://letromebel.com.ua/p436378844-stenka-kvatro-venge.html"/>
    <hyperlink ref="Q29" r:id="rId174" display="https://letromebel.com.ua/p567125880-shkaf-szf3d-liberti.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99.87"/>
    <col collapsed="false" customWidth="true" hidden="false" outlineLevel="0" max="4" min="3" style="0" width="22.86"/>
    <col collapsed="false" customWidth="true" hidden="false" outlineLevel="0" max="5" min="5" style="0" width="23.71"/>
  </cols>
  <sheetData>
    <row r="1" customFormat="false" ht="108" hidden="false" customHeight="true" outlineLevel="0" collapsed="false">
      <c r="A1" s="1" t="s">
        <v>0</v>
      </c>
      <c r="B1" s="1" t="s">
        <v>126</v>
      </c>
      <c r="C1" s="131" t="s">
        <v>395</v>
      </c>
      <c r="D1" s="131" t="s">
        <v>1</v>
      </c>
      <c r="E1" s="130" t="s">
        <v>395</v>
      </c>
      <c r="F1" s="130" t="s">
        <v>4</v>
      </c>
      <c r="G1" s="131" t="s">
        <v>395</v>
      </c>
      <c r="H1" s="131" t="s">
        <v>179</v>
      </c>
      <c r="I1" s="130" t="s">
        <v>395</v>
      </c>
      <c r="J1" s="130" t="s">
        <v>180</v>
      </c>
      <c r="K1" s="124" t="s">
        <v>395</v>
      </c>
      <c r="L1" s="124" t="s">
        <v>9</v>
      </c>
      <c r="M1" s="217" t="s">
        <v>395</v>
      </c>
      <c r="N1" s="217" t="s">
        <v>15</v>
      </c>
      <c r="O1" s="123" t="s">
        <v>395</v>
      </c>
      <c r="P1" s="123" t="s">
        <v>10</v>
      </c>
      <c r="Q1" s="217" t="s">
        <v>395</v>
      </c>
      <c r="R1" s="217" t="s">
        <v>181</v>
      </c>
    </row>
    <row r="2" customFormat="false" ht="15.75" hidden="false" customHeight="true" outlineLevel="0" collapsed="false">
      <c r="A2" s="196" t="s">
        <v>515</v>
      </c>
      <c r="B2" s="146"/>
      <c r="C2" s="270"/>
      <c r="D2" s="270" t="n">
        <v>3176</v>
      </c>
      <c r="E2" s="222"/>
      <c r="F2" s="222" t="n">
        <v>4901</v>
      </c>
      <c r="G2" s="270"/>
      <c r="H2" s="270" t="n">
        <v>4971</v>
      </c>
      <c r="I2" s="222"/>
      <c r="J2" s="222" t="n">
        <v>4763</v>
      </c>
      <c r="K2" s="271"/>
      <c r="L2" s="271" t="n">
        <v>1834</v>
      </c>
      <c r="M2" s="224"/>
      <c r="N2" s="224" t="n">
        <v>7134</v>
      </c>
      <c r="O2" s="271"/>
      <c r="P2" s="271" t="n">
        <v>2798</v>
      </c>
      <c r="Q2" s="224"/>
      <c r="R2" s="224" t="n">
        <v>8697</v>
      </c>
    </row>
    <row r="3" customFormat="false" ht="15.75" hidden="false" customHeight="true" outlineLevel="0" collapsed="false">
      <c r="A3" s="78" t="s">
        <v>28</v>
      </c>
      <c r="B3" s="147" t="s">
        <v>128</v>
      </c>
      <c r="C3" s="272"/>
      <c r="D3" s="272" t="n">
        <v>3176</v>
      </c>
      <c r="E3" s="229"/>
      <c r="F3" s="229" t="n">
        <v>4901</v>
      </c>
      <c r="G3" s="272"/>
      <c r="H3" s="272" t="n">
        <v>4971</v>
      </c>
      <c r="I3" s="229"/>
      <c r="J3" s="229" t="n">
        <v>4763</v>
      </c>
      <c r="K3" s="272"/>
      <c r="L3" s="272" t="n">
        <v>1834</v>
      </c>
      <c r="M3" s="229"/>
      <c r="N3" s="229" t="n">
        <v>7134</v>
      </c>
      <c r="O3" s="272"/>
      <c r="P3" s="272" t="n">
        <v>2798</v>
      </c>
      <c r="Q3" s="229"/>
      <c r="R3" s="229" t="n">
        <v>8697</v>
      </c>
    </row>
    <row r="4" customFormat="false" ht="15.75" hidden="false" customHeight="true" outlineLevel="0" collapsed="false">
      <c r="A4" s="78" t="s">
        <v>29</v>
      </c>
      <c r="B4" s="160" t="s">
        <v>516</v>
      </c>
      <c r="C4" s="273" t="s">
        <v>358</v>
      </c>
      <c r="D4" s="231" t="n">
        <v>3176</v>
      </c>
      <c r="E4" s="175" t="s">
        <v>359</v>
      </c>
      <c r="F4" s="232" t="n">
        <v>4901</v>
      </c>
      <c r="G4" s="274" t="s">
        <v>360</v>
      </c>
      <c r="H4" s="233" t="n">
        <v>4971</v>
      </c>
      <c r="I4" s="175" t="s">
        <v>361</v>
      </c>
      <c r="J4" s="232" t="n">
        <v>4763</v>
      </c>
      <c r="K4" s="274" t="s">
        <v>362</v>
      </c>
      <c r="L4" s="275" t="n">
        <v>1834</v>
      </c>
      <c r="M4" s="276" t="s">
        <v>363</v>
      </c>
      <c r="N4" s="232" t="n">
        <v>7134</v>
      </c>
      <c r="O4" s="274" t="s">
        <v>364</v>
      </c>
      <c r="P4" s="233" t="n">
        <v>2798</v>
      </c>
      <c r="Q4" s="175" t="s">
        <v>365</v>
      </c>
      <c r="R4" s="187" t="n">
        <v>8697</v>
      </c>
    </row>
    <row r="5" customFormat="false" ht="15.75" hidden="false" customHeight="true" outlineLevel="0" collapsed="false">
      <c r="A5" s="78" t="s">
        <v>30</v>
      </c>
      <c r="B5" s="160" t="s">
        <v>397</v>
      </c>
      <c r="C5" s="274" t="s">
        <v>211</v>
      </c>
      <c r="D5" s="233" t="n">
        <v>3176</v>
      </c>
      <c r="E5" s="175" t="s">
        <v>212</v>
      </c>
      <c r="F5" s="232" t="n">
        <v>4901</v>
      </c>
      <c r="G5" s="274" t="s">
        <v>213</v>
      </c>
      <c r="H5" s="233" t="n">
        <v>4971</v>
      </c>
      <c r="I5" s="175" t="s">
        <v>214</v>
      </c>
      <c r="J5" s="232" t="n">
        <v>4763</v>
      </c>
      <c r="K5" s="274" t="s">
        <v>398</v>
      </c>
      <c r="L5" s="275" t="n">
        <v>1834</v>
      </c>
      <c r="M5" s="276" t="s">
        <v>216</v>
      </c>
      <c r="N5" s="232" t="n">
        <v>7134</v>
      </c>
      <c r="O5" s="274" t="s">
        <v>217</v>
      </c>
      <c r="P5" s="233" t="n">
        <v>2798</v>
      </c>
      <c r="Q5" s="175" t="s">
        <v>218</v>
      </c>
      <c r="R5" s="187" t="n">
        <v>8697</v>
      </c>
    </row>
    <row r="6" customFormat="false" ht="102" hidden="false" customHeight="true" outlineLevel="0" collapsed="false">
      <c r="A6" s="78" t="s">
        <v>17</v>
      </c>
      <c r="B6" s="160" t="s">
        <v>530</v>
      </c>
      <c r="C6" s="274" t="s">
        <v>313</v>
      </c>
      <c r="D6" s="233" t="n">
        <v>3176</v>
      </c>
      <c r="E6" s="175" t="s">
        <v>400</v>
      </c>
      <c r="F6" s="232" t="n">
        <v>4901</v>
      </c>
      <c r="G6" s="274" t="s">
        <v>401</v>
      </c>
      <c r="H6" s="233" t="n">
        <v>4971</v>
      </c>
      <c r="I6" s="175" t="s">
        <v>316</v>
      </c>
      <c r="J6" s="232" t="n">
        <v>4763</v>
      </c>
      <c r="K6" s="274" t="s">
        <v>317</v>
      </c>
      <c r="L6" s="275" t="n">
        <v>1834</v>
      </c>
      <c r="M6" s="276" t="s">
        <v>318</v>
      </c>
      <c r="N6" s="232" t="n">
        <v>7134</v>
      </c>
      <c r="O6" s="274" t="s">
        <v>402</v>
      </c>
      <c r="P6" s="233" t="n">
        <v>2798</v>
      </c>
      <c r="Q6" s="175" t="s">
        <v>319</v>
      </c>
      <c r="R6" s="187" t="n">
        <v>8697</v>
      </c>
    </row>
    <row r="7" customFormat="false" ht="15.75" hidden="false" customHeight="true" outlineLevel="0" collapsed="false">
      <c r="A7" s="78" t="s">
        <v>18</v>
      </c>
      <c r="B7" s="160" t="s">
        <v>403</v>
      </c>
      <c r="C7" s="274" t="s">
        <v>305</v>
      </c>
      <c r="D7" s="275" t="n">
        <v>3176</v>
      </c>
      <c r="E7" s="175" t="s">
        <v>306</v>
      </c>
      <c r="F7" s="187" t="n">
        <v>4901</v>
      </c>
      <c r="G7" s="274" t="s">
        <v>307</v>
      </c>
      <c r="H7" s="233" t="n">
        <v>4971</v>
      </c>
      <c r="I7" s="175" t="s">
        <v>308</v>
      </c>
      <c r="J7" s="187" t="n">
        <v>4763</v>
      </c>
      <c r="K7" s="274" t="s">
        <v>309</v>
      </c>
      <c r="L7" s="275" t="n">
        <v>1834</v>
      </c>
      <c r="M7" s="175" t="s">
        <v>404</v>
      </c>
      <c r="N7" s="187" t="n">
        <v>7134</v>
      </c>
      <c r="O7" s="274" t="s">
        <v>405</v>
      </c>
      <c r="P7" s="275" t="n">
        <v>2798</v>
      </c>
      <c r="Q7" s="175" t="s">
        <v>311</v>
      </c>
      <c r="R7" s="187" t="n">
        <v>8697</v>
      </c>
    </row>
    <row r="8" customFormat="false" ht="15.75" hidden="false" customHeight="true" outlineLevel="0" collapsed="false">
      <c r="A8" s="78" t="s">
        <v>31</v>
      </c>
      <c r="B8" s="160" t="s">
        <v>406</v>
      </c>
      <c r="C8" s="274" t="s">
        <v>407</v>
      </c>
      <c r="D8" s="233" t="n">
        <v>3176</v>
      </c>
      <c r="E8" s="175" t="s">
        <v>408</v>
      </c>
      <c r="F8" s="277" t="n">
        <v>4901</v>
      </c>
      <c r="G8" s="274" t="s">
        <v>409</v>
      </c>
      <c r="H8" s="233" t="n">
        <v>4971</v>
      </c>
      <c r="I8" s="175" t="s">
        <v>410</v>
      </c>
      <c r="J8" s="232" t="n">
        <v>4763</v>
      </c>
      <c r="K8" s="274" t="s">
        <v>411</v>
      </c>
      <c r="L8" s="275" t="n">
        <v>1834</v>
      </c>
      <c r="M8" s="175" t="s">
        <v>412</v>
      </c>
      <c r="N8" s="232" t="n">
        <v>7134</v>
      </c>
      <c r="O8" s="274" t="s">
        <v>413</v>
      </c>
      <c r="P8" s="233" t="n">
        <v>2798</v>
      </c>
      <c r="Q8" s="175" t="s">
        <v>414</v>
      </c>
      <c r="R8" s="187" t="n">
        <v>8697</v>
      </c>
    </row>
    <row r="9" customFormat="false" ht="15.75" hidden="false" customHeight="true" outlineLevel="0" collapsed="false">
      <c r="A9" s="78" t="s">
        <v>19</v>
      </c>
      <c r="B9" s="160" t="s">
        <v>415</v>
      </c>
      <c r="C9" s="274" t="s">
        <v>416</v>
      </c>
      <c r="D9" s="275" t="n">
        <v>3343</v>
      </c>
      <c r="E9" s="175" t="s">
        <v>417</v>
      </c>
      <c r="F9" s="187" t="n">
        <v>5158</v>
      </c>
      <c r="G9" s="274" t="s">
        <v>418</v>
      </c>
      <c r="H9" s="281" t="n">
        <v>4142</v>
      </c>
      <c r="I9" s="175" t="s">
        <v>419</v>
      </c>
      <c r="J9" s="187" t="n">
        <v>5013</v>
      </c>
      <c r="K9" s="274" t="s">
        <v>420</v>
      </c>
      <c r="L9" s="275" t="n">
        <v>1930</v>
      </c>
      <c r="M9" s="175" t="s">
        <v>421</v>
      </c>
      <c r="N9" s="232" t="n">
        <v>7605</v>
      </c>
      <c r="O9" s="274" t="s">
        <v>422</v>
      </c>
      <c r="P9" s="275" t="n">
        <v>2945</v>
      </c>
      <c r="Q9" s="187" t="s">
        <v>34</v>
      </c>
      <c r="R9" s="187" t="s">
        <v>34</v>
      </c>
    </row>
    <row r="10" customFormat="false" ht="193.5" hidden="false" customHeight="true" outlineLevel="0" collapsed="false">
      <c r="A10" s="78" t="s">
        <v>20</v>
      </c>
      <c r="B10" s="160" t="s">
        <v>423</v>
      </c>
      <c r="C10" s="275"/>
      <c r="D10" s="275"/>
      <c r="E10" s="187"/>
      <c r="F10" s="187"/>
      <c r="G10" s="275"/>
      <c r="H10" s="275"/>
      <c r="I10" s="187"/>
      <c r="J10" s="187"/>
      <c r="K10" s="275"/>
      <c r="L10" s="275"/>
      <c r="M10" s="187"/>
      <c r="N10" s="187"/>
      <c r="O10" s="275"/>
      <c r="P10" s="275"/>
      <c r="Q10" s="187"/>
      <c r="R10" s="187"/>
    </row>
    <row r="11" customFormat="false" ht="15.75" hidden="false" customHeight="true" outlineLevel="0" collapsed="false">
      <c r="A11" s="78" t="s">
        <v>21</v>
      </c>
      <c r="B11" s="160" t="s">
        <v>424</v>
      </c>
      <c r="C11" s="274" t="s">
        <v>238</v>
      </c>
      <c r="D11" s="233" t="n">
        <v>3176</v>
      </c>
      <c r="E11" s="175" t="s">
        <v>239</v>
      </c>
      <c r="F11" s="232" t="n">
        <v>4901</v>
      </c>
      <c r="G11" s="274" t="s">
        <v>240</v>
      </c>
      <c r="H11" s="275" t="n">
        <v>5103</v>
      </c>
      <c r="I11" s="175" t="s">
        <v>241</v>
      </c>
      <c r="J11" s="232" t="n">
        <v>4763</v>
      </c>
      <c r="K11" s="274" t="s">
        <v>242</v>
      </c>
      <c r="L11" s="275" t="n">
        <v>1834</v>
      </c>
      <c r="M11" s="175" t="s">
        <v>243</v>
      </c>
      <c r="N11" s="232" t="n">
        <v>7134</v>
      </c>
      <c r="O11" s="274" t="s">
        <v>244</v>
      </c>
      <c r="P11" s="233" t="n">
        <v>2798</v>
      </c>
      <c r="Q11" s="175" t="s">
        <v>245</v>
      </c>
      <c r="R11" s="187" t="n">
        <v>8697</v>
      </c>
    </row>
    <row r="12" customFormat="false" ht="15.75" hidden="false" customHeight="true" outlineLevel="0" collapsed="false">
      <c r="A12" s="78" t="s">
        <v>22</v>
      </c>
      <c r="B12" s="160" t="s">
        <v>567</v>
      </c>
      <c r="C12" s="274" t="s">
        <v>351</v>
      </c>
      <c r="D12" s="275" t="n">
        <v>3355</v>
      </c>
      <c r="E12" s="175" t="s">
        <v>427</v>
      </c>
      <c r="F12" s="187" t="n">
        <v>5165</v>
      </c>
      <c r="G12" s="274" t="s">
        <v>353</v>
      </c>
      <c r="H12" s="275" t="n">
        <v>5245</v>
      </c>
      <c r="I12" s="187" t="s">
        <v>34</v>
      </c>
      <c r="J12" s="187" t="s">
        <v>34</v>
      </c>
      <c r="K12" s="274" t="s">
        <v>354</v>
      </c>
      <c r="L12" s="275" t="n">
        <v>1905</v>
      </c>
      <c r="M12" s="187" t="s">
        <v>34</v>
      </c>
      <c r="N12" s="187" t="s">
        <v>34</v>
      </c>
      <c r="O12" s="274" t="s">
        <v>355</v>
      </c>
      <c r="P12" s="275" t="n">
        <v>2955</v>
      </c>
      <c r="Q12" s="175" t="s">
        <v>356</v>
      </c>
      <c r="R12" s="187" t="n">
        <v>9165</v>
      </c>
    </row>
    <row r="13" customFormat="false" ht="15.75" hidden="false" customHeight="true" outlineLevel="0" collapsed="false">
      <c r="A13" s="78" t="s">
        <v>23</v>
      </c>
      <c r="B13" s="160" t="s">
        <v>568</v>
      </c>
      <c r="C13" s="274" t="s">
        <v>321</v>
      </c>
      <c r="D13" s="275" t="n">
        <v>3294</v>
      </c>
      <c r="E13" s="175" t="s">
        <v>322</v>
      </c>
      <c r="F13" s="187" t="n">
        <v>4979</v>
      </c>
      <c r="G13" s="274" t="s">
        <v>323</v>
      </c>
      <c r="H13" s="275" t="n">
        <v>5053</v>
      </c>
      <c r="I13" s="175" t="s">
        <v>324</v>
      </c>
      <c r="J13" s="187" t="n">
        <v>4906</v>
      </c>
      <c r="K13" s="274" t="s">
        <v>325</v>
      </c>
      <c r="L13" s="275" t="n">
        <v>1834</v>
      </c>
      <c r="M13" s="175" t="s">
        <v>326</v>
      </c>
      <c r="N13" s="187" t="n">
        <v>7225</v>
      </c>
      <c r="O13" s="274" t="s">
        <v>327</v>
      </c>
      <c r="P13" s="233" t="n">
        <v>2798</v>
      </c>
      <c r="Q13" s="175" t="s">
        <v>328</v>
      </c>
      <c r="R13" s="187" t="n">
        <v>8697</v>
      </c>
    </row>
    <row r="14" customFormat="false" ht="15.75" hidden="false" customHeight="true" outlineLevel="0" collapsed="false">
      <c r="A14" s="78" t="s">
        <v>24</v>
      </c>
      <c r="B14" s="160" t="s">
        <v>429</v>
      </c>
      <c r="C14" s="275" t="s">
        <v>34</v>
      </c>
      <c r="D14" s="275" t="s">
        <v>34</v>
      </c>
      <c r="E14" s="187" t="s">
        <v>34</v>
      </c>
      <c r="F14" s="187" t="s">
        <v>34</v>
      </c>
      <c r="G14" s="275" t="s">
        <v>34</v>
      </c>
      <c r="H14" s="275" t="s">
        <v>34</v>
      </c>
      <c r="I14" s="187" t="s">
        <v>34</v>
      </c>
      <c r="J14" s="187" t="s">
        <v>34</v>
      </c>
      <c r="K14" s="274" t="s">
        <v>430</v>
      </c>
      <c r="L14" s="281" t="n">
        <v>1811</v>
      </c>
      <c r="M14" s="187" t="s">
        <v>34</v>
      </c>
      <c r="N14" s="187" t="s">
        <v>34</v>
      </c>
      <c r="O14" s="274" t="s">
        <v>431</v>
      </c>
      <c r="P14" s="275" t="n">
        <v>2849</v>
      </c>
      <c r="Q14" s="187" t="s">
        <v>34</v>
      </c>
      <c r="R14" s="187" t="s">
        <v>34</v>
      </c>
    </row>
    <row r="15" customFormat="false" ht="15.75" hidden="false" customHeight="true" outlineLevel="0" collapsed="false">
      <c r="A15" s="78" t="s">
        <v>35</v>
      </c>
      <c r="B15" s="147" t="s">
        <v>432</v>
      </c>
      <c r="C15" s="274" t="s">
        <v>606</v>
      </c>
      <c r="D15" s="275" t="n">
        <v>3176</v>
      </c>
      <c r="E15" s="175" t="s">
        <v>607</v>
      </c>
      <c r="F15" s="187" t="n">
        <v>4901</v>
      </c>
      <c r="G15" s="274" t="s">
        <v>608</v>
      </c>
      <c r="H15" s="275" t="n">
        <v>4971</v>
      </c>
      <c r="I15" s="175" t="s">
        <v>609</v>
      </c>
      <c r="J15" s="187" t="n">
        <v>4763</v>
      </c>
      <c r="K15" s="274" t="s">
        <v>610</v>
      </c>
      <c r="L15" s="275" t="n">
        <v>1834</v>
      </c>
      <c r="M15" s="175" t="s">
        <v>433</v>
      </c>
      <c r="N15" s="187" t="n">
        <v>7134</v>
      </c>
      <c r="O15" s="274" t="s">
        <v>611</v>
      </c>
      <c r="P15" s="275" t="n">
        <v>2798</v>
      </c>
      <c r="Q15" s="175" t="s">
        <v>612</v>
      </c>
      <c r="R15" s="187" t="n">
        <v>8697</v>
      </c>
    </row>
    <row r="16" customFormat="false" ht="15.75" hidden="false" customHeight="true" outlineLevel="0" collapsed="false">
      <c r="A16" s="78" t="s">
        <v>36</v>
      </c>
      <c r="B16" s="160" t="s">
        <v>434</v>
      </c>
      <c r="C16" s="275" t="s">
        <v>34</v>
      </c>
      <c r="D16" s="275" t="s">
        <v>34</v>
      </c>
      <c r="E16" s="175" t="s">
        <v>435</v>
      </c>
      <c r="F16" s="187" t="n">
        <v>4901</v>
      </c>
      <c r="G16" s="274" t="s">
        <v>436</v>
      </c>
      <c r="H16" s="275" t="n">
        <v>4971</v>
      </c>
      <c r="I16" s="175" t="s">
        <v>437</v>
      </c>
      <c r="J16" s="187" t="n">
        <v>4763</v>
      </c>
      <c r="K16" s="274" t="s">
        <v>438</v>
      </c>
      <c r="L16" s="233" t="n">
        <v>1895</v>
      </c>
      <c r="M16" s="175" t="s">
        <v>439</v>
      </c>
      <c r="N16" s="187" t="n">
        <v>7509</v>
      </c>
      <c r="O16" s="274" t="s">
        <v>440</v>
      </c>
      <c r="P16" s="275" t="n">
        <v>2945</v>
      </c>
      <c r="Q16" s="175" t="s">
        <v>441</v>
      </c>
      <c r="R16" s="187" t="n">
        <v>8697</v>
      </c>
    </row>
    <row r="17" customFormat="false" ht="15.75" hidden="false" customHeight="true" outlineLevel="0" collapsed="false">
      <c r="A17" s="78" t="s">
        <v>442</v>
      </c>
      <c r="B17" s="160" t="s">
        <v>443</v>
      </c>
      <c r="C17" s="275" t="s">
        <v>34</v>
      </c>
      <c r="D17" s="275" t="s">
        <v>34</v>
      </c>
      <c r="E17" s="278" t="s">
        <v>34</v>
      </c>
      <c r="F17" s="279" t="s">
        <v>444</v>
      </c>
      <c r="G17" s="275" t="s">
        <v>34</v>
      </c>
      <c r="H17" s="275" t="s">
        <v>34</v>
      </c>
      <c r="I17" s="175" t="s">
        <v>445</v>
      </c>
      <c r="J17" s="187" t="n">
        <v>4763</v>
      </c>
      <c r="K17" s="274" t="s">
        <v>446</v>
      </c>
      <c r="L17" s="275" t="n">
        <v>1834</v>
      </c>
      <c r="M17" s="175" t="s">
        <v>447</v>
      </c>
      <c r="N17" s="187" t="n">
        <v>7153</v>
      </c>
      <c r="O17" s="274" t="s">
        <v>448</v>
      </c>
      <c r="P17" s="275" t="n">
        <v>2798</v>
      </c>
      <c r="Q17" s="175" t="s">
        <v>449</v>
      </c>
      <c r="R17" s="187" t="n">
        <v>8697</v>
      </c>
    </row>
    <row r="18" customFormat="false" ht="15.75" hidden="false" customHeight="true" outlineLevel="0" collapsed="false">
      <c r="A18" s="78" t="s">
        <v>176</v>
      </c>
      <c r="B18" s="160" t="s">
        <v>450</v>
      </c>
      <c r="C18" s="275" t="s">
        <v>34</v>
      </c>
      <c r="D18" s="233" t="s">
        <v>34</v>
      </c>
      <c r="E18" s="187" t="s">
        <v>34</v>
      </c>
      <c r="F18" s="187" t="s">
        <v>34</v>
      </c>
      <c r="G18" s="275" t="s">
        <v>34</v>
      </c>
      <c r="H18" s="275" t="s">
        <v>34</v>
      </c>
      <c r="I18" s="187" t="s">
        <v>34</v>
      </c>
      <c r="J18" s="187" t="s">
        <v>34</v>
      </c>
      <c r="K18" s="275" t="s">
        <v>34</v>
      </c>
      <c r="L18" s="275" t="s">
        <v>34</v>
      </c>
      <c r="M18" s="187" t="s">
        <v>34</v>
      </c>
      <c r="N18" s="232" t="s">
        <v>34</v>
      </c>
      <c r="O18" s="275" t="s">
        <v>34</v>
      </c>
      <c r="P18" s="275" t="s">
        <v>34</v>
      </c>
      <c r="Q18" s="187" t="s">
        <v>34</v>
      </c>
      <c r="R18" s="232" t="s">
        <v>34</v>
      </c>
    </row>
    <row r="19" customFormat="false" ht="15.75" hidden="false" customHeight="true" outlineLevel="0" collapsed="false">
      <c r="A19" s="78" t="s">
        <v>451</v>
      </c>
      <c r="B19" s="160" t="s">
        <v>452</v>
      </c>
      <c r="C19" s="274" t="s">
        <v>453</v>
      </c>
      <c r="D19" s="285" t="n">
        <v>2970</v>
      </c>
      <c r="E19" s="175" t="s">
        <v>454</v>
      </c>
      <c r="F19" s="187" t="n">
        <v>4900</v>
      </c>
      <c r="G19" s="275" t="s">
        <v>34</v>
      </c>
      <c r="H19" s="275" t="s">
        <v>34</v>
      </c>
      <c r="I19" s="187" t="s">
        <v>34</v>
      </c>
      <c r="J19" s="187" t="s">
        <v>34</v>
      </c>
      <c r="K19" s="274" t="s">
        <v>455</v>
      </c>
      <c r="L19" s="275" t="n">
        <v>1835</v>
      </c>
      <c r="M19" s="175" t="s">
        <v>456</v>
      </c>
      <c r="N19" s="281" t="n">
        <v>7100</v>
      </c>
      <c r="O19" s="274" t="s">
        <v>457</v>
      </c>
      <c r="P19" s="275" t="n">
        <v>2840</v>
      </c>
      <c r="Q19" s="175" t="s">
        <v>458</v>
      </c>
      <c r="R19" s="281" t="n">
        <v>7730</v>
      </c>
    </row>
    <row r="20" customFormat="false" ht="15.75" hidden="false" customHeight="true" outlineLevel="0" collapsed="false">
      <c r="A20" s="280"/>
      <c r="B20" s="147"/>
      <c r="C20" s="275"/>
      <c r="D20" s="275"/>
      <c r="E20" s="187"/>
      <c r="F20" s="187"/>
      <c r="G20" s="275"/>
      <c r="H20" s="275"/>
      <c r="I20" s="187"/>
      <c r="J20" s="187"/>
      <c r="K20" s="275"/>
      <c r="L20" s="275"/>
      <c r="M20" s="187"/>
      <c r="N20" s="187"/>
      <c r="O20" s="275"/>
      <c r="P20" s="275"/>
      <c r="Q20" s="187"/>
      <c r="R20" s="187"/>
    </row>
    <row r="21" customFormat="false" ht="15.75" hidden="false" customHeight="true" outlineLevel="0" collapsed="false">
      <c r="A21" s="78" t="s">
        <v>37</v>
      </c>
      <c r="B21" s="160" t="s">
        <v>586</v>
      </c>
      <c r="C21" s="274" t="s">
        <v>460</v>
      </c>
      <c r="D21" s="275" t="n">
        <v>6479</v>
      </c>
      <c r="E21" s="187" t="s">
        <v>34</v>
      </c>
      <c r="F21" s="187" t="s">
        <v>34</v>
      </c>
      <c r="G21" s="274" t="s">
        <v>461</v>
      </c>
      <c r="H21" s="275" t="n">
        <v>5239</v>
      </c>
      <c r="I21" s="175" t="s">
        <v>462</v>
      </c>
      <c r="J21" s="187" t="n">
        <v>5019</v>
      </c>
      <c r="K21" s="274" t="s">
        <v>299</v>
      </c>
      <c r="L21" s="275" t="n">
        <v>1929</v>
      </c>
      <c r="M21" s="175" t="s">
        <v>301</v>
      </c>
      <c r="N21" s="281" t="n">
        <v>6339</v>
      </c>
      <c r="O21" s="275" t="s">
        <v>34</v>
      </c>
      <c r="P21" s="275" t="s">
        <v>34</v>
      </c>
      <c r="Q21" s="175" t="s">
        <v>463</v>
      </c>
      <c r="R21" s="187" t="n">
        <v>9159</v>
      </c>
    </row>
    <row r="22" customFormat="false" ht="15.75" hidden="false" customHeight="true" outlineLevel="0" collapsed="false">
      <c r="A22" s="78" t="s">
        <v>464</v>
      </c>
      <c r="B22" s="160" t="s">
        <v>465</v>
      </c>
      <c r="C22" s="274" t="s">
        <v>466</v>
      </c>
      <c r="D22" s="275" t="n">
        <v>3176</v>
      </c>
      <c r="E22" s="175" t="s">
        <v>467</v>
      </c>
      <c r="F22" s="187" t="n">
        <v>4979</v>
      </c>
      <c r="G22" s="274" t="s">
        <v>468</v>
      </c>
      <c r="H22" s="275" t="n">
        <v>4971</v>
      </c>
      <c r="I22" s="175" t="s">
        <v>469</v>
      </c>
      <c r="J22" s="187" t="n">
        <v>4763</v>
      </c>
      <c r="K22" s="274" t="s">
        <v>470</v>
      </c>
      <c r="L22" s="275" t="n">
        <v>1834</v>
      </c>
      <c r="M22" s="175" t="s">
        <v>471</v>
      </c>
      <c r="N22" s="281" t="n">
        <v>5631</v>
      </c>
      <c r="O22" s="274" t="s">
        <v>472</v>
      </c>
      <c r="P22" s="275" t="n">
        <v>2798</v>
      </c>
      <c r="Q22" s="175" t="s">
        <v>473</v>
      </c>
      <c r="R22" s="187" t="n">
        <v>8697</v>
      </c>
    </row>
    <row r="23" customFormat="false" ht="15.75" hidden="false" customHeight="true" outlineLevel="0" collapsed="false">
      <c r="A23" s="78" t="s">
        <v>474</v>
      </c>
      <c r="B23" s="160" t="s">
        <v>475</v>
      </c>
      <c r="C23" s="274" t="s">
        <v>476</v>
      </c>
      <c r="D23" s="275" t="n">
        <v>4947</v>
      </c>
      <c r="E23" s="187" t="s">
        <v>34</v>
      </c>
      <c r="F23" s="187" t="s">
        <v>34</v>
      </c>
      <c r="G23" s="275" t="s">
        <v>34</v>
      </c>
      <c r="H23" s="275" t="s">
        <v>34</v>
      </c>
      <c r="I23" s="187" t="s">
        <v>34</v>
      </c>
      <c r="J23" s="187" t="s">
        <v>34</v>
      </c>
      <c r="K23" s="274" t="s">
        <v>477</v>
      </c>
      <c r="L23" s="275" t="n">
        <v>2005</v>
      </c>
      <c r="M23" s="187" t="s">
        <v>34</v>
      </c>
      <c r="N23" s="187" t="s">
        <v>34</v>
      </c>
      <c r="O23" s="274" t="s">
        <v>478</v>
      </c>
      <c r="P23" s="275" t="s">
        <v>34</v>
      </c>
      <c r="Q23" s="187" t="s">
        <v>34</v>
      </c>
      <c r="R23" s="187" t="s">
        <v>34</v>
      </c>
    </row>
    <row r="24" customFormat="false" ht="15.75" hidden="false" customHeight="true" outlineLevel="0" collapsed="false">
      <c r="A24" s="78" t="s">
        <v>25</v>
      </c>
      <c r="B24" s="160" t="s">
        <v>593</v>
      </c>
      <c r="C24" s="274" t="s">
        <v>480</v>
      </c>
      <c r="D24" s="275" t="n">
        <v>3176</v>
      </c>
      <c r="E24" s="175" t="s">
        <v>481</v>
      </c>
      <c r="F24" s="187" t="n">
        <v>4901</v>
      </c>
      <c r="G24" s="274" t="s">
        <v>482</v>
      </c>
      <c r="H24" s="281" t="n">
        <v>3935</v>
      </c>
      <c r="I24" s="175" t="s">
        <v>483</v>
      </c>
      <c r="J24" s="187" t="n">
        <v>4763</v>
      </c>
      <c r="K24" s="274" t="s">
        <v>484</v>
      </c>
      <c r="L24" s="275" t="n">
        <v>1834</v>
      </c>
      <c r="M24" s="175" t="s">
        <v>485</v>
      </c>
      <c r="N24" s="187" t="n">
        <v>7134</v>
      </c>
      <c r="O24" s="274" t="s">
        <v>486</v>
      </c>
      <c r="P24" s="275" t="n">
        <v>2798</v>
      </c>
      <c r="Q24" s="175" t="s">
        <v>487</v>
      </c>
      <c r="R24" s="187" t="n">
        <v>8697</v>
      </c>
    </row>
    <row r="25" customFormat="false" ht="15.75" hidden="false" customHeight="true" outlineLevel="0" collapsed="false">
      <c r="A25" s="78" t="s">
        <v>123</v>
      </c>
      <c r="B25" s="160" t="s">
        <v>488</v>
      </c>
      <c r="C25" s="275" t="s">
        <v>34</v>
      </c>
      <c r="D25" s="275" t="s">
        <v>34</v>
      </c>
      <c r="E25" s="187" t="s">
        <v>34</v>
      </c>
      <c r="F25" s="187" t="s">
        <v>34</v>
      </c>
      <c r="G25" s="275" t="s">
        <v>34</v>
      </c>
      <c r="H25" s="275" t="s">
        <v>34</v>
      </c>
      <c r="I25" s="187" t="s">
        <v>34</v>
      </c>
      <c r="J25" s="187" t="s">
        <v>34</v>
      </c>
      <c r="K25" s="275" t="s">
        <v>34</v>
      </c>
      <c r="L25" s="275" t="s">
        <v>34</v>
      </c>
      <c r="M25" s="187" t="s">
        <v>34</v>
      </c>
      <c r="N25" s="187" t="s">
        <v>34</v>
      </c>
      <c r="O25" s="275" t="s">
        <v>34</v>
      </c>
      <c r="P25" s="275" t="s">
        <v>34</v>
      </c>
      <c r="Q25" s="187" t="s">
        <v>34</v>
      </c>
      <c r="R25" s="187" t="s">
        <v>34</v>
      </c>
    </row>
    <row r="26" customFormat="false" ht="15.75" hidden="false" customHeight="true" outlineLevel="0" collapsed="false">
      <c r="A26" s="78" t="s">
        <v>124</v>
      </c>
      <c r="B26" s="160" t="s">
        <v>599</v>
      </c>
      <c r="C26" s="274" t="s">
        <v>490</v>
      </c>
      <c r="D26" s="275" t="n">
        <v>3294</v>
      </c>
      <c r="E26" s="187" t="s">
        <v>34</v>
      </c>
      <c r="F26" s="187" t="s">
        <v>34</v>
      </c>
      <c r="G26" s="275" t="s">
        <v>34</v>
      </c>
      <c r="H26" s="275" t="s">
        <v>34</v>
      </c>
      <c r="I26" s="175" t="s">
        <v>491</v>
      </c>
      <c r="J26" s="187" t="n">
        <v>4906</v>
      </c>
      <c r="K26" s="274" t="s">
        <v>492</v>
      </c>
      <c r="L26" s="281" t="n">
        <v>1808</v>
      </c>
      <c r="M26" s="187" t="s">
        <v>34</v>
      </c>
      <c r="N26" s="187" t="s">
        <v>34</v>
      </c>
      <c r="O26" s="274" t="s">
        <v>493</v>
      </c>
      <c r="P26" s="275" t="n">
        <v>2840</v>
      </c>
      <c r="Q26" s="187" t="s">
        <v>34</v>
      </c>
      <c r="R26" s="187" t="s">
        <v>34</v>
      </c>
    </row>
    <row r="27" customFormat="false" ht="15.75" hidden="false" customHeight="true" outlineLevel="0" collapsed="false">
      <c r="A27" s="78" t="s">
        <v>38</v>
      </c>
      <c r="B27" s="147" t="s">
        <v>494</v>
      </c>
      <c r="C27" s="274" t="s">
        <v>495</v>
      </c>
      <c r="D27" s="275" t="n">
        <v>4446</v>
      </c>
      <c r="E27" s="175" t="s">
        <v>496</v>
      </c>
      <c r="F27" s="187" t="n">
        <v>6739</v>
      </c>
      <c r="G27" s="275" t="s">
        <v>34</v>
      </c>
      <c r="H27" s="275" t="s">
        <v>34</v>
      </c>
      <c r="I27" s="175" t="s">
        <v>497</v>
      </c>
      <c r="J27" s="187" t="n">
        <v>4906</v>
      </c>
      <c r="K27" s="274" t="s">
        <v>498</v>
      </c>
      <c r="L27" s="281" t="n">
        <v>1808</v>
      </c>
      <c r="M27" s="187" t="s">
        <v>34</v>
      </c>
      <c r="N27" s="187" t="s">
        <v>34</v>
      </c>
      <c r="O27" s="274" t="s">
        <v>499</v>
      </c>
      <c r="P27" s="275" t="n">
        <v>2840</v>
      </c>
      <c r="Q27" s="175" t="s">
        <v>500</v>
      </c>
      <c r="R27" s="187" t="n">
        <v>8697</v>
      </c>
    </row>
    <row r="28" customFormat="false" ht="15.75" hidden="false" customHeight="true" outlineLevel="0" collapsed="false">
      <c r="A28" s="78" t="s">
        <v>39</v>
      </c>
      <c r="B28" s="147" t="s">
        <v>173</v>
      </c>
      <c r="C28" s="274" t="s">
        <v>501</v>
      </c>
      <c r="D28" s="275" t="n">
        <v>3294</v>
      </c>
      <c r="E28" s="187" t="s">
        <v>34</v>
      </c>
      <c r="F28" s="187" t="s">
        <v>34</v>
      </c>
      <c r="G28" s="274" t="s">
        <v>502</v>
      </c>
      <c r="H28" s="275" t="n">
        <v>4971</v>
      </c>
      <c r="I28" s="175" t="s">
        <v>503</v>
      </c>
      <c r="J28" s="187" t="n">
        <v>4763</v>
      </c>
      <c r="K28" s="274" t="s">
        <v>504</v>
      </c>
      <c r="L28" s="275" t="n">
        <v>1834</v>
      </c>
      <c r="M28" s="187" t="s">
        <v>34</v>
      </c>
      <c r="N28" s="187" t="s">
        <v>34</v>
      </c>
      <c r="O28" s="274" t="s">
        <v>505</v>
      </c>
      <c r="P28" s="275" t="n">
        <v>2798</v>
      </c>
      <c r="Q28" s="187" t="s">
        <v>34</v>
      </c>
      <c r="R28" s="187" t="s">
        <v>34</v>
      </c>
    </row>
    <row r="29" customFormat="false" ht="15.75" hidden="false" customHeight="true" outlineLevel="0" collapsed="false">
      <c r="A29" s="78" t="s">
        <v>40</v>
      </c>
      <c r="B29" s="147" t="s">
        <v>506</v>
      </c>
      <c r="C29" s="274" t="s">
        <v>507</v>
      </c>
      <c r="D29" s="275" t="n">
        <v>3343</v>
      </c>
      <c r="E29" s="187" t="s">
        <v>34</v>
      </c>
      <c r="F29" s="187" t="s">
        <v>34</v>
      </c>
      <c r="G29" s="275" t="s">
        <v>34</v>
      </c>
      <c r="H29" s="275" t="s">
        <v>34</v>
      </c>
      <c r="I29" s="175" t="s">
        <v>508</v>
      </c>
      <c r="J29" s="187" t="n">
        <v>5013</v>
      </c>
      <c r="K29" s="274" t="s">
        <v>509</v>
      </c>
      <c r="L29" s="275" t="n">
        <v>1895</v>
      </c>
      <c r="M29" s="187" t="s">
        <v>34</v>
      </c>
      <c r="N29" s="187" t="s">
        <v>34</v>
      </c>
      <c r="O29" s="274" t="s">
        <v>510</v>
      </c>
      <c r="P29" s="275" t="n">
        <v>2945</v>
      </c>
      <c r="Q29" s="175" t="s">
        <v>511</v>
      </c>
      <c r="R29" s="187" t="n">
        <v>9154</v>
      </c>
    </row>
    <row r="30" customFormat="false" ht="15.75" hidden="false" customHeight="true" outlineLevel="0" collapsed="false">
      <c r="A30" s="74"/>
      <c r="B30" s="146"/>
      <c r="C30" s="265"/>
      <c r="D30" s="265"/>
      <c r="E30" s="76"/>
      <c r="F30" s="76"/>
      <c r="G30" s="265"/>
      <c r="H30" s="265"/>
      <c r="I30" s="76"/>
      <c r="J30" s="76"/>
      <c r="K30" s="265"/>
      <c r="L30" s="265"/>
      <c r="M30" s="76"/>
      <c r="N30" s="76"/>
      <c r="O30" s="265"/>
      <c r="P30" s="265"/>
      <c r="Q30" s="76"/>
      <c r="R30" s="76"/>
    </row>
    <row r="31" customFormat="false" ht="15.75" hidden="false" customHeight="true" outlineLevel="0" collapsed="false">
      <c r="A31" s="74"/>
      <c r="B31" s="146"/>
      <c r="C31" s="265"/>
      <c r="D31" s="265"/>
      <c r="E31" s="76"/>
      <c r="F31" s="76"/>
      <c r="G31" s="265"/>
      <c r="H31" s="265"/>
      <c r="I31" s="76"/>
      <c r="J31" s="76"/>
      <c r="K31" s="265"/>
      <c r="L31" s="265"/>
      <c r="M31" s="76"/>
      <c r="N31" s="76"/>
      <c r="O31" s="265"/>
      <c r="P31" s="265"/>
      <c r="Q31" s="76"/>
      <c r="R31" s="76"/>
    </row>
    <row r="32" customFormat="false" ht="15.75" hidden="false" customHeight="true" outlineLevel="0" collapsed="false">
      <c r="A32" s="74"/>
      <c r="B32" s="146"/>
      <c r="C32" s="265"/>
      <c r="D32" s="265"/>
      <c r="E32" s="76"/>
      <c r="F32" s="76"/>
      <c r="G32" s="265"/>
      <c r="H32" s="265"/>
      <c r="I32" s="76"/>
      <c r="J32" s="76"/>
      <c r="K32" s="265"/>
      <c r="L32" s="265"/>
      <c r="M32" s="76"/>
      <c r="N32" s="76"/>
      <c r="O32" s="265"/>
      <c r="P32" s="265"/>
      <c r="Q32" s="76"/>
      <c r="R32" s="76"/>
    </row>
    <row r="33" customFormat="false" ht="15.75" hidden="false" customHeight="true" outlineLevel="0" collapsed="false">
      <c r="A33" s="74"/>
      <c r="B33" s="146"/>
      <c r="C33" s="265"/>
      <c r="D33" s="265"/>
      <c r="E33" s="76"/>
      <c r="F33" s="76"/>
      <c r="G33" s="265"/>
      <c r="H33" s="265"/>
      <c r="I33" s="76"/>
      <c r="J33" s="76"/>
      <c r="K33" s="265"/>
      <c r="L33" s="265"/>
      <c r="M33" s="76"/>
      <c r="N33" s="76"/>
      <c r="O33" s="265"/>
      <c r="P33" s="265"/>
      <c r="Q33" s="76"/>
      <c r="R33" s="76"/>
    </row>
    <row r="34" customFormat="false" ht="15.75" hidden="false" customHeight="true" outlineLevel="0" collapsed="false">
      <c r="A34" s="74"/>
      <c r="B34" s="146"/>
      <c r="C34" s="265"/>
      <c r="D34" s="265"/>
      <c r="E34" s="76"/>
      <c r="F34" s="76"/>
      <c r="G34" s="265"/>
      <c r="H34" s="265"/>
      <c r="I34" s="76"/>
      <c r="J34" s="76"/>
      <c r="K34" s="265"/>
      <c r="L34" s="265"/>
      <c r="M34" s="76"/>
      <c r="N34" s="76"/>
      <c r="O34" s="265"/>
      <c r="P34" s="265"/>
      <c r="Q34" s="76"/>
      <c r="R34" s="76"/>
    </row>
    <row r="35" customFormat="false" ht="15.75" hidden="false" customHeight="true" outlineLevel="0" collapsed="false">
      <c r="A35" s="74"/>
      <c r="B35" s="146"/>
      <c r="C35" s="265"/>
      <c r="D35" s="265"/>
      <c r="E35" s="76"/>
      <c r="F35" s="76"/>
      <c r="G35" s="265"/>
      <c r="H35" s="265"/>
      <c r="I35" s="76"/>
      <c r="J35" s="76"/>
      <c r="K35" s="265"/>
      <c r="L35" s="265"/>
      <c r="M35" s="76"/>
      <c r="N35" s="76"/>
      <c r="O35" s="265"/>
      <c r="P35" s="265"/>
      <c r="Q35" s="76"/>
      <c r="R35" s="76"/>
    </row>
    <row r="36" customFormat="false" ht="15.75" hidden="false" customHeight="true" outlineLevel="0" collapsed="false">
      <c r="A36" s="74"/>
      <c r="B36" s="146"/>
      <c r="C36" s="265"/>
      <c r="D36" s="265"/>
      <c r="E36" s="76"/>
      <c r="F36" s="76"/>
      <c r="G36" s="265"/>
      <c r="H36" s="265"/>
      <c r="I36" s="76"/>
      <c r="J36" s="76"/>
      <c r="K36" s="265"/>
      <c r="L36" s="265"/>
      <c r="M36" s="76"/>
      <c r="N36" s="76"/>
      <c r="O36" s="265"/>
      <c r="P36" s="265"/>
      <c r="Q36" s="76"/>
      <c r="R36" s="76"/>
    </row>
    <row r="37" customFormat="false" ht="15.75" hidden="false" customHeight="true" outlineLevel="0" collapsed="false">
      <c r="A37" s="74"/>
      <c r="B37" s="146"/>
      <c r="C37" s="265"/>
      <c r="D37" s="265"/>
      <c r="E37" s="76"/>
      <c r="F37" s="76"/>
      <c r="G37" s="265"/>
      <c r="H37" s="265"/>
      <c r="I37" s="76"/>
      <c r="J37" s="76"/>
      <c r="K37" s="265"/>
      <c r="L37" s="265"/>
      <c r="M37" s="76"/>
      <c r="N37" s="76"/>
      <c r="O37" s="265"/>
      <c r="P37" s="265"/>
      <c r="Q37" s="76"/>
      <c r="R37" s="76"/>
    </row>
    <row r="38" customFormat="false" ht="15.75" hidden="false" customHeight="true" outlineLevel="0" collapsed="false">
      <c r="A38" s="74"/>
      <c r="B38" s="146"/>
      <c r="C38" s="265"/>
      <c r="D38" s="265"/>
      <c r="E38" s="76"/>
      <c r="F38" s="76"/>
      <c r="G38" s="265"/>
      <c r="H38" s="265"/>
      <c r="I38" s="76"/>
      <c r="J38" s="76"/>
      <c r="K38" s="265"/>
      <c r="L38" s="265"/>
      <c r="M38" s="76"/>
      <c r="N38" s="76"/>
      <c r="O38" s="265"/>
      <c r="P38" s="265"/>
      <c r="Q38" s="76"/>
      <c r="R38" s="76"/>
    </row>
    <row r="39" customFormat="false" ht="15.75" hidden="false" customHeight="true" outlineLevel="0" collapsed="false">
      <c r="A39" s="74"/>
      <c r="B39" s="146"/>
      <c r="C39" s="265"/>
      <c r="D39" s="265"/>
      <c r="E39" s="76"/>
      <c r="F39" s="76"/>
      <c r="G39" s="265"/>
      <c r="H39" s="265"/>
      <c r="I39" s="76"/>
      <c r="J39" s="76"/>
      <c r="K39" s="265"/>
      <c r="L39" s="265"/>
      <c r="M39" s="76"/>
      <c r="N39" s="76"/>
      <c r="O39" s="265"/>
      <c r="P39" s="265"/>
      <c r="Q39" s="76"/>
      <c r="R39" s="76"/>
    </row>
    <row r="40" customFormat="false" ht="15.75" hidden="false" customHeight="true" outlineLevel="0" collapsed="false">
      <c r="A40" s="74"/>
      <c r="B40" s="146"/>
      <c r="C40" s="265"/>
      <c r="D40" s="265"/>
      <c r="E40" s="76"/>
      <c r="F40" s="76"/>
      <c r="G40" s="265"/>
      <c r="H40" s="265"/>
      <c r="I40" s="76"/>
      <c r="J40" s="76"/>
      <c r="K40" s="265"/>
      <c r="L40" s="265"/>
      <c r="M40" s="76"/>
      <c r="N40" s="76"/>
      <c r="O40" s="265"/>
      <c r="P40" s="265"/>
      <c r="Q40" s="76"/>
      <c r="R40" s="76"/>
    </row>
    <row r="41" customFormat="false" ht="15.75" hidden="false" customHeight="true" outlineLevel="0" collapsed="false">
      <c r="A41" s="74"/>
      <c r="B41" s="146"/>
      <c r="C41" s="265"/>
      <c r="D41" s="265"/>
      <c r="E41" s="76"/>
      <c r="F41" s="76"/>
      <c r="G41" s="265"/>
      <c r="H41" s="265"/>
      <c r="I41" s="76"/>
      <c r="J41" s="76"/>
      <c r="K41" s="265"/>
      <c r="L41" s="265"/>
      <c r="M41" s="76"/>
      <c r="N41" s="76"/>
      <c r="O41" s="265"/>
      <c r="P41" s="265"/>
      <c r="Q41" s="76"/>
      <c r="R41" s="76"/>
    </row>
    <row r="42" customFormat="false" ht="15.75" hidden="false" customHeight="true" outlineLevel="0" collapsed="false">
      <c r="A42" s="74"/>
      <c r="B42" s="146"/>
      <c r="C42" s="265"/>
      <c r="D42" s="265"/>
      <c r="E42" s="76"/>
      <c r="F42" s="76"/>
      <c r="G42" s="265"/>
      <c r="H42" s="265"/>
      <c r="I42" s="76"/>
      <c r="J42" s="76"/>
      <c r="K42" s="265"/>
      <c r="L42" s="265"/>
      <c r="M42" s="76"/>
      <c r="N42" s="76"/>
      <c r="O42" s="265"/>
      <c r="P42" s="265"/>
      <c r="Q42" s="76"/>
      <c r="R42" s="76"/>
    </row>
    <row r="43" customFormat="false" ht="15.75" hidden="false" customHeight="true" outlineLevel="0" collapsed="false">
      <c r="A43" s="74"/>
      <c r="B43" s="146"/>
      <c r="C43" s="265"/>
      <c r="D43" s="265"/>
      <c r="E43" s="76"/>
      <c r="F43" s="76"/>
      <c r="G43" s="265"/>
      <c r="H43" s="265"/>
      <c r="I43" s="76"/>
      <c r="J43" s="76"/>
      <c r="K43" s="265"/>
      <c r="L43" s="265"/>
      <c r="M43" s="76"/>
      <c r="N43" s="76"/>
      <c r="O43" s="265"/>
      <c r="P43" s="265"/>
      <c r="Q43" s="76"/>
      <c r="R43" s="76"/>
    </row>
    <row r="44" customFormat="false" ht="15.75" hidden="false" customHeight="true" outlineLevel="0" collapsed="false">
      <c r="A44" s="74"/>
      <c r="B44" s="146"/>
      <c r="C44" s="265"/>
      <c r="D44" s="265"/>
      <c r="E44" s="76"/>
      <c r="F44" s="76"/>
      <c r="G44" s="265"/>
      <c r="H44" s="265"/>
      <c r="I44" s="76"/>
      <c r="J44" s="76"/>
      <c r="K44" s="265"/>
      <c r="L44" s="265"/>
      <c r="M44" s="76"/>
      <c r="N44" s="76"/>
      <c r="O44" s="265"/>
      <c r="P44" s="265"/>
      <c r="Q44" s="76"/>
      <c r="R44" s="76"/>
    </row>
    <row r="45" customFormat="false" ht="15.75" hidden="false" customHeight="true" outlineLevel="0" collapsed="false">
      <c r="A45" s="74"/>
      <c r="B45" s="146"/>
      <c r="C45" s="265"/>
      <c r="D45" s="265"/>
      <c r="E45" s="76"/>
      <c r="F45" s="76"/>
      <c r="G45" s="265"/>
      <c r="H45" s="265"/>
      <c r="I45" s="76"/>
      <c r="J45" s="76"/>
      <c r="K45" s="265"/>
      <c r="L45" s="265"/>
      <c r="M45" s="76"/>
      <c r="N45" s="76"/>
      <c r="O45" s="265"/>
      <c r="P45" s="265"/>
      <c r="Q45" s="76"/>
      <c r="R45" s="76"/>
    </row>
    <row r="46" customFormat="false" ht="15.75" hidden="false" customHeight="true" outlineLevel="0" collapsed="false">
      <c r="A46" s="74"/>
      <c r="B46" s="146"/>
      <c r="C46" s="265"/>
      <c r="D46" s="265"/>
      <c r="E46" s="76"/>
      <c r="F46" s="76"/>
      <c r="G46" s="265"/>
      <c r="H46" s="265"/>
      <c r="I46" s="76"/>
      <c r="J46" s="76"/>
      <c r="K46" s="265"/>
      <c r="L46" s="265"/>
      <c r="M46" s="76"/>
      <c r="N46" s="76"/>
      <c r="O46" s="265"/>
      <c r="P46" s="265"/>
      <c r="Q46" s="76"/>
      <c r="R46" s="76"/>
    </row>
    <row r="47" customFormat="false" ht="15.75" hidden="false" customHeight="true" outlineLevel="0" collapsed="false">
      <c r="A47" s="74"/>
      <c r="B47" s="146"/>
      <c r="C47" s="265"/>
      <c r="D47" s="265"/>
      <c r="E47" s="76"/>
      <c r="F47" s="76"/>
      <c r="G47" s="265"/>
      <c r="H47" s="265"/>
      <c r="I47" s="76"/>
      <c r="J47" s="76"/>
      <c r="K47" s="265"/>
      <c r="L47" s="265"/>
      <c r="M47" s="76"/>
      <c r="N47" s="76"/>
      <c r="O47" s="265"/>
      <c r="P47" s="265"/>
      <c r="Q47" s="76"/>
      <c r="R47" s="76"/>
    </row>
    <row r="48" customFormat="false" ht="15.75" hidden="false" customHeight="true" outlineLevel="0" collapsed="false">
      <c r="A48" s="74"/>
      <c r="B48" s="146"/>
      <c r="C48" s="265"/>
      <c r="D48" s="265"/>
      <c r="E48" s="76"/>
      <c r="F48" s="76"/>
      <c r="G48" s="265"/>
      <c r="H48" s="265"/>
      <c r="I48" s="76"/>
      <c r="J48" s="76"/>
      <c r="K48" s="265"/>
      <c r="L48" s="265"/>
      <c r="M48" s="76"/>
      <c r="N48" s="76"/>
      <c r="O48" s="265"/>
      <c r="P48" s="265"/>
      <c r="Q48" s="76"/>
      <c r="R48" s="76"/>
    </row>
    <row r="49" customFormat="false" ht="15.75" hidden="false" customHeight="true" outlineLevel="0" collapsed="false">
      <c r="A49" s="74"/>
      <c r="B49" s="146"/>
      <c r="C49" s="265"/>
      <c r="D49" s="265"/>
      <c r="E49" s="76"/>
      <c r="F49" s="76"/>
      <c r="G49" s="265"/>
      <c r="H49" s="265"/>
      <c r="I49" s="76"/>
      <c r="J49" s="76"/>
      <c r="K49" s="265"/>
      <c r="L49" s="265"/>
      <c r="M49" s="76"/>
      <c r="N49" s="76"/>
      <c r="O49" s="265"/>
      <c r="P49" s="265"/>
      <c r="Q49" s="76"/>
      <c r="R49" s="76"/>
    </row>
    <row r="50" customFormat="false" ht="15.75" hidden="false" customHeight="true" outlineLevel="0" collapsed="false">
      <c r="A50" s="74"/>
      <c r="B50" s="146"/>
      <c r="C50" s="265"/>
      <c r="D50" s="265"/>
      <c r="E50" s="76"/>
      <c r="F50" s="76"/>
      <c r="G50" s="265"/>
      <c r="H50" s="265"/>
      <c r="I50" s="76"/>
      <c r="J50" s="76"/>
      <c r="K50" s="265"/>
      <c r="L50" s="265"/>
      <c r="M50" s="76"/>
      <c r="N50" s="76"/>
      <c r="O50" s="265"/>
      <c r="P50" s="265"/>
      <c r="Q50" s="76"/>
      <c r="R50" s="76"/>
    </row>
    <row r="51" customFormat="false" ht="15.75" hidden="false" customHeight="true" outlineLevel="0" collapsed="false">
      <c r="A51" s="74"/>
      <c r="B51" s="146"/>
      <c r="C51" s="265"/>
      <c r="D51" s="265"/>
      <c r="E51" s="76"/>
      <c r="F51" s="76"/>
      <c r="G51" s="265"/>
      <c r="H51" s="265"/>
      <c r="I51" s="76"/>
      <c r="J51" s="76"/>
      <c r="K51" s="265"/>
      <c r="L51" s="265"/>
      <c r="M51" s="76"/>
      <c r="N51" s="76"/>
      <c r="O51" s="265"/>
      <c r="P51" s="265"/>
      <c r="Q51" s="76"/>
      <c r="R51" s="76"/>
    </row>
    <row r="52" customFormat="false" ht="15.75" hidden="false" customHeight="true" outlineLevel="0" collapsed="false">
      <c r="A52" s="74"/>
      <c r="B52" s="146"/>
      <c r="C52" s="265"/>
      <c r="D52" s="265"/>
      <c r="E52" s="76"/>
      <c r="F52" s="76"/>
      <c r="G52" s="265"/>
      <c r="H52" s="265"/>
      <c r="I52" s="76"/>
      <c r="J52" s="76"/>
      <c r="K52" s="265"/>
      <c r="L52" s="265"/>
      <c r="M52" s="76"/>
      <c r="N52" s="76"/>
      <c r="O52" s="265"/>
      <c r="P52" s="265"/>
      <c r="Q52" s="76"/>
      <c r="R52" s="76"/>
    </row>
    <row r="53" customFormat="false" ht="15.75" hidden="false" customHeight="true" outlineLevel="0" collapsed="false">
      <c r="A53" s="74"/>
      <c r="B53" s="146"/>
      <c r="C53" s="265"/>
      <c r="D53" s="265"/>
      <c r="E53" s="76"/>
      <c r="F53" s="76"/>
      <c r="G53" s="265"/>
      <c r="H53" s="265"/>
      <c r="I53" s="76"/>
      <c r="J53" s="76"/>
      <c r="K53" s="265"/>
      <c r="L53" s="265"/>
      <c r="M53" s="76"/>
      <c r="N53" s="76"/>
      <c r="O53" s="265"/>
      <c r="P53" s="265"/>
      <c r="Q53" s="76"/>
      <c r="R53" s="76"/>
    </row>
    <row r="54" customFormat="false" ht="15.75" hidden="false" customHeight="true" outlineLevel="0" collapsed="false">
      <c r="A54" s="74"/>
      <c r="B54" s="146"/>
      <c r="C54" s="265"/>
      <c r="D54" s="265"/>
      <c r="E54" s="76"/>
      <c r="F54" s="76"/>
      <c r="G54" s="265"/>
      <c r="H54" s="265"/>
      <c r="I54" s="76"/>
      <c r="J54" s="76"/>
      <c r="K54" s="265"/>
      <c r="L54" s="265"/>
      <c r="M54" s="76"/>
      <c r="N54" s="76"/>
      <c r="O54" s="265"/>
      <c r="P54" s="265"/>
      <c r="Q54" s="76"/>
      <c r="R54" s="76"/>
    </row>
    <row r="55" customFormat="false" ht="15.75" hidden="false" customHeight="true" outlineLevel="0" collapsed="false">
      <c r="A55" s="74"/>
      <c r="B55" s="146"/>
      <c r="C55" s="265"/>
      <c r="D55" s="265"/>
      <c r="E55" s="76"/>
      <c r="F55" s="76"/>
      <c r="G55" s="265"/>
      <c r="H55" s="265"/>
      <c r="I55" s="76"/>
      <c r="J55" s="76"/>
      <c r="K55" s="265"/>
      <c r="L55" s="265"/>
      <c r="M55" s="76"/>
      <c r="N55" s="76"/>
      <c r="O55" s="265"/>
      <c r="P55" s="265"/>
      <c r="Q55" s="76"/>
      <c r="R55" s="76"/>
    </row>
    <row r="56" customFormat="false" ht="15.75" hidden="false" customHeight="true" outlineLevel="0" collapsed="false">
      <c r="A56" s="74"/>
      <c r="B56" s="146"/>
      <c r="C56" s="265"/>
      <c r="D56" s="265"/>
      <c r="E56" s="76"/>
      <c r="F56" s="76"/>
      <c r="G56" s="265"/>
      <c r="H56" s="265"/>
      <c r="I56" s="76"/>
      <c r="J56" s="76"/>
      <c r="K56" s="265"/>
      <c r="L56" s="265"/>
      <c r="M56" s="76"/>
      <c r="N56" s="76"/>
      <c r="O56" s="265"/>
      <c r="P56" s="265"/>
      <c r="Q56" s="76"/>
      <c r="R56" s="76"/>
    </row>
    <row r="57" customFormat="false" ht="15.75" hidden="false" customHeight="true" outlineLevel="0" collapsed="false">
      <c r="A57" s="74"/>
      <c r="B57" s="146"/>
      <c r="C57" s="265"/>
      <c r="D57" s="265"/>
      <c r="E57" s="76"/>
      <c r="F57" s="76"/>
      <c r="G57" s="265"/>
      <c r="H57" s="265"/>
      <c r="I57" s="76"/>
      <c r="J57" s="76"/>
      <c r="K57" s="265"/>
      <c r="L57" s="265"/>
      <c r="M57" s="76"/>
      <c r="N57" s="76"/>
      <c r="O57" s="265"/>
      <c r="P57" s="265"/>
      <c r="Q57" s="76"/>
      <c r="R57" s="76"/>
    </row>
    <row r="58" customFormat="false" ht="15.75" hidden="false" customHeight="true" outlineLevel="0" collapsed="false">
      <c r="A58" s="74"/>
      <c r="B58" s="146"/>
      <c r="C58" s="265"/>
      <c r="D58" s="265"/>
      <c r="E58" s="76"/>
      <c r="F58" s="76"/>
      <c r="G58" s="265"/>
      <c r="H58" s="265"/>
      <c r="I58" s="76"/>
      <c r="J58" s="76"/>
      <c r="K58" s="265"/>
      <c r="L58" s="265"/>
      <c r="M58" s="76"/>
      <c r="N58" s="76"/>
      <c r="O58" s="265"/>
      <c r="P58" s="265"/>
      <c r="Q58" s="76"/>
      <c r="R58" s="76"/>
    </row>
    <row r="59" customFormat="false" ht="15.75" hidden="false" customHeight="true" outlineLevel="0" collapsed="false">
      <c r="A59" s="74"/>
      <c r="B59" s="146"/>
      <c r="C59" s="265"/>
      <c r="D59" s="265"/>
      <c r="E59" s="76"/>
      <c r="F59" s="76"/>
      <c r="G59" s="265"/>
      <c r="H59" s="265"/>
      <c r="I59" s="76"/>
      <c r="J59" s="76"/>
      <c r="K59" s="265"/>
      <c r="L59" s="265"/>
      <c r="M59" s="76"/>
      <c r="N59" s="76"/>
      <c r="O59" s="265"/>
      <c r="P59" s="265"/>
      <c r="Q59" s="76"/>
      <c r="R59" s="76"/>
    </row>
    <row r="60" customFormat="false" ht="15.75" hidden="false" customHeight="true" outlineLevel="0" collapsed="false">
      <c r="A60" s="74"/>
      <c r="B60" s="146"/>
      <c r="C60" s="265"/>
      <c r="D60" s="265"/>
      <c r="E60" s="76"/>
      <c r="F60" s="76"/>
      <c r="G60" s="265"/>
      <c r="H60" s="265"/>
      <c r="I60" s="76"/>
      <c r="J60" s="76"/>
      <c r="K60" s="265"/>
      <c r="L60" s="265"/>
      <c r="M60" s="76"/>
      <c r="N60" s="76"/>
      <c r="O60" s="265"/>
      <c r="P60" s="265"/>
      <c r="Q60" s="76"/>
      <c r="R60" s="76"/>
    </row>
    <row r="61" customFormat="false" ht="15.75" hidden="false" customHeight="true" outlineLevel="0" collapsed="false">
      <c r="A61" s="74"/>
      <c r="B61" s="146"/>
      <c r="C61" s="265"/>
      <c r="D61" s="265"/>
      <c r="E61" s="76"/>
      <c r="F61" s="76"/>
      <c r="G61" s="265"/>
      <c r="H61" s="265"/>
      <c r="I61" s="76"/>
      <c r="J61" s="76"/>
      <c r="K61" s="265"/>
      <c r="L61" s="265"/>
      <c r="M61" s="76"/>
      <c r="N61" s="76"/>
      <c r="O61" s="265"/>
      <c r="P61" s="265"/>
      <c r="Q61" s="76"/>
      <c r="R61" s="76"/>
    </row>
    <row r="62" customFormat="false" ht="15.75" hidden="false" customHeight="true" outlineLevel="0" collapsed="false">
      <c r="A62" s="74"/>
      <c r="B62" s="146"/>
      <c r="C62" s="265"/>
      <c r="D62" s="265"/>
      <c r="E62" s="76"/>
      <c r="F62" s="76"/>
      <c r="G62" s="265"/>
      <c r="H62" s="265"/>
      <c r="I62" s="76"/>
      <c r="J62" s="76"/>
      <c r="K62" s="265"/>
      <c r="L62" s="265"/>
      <c r="M62" s="76"/>
      <c r="N62" s="76"/>
      <c r="O62" s="265"/>
      <c r="P62" s="265"/>
      <c r="Q62" s="76"/>
      <c r="R62" s="76"/>
    </row>
    <row r="63" customFormat="false" ht="15.75" hidden="false" customHeight="true" outlineLevel="0" collapsed="false">
      <c r="A63" s="74"/>
      <c r="B63" s="146"/>
      <c r="C63" s="265"/>
      <c r="D63" s="265"/>
      <c r="E63" s="76"/>
      <c r="F63" s="76"/>
      <c r="G63" s="265"/>
      <c r="H63" s="265"/>
      <c r="I63" s="76"/>
      <c r="J63" s="76"/>
      <c r="K63" s="265"/>
      <c r="L63" s="265"/>
      <c r="M63" s="76"/>
      <c r="N63" s="76"/>
      <c r="O63" s="265"/>
      <c r="P63" s="265"/>
      <c r="Q63" s="76"/>
      <c r="R63" s="76"/>
    </row>
    <row r="64" customFormat="false" ht="15.75" hidden="false" customHeight="true" outlineLevel="0" collapsed="false">
      <c r="A64" s="74"/>
      <c r="B64" s="146"/>
      <c r="C64" s="265"/>
      <c r="D64" s="265"/>
      <c r="E64" s="76"/>
      <c r="F64" s="76"/>
      <c r="G64" s="265"/>
      <c r="H64" s="265"/>
      <c r="I64" s="76"/>
      <c r="J64" s="76"/>
      <c r="K64" s="265"/>
      <c r="L64" s="265"/>
      <c r="M64" s="76"/>
      <c r="N64" s="76"/>
      <c r="O64" s="265"/>
      <c r="P64" s="265"/>
      <c r="Q64" s="76"/>
      <c r="R64" s="76"/>
    </row>
    <row r="65" customFormat="false" ht="15.75" hidden="false" customHeight="true" outlineLevel="0" collapsed="false">
      <c r="A65" s="74"/>
      <c r="B65" s="146"/>
      <c r="C65" s="265"/>
      <c r="D65" s="265"/>
      <c r="E65" s="76"/>
      <c r="F65" s="76"/>
      <c r="G65" s="265"/>
      <c r="H65" s="265"/>
      <c r="I65" s="76"/>
      <c r="J65" s="76"/>
      <c r="K65" s="265"/>
      <c r="L65" s="265"/>
      <c r="M65" s="76"/>
      <c r="N65" s="76"/>
      <c r="O65" s="265"/>
      <c r="P65" s="265"/>
      <c r="Q65" s="76"/>
      <c r="R65" s="76"/>
    </row>
    <row r="66" customFormat="false" ht="15.75" hidden="false" customHeight="true" outlineLevel="0" collapsed="false">
      <c r="A66" s="74"/>
      <c r="B66" s="146"/>
      <c r="C66" s="265"/>
      <c r="D66" s="265"/>
      <c r="E66" s="76"/>
      <c r="F66" s="76"/>
      <c r="G66" s="265"/>
      <c r="H66" s="265"/>
      <c r="I66" s="76"/>
      <c r="J66" s="76"/>
      <c r="K66" s="265"/>
      <c r="L66" s="265"/>
      <c r="M66" s="76"/>
      <c r="N66" s="76"/>
      <c r="O66" s="265"/>
      <c r="P66" s="265"/>
      <c r="Q66" s="76"/>
      <c r="R66" s="76"/>
    </row>
    <row r="67" customFormat="false" ht="15.75" hidden="false" customHeight="true" outlineLevel="0" collapsed="false">
      <c r="A67" s="74"/>
      <c r="B67" s="146"/>
      <c r="C67" s="265"/>
      <c r="D67" s="265"/>
      <c r="E67" s="76"/>
      <c r="F67" s="76"/>
      <c r="G67" s="265"/>
      <c r="H67" s="265"/>
      <c r="I67" s="76"/>
      <c r="J67" s="76"/>
      <c r="K67" s="265"/>
      <c r="L67" s="265"/>
      <c r="M67" s="76"/>
      <c r="N67" s="76"/>
      <c r="O67" s="265"/>
      <c r="P67" s="265"/>
      <c r="Q67" s="76"/>
      <c r="R67" s="76"/>
    </row>
    <row r="68" customFormat="false" ht="15.75" hidden="false" customHeight="true" outlineLevel="0" collapsed="false">
      <c r="A68" s="74"/>
      <c r="B68" s="146"/>
      <c r="C68" s="265"/>
      <c r="D68" s="265"/>
      <c r="E68" s="76"/>
      <c r="F68" s="76"/>
      <c r="G68" s="265"/>
      <c r="H68" s="265"/>
      <c r="I68" s="76"/>
      <c r="J68" s="76"/>
      <c r="K68" s="265"/>
      <c r="L68" s="265"/>
      <c r="M68" s="76"/>
      <c r="N68" s="76"/>
      <c r="O68" s="265"/>
      <c r="P68" s="265"/>
      <c r="Q68" s="76"/>
      <c r="R68" s="76"/>
    </row>
    <row r="69" customFormat="false" ht="15.75" hidden="false" customHeight="true" outlineLevel="0" collapsed="false">
      <c r="A69" s="74"/>
      <c r="B69" s="146"/>
      <c r="C69" s="265"/>
      <c r="D69" s="265"/>
      <c r="E69" s="76"/>
      <c r="F69" s="76"/>
      <c r="G69" s="265"/>
      <c r="H69" s="265"/>
      <c r="I69" s="76"/>
      <c r="J69" s="76"/>
      <c r="K69" s="265"/>
      <c r="L69" s="265"/>
      <c r="M69" s="76"/>
      <c r="N69" s="76"/>
      <c r="O69" s="265"/>
      <c r="P69" s="265"/>
      <c r="Q69" s="76"/>
      <c r="R69" s="76"/>
    </row>
    <row r="70" customFormat="false" ht="15.75" hidden="false" customHeight="true" outlineLevel="0" collapsed="false">
      <c r="A70" s="74"/>
      <c r="B70" s="146"/>
      <c r="C70" s="265"/>
      <c r="D70" s="265"/>
      <c r="E70" s="76"/>
      <c r="F70" s="76"/>
      <c r="G70" s="265"/>
      <c r="H70" s="265"/>
      <c r="I70" s="76"/>
      <c r="J70" s="76"/>
      <c r="K70" s="265"/>
      <c r="L70" s="265"/>
      <c r="M70" s="76"/>
      <c r="N70" s="76"/>
      <c r="O70" s="265"/>
      <c r="P70" s="265"/>
      <c r="Q70" s="76"/>
      <c r="R70" s="76"/>
    </row>
    <row r="71" customFormat="false" ht="15.75" hidden="false" customHeight="true" outlineLevel="0" collapsed="false">
      <c r="A71" s="74"/>
      <c r="B71" s="146"/>
      <c r="C71" s="265"/>
      <c r="D71" s="265"/>
      <c r="E71" s="76"/>
      <c r="F71" s="76"/>
      <c r="G71" s="265"/>
      <c r="H71" s="265"/>
      <c r="I71" s="76"/>
      <c r="J71" s="76"/>
      <c r="K71" s="265"/>
      <c r="L71" s="265"/>
      <c r="M71" s="76"/>
      <c r="N71" s="76"/>
      <c r="O71" s="265"/>
      <c r="P71" s="265"/>
      <c r="Q71" s="76"/>
      <c r="R71" s="76"/>
    </row>
    <row r="72" customFormat="false" ht="15.75" hidden="false" customHeight="true" outlineLevel="0" collapsed="false">
      <c r="A72" s="74"/>
      <c r="B72" s="146"/>
      <c r="C72" s="265"/>
      <c r="D72" s="265"/>
      <c r="E72" s="76"/>
      <c r="F72" s="76"/>
      <c r="G72" s="265"/>
      <c r="H72" s="265"/>
      <c r="I72" s="76"/>
      <c r="J72" s="76"/>
      <c r="K72" s="265"/>
      <c r="L72" s="265"/>
      <c r="M72" s="76"/>
      <c r="N72" s="76"/>
      <c r="O72" s="265"/>
      <c r="P72" s="265"/>
      <c r="Q72" s="76"/>
      <c r="R72" s="76"/>
    </row>
    <row r="73" customFormat="false" ht="15.75" hidden="false" customHeight="true" outlineLevel="0" collapsed="false">
      <c r="A73" s="74"/>
      <c r="B73" s="146"/>
      <c r="C73" s="265"/>
      <c r="D73" s="265"/>
      <c r="E73" s="76"/>
      <c r="F73" s="76"/>
      <c r="G73" s="265"/>
      <c r="H73" s="265"/>
      <c r="I73" s="76"/>
      <c r="J73" s="76"/>
      <c r="K73" s="265"/>
      <c r="L73" s="265"/>
      <c r="M73" s="76"/>
      <c r="N73" s="76"/>
      <c r="O73" s="265"/>
      <c r="P73" s="265"/>
      <c r="Q73" s="76"/>
      <c r="R73" s="76"/>
    </row>
    <row r="74" customFormat="false" ht="15.75" hidden="false" customHeight="true" outlineLevel="0" collapsed="false">
      <c r="A74" s="74"/>
      <c r="B74" s="146"/>
      <c r="C74" s="265"/>
      <c r="D74" s="265"/>
      <c r="E74" s="76"/>
      <c r="F74" s="76"/>
      <c r="G74" s="265"/>
      <c r="H74" s="265"/>
      <c r="I74" s="76"/>
      <c r="J74" s="76"/>
      <c r="K74" s="265"/>
      <c r="L74" s="265"/>
      <c r="M74" s="76"/>
      <c r="N74" s="76"/>
      <c r="O74" s="265"/>
      <c r="P74" s="265"/>
      <c r="Q74" s="76"/>
      <c r="R74" s="76"/>
    </row>
    <row r="75" customFormat="false" ht="15.75" hidden="false" customHeight="true" outlineLevel="0" collapsed="false">
      <c r="A75" s="74"/>
      <c r="B75" s="146"/>
      <c r="C75" s="265"/>
      <c r="D75" s="265"/>
      <c r="E75" s="76"/>
      <c r="F75" s="76"/>
      <c r="G75" s="265"/>
      <c r="H75" s="265"/>
      <c r="I75" s="76"/>
      <c r="J75" s="76"/>
      <c r="K75" s="265"/>
      <c r="L75" s="265"/>
      <c r="M75" s="76"/>
      <c r="N75" s="76"/>
      <c r="O75" s="265"/>
      <c r="P75" s="265"/>
      <c r="Q75" s="76"/>
      <c r="R75" s="76"/>
    </row>
    <row r="76" customFormat="false" ht="15.75" hidden="false" customHeight="true" outlineLevel="0" collapsed="false">
      <c r="A76" s="74"/>
      <c r="B76" s="146"/>
      <c r="C76" s="265"/>
      <c r="D76" s="265"/>
      <c r="E76" s="76"/>
      <c r="F76" s="76"/>
      <c r="G76" s="265"/>
      <c r="H76" s="265"/>
      <c r="I76" s="76"/>
      <c r="J76" s="76"/>
      <c r="K76" s="265"/>
      <c r="L76" s="265"/>
      <c r="M76" s="76"/>
      <c r="N76" s="76"/>
      <c r="O76" s="265"/>
      <c r="P76" s="265"/>
      <c r="Q76" s="76"/>
      <c r="R76" s="76"/>
    </row>
    <row r="77" customFormat="false" ht="15.75" hidden="false" customHeight="true" outlineLevel="0" collapsed="false">
      <c r="A77" s="74"/>
      <c r="B77" s="146"/>
      <c r="C77" s="265"/>
      <c r="D77" s="265"/>
      <c r="E77" s="76"/>
      <c r="F77" s="76"/>
      <c r="G77" s="265"/>
      <c r="H77" s="265"/>
      <c r="I77" s="76"/>
      <c r="J77" s="76"/>
      <c r="K77" s="265"/>
      <c r="L77" s="265"/>
      <c r="M77" s="76"/>
      <c r="N77" s="76"/>
      <c r="O77" s="265"/>
      <c r="P77" s="265"/>
      <c r="Q77" s="76"/>
      <c r="R77" s="76"/>
    </row>
    <row r="78" customFormat="false" ht="15.75" hidden="false" customHeight="true" outlineLevel="0" collapsed="false">
      <c r="A78" s="74"/>
      <c r="B78" s="146"/>
      <c r="C78" s="265"/>
      <c r="D78" s="265"/>
      <c r="E78" s="76"/>
      <c r="F78" s="76"/>
      <c r="G78" s="265"/>
      <c r="H78" s="265"/>
      <c r="I78" s="76"/>
      <c r="J78" s="76"/>
      <c r="K78" s="265"/>
      <c r="L78" s="265"/>
      <c r="M78" s="76"/>
      <c r="N78" s="76"/>
      <c r="O78" s="265"/>
      <c r="P78" s="265"/>
      <c r="Q78" s="76"/>
      <c r="R78" s="76"/>
    </row>
    <row r="79" customFormat="false" ht="15.75" hidden="false" customHeight="true" outlineLevel="0" collapsed="false">
      <c r="A79" s="74"/>
      <c r="B79" s="146"/>
      <c r="C79" s="265"/>
      <c r="D79" s="265"/>
      <c r="E79" s="76"/>
      <c r="F79" s="76"/>
      <c r="G79" s="265"/>
      <c r="H79" s="265"/>
      <c r="I79" s="76"/>
      <c r="J79" s="76"/>
      <c r="K79" s="265"/>
      <c r="L79" s="265"/>
      <c r="M79" s="76"/>
      <c r="N79" s="76"/>
      <c r="O79" s="265"/>
      <c r="P79" s="265"/>
      <c r="Q79" s="76"/>
      <c r="R79" s="76"/>
    </row>
    <row r="80" customFormat="false" ht="15.75" hidden="false" customHeight="true" outlineLevel="0" collapsed="false">
      <c r="A80" s="74"/>
      <c r="B80" s="146"/>
      <c r="C80" s="265"/>
      <c r="D80" s="265"/>
      <c r="E80" s="76"/>
      <c r="F80" s="76"/>
      <c r="G80" s="265"/>
      <c r="H80" s="265"/>
      <c r="I80" s="76"/>
      <c r="J80" s="76"/>
      <c r="K80" s="265"/>
      <c r="L80" s="265"/>
      <c r="M80" s="76"/>
      <c r="N80" s="76"/>
      <c r="O80" s="265"/>
      <c r="P80" s="265"/>
      <c r="Q80" s="76"/>
      <c r="R80" s="76"/>
    </row>
    <row r="81" customFormat="false" ht="15.75" hidden="false" customHeight="true" outlineLevel="0" collapsed="false">
      <c r="A81" s="74"/>
      <c r="B81" s="146"/>
      <c r="C81" s="265"/>
      <c r="D81" s="265"/>
      <c r="E81" s="76"/>
      <c r="F81" s="76"/>
      <c r="G81" s="265"/>
      <c r="H81" s="265"/>
      <c r="I81" s="76"/>
      <c r="J81" s="76"/>
      <c r="K81" s="265"/>
      <c r="L81" s="265"/>
      <c r="M81" s="76"/>
      <c r="N81" s="76"/>
      <c r="O81" s="265"/>
      <c r="P81" s="265"/>
      <c r="Q81" s="76"/>
      <c r="R81" s="76"/>
    </row>
    <row r="82" customFormat="false" ht="15.75" hidden="false" customHeight="true" outlineLevel="0" collapsed="false">
      <c r="A82" s="74"/>
      <c r="B82" s="146"/>
      <c r="C82" s="265"/>
      <c r="D82" s="265"/>
      <c r="E82" s="76"/>
      <c r="F82" s="76"/>
      <c r="G82" s="265"/>
      <c r="H82" s="265"/>
      <c r="I82" s="76"/>
      <c r="J82" s="76"/>
      <c r="K82" s="265"/>
      <c r="L82" s="265"/>
      <c r="M82" s="76"/>
      <c r="N82" s="76"/>
      <c r="O82" s="265"/>
      <c r="P82" s="265"/>
      <c r="Q82" s="76"/>
      <c r="R82" s="76"/>
    </row>
    <row r="83" customFormat="false" ht="15.75" hidden="false" customHeight="true" outlineLevel="0" collapsed="false">
      <c r="A83" s="74"/>
      <c r="B83" s="146"/>
      <c r="C83" s="265"/>
      <c r="D83" s="265"/>
      <c r="E83" s="76"/>
      <c r="F83" s="76"/>
      <c r="G83" s="265"/>
      <c r="H83" s="265"/>
      <c r="I83" s="76"/>
      <c r="J83" s="76"/>
      <c r="K83" s="265"/>
      <c r="L83" s="265"/>
      <c r="M83" s="76"/>
      <c r="N83" s="76"/>
      <c r="O83" s="265"/>
      <c r="P83" s="265"/>
      <c r="Q83" s="76"/>
      <c r="R83" s="76"/>
    </row>
    <row r="84" customFormat="false" ht="15.75" hidden="false" customHeight="true" outlineLevel="0" collapsed="false">
      <c r="A84" s="74"/>
      <c r="B84" s="146"/>
      <c r="C84" s="265"/>
      <c r="D84" s="265"/>
      <c r="E84" s="76"/>
      <c r="F84" s="76"/>
      <c r="G84" s="265"/>
      <c r="H84" s="265"/>
      <c r="I84" s="76"/>
      <c r="J84" s="76"/>
      <c r="K84" s="265"/>
      <c r="L84" s="265"/>
      <c r="M84" s="76"/>
      <c r="N84" s="76"/>
      <c r="O84" s="265"/>
      <c r="P84" s="265"/>
      <c r="Q84" s="76"/>
      <c r="R84" s="76"/>
    </row>
    <row r="85" customFormat="false" ht="15.75" hidden="false" customHeight="true" outlineLevel="0" collapsed="false">
      <c r="A85" s="74"/>
      <c r="B85" s="146"/>
      <c r="C85" s="265"/>
      <c r="D85" s="265"/>
      <c r="E85" s="76"/>
      <c r="F85" s="76"/>
      <c r="G85" s="265"/>
      <c r="H85" s="265"/>
      <c r="I85" s="76"/>
      <c r="J85" s="76"/>
      <c r="K85" s="265"/>
      <c r="L85" s="265"/>
      <c r="M85" s="76"/>
      <c r="N85" s="76"/>
      <c r="O85" s="265"/>
      <c r="P85" s="265"/>
      <c r="Q85" s="76"/>
      <c r="R85" s="76"/>
    </row>
    <row r="86" customFormat="false" ht="15.75" hidden="false" customHeight="true" outlineLevel="0" collapsed="false">
      <c r="A86" s="74"/>
      <c r="B86" s="146"/>
      <c r="C86" s="265"/>
      <c r="D86" s="265"/>
      <c r="E86" s="76"/>
      <c r="F86" s="76"/>
      <c r="G86" s="265"/>
      <c r="H86" s="265"/>
      <c r="I86" s="76"/>
      <c r="J86" s="76"/>
      <c r="K86" s="265"/>
      <c r="L86" s="265"/>
      <c r="M86" s="76"/>
      <c r="N86" s="76"/>
      <c r="O86" s="265"/>
      <c r="P86" s="265"/>
      <c r="Q86" s="76"/>
      <c r="R86" s="76"/>
    </row>
    <row r="87" customFormat="false" ht="15.75" hidden="false" customHeight="true" outlineLevel="0" collapsed="false">
      <c r="A87" s="74"/>
      <c r="B87" s="146"/>
      <c r="C87" s="265"/>
      <c r="D87" s="265"/>
      <c r="E87" s="76"/>
      <c r="F87" s="76"/>
      <c r="G87" s="265"/>
      <c r="H87" s="265"/>
      <c r="I87" s="76"/>
      <c r="J87" s="76"/>
      <c r="K87" s="265"/>
      <c r="L87" s="265"/>
      <c r="M87" s="76"/>
      <c r="N87" s="76"/>
      <c r="O87" s="265"/>
      <c r="P87" s="265"/>
      <c r="Q87" s="76"/>
      <c r="R87" s="76"/>
    </row>
    <row r="88" customFormat="false" ht="15.75" hidden="false" customHeight="true" outlineLevel="0" collapsed="false">
      <c r="A88" s="74"/>
      <c r="B88" s="146"/>
      <c r="C88" s="265"/>
      <c r="D88" s="265"/>
      <c r="E88" s="76"/>
      <c r="F88" s="76"/>
      <c r="G88" s="265"/>
      <c r="H88" s="265"/>
      <c r="I88" s="76"/>
      <c r="J88" s="76"/>
      <c r="K88" s="265"/>
      <c r="L88" s="265"/>
      <c r="M88" s="76"/>
      <c r="N88" s="76"/>
      <c r="O88" s="265"/>
      <c r="P88" s="265"/>
      <c r="Q88" s="76"/>
      <c r="R88" s="76"/>
    </row>
    <row r="89" customFormat="false" ht="15.75" hidden="false" customHeight="true" outlineLevel="0" collapsed="false">
      <c r="A89" s="74"/>
      <c r="B89" s="146"/>
      <c r="C89" s="265"/>
      <c r="D89" s="265"/>
      <c r="E89" s="76"/>
      <c r="F89" s="76"/>
      <c r="G89" s="265"/>
      <c r="H89" s="265"/>
      <c r="I89" s="76"/>
      <c r="J89" s="76"/>
      <c r="K89" s="265"/>
      <c r="L89" s="265"/>
      <c r="M89" s="76"/>
      <c r="N89" s="76"/>
      <c r="O89" s="265"/>
      <c r="P89" s="265"/>
      <c r="Q89" s="76"/>
      <c r="R89" s="76"/>
    </row>
    <row r="90" customFormat="false" ht="15.75" hidden="false" customHeight="true" outlineLevel="0" collapsed="false">
      <c r="A90" s="74"/>
      <c r="B90" s="146"/>
      <c r="C90" s="265"/>
      <c r="D90" s="265"/>
      <c r="E90" s="76"/>
      <c r="F90" s="76"/>
      <c r="G90" s="265"/>
      <c r="H90" s="265"/>
      <c r="I90" s="76"/>
      <c r="J90" s="76"/>
      <c r="K90" s="265"/>
      <c r="L90" s="265"/>
      <c r="M90" s="76"/>
      <c r="N90" s="76"/>
      <c r="O90" s="265"/>
      <c r="P90" s="265"/>
      <c r="Q90" s="76"/>
      <c r="R90" s="76"/>
    </row>
    <row r="91" customFormat="false" ht="15.75" hidden="false" customHeight="true" outlineLevel="0" collapsed="false">
      <c r="A91" s="74"/>
      <c r="B91" s="146"/>
      <c r="C91" s="265"/>
      <c r="D91" s="265"/>
      <c r="E91" s="76"/>
      <c r="F91" s="76"/>
      <c r="G91" s="265"/>
      <c r="H91" s="265"/>
      <c r="I91" s="76"/>
      <c r="J91" s="76"/>
      <c r="K91" s="265"/>
      <c r="L91" s="265"/>
      <c r="M91" s="76"/>
      <c r="N91" s="76"/>
      <c r="O91" s="265"/>
      <c r="P91" s="265"/>
      <c r="Q91" s="76"/>
      <c r="R91" s="76"/>
    </row>
    <row r="92" customFormat="false" ht="15.75" hidden="false" customHeight="true" outlineLevel="0" collapsed="false">
      <c r="A92" s="74"/>
      <c r="B92" s="146"/>
      <c r="C92" s="265"/>
      <c r="D92" s="265"/>
      <c r="E92" s="76"/>
      <c r="F92" s="76"/>
      <c r="G92" s="265"/>
      <c r="H92" s="265"/>
      <c r="I92" s="76"/>
      <c r="J92" s="76"/>
      <c r="K92" s="265"/>
      <c r="L92" s="265"/>
      <c r="M92" s="76"/>
      <c r="N92" s="76"/>
      <c r="O92" s="265"/>
      <c r="P92" s="265"/>
      <c r="Q92" s="76"/>
      <c r="R92" s="76"/>
    </row>
    <row r="93" customFormat="false" ht="15.75" hidden="false" customHeight="true" outlineLevel="0" collapsed="false">
      <c r="A93" s="74"/>
      <c r="B93" s="146"/>
      <c r="C93" s="265"/>
      <c r="D93" s="265"/>
      <c r="E93" s="76"/>
      <c r="F93" s="76"/>
      <c r="G93" s="265"/>
      <c r="H93" s="265"/>
      <c r="I93" s="76"/>
      <c r="J93" s="76"/>
      <c r="K93" s="265"/>
      <c r="L93" s="265"/>
      <c r="M93" s="76"/>
      <c r="N93" s="76"/>
      <c r="O93" s="265"/>
      <c r="P93" s="265"/>
      <c r="Q93" s="76"/>
      <c r="R93" s="76"/>
    </row>
    <row r="94" customFormat="false" ht="15.75" hidden="false" customHeight="true" outlineLevel="0" collapsed="false">
      <c r="A94" s="74"/>
      <c r="B94" s="146"/>
      <c r="C94" s="265"/>
      <c r="D94" s="265"/>
      <c r="E94" s="76"/>
      <c r="F94" s="76"/>
      <c r="G94" s="265"/>
      <c r="H94" s="265"/>
      <c r="I94" s="76"/>
      <c r="J94" s="76"/>
      <c r="K94" s="265"/>
      <c r="L94" s="265"/>
      <c r="M94" s="76"/>
      <c r="N94" s="76"/>
      <c r="O94" s="265"/>
      <c r="P94" s="265"/>
      <c r="Q94" s="76"/>
      <c r="R94" s="76"/>
    </row>
    <row r="95" customFormat="false" ht="15.75" hidden="false" customHeight="true" outlineLevel="0" collapsed="false">
      <c r="A95" s="74"/>
      <c r="B95" s="146"/>
      <c r="C95" s="265"/>
      <c r="D95" s="265"/>
      <c r="E95" s="76"/>
      <c r="F95" s="76"/>
      <c r="G95" s="265"/>
      <c r="H95" s="265"/>
      <c r="I95" s="76"/>
      <c r="J95" s="76"/>
      <c r="K95" s="265"/>
      <c r="L95" s="265"/>
      <c r="M95" s="76"/>
      <c r="N95" s="76"/>
      <c r="O95" s="265"/>
      <c r="P95" s="265"/>
      <c r="Q95" s="76"/>
      <c r="R95" s="76"/>
    </row>
    <row r="96" customFormat="false" ht="15.75" hidden="false" customHeight="true" outlineLevel="0" collapsed="false">
      <c r="A96" s="74"/>
      <c r="B96" s="146"/>
      <c r="C96" s="265"/>
      <c r="D96" s="265"/>
      <c r="E96" s="76"/>
      <c r="F96" s="76"/>
      <c r="G96" s="265"/>
      <c r="H96" s="265"/>
      <c r="I96" s="76"/>
      <c r="J96" s="76"/>
      <c r="K96" s="265"/>
      <c r="L96" s="265"/>
      <c r="M96" s="76"/>
      <c r="N96" s="76"/>
      <c r="O96" s="265"/>
      <c r="P96" s="265"/>
      <c r="Q96" s="76"/>
      <c r="R96" s="76"/>
    </row>
    <row r="97" customFormat="false" ht="15.75" hidden="false" customHeight="true" outlineLevel="0" collapsed="false">
      <c r="A97" s="74"/>
      <c r="B97" s="146"/>
      <c r="C97" s="265"/>
      <c r="D97" s="265"/>
      <c r="E97" s="76"/>
      <c r="F97" s="76"/>
      <c r="G97" s="265"/>
      <c r="H97" s="265"/>
      <c r="I97" s="76"/>
      <c r="J97" s="76"/>
      <c r="K97" s="265"/>
      <c r="L97" s="265"/>
      <c r="M97" s="76"/>
      <c r="N97" s="76"/>
      <c r="O97" s="265"/>
      <c r="P97" s="265"/>
      <c r="Q97" s="76"/>
      <c r="R97" s="76"/>
    </row>
    <row r="98" customFormat="false" ht="15.75" hidden="false" customHeight="true" outlineLevel="0" collapsed="false">
      <c r="A98" s="74"/>
      <c r="B98" s="146"/>
      <c r="C98" s="265"/>
      <c r="D98" s="265"/>
      <c r="E98" s="76"/>
      <c r="F98" s="76"/>
      <c r="G98" s="265"/>
      <c r="H98" s="265"/>
      <c r="I98" s="76"/>
      <c r="J98" s="76"/>
      <c r="K98" s="265"/>
      <c r="L98" s="265"/>
      <c r="M98" s="76"/>
      <c r="N98" s="76"/>
      <c r="O98" s="265"/>
      <c r="P98" s="265"/>
      <c r="Q98" s="76"/>
      <c r="R98" s="76"/>
    </row>
    <row r="99" customFormat="false" ht="15.75" hidden="false" customHeight="true" outlineLevel="0" collapsed="false">
      <c r="A99" s="74"/>
      <c r="B99" s="146"/>
      <c r="C99" s="265"/>
      <c r="D99" s="265"/>
      <c r="E99" s="76"/>
      <c r="F99" s="76"/>
      <c r="G99" s="265"/>
      <c r="H99" s="265"/>
      <c r="I99" s="76"/>
      <c r="J99" s="76"/>
      <c r="K99" s="265"/>
      <c r="L99" s="265"/>
      <c r="M99" s="76"/>
      <c r="N99" s="76"/>
      <c r="O99" s="265"/>
      <c r="P99" s="265"/>
      <c r="Q99" s="76"/>
      <c r="R99" s="76"/>
    </row>
    <row r="100" customFormat="false" ht="15.75" hidden="false" customHeight="true" outlineLevel="0" collapsed="false">
      <c r="A100" s="74"/>
      <c r="B100" s="146"/>
      <c r="C100" s="265"/>
      <c r="D100" s="265"/>
      <c r="E100" s="76"/>
      <c r="F100" s="76"/>
      <c r="G100" s="265"/>
      <c r="H100" s="265"/>
      <c r="I100" s="76"/>
      <c r="J100" s="76"/>
      <c r="K100" s="265"/>
      <c r="L100" s="265"/>
      <c r="M100" s="76"/>
      <c r="N100" s="76"/>
      <c r="O100" s="265"/>
      <c r="P100" s="265"/>
      <c r="Q100" s="76"/>
      <c r="R100" s="76"/>
    </row>
    <row r="101" customFormat="false" ht="15.75" hidden="false" customHeight="true" outlineLevel="0" collapsed="false">
      <c r="A101" s="74"/>
      <c r="B101" s="146"/>
      <c r="C101" s="265"/>
      <c r="D101" s="265"/>
      <c r="E101" s="76"/>
      <c r="F101" s="76"/>
      <c r="G101" s="265"/>
      <c r="H101" s="265"/>
      <c r="I101" s="76"/>
      <c r="J101" s="76"/>
      <c r="K101" s="265"/>
      <c r="L101" s="265"/>
      <c r="M101" s="76"/>
      <c r="N101" s="76"/>
      <c r="O101" s="265"/>
      <c r="P101" s="265"/>
      <c r="Q101" s="76"/>
      <c r="R101" s="76"/>
    </row>
    <row r="102" customFormat="false" ht="15.75" hidden="false" customHeight="true" outlineLevel="0" collapsed="false">
      <c r="A102" s="74"/>
      <c r="B102" s="146"/>
      <c r="C102" s="265"/>
      <c r="D102" s="265"/>
      <c r="E102" s="76"/>
      <c r="F102" s="76"/>
      <c r="G102" s="265"/>
      <c r="H102" s="265"/>
      <c r="I102" s="76"/>
      <c r="J102" s="76"/>
      <c r="K102" s="265"/>
      <c r="L102" s="265"/>
      <c r="M102" s="76"/>
      <c r="N102" s="76"/>
      <c r="O102" s="265"/>
      <c r="P102" s="265"/>
      <c r="Q102" s="76"/>
      <c r="R102" s="76"/>
    </row>
    <row r="103" customFormat="false" ht="15.75" hidden="false" customHeight="true" outlineLevel="0" collapsed="false">
      <c r="A103" s="74"/>
      <c r="B103" s="146"/>
      <c r="C103" s="265"/>
      <c r="D103" s="265"/>
      <c r="E103" s="76"/>
      <c r="F103" s="76"/>
      <c r="G103" s="265"/>
      <c r="H103" s="265"/>
      <c r="I103" s="76"/>
      <c r="J103" s="76"/>
      <c r="K103" s="265"/>
      <c r="L103" s="265"/>
      <c r="M103" s="76"/>
      <c r="N103" s="76"/>
      <c r="O103" s="265"/>
      <c r="P103" s="265"/>
      <c r="Q103" s="76"/>
      <c r="R103" s="76"/>
    </row>
    <row r="104" customFormat="false" ht="15.75" hidden="false" customHeight="true" outlineLevel="0" collapsed="false">
      <c r="A104" s="74"/>
      <c r="B104" s="146"/>
      <c r="C104" s="265"/>
      <c r="D104" s="265"/>
      <c r="E104" s="76"/>
      <c r="F104" s="76"/>
      <c r="G104" s="265"/>
      <c r="H104" s="265"/>
      <c r="I104" s="76"/>
      <c r="J104" s="76"/>
      <c r="K104" s="265"/>
      <c r="L104" s="265"/>
      <c r="M104" s="76"/>
      <c r="N104" s="76"/>
      <c r="O104" s="265"/>
      <c r="P104" s="265"/>
      <c r="Q104" s="76"/>
      <c r="R104" s="76"/>
    </row>
    <row r="105" customFormat="false" ht="15.75" hidden="false" customHeight="true" outlineLevel="0" collapsed="false">
      <c r="A105" s="74"/>
      <c r="B105" s="146"/>
      <c r="C105" s="265"/>
      <c r="D105" s="265"/>
      <c r="E105" s="76"/>
      <c r="F105" s="76"/>
      <c r="G105" s="265"/>
      <c r="H105" s="265"/>
      <c r="I105" s="76"/>
      <c r="J105" s="76"/>
      <c r="K105" s="265"/>
      <c r="L105" s="265"/>
      <c r="M105" s="76"/>
      <c r="N105" s="76"/>
      <c r="O105" s="265"/>
      <c r="P105" s="265"/>
      <c r="Q105" s="76"/>
      <c r="R105" s="76"/>
    </row>
    <row r="106" customFormat="false" ht="15.75" hidden="false" customHeight="true" outlineLevel="0" collapsed="false">
      <c r="A106" s="74"/>
      <c r="B106" s="146"/>
      <c r="C106" s="265"/>
      <c r="D106" s="265"/>
      <c r="E106" s="76"/>
      <c r="F106" s="76"/>
      <c r="G106" s="265"/>
      <c r="H106" s="265"/>
      <c r="I106" s="76"/>
      <c r="J106" s="76"/>
      <c r="K106" s="265"/>
      <c r="L106" s="265"/>
      <c r="M106" s="76"/>
      <c r="N106" s="76"/>
      <c r="O106" s="265"/>
      <c r="P106" s="265"/>
      <c r="Q106" s="76"/>
      <c r="R106" s="76"/>
    </row>
    <row r="107" customFormat="false" ht="15.75" hidden="false" customHeight="true" outlineLevel="0" collapsed="false">
      <c r="A107" s="74"/>
      <c r="B107" s="146"/>
      <c r="C107" s="265"/>
      <c r="D107" s="265"/>
      <c r="E107" s="76"/>
      <c r="F107" s="76"/>
      <c r="G107" s="265"/>
      <c r="H107" s="265"/>
      <c r="I107" s="76"/>
      <c r="J107" s="76"/>
      <c r="K107" s="265"/>
      <c r="L107" s="265"/>
      <c r="M107" s="76"/>
      <c r="N107" s="76"/>
      <c r="O107" s="265"/>
      <c r="P107" s="265"/>
      <c r="Q107" s="76"/>
      <c r="R107" s="76"/>
    </row>
    <row r="108" customFormat="false" ht="15.75" hidden="false" customHeight="true" outlineLevel="0" collapsed="false">
      <c r="A108" s="74"/>
      <c r="B108" s="146"/>
      <c r="C108" s="265"/>
      <c r="D108" s="265"/>
      <c r="E108" s="76"/>
      <c r="F108" s="76"/>
      <c r="G108" s="265"/>
      <c r="H108" s="265"/>
      <c r="I108" s="76"/>
      <c r="J108" s="76"/>
      <c r="K108" s="265"/>
      <c r="L108" s="265"/>
      <c r="M108" s="76"/>
      <c r="N108" s="76"/>
      <c r="O108" s="265"/>
      <c r="P108" s="265"/>
      <c r="Q108" s="76"/>
      <c r="R108" s="76"/>
    </row>
    <row r="109" customFormat="false" ht="15.75" hidden="false" customHeight="true" outlineLevel="0" collapsed="false">
      <c r="A109" s="74"/>
      <c r="B109" s="146"/>
      <c r="C109" s="265"/>
      <c r="D109" s="265"/>
      <c r="E109" s="76"/>
      <c r="F109" s="76"/>
      <c r="G109" s="265"/>
      <c r="H109" s="265"/>
      <c r="I109" s="76"/>
      <c r="J109" s="76"/>
      <c r="K109" s="265"/>
      <c r="L109" s="265"/>
      <c r="M109" s="76"/>
      <c r="N109" s="76"/>
      <c r="O109" s="265"/>
      <c r="P109" s="265"/>
      <c r="Q109" s="76"/>
      <c r="R109" s="76"/>
    </row>
    <row r="110" customFormat="false" ht="15.75" hidden="false" customHeight="true" outlineLevel="0" collapsed="false">
      <c r="A110" s="74"/>
      <c r="B110" s="146"/>
      <c r="C110" s="265"/>
      <c r="D110" s="265"/>
      <c r="E110" s="76"/>
      <c r="F110" s="76"/>
      <c r="G110" s="265"/>
      <c r="H110" s="265"/>
      <c r="I110" s="76"/>
      <c r="J110" s="76"/>
      <c r="K110" s="265"/>
      <c r="L110" s="265"/>
      <c r="M110" s="76"/>
      <c r="N110" s="76"/>
      <c r="O110" s="265"/>
      <c r="P110" s="265"/>
      <c r="Q110" s="76"/>
      <c r="R110" s="76"/>
    </row>
    <row r="111" customFormat="false" ht="15.75" hidden="false" customHeight="true" outlineLevel="0" collapsed="false">
      <c r="A111" s="74"/>
      <c r="B111" s="146"/>
      <c r="C111" s="265"/>
      <c r="D111" s="265"/>
      <c r="E111" s="76"/>
      <c r="F111" s="76"/>
      <c r="G111" s="265"/>
      <c r="H111" s="265"/>
      <c r="I111" s="76"/>
      <c r="J111" s="76"/>
      <c r="K111" s="265"/>
      <c r="L111" s="265"/>
      <c r="M111" s="76"/>
      <c r="N111" s="76"/>
      <c r="O111" s="265"/>
      <c r="P111" s="265"/>
      <c r="Q111" s="76"/>
      <c r="R111" s="76"/>
    </row>
    <row r="112" customFormat="false" ht="15.75" hidden="false" customHeight="true" outlineLevel="0" collapsed="false">
      <c r="A112" s="74"/>
      <c r="B112" s="146"/>
      <c r="C112" s="265"/>
      <c r="D112" s="265"/>
      <c r="E112" s="76"/>
      <c r="F112" s="76"/>
      <c r="G112" s="265"/>
      <c r="H112" s="265"/>
      <c r="I112" s="76"/>
      <c r="J112" s="76"/>
      <c r="K112" s="265"/>
      <c r="L112" s="265"/>
      <c r="M112" s="76"/>
      <c r="N112" s="76"/>
      <c r="O112" s="265"/>
      <c r="P112" s="265"/>
      <c r="Q112" s="76"/>
      <c r="R112" s="76"/>
    </row>
    <row r="113" customFormat="false" ht="15.75" hidden="false" customHeight="true" outlineLevel="0" collapsed="false">
      <c r="A113" s="74"/>
      <c r="B113" s="146"/>
      <c r="C113" s="265"/>
      <c r="D113" s="265"/>
      <c r="E113" s="76"/>
      <c r="F113" s="76"/>
      <c r="G113" s="265"/>
      <c r="H113" s="265"/>
      <c r="I113" s="76"/>
      <c r="J113" s="76"/>
      <c r="K113" s="265"/>
      <c r="L113" s="265"/>
      <c r="M113" s="76"/>
      <c r="N113" s="76"/>
      <c r="O113" s="265"/>
      <c r="P113" s="265"/>
      <c r="Q113" s="76"/>
      <c r="R113" s="76"/>
    </row>
    <row r="114" customFormat="false" ht="15.75" hidden="false" customHeight="true" outlineLevel="0" collapsed="false">
      <c r="A114" s="74"/>
      <c r="B114" s="146"/>
      <c r="C114" s="265"/>
      <c r="D114" s="265"/>
      <c r="E114" s="76"/>
      <c r="F114" s="76"/>
      <c r="G114" s="265"/>
      <c r="H114" s="265"/>
      <c r="I114" s="76"/>
      <c r="J114" s="76"/>
      <c r="K114" s="265"/>
      <c r="L114" s="265"/>
      <c r="M114" s="76"/>
      <c r="N114" s="76"/>
      <c r="O114" s="265"/>
      <c r="P114" s="265"/>
      <c r="Q114" s="76"/>
      <c r="R114" s="76"/>
    </row>
    <row r="115" customFormat="false" ht="15.75" hidden="false" customHeight="true" outlineLevel="0" collapsed="false">
      <c r="A115" s="74"/>
      <c r="B115" s="146"/>
      <c r="C115" s="265"/>
      <c r="D115" s="265"/>
      <c r="E115" s="76"/>
      <c r="F115" s="76"/>
      <c r="G115" s="265"/>
      <c r="H115" s="265"/>
      <c r="I115" s="76"/>
      <c r="J115" s="76"/>
      <c r="K115" s="265"/>
      <c r="L115" s="265"/>
      <c r="M115" s="76"/>
      <c r="N115" s="76"/>
      <c r="O115" s="265"/>
      <c r="P115" s="265"/>
      <c r="Q115" s="76"/>
      <c r="R115" s="76"/>
    </row>
    <row r="116" customFormat="false" ht="15.75" hidden="false" customHeight="true" outlineLevel="0" collapsed="false">
      <c r="A116" s="74"/>
      <c r="B116" s="146"/>
      <c r="C116" s="265"/>
      <c r="D116" s="265"/>
      <c r="E116" s="76"/>
      <c r="F116" s="76"/>
      <c r="G116" s="265"/>
      <c r="H116" s="265"/>
      <c r="I116" s="76"/>
      <c r="J116" s="76"/>
      <c r="K116" s="265"/>
      <c r="L116" s="265"/>
      <c r="M116" s="76"/>
      <c r="N116" s="76"/>
      <c r="O116" s="265"/>
      <c r="P116" s="265"/>
      <c r="Q116" s="76"/>
      <c r="R116" s="76"/>
    </row>
    <row r="117" customFormat="false" ht="15.75" hidden="false" customHeight="true" outlineLevel="0" collapsed="false">
      <c r="A117" s="74"/>
      <c r="B117" s="146"/>
      <c r="C117" s="265"/>
      <c r="D117" s="265"/>
      <c r="E117" s="76"/>
      <c r="F117" s="76"/>
      <c r="G117" s="265"/>
      <c r="H117" s="265"/>
      <c r="I117" s="76"/>
      <c r="J117" s="76"/>
      <c r="K117" s="265"/>
      <c r="L117" s="265"/>
      <c r="M117" s="76"/>
      <c r="N117" s="76"/>
      <c r="O117" s="265"/>
      <c r="P117" s="265"/>
      <c r="Q117" s="76"/>
      <c r="R117" s="76"/>
    </row>
    <row r="118" customFormat="false" ht="15.75" hidden="false" customHeight="true" outlineLevel="0" collapsed="false">
      <c r="A118" s="74"/>
      <c r="B118" s="146"/>
      <c r="C118" s="265"/>
      <c r="D118" s="265"/>
      <c r="E118" s="76"/>
      <c r="F118" s="76"/>
      <c r="G118" s="265"/>
      <c r="H118" s="265"/>
      <c r="I118" s="76"/>
      <c r="J118" s="76"/>
      <c r="K118" s="265"/>
      <c r="L118" s="265"/>
      <c r="M118" s="76"/>
      <c r="N118" s="76"/>
      <c r="O118" s="265"/>
      <c r="P118" s="265"/>
      <c r="Q118" s="76"/>
      <c r="R118" s="76"/>
    </row>
    <row r="119" customFormat="false" ht="15.75" hidden="false" customHeight="true" outlineLevel="0" collapsed="false">
      <c r="A119" s="74"/>
      <c r="B119" s="146"/>
      <c r="C119" s="265"/>
      <c r="D119" s="265"/>
      <c r="E119" s="76"/>
      <c r="F119" s="76"/>
      <c r="G119" s="265"/>
      <c r="H119" s="265"/>
      <c r="I119" s="76"/>
      <c r="J119" s="76"/>
      <c r="K119" s="265"/>
      <c r="L119" s="265"/>
      <c r="M119" s="76"/>
      <c r="N119" s="76"/>
      <c r="O119" s="265"/>
      <c r="P119" s="265"/>
      <c r="Q119" s="76"/>
      <c r="R119" s="76"/>
    </row>
    <row r="120" customFormat="false" ht="15.75" hidden="false" customHeight="true" outlineLevel="0" collapsed="false">
      <c r="A120" s="74"/>
      <c r="B120" s="146"/>
      <c r="C120" s="265"/>
      <c r="D120" s="265"/>
      <c r="E120" s="76"/>
      <c r="F120" s="76"/>
      <c r="G120" s="265"/>
      <c r="H120" s="265"/>
      <c r="I120" s="76"/>
      <c r="J120" s="76"/>
      <c r="K120" s="265"/>
      <c r="L120" s="265"/>
      <c r="M120" s="76"/>
      <c r="N120" s="76"/>
      <c r="O120" s="265"/>
      <c r="P120" s="265"/>
      <c r="Q120" s="76"/>
      <c r="R120" s="76"/>
    </row>
    <row r="121" customFormat="false" ht="15.75" hidden="false" customHeight="true" outlineLevel="0" collapsed="false">
      <c r="A121" s="74"/>
      <c r="B121" s="146"/>
      <c r="C121" s="265"/>
      <c r="D121" s="265"/>
      <c r="E121" s="76"/>
      <c r="F121" s="76"/>
      <c r="G121" s="265"/>
      <c r="H121" s="265"/>
      <c r="I121" s="76"/>
      <c r="J121" s="76"/>
      <c r="K121" s="265"/>
      <c r="L121" s="265"/>
      <c r="M121" s="76"/>
      <c r="N121" s="76"/>
      <c r="O121" s="265"/>
      <c r="P121" s="265"/>
      <c r="Q121" s="76"/>
      <c r="R121" s="76"/>
    </row>
    <row r="122" customFormat="false" ht="15.75" hidden="false" customHeight="true" outlineLevel="0" collapsed="false">
      <c r="A122" s="74"/>
      <c r="B122" s="146"/>
      <c r="C122" s="265"/>
      <c r="D122" s="265"/>
      <c r="E122" s="76"/>
      <c r="F122" s="76"/>
      <c r="G122" s="265"/>
      <c r="H122" s="265"/>
      <c r="I122" s="76"/>
      <c r="J122" s="76"/>
      <c r="K122" s="265"/>
      <c r="L122" s="265"/>
      <c r="M122" s="76"/>
      <c r="N122" s="76"/>
      <c r="O122" s="265"/>
      <c r="P122" s="265"/>
      <c r="Q122" s="76"/>
      <c r="R122" s="76"/>
    </row>
    <row r="123" customFormat="false" ht="15.75" hidden="false" customHeight="true" outlineLevel="0" collapsed="false">
      <c r="A123" s="74"/>
      <c r="B123" s="146"/>
      <c r="C123" s="265"/>
      <c r="D123" s="265"/>
      <c r="E123" s="76"/>
      <c r="F123" s="76"/>
      <c r="G123" s="265"/>
      <c r="H123" s="265"/>
      <c r="I123" s="76"/>
      <c r="J123" s="76"/>
      <c r="K123" s="265"/>
      <c r="L123" s="265"/>
      <c r="M123" s="76"/>
      <c r="N123" s="76"/>
      <c r="O123" s="265"/>
      <c r="P123" s="265"/>
      <c r="Q123" s="76"/>
      <c r="R123" s="76"/>
    </row>
    <row r="124" customFormat="false" ht="15.75" hidden="false" customHeight="true" outlineLevel="0" collapsed="false">
      <c r="A124" s="74"/>
      <c r="B124" s="146"/>
      <c r="C124" s="265"/>
      <c r="D124" s="265"/>
      <c r="E124" s="76"/>
      <c r="F124" s="76"/>
      <c r="G124" s="265"/>
      <c r="H124" s="265"/>
      <c r="I124" s="76"/>
      <c r="J124" s="76"/>
      <c r="K124" s="265"/>
      <c r="L124" s="265"/>
      <c r="M124" s="76"/>
      <c r="N124" s="76"/>
      <c r="O124" s="265"/>
      <c r="P124" s="265"/>
      <c r="Q124" s="76"/>
      <c r="R124" s="76"/>
    </row>
    <row r="125" customFormat="false" ht="15.75" hidden="false" customHeight="true" outlineLevel="0" collapsed="false">
      <c r="A125" s="74"/>
      <c r="B125" s="146"/>
      <c r="C125" s="265"/>
      <c r="D125" s="265"/>
      <c r="E125" s="76"/>
      <c r="F125" s="76"/>
      <c r="G125" s="265"/>
      <c r="H125" s="265"/>
      <c r="I125" s="76"/>
      <c r="J125" s="76"/>
      <c r="K125" s="265"/>
      <c r="L125" s="265"/>
      <c r="M125" s="76"/>
      <c r="N125" s="76"/>
      <c r="O125" s="265"/>
      <c r="P125" s="265"/>
      <c r="Q125" s="76"/>
      <c r="R125" s="76"/>
    </row>
    <row r="126" customFormat="false" ht="15.75" hidden="false" customHeight="true" outlineLevel="0" collapsed="false">
      <c r="A126" s="74"/>
      <c r="B126" s="146"/>
      <c r="C126" s="265"/>
      <c r="D126" s="265"/>
      <c r="E126" s="76"/>
      <c r="F126" s="76"/>
      <c r="G126" s="265"/>
      <c r="H126" s="265"/>
      <c r="I126" s="76"/>
      <c r="J126" s="76"/>
      <c r="K126" s="265"/>
      <c r="L126" s="265"/>
      <c r="M126" s="76"/>
      <c r="N126" s="76"/>
      <c r="O126" s="265"/>
      <c r="P126" s="265"/>
      <c r="Q126" s="76"/>
      <c r="R126" s="76"/>
    </row>
    <row r="127" customFormat="false" ht="15.75" hidden="false" customHeight="true" outlineLevel="0" collapsed="false">
      <c r="A127" s="74"/>
      <c r="B127" s="146"/>
      <c r="C127" s="265"/>
      <c r="D127" s="265"/>
      <c r="E127" s="76"/>
      <c r="F127" s="76"/>
      <c r="G127" s="265"/>
      <c r="H127" s="265"/>
      <c r="I127" s="76"/>
      <c r="J127" s="76"/>
      <c r="K127" s="265"/>
      <c r="L127" s="265"/>
      <c r="M127" s="76"/>
      <c r="N127" s="76"/>
      <c r="O127" s="265"/>
      <c r="P127" s="265"/>
      <c r="Q127" s="76"/>
      <c r="R127" s="76"/>
    </row>
    <row r="128" customFormat="false" ht="15.75" hidden="false" customHeight="true" outlineLevel="0" collapsed="false">
      <c r="A128" s="74"/>
      <c r="B128" s="146"/>
      <c r="C128" s="265"/>
      <c r="D128" s="265"/>
      <c r="E128" s="76"/>
      <c r="F128" s="76"/>
      <c r="G128" s="265"/>
      <c r="H128" s="265"/>
      <c r="I128" s="76"/>
      <c r="J128" s="76"/>
      <c r="K128" s="265"/>
      <c r="L128" s="265"/>
      <c r="M128" s="76"/>
      <c r="N128" s="76"/>
      <c r="O128" s="265"/>
      <c r="P128" s="265"/>
      <c r="Q128" s="76"/>
      <c r="R128" s="76"/>
    </row>
    <row r="129" customFormat="false" ht="15.75" hidden="false" customHeight="true" outlineLevel="0" collapsed="false">
      <c r="A129" s="74"/>
      <c r="B129" s="146"/>
      <c r="C129" s="265"/>
      <c r="D129" s="265"/>
      <c r="E129" s="76"/>
      <c r="F129" s="76"/>
      <c r="G129" s="265"/>
      <c r="H129" s="265"/>
      <c r="I129" s="76"/>
      <c r="J129" s="76"/>
      <c r="K129" s="265"/>
      <c r="L129" s="265"/>
      <c r="M129" s="76"/>
      <c r="N129" s="76"/>
      <c r="O129" s="265"/>
      <c r="P129" s="265"/>
      <c r="Q129" s="76"/>
      <c r="R129" s="76"/>
    </row>
    <row r="130" customFormat="false" ht="15.75" hidden="false" customHeight="true" outlineLevel="0" collapsed="false">
      <c r="A130" s="74"/>
      <c r="B130" s="146"/>
      <c r="C130" s="265"/>
      <c r="D130" s="265"/>
      <c r="E130" s="76"/>
      <c r="F130" s="76"/>
      <c r="G130" s="265"/>
      <c r="H130" s="265"/>
      <c r="I130" s="76"/>
      <c r="J130" s="76"/>
      <c r="K130" s="265"/>
      <c r="L130" s="265"/>
      <c r="M130" s="76"/>
      <c r="N130" s="76"/>
      <c r="O130" s="265"/>
      <c r="P130" s="265"/>
      <c r="Q130" s="76"/>
      <c r="R130" s="76"/>
    </row>
    <row r="131" customFormat="false" ht="15.75" hidden="false" customHeight="true" outlineLevel="0" collapsed="false">
      <c r="A131" s="74"/>
      <c r="B131" s="146"/>
      <c r="C131" s="265"/>
      <c r="D131" s="265"/>
      <c r="E131" s="76"/>
      <c r="F131" s="76"/>
      <c r="G131" s="265"/>
      <c r="H131" s="265"/>
      <c r="I131" s="76"/>
      <c r="J131" s="76"/>
      <c r="K131" s="265"/>
      <c r="L131" s="265"/>
      <c r="M131" s="76"/>
      <c r="N131" s="76"/>
      <c r="O131" s="265"/>
      <c r="P131" s="265"/>
      <c r="Q131" s="76"/>
      <c r="R131" s="76"/>
    </row>
    <row r="132" customFormat="false" ht="15.75" hidden="false" customHeight="true" outlineLevel="0" collapsed="false">
      <c r="A132" s="74"/>
      <c r="B132" s="146"/>
      <c r="C132" s="265"/>
      <c r="D132" s="265"/>
      <c r="E132" s="76"/>
      <c r="F132" s="76"/>
      <c r="G132" s="265"/>
      <c r="H132" s="265"/>
      <c r="I132" s="76"/>
      <c r="J132" s="76"/>
      <c r="K132" s="265"/>
      <c r="L132" s="265"/>
      <c r="M132" s="76"/>
      <c r="N132" s="76"/>
      <c r="O132" s="265"/>
      <c r="P132" s="265"/>
      <c r="Q132" s="76"/>
      <c r="R132" s="76"/>
    </row>
    <row r="133" customFormat="false" ht="15.75" hidden="false" customHeight="true" outlineLevel="0" collapsed="false">
      <c r="A133" s="74"/>
      <c r="B133" s="146"/>
      <c r="C133" s="265"/>
      <c r="D133" s="265"/>
      <c r="E133" s="76"/>
      <c r="F133" s="76"/>
      <c r="G133" s="265"/>
      <c r="H133" s="265"/>
      <c r="I133" s="76"/>
      <c r="J133" s="76"/>
      <c r="K133" s="265"/>
      <c r="L133" s="265"/>
      <c r="M133" s="76"/>
      <c r="N133" s="76"/>
      <c r="O133" s="265"/>
      <c r="P133" s="265"/>
      <c r="Q133" s="76"/>
      <c r="R133" s="76"/>
    </row>
    <row r="134" customFormat="false" ht="15.75" hidden="false" customHeight="true" outlineLevel="0" collapsed="false">
      <c r="A134" s="74"/>
      <c r="B134" s="146"/>
      <c r="C134" s="265"/>
      <c r="D134" s="265"/>
      <c r="E134" s="76"/>
      <c r="F134" s="76"/>
      <c r="G134" s="265"/>
      <c r="H134" s="265"/>
      <c r="I134" s="76"/>
      <c r="J134" s="76"/>
      <c r="K134" s="265"/>
      <c r="L134" s="265"/>
      <c r="M134" s="76"/>
      <c r="N134" s="76"/>
      <c r="O134" s="265"/>
      <c r="P134" s="265"/>
      <c r="Q134" s="76"/>
      <c r="R134" s="76"/>
    </row>
    <row r="135" customFormat="false" ht="15.75" hidden="false" customHeight="true" outlineLevel="0" collapsed="false">
      <c r="A135" s="74"/>
      <c r="B135" s="146"/>
      <c r="C135" s="265"/>
      <c r="D135" s="265"/>
      <c r="E135" s="76"/>
      <c r="F135" s="76"/>
      <c r="G135" s="265"/>
      <c r="H135" s="265"/>
      <c r="I135" s="76"/>
      <c r="J135" s="76"/>
      <c r="K135" s="265"/>
      <c r="L135" s="265"/>
      <c r="M135" s="76"/>
      <c r="N135" s="76"/>
      <c r="O135" s="265"/>
      <c r="P135" s="265"/>
      <c r="Q135" s="76"/>
      <c r="R135" s="76"/>
    </row>
    <row r="136" customFormat="false" ht="15.75" hidden="false" customHeight="true" outlineLevel="0" collapsed="false">
      <c r="A136" s="74"/>
      <c r="B136" s="146"/>
      <c r="C136" s="265"/>
      <c r="D136" s="265"/>
      <c r="E136" s="76"/>
      <c r="F136" s="76"/>
      <c r="G136" s="265"/>
      <c r="H136" s="265"/>
      <c r="I136" s="76"/>
      <c r="J136" s="76"/>
      <c r="K136" s="265"/>
      <c r="L136" s="265"/>
      <c r="M136" s="76"/>
      <c r="N136" s="76"/>
      <c r="O136" s="265"/>
      <c r="P136" s="265"/>
      <c r="Q136" s="76"/>
      <c r="R136" s="76"/>
    </row>
    <row r="137" customFormat="false" ht="15.75" hidden="false" customHeight="true" outlineLevel="0" collapsed="false">
      <c r="A137" s="74"/>
      <c r="B137" s="146"/>
      <c r="C137" s="265"/>
      <c r="D137" s="265"/>
      <c r="E137" s="76"/>
      <c r="F137" s="76"/>
      <c r="G137" s="265"/>
      <c r="H137" s="265"/>
      <c r="I137" s="76"/>
      <c r="J137" s="76"/>
      <c r="K137" s="265"/>
      <c r="L137" s="265"/>
      <c r="M137" s="76"/>
      <c r="N137" s="76"/>
      <c r="O137" s="265"/>
      <c r="P137" s="265"/>
      <c r="Q137" s="76"/>
      <c r="R137" s="76"/>
    </row>
    <row r="138" customFormat="false" ht="15.75" hidden="false" customHeight="true" outlineLevel="0" collapsed="false">
      <c r="A138" s="74"/>
      <c r="B138" s="146"/>
      <c r="C138" s="265"/>
      <c r="D138" s="265"/>
      <c r="E138" s="76"/>
      <c r="F138" s="76"/>
      <c r="G138" s="265"/>
      <c r="H138" s="265"/>
      <c r="I138" s="76"/>
      <c r="J138" s="76"/>
      <c r="K138" s="265"/>
      <c r="L138" s="265"/>
      <c r="M138" s="76"/>
      <c r="N138" s="76"/>
      <c r="O138" s="265"/>
      <c r="P138" s="265"/>
      <c r="Q138" s="76"/>
      <c r="R138" s="76"/>
    </row>
    <row r="139" customFormat="false" ht="15.75" hidden="false" customHeight="true" outlineLevel="0" collapsed="false">
      <c r="A139" s="74"/>
      <c r="B139" s="146"/>
      <c r="C139" s="265"/>
      <c r="D139" s="265"/>
      <c r="E139" s="76"/>
      <c r="F139" s="76"/>
      <c r="G139" s="265"/>
      <c r="H139" s="265"/>
      <c r="I139" s="76"/>
      <c r="J139" s="76"/>
      <c r="K139" s="265"/>
      <c r="L139" s="265"/>
      <c r="M139" s="76"/>
      <c r="N139" s="76"/>
      <c r="O139" s="265"/>
      <c r="P139" s="265"/>
      <c r="Q139" s="76"/>
      <c r="R139" s="76"/>
    </row>
    <row r="140" customFormat="false" ht="15.75" hidden="false" customHeight="true" outlineLevel="0" collapsed="false">
      <c r="A140" s="74"/>
      <c r="B140" s="146"/>
      <c r="C140" s="265"/>
      <c r="D140" s="265"/>
      <c r="E140" s="76"/>
      <c r="F140" s="76"/>
      <c r="G140" s="265"/>
      <c r="H140" s="265"/>
      <c r="I140" s="76"/>
      <c r="J140" s="76"/>
      <c r="K140" s="265"/>
      <c r="L140" s="265"/>
      <c r="M140" s="76"/>
      <c r="N140" s="76"/>
      <c r="O140" s="265"/>
      <c r="P140" s="265"/>
      <c r="Q140" s="76"/>
      <c r="R140" s="76"/>
    </row>
    <row r="141" customFormat="false" ht="15.75" hidden="false" customHeight="true" outlineLevel="0" collapsed="false">
      <c r="A141" s="74"/>
      <c r="B141" s="146"/>
      <c r="C141" s="265"/>
      <c r="D141" s="265"/>
      <c r="E141" s="76"/>
      <c r="F141" s="76"/>
      <c r="G141" s="265"/>
      <c r="H141" s="265"/>
      <c r="I141" s="76"/>
      <c r="J141" s="76"/>
      <c r="K141" s="265"/>
      <c r="L141" s="265"/>
      <c r="M141" s="76"/>
      <c r="N141" s="76"/>
      <c r="O141" s="265"/>
      <c r="P141" s="265"/>
      <c r="Q141" s="76"/>
      <c r="R141" s="76"/>
    </row>
    <row r="142" customFormat="false" ht="15.75" hidden="false" customHeight="true" outlineLevel="0" collapsed="false">
      <c r="A142" s="74"/>
      <c r="B142" s="146"/>
      <c r="C142" s="265"/>
      <c r="D142" s="265"/>
      <c r="E142" s="76"/>
      <c r="F142" s="76"/>
      <c r="G142" s="265"/>
      <c r="H142" s="265"/>
      <c r="I142" s="76"/>
      <c r="J142" s="76"/>
      <c r="K142" s="265"/>
      <c r="L142" s="265"/>
      <c r="M142" s="76"/>
      <c r="N142" s="76"/>
      <c r="O142" s="265"/>
      <c r="P142" s="265"/>
      <c r="Q142" s="76"/>
      <c r="R142" s="76"/>
    </row>
    <row r="143" customFormat="false" ht="15.75" hidden="false" customHeight="true" outlineLevel="0" collapsed="false">
      <c r="A143" s="74"/>
      <c r="B143" s="146"/>
      <c r="C143" s="265"/>
      <c r="D143" s="265"/>
      <c r="E143" s="76"/>
      <c r="F143" s="76"/>
      <c r="G143" s="265"/>
      <c r="H143" s="265"/>
      <c r="I143" s="76"/>
      <c r="J143" s="76"/>
      <c r="K143" s="265"/>
      <c r="L143" s="265"/>
      <c r="M143" s="76"/>
      <c r="N143" s="76"/>
      <c r="O143" s="265"/>
      <c r="P143" s="265"/>
      <c r="Q143" s="76"/>
      <c r="R143" s="76"/>
    </row>
    <row r="144" customFormat="false" ht="15.75" hidden="false" customHeight="true" outlineLevel="0" collapsed="false">
      <c r="A144" s="74"/>
      <c r="B144" s="146"/>
      <c r="C144" s="265"/>
      <c r="D144" s="265"/>
      <c r="E144" s="76"/>
      <c r="F144" s="76"/>
      <c r="G144" s="265"/>
      <c r="H144" s="265"/>
      <c r="I144" s="76"/>
      <c r="J144" s="76"/>
      <c r="K144" s="265"/>
      <c r="L144" s="265"/>
      <c r="M144" s="76"/>
      <c r="N144" s="76"/>
      <c r="O144" s="265"/>
      <c r="P144" s="265"/>
      <c r="Q144" s="76"/>
      <c r="R144" s="76"/>
    </row>
    <row r="145" customFormat="false" ht="15.75" hidden="false" customHeight="true" outlineLevel="0" collapsed="false">
      <c r="A145" s="74"/>
      <c r="B145" s="146"/>
      <c r="C145" s="265"/>
      <c r="D145" s="265"/>
      <c r="E145" s="76"/>
      <c r="F145" s="76"/>
      <c r="G145" s="265"/>
      <c r="H145" s="265"/>
      <c r="I145" s="76"/>
      <c r="J145" s="76"/>
      <c r="K145" s="265"/>
      <c r="L145" s="265"/>
      <c r="M145" s="76"/>
      <c r="N145" s="76"/>
      <c r="O145" s="265"/>
      <c r="P145" s="265"/>
      <c r="Q145" s="76"/>
      <c r="R145" s="76"/>
    </row>
    <row r="146" customFormat="false" ht="15.75" hidden="false" customHeight="true" outlineLevel="0" collapsed="false">
      <c r="A146" s="74"/>
      <c r="B146" s="146"/>
      <c r="C146" s="265"/>
      <c r="D146" s="265"/>
      <c r="E146" s="76"/>
      <c r="F146" s="76"/>
      <c r="G146" s="265"/>
      <c r="H146" s="265"/>
      <c r="I146" s="76"/>
      <c r="J146" s="76"/>
      <c r="K146" s="265"/>
      <c r="L146" s="265"/>
      <c r="M146" s="76"/>
      <c r="N146" s="76"/>
      <c r="O146" s="265"/>
      <c r="P146" s="265"/>
      <c r="Q146" s="76"/>
      <c r="R146" s="76"/>
    </row>
    <row r="147" customFormat="false" ht="15.75" hidden="false" customHeight="true" outlineLevel="0" collapsed="false">
      <c r="A147" s="74"/>
      <c r="B147" s="146"/>
      <c r="C147" s="265"/>
      <c r="D147" s="265"/>
      <c r="E147" s="76"/>
      <c r="F147" s="76"/>
      <c r="G147" s="265"/>
      <c r="H147" s="265"/>
      <c r="I147" s="76"/>
      <c r="J147" s="76"/>
      <c r="K147" s="265"/>
      <c r="L147" s="265"/>
      <c r="M147" s="76"/>
      <c r="N147" s="76"/>
      <c r="O147" s="265"/>
      <c r="P147" s="265"/>
      <c r="Q147" s="76"/>
      <c r="R147" s="76"/>
    </row>
    <row r="148" customFormat="false" ht="15.75" hidden="false" customHeight="true" outlineLevel="0" collapsed="false">
      <c r="A148" s="74"/>
      <c r="B148" s="146"/>
      <c r="C148" s="265"/>
      <c r="D148" s="265"/>
      <c r="E148" s="76"/>
      <c r="F148" s="76"/>
      <c r="G148" s="265"/>
      <c r="H148" s="265"/>
      <c r="I148" s="76"/>
      <c r="J148" s="76"/>
      <c r="K148" s="265"/>
      <c r="L148" s="265"/>
      <c r="M148" s="76"/>
      <c r="N148" s="76"/>
      <c r="O148" s="265"/>
      <c r="P148" s="265"/>
      <c r="Q148" s="76"/>
      <c r="R148" s="76"/>
    </row>
    <row r="149" customFormat="false" ht="15.75" hidden="false" customHeight="true" outlineLevel="0" collapsed="false">
      <c r="A149" s="74"/>
      <c r="B149" s="146"/>
      <c r="C149" s="265"/>
      <c r="D149" s="265"/>
      <c r="E149" s="76"/>
      <c r="F149" s="76"/>
      <c r="G149" s="265"/>
      <c r="H149" s="265"/>
      <c r="I149" s="76"/>
      <c r="J149" s="76"/>
      <c r="K149" s="265"/>
      <c r="L149" s="265"/>
      <c r="M149" s="76"/>
      <c r="N149" s="76"/>
      <c r="O149" s="265"/>
      <c r="P149" s="265"/>
      <c r="Q149" s="76"/>
      <c r="R149" s="76"/>
    </row>
    <row r="150" customFormat="false" ht="15.75" hidden="false" customHeight="true" outlineLevel="0" collapsed="false">
      <c r="A150" s="74"/>
      <c r="B150" s="146"/>
      <c r="C150" s="265"/>
      <c r="D150" s="265"/>
      <c r="E150" s="76"/>
      <c r="F150" s="76"/>
      <c r="G150" s="265"/>
      <c r="H150" s="265"/>
      <c r="I150" s="76"/>
      <c r="J150" s="76"/>
      <c r="K150" s="265"/>
      <c r="L150" s="265"/>
      <c r="M150" s="76"/>
      <c r="N150" s="76"/>
      <c r="O150" s="265"/>
      <c r="P150" s="265"/>
      <c r="Q150" s="76"/>
      <c r="R150" s="76"/>
    </row>
    <row r="151" customFormat="false" ht="15.75" hidden="false" customHeight="true" outlineLevel="0" collapsed="false">
      <c r="A151" s="74"/>
      <c r="B151" s="146"/>
      <c r="C151" s="265"/>
      <c r="D151" s="265"/>
      <c r="E151" s="76"/>
      <c r="F151" s="76"/>
      <c r="G151" s="265"/>
      <c r="H151" s="265"/>
      <c r="I151" s="76"/>
      <c r="J151" s="76"/>
      <c r="K151" s="265"/>
      <c r="L151" s="265"/>
      <c r="M151" s="76"/>
      <c r="N151" s="76"/>
      <c r="O151" s="265"/>
      <c r="P151" s="265"/>
      <c r="Q151" s="76"/>
      <c r="R151" s="76"/>
    </row>
    <row r="152" customFormat="false" ht="15.75" hidden="false" customHeight="true" outlineLevel="0" collapsed="false">
      <c r="A152" s="74"/>
      <c r="B152" s="146"/>
      <c r="C152" s="265"/>
      <c r="D152" s="265"/>
      <c r="E152" s="76"/>
      <c r="F152" s="76"/>
      <c r="G152" s="265"/>
      <c r="H152" s="265"/>
      <c r="I152" s="76"/>
      <c r="J152" s="76"/>
      <c r="K152" s="265"/>
      <c r="L152" s="265"/>
      <c r="M152" s="76"/>
      <c r="N152" s="76"/>
      <c r="O152" s="265"/>
      <c r="P152" s="265"/>
      <c r="Q152" s="76"/>
      <c r="R152" s="76"/>
    </row>
    <row r="153" customFormat="false" ht="15.75" hidden="false" customHeight="true" outlineLevel="0" collapsed="false">
      <c r="A153" s="74"/>
      <c r="B153" s="146"/>
      <c r="C153" s="265"/>
      <c r="D153" s="265"/>
      <c r="E153" s="76"/>
      <c r="F153" s="76"/>
      <c r="G153" s="265"/>
      <c r="H153" s="265"/>
      <c r="I153" s="76"/>
      <c r="J153" s="76"/>
      <c r="K153" s="265"/>
      <c r="L153" s="265"/>
      <c r="M153" s="76"/>
      <c r="N153" s="76"/>
      <c r="O153" s="265"/>
      <c r="P153" s="265"/>
      <c r="Q153" s="76"/>
      <c r="R153" s="76"/>
    </row>
    <row r="154" customFormat="false" ht="15.75" hidden="false" customHeight="true" outlineLevel="0" collapsed="false">
      <c r="A154" s="74"/>
      <c r="B154" s="146"/>
      <c r="C154" s="265"/>
      <c r="D154" s="265"/>
      <c r="E154" s="76"/>
      <c r="F154" s="76"/>
      <c r="G154" s="265"/>
      <c r="H154" s="265"/>
      <c r="I154" s="76"/>
      <c r="J154" s="76"/>
      <c r="K154" s="265"/>
      <c r="L154" s="265"/>
      <c r="M154" s="76"/>
      <c r="N154" s="76"/>
      <c r="O154" s="265"/>
      <c r="P154" s="265"/>
      <c r="Q154" s="76"/>
      <c r="R154" s="76"/>
    </row>
    <row r="155" customFormat="false" ht="15.75" hidden="false" customHeight="true" outlineLevel="0" collapsed="false">
      <c r="A155" s="74"/>
      <c r="B155" s="146"/>
      <c r="C155" s="265"/>
      <c r="D155" s="265"/>
      <c r="E155" s="76"/>
      <c r="F155" s="76"/>
      <c r="G155" s="265"/>
      <c r="H155" s="265"/>
      <c r="I155" s="76"/>
      <c r="J155" s="76"/>
      <c r="K155" s="265"/>
      <c r="L155" s="265"/>
      <c r="M155" s="76"/>
      <c r="N155" s="76"/>
      <c r="O155" s="265"/>
      <c r="P155" s="265"/>
      <c r="Q155" s="76"/>
      <c r="R155" s="76"/>
    </row>
    <row r="156" customFormat="false" ht="15.75" hidden="false" customHeight="true" outlineLevel="0" collapsed="false">
      <c r="A156" s="74"/>
      <c r="B156" s="146"/>
      <c r="C156" s="265"/>
      <c r="D156" s="265"/>
      <c r="E156" s="76"/>
      <c r="F156" s="76"/>
      <c r="G156" s="265"/>
      <c r="H156" s="265"/>
      <c r="I156" s="76"/>
      <c r="J156" s="76"/>
      <c r="K156" s="265"/>
      <c r="L156" s="265"/>
      <c r="M156" s="76"/>
      <c r="N156" s="76"/>
      <c r="O156" s="265"/>
      <c r="P156" s="265"/>
      <c r="Q156" s="76"/>
      <c r="R156" s="76"/>
    </row>
    <row r="157" customFormat="false" ht="15.75" hidden="false" customHeight="true" outlineLevel="0" collapsed="false">
      <c r="A157" s="74"/>
      <c r="B157" s="146"/>
      <c r="C157" s="265"/>
      <c r="D157" s="265"/>
      <c r="E157" s="76"/>
      <c r="F157" s="76"/>
      <c r="G157" s="265"/>
      <c r="H157" s="265"/>
      <c r="I157" s="76"/>
      <c r="J157" s="76"/>
      <c r="K157" s="265"/>
      <c r="L157" s="265"/>
      <c r="M157" s="76"/>
      <c r="N157" s="76"/>
      <c r="O157" s="265"/>
      <c r="P157" s="265"/>
      <c r="Q157" s="76"/>
      <c r="R157" s="76"/>
    </row>
    <row r="158" customFormat="false" ht="15.75" hidden="false" customHeight="true" outlineLevel="0" collapsed="false">
      <c r="A158" s="74"/>
      <c r="B158" s="146"/>
      <c r="C158" s="265"/>
      <c r="D158" s="265"/>
      <c r="E158" s="76"/>
      <c r="F158" s="76"/>
      <c r="G158" s="265"/>
      <c r="H158" s="265"/>
      <c r="I158" s="76"/>
      <c r="J158" s="76"/>
      <c r="K158" s="265"/>
      <c r="L158" s="265"/>
      <c r="M158" s="76"/>
      <c r="N158" s="76"/>
      <c r="O158" s="265"/>
      <c r="P158" s="265"/>
      <c r="Q158" s="76"/>
      <c r="R158" s="76"/>
    </row>
    <row r="159" customFormat="false" ht="15.75" hidden="false" customHeight="true" outlineLevel="0" collapsed="false">
      <c r="A159" s="74"/>
      <c r="B159" s="146"/>
      <c r="C159" s="265"/>
      <c r="D159" s="265"/>
      <c r="E159" s="76"/>
      <c r="F159" s="76"/>
      <c r="G159" s="265"/>
      <c r="H159" s="265"/>
      <c r="I159" s="76"/>
      <c r="J159" s="76"/>
      <c r="K159" s="265"/>
      <c r="L159" s="265"/>
      <c r="M159" s="76"/>
      <c r="N159" s="76"/>
      <c r="O159" s="265"/>
      <c r="P159" s="265"/>
      <c r="Q159" s="76"/>
      <c r="R159" s="76"/>
    </row>
    <row r="160" customFormat="false" ht="15.75" hidden="false" customHeight="true" outlineLevel="0" collapsed="false">
      <c r="A160" s="74"/>
      <c r="B160" s="146"/>
      <c r="C160" s="265"/>
      <c r="D160" s="265"/>
      <c r="E160" s="76"/>
      <c r="F160" s="76"/>
      <c r="G160" s="265"/>
      <c r="H160" s="265"/>
      <c r="I160" s="76"/>
      <c r="J160" s="76"/>
      <c r="K160" s="265"/>
      <c r="L160" s="265"/>
      <c r="M160" s="76"/>
      <c r="N160" s="76"/>
      <c r="O160" s="265"/>
      <c r="P160" s="265"/>
      <c r="Q160" s="76"/>
      <c r="R160" s="76"/>
    </row>
    <row r="161" customFormat="false" ht="15.75" hidden="false" customHeight="true" outlineLevel="0" collapsed="false">
      <c r="A161" s="74"/>
      <c r="B161" s="146"/>
      <c r="C161" s="265"/>
      <c r="D161" s="265"/>
      <c r="E161" s="76"/>
      <c r="F161" s="76"/>
      <c r="G161" s="265"/>
      <c r="H161" s="265"/>
      <c r="I161" s="76"/>
      <c r="J161" s="76"/>
      <c r="K161" s="265"/>
      <c r="L161" s="265"/>
      <c r="M161" s="76"/>
      <c r="N161" s="76"/>
      <c r="O161" s="265"/>
      <c r="P161" s="265"/>
      <c r="Q161" s="76"/>
      <c r="R161" s="76"/>
    </row>
    <row r="162" customFormat="false" ht="15.75" hidden="false" customHeight="true" outlineLevel="0" collapsed="false">
      <c r="A162" s="74"/>
      <c r="B162" s="146"/>
      <c r="C162" s="265"/>
      <c r="D162" s="265"/>
      <c r="E162" s="76"/>
      <c r="F162" s="76"/>
      <c r="G162" s="265"/>
      <c r="H162" s="265"/>
      <c r="I162" s="76"/>
      <c r="J162" s="76"/>
      <c r="K162" s="265"/>
      <c r="L162" s="265"/>
      <c r="M162" s="76"/>
      <c r="N162" s="76"/>
      <c r="O162" s="265"/>
      <c r="P162" s="265"/>
      <c r="Q162" s="76"/>
      <c r="R162" s="76"/>
    </row>
    <row r="163" customFormat="false" ht="15.75" hidden="false" customHeight="true" outlineLevel="0" collapsed="false">
      <c r="A163" s="74"/>
      <c r="B163" s="146"/>
      <c r="C163" s="265"/>
      <c r="D163" s="265"/>
      <c r="E163" s="76"/>
      <c r="F163" s="76"/>
      <c r="G163" s="265"/>
      <c r="H163" s="265"/>
      <c r="I163" s="76"/>
      <c r="J163" s="76"/>
      <c r="K163" s="265"/>
      <c r="L163" s="265"/>
      <c r="M163" s="76"/>
      <c r="N163" s="76"/>
      <c r="O163" s="265"/>
      <c r="P163" s="265"/>
      <c r="Q163" s="76"/>
      <c r="R163" s="76"/>
    </row>
    <row r="164" customFormat="false" ht="15.75" hidden="false" customHeight="true" outlineLevel="0" collapsed="false">
      <c r="A164" s="74"/>
      <c r="B164" s="146"/>
      <c r="C164" s="265"/>
      <c r="D164" s="265"/>
      <c r="E164" s="76"/>
      <c r="F164" s="76"/>
      <c r="G164" s="265"/>
      <c r="H164" s="265"/>
      <c r="I164" s="76"/>
      <c r="J164" s="76"/>
      <c r="K164" s="265"/>
      <c r="L164" s="265"/>
      <c r="M164" s="76"/>
      <c r="N164" s="76"/>
      <c r="O164" s="265"/>
      <c r="P164" s="265"/>
      <c r="Q164" s="76"/>
      <c r="R164" s="76"/>
    </row>
    <row r="165" customFormat="false" ht="15.75" hidden="false" customHeight="true" outlineLevel="0" collapsed="false">
      <c r="A165" s="74"/>
      <c r="B165" s="146"/>
      <c r="C165" s="265"/>
      <c r="D165" s="265"/>
      <c r="E165" s="76"/>
      <c r="F165" s="76"/>
      <c r="G165" s="265"/>
      <c r="H165" s="265"/>
      <c r="I165" s="76"/>
      <c r="J165" s="76"/>
      <c r="K165" s="265"/>
      <c r="L165" s="265"/>
      <c r="M165" s="76"/>
      <c r="N165" s="76"/>
      <c r="O165" s="265"/>
      <c r="P165" s="265"/>
      <c r="Q165" s="76"/>
      <c r="R165" s="76"/>
    </row>
    <row r="166" customFormat="false" ht="15.75" hidden="false" customHeight="true" outlineLevel="0" collapsed="false">
      <c r="A166" s="74"/>
      <c r="B166" s="146"/>
      <c r="C166" s="265"/>
      <c r="D166" s="265"/>
      <c r="E166" s="76"/>
      <c r="F166" s="76"/>
      <c r="G166" s="265"/>
      <c r="H166" s="265"/>
      <c r="I166" s="76"/>
      <c r="J166" s="76"/>
      <c r="K166" s="265"/>
      <c r="L166" s="265"/>
      <c r="M166" s="76"/>
      <c r="N166" s="76"/>
      <c r="O166" s="265"/>
      <c r="P166" s="265"/>
      <c r="Q166" s="76"/>
      <c r="R166" s="76"/>
    </row>
    <row r="167" customFormat="false" ht="15.75" hidden="false" customHeight="true" outlineLevel="0" collapsed="false">
      <c r="A167" s="74"/>
      <c r="B167" s="146"/>
      <c r="C167" s="265"/>
      <c r="D167" s="265"/>
      <c r="E167" s="76"/>
      <c r="F167" s="76"/>
      <c r="G167" s="265"/>
      <c r="H167" s="265"/>
      <c r="I167" s="76"/>
      <c r="J167" s="76"/>
      <c r="K167" s="265"/>
      <c r="L167" s="265"/>
      <c r="M167" s="76"/>
      <c r="N167" s="76"/>
      <c r="O167" s="265"/>
      <c r="P167" s="265"/>
      <c r="Q167" s="76"/>
      <c r="R167" s="76"/>
    </row>
    <row r="168" customFormat="false" ht="15.75" hidden="false" customHeight="true" outlineLevel="0" collapsed="false">
      <c r="A168" s="74"/>
      <c r="B168" s="146"/>
      <c r="C168" s="265"/>
      <c r="D168" s="265"/>
      <c r="E168" s="76"/>
      <c r="F168" s="76"/>
      <c r="G168" s="265"/>
      <c r="H168" s="265"/>
      <c r="I168" s="76"/>
      <c r="J168" s="76"/>
      <c r="K168" s="265"/>
      <c r="L168" s="265"/>
      <c r="M168" s="76"/>
      <c r="N168" s="76"/>
      <c r="O168" s="265"/>
      <c r="P168" s="265"/>
      <c r="Q168" s="76"/>
      <c r="R168" s="76"/>
    </row>
    <row r="169" customFormat="false" ht="15.75" hidden="false" customHeight="true" outlineLevel="0" collapsed="false">
      <c r="A169" s="74"/>
      <c r="B169" s="146"/>
      <c r="C169" s="265"/>
      <c r="D169" s="265"/>
      <c r="E169" s="76"/>
      <c r="F169" s="76"/>
      <c r="G169" s="265"/>
      <c r="H169" s="265"/>
      <c r="I169" s="76"/>
      <c r="J169" s="76"/>
      <c r="K169" s="265"/>
      <c r="L169" s="265"/>
      <c r="M169" s="76"/>
      <c r="N169" s="76"/>
      <c r="O169" s="265"/>
      <c r="P169" s="265"/>
      <c r="Q169" s="76"/>
      <c r="R169" s="76"/>
    </row>
    <row r="170" customFormat="false" ht="15.75" hidden="false" customHeight="true" outlineLevel="0" collapsed="false">
      <c r="A170" s="74"/>
      <c r="B170" s="146"/>
      <c r="C170" s="265"/>
      <c r="D170" s="265"/>
      <c r="E170" s="76"/>
      <c r="F170" s="76"/>
      <c r="G170" s="265"/>
      <c r="H170" s="265"/>
      <c r="I170" s="76"/>
      <c r="J170" s="76"/>
      <c r="K170" s="265"/>
      <c r="L170" s="265"/>
      <c r="M170" s="76"/>
      <c r="N170" s="76"/>
      <c r="O170" s="265"/>
      <c r="P170" s="265"/>
      <c r="Q170" s="76"/>
      <c r="R170" s="76"/>
    </row>
    <row r="171" customFormat="false" ht="15.75" hidden="false" customHeight="true" outlineLevel="0" collapsed="false">
      <c r="A171" s="74"/>
      <c r="B171" s="146"/>
      <c r="C171" s="265"/>
      <c r="D171" s="265"/>
      <c r="E171" s="76"/>
      <c r="F171" s="76"/>
      <c r="G171" s="265"/>
      <c r="H171" s="265"/>
      <c r="I171" s="76"/>
      <c r="J171" s="76"/>
      <c r="K171" s="265"/>
      <c r="L171" s="265"/>
      <c r="M171" s="76"/>
      <c r="N171" s="76"/>
      <c r="O171" s="265"/>
      <c r="P171" s="265"/>
      <c r="Q171" s="76"/>
      <c r="R171" s="76"/>
    </row>
    <row r="172" customFormat="false" ht="15.75" hidden="false" customHeight="true" outlineLevel="0" collapsed="false">
      <c r="A172" s="74"/>
      <c r="B172" s="146"/>
      <c r="C172" s="265"/>
      <c r="D172" s="265"/>
      <c r="E172" s="76"/>
      <c r="F172" s="76"/>
      <c r="G172" s="265"/>
      <c r="H172" s="265"/>
      <c r="I172" s="76"/>
      <c r="J172" s="76"/>
      <c r="K172" s="265"/>
      <c r="L172" s="265"/>
      <c r="M172" s="76"/>
      <c r="N172" s="76"/>
      <c r="O172" s="265"/>
      <c r="P172" s="265"/>
      <c r="Q172" s="76"/>
      <c r="R172" s="76"/>
    </row>
    <row r="173" customFormat="false" ht="15.75" hidden="false" customHeight="true" outlineLevel="0" collapsed="false">
      <c r="A173" s="74"/>
      <c r="B173" s="146"/>
      <c r="C173" s="265"/>
      <c r="D173" s="265"/>
      <c r="E173" s="76"/>
      <c r="F173" s="76"/>
      <c r="G173" s="265"/>
      <c r="H173" s="265"/>
      <c r="I173" s="76"/>
      <c r="J173" s="76"/>
      <c r="K173" s="265"/>
      <c r="L173" s="265"/>
      <c r="M173" s="76"/>
      <c r="N173" s="76"/>
      <c r="O173" s="265"/>
      <c r="P173" s="265"/>
      <c r="Q173" s="76"/>
      <c r="R173" s="76"/>
    </row>
    <row r="174" customFormat="false" ht="15.75" hidden="false" customHeight="true" outlineLevel="0" collapsed="false">
      <c r="A174" s="74"/>
      <c r="B174" s="146"/>
      <c r="C174" s="265"/>
      <c r="D174" s="265"/>
      <c r="E174" s="76"/>
      <c r="F174" s="76"/>
      <c r="G174" s="265"/>
      <c r="H174" s="265"/>
      <c r="I174" s="76"/>
      <c r="J174" s="76"/>
      <c r="K174" s="265"/>
      <c r="L174" s="265"/>
      <c r="M174" s="76"/>
      <c r="N174" s="76"/>
      <c r="O174" s="265"/>
      <c r="P174" s="265"/>
      <c r="Q174" s="76"/>
      <c r="R174" s="76"/>
    </row>
    <row r="175" customFormat="false" ht="15.75" hidden="false" customHeight="true" outlineLevel="0" collapsed="false">
      <c r="A175" s="74"/>
      <c r="B175" s="146"/>
      <c r="C175" s="265"/>
      <c r="D175" s="265"/>
      <c r="E175" s="76"/>
      <c r="F175" s="76"/>
      <c r="G175" s="265"/>
      <c r="H175" s="265"/>
      <c r="I175" s="76"/>
      <c r="J175" s="76"/>
      <c r="K175" s="265"/>
      <c r="L175" s="265"/>
      <c r="M175" s="76"/>
      <c r="N175" s="76"/>
      <c r="O175" s="265"/>
      <c r="P175" s="265"/>
      <c r="Q175" s="76"/>
      <c r="R175" s="76"/>
    </row>
    <row r="176" customFormat="false" ht="15.75" hidden="false" customHeight="true" outlineLevel="0" collapsed="false">
      <c r="A176" s="74"/>
      <c r="B176" s="146"/>
      <c r="C176" s="265"/>
      <c r="D176" s="265"/>
      <c r="E176" s="76"/>
      <c r="F176" s="76"/>
      <c r="G176" s="265"/>
      <c r="H176" s="265"/>
      <c r="I176" s="76"/>
      <c r="J176" s="76"/>
      <c r="K176" s="265"/>
      <c r="L176" s="265"/>
      <c r="M176" s="76"/>
      <c r="N176" s="76"/>
      <c r="O176" s="265"/>
      <c r="P176" s="265"/>
      <c r="Q176" s="76"/>
      <c r="R176" s="76"/>
    </row>
    <row r="177" customFormat="false" ht="15.75" hidden="false" customHeight="true" outlineLevel="0" collapsed="false">
      <c r="A177" s="74"/>
      <c r="B177" s="146"/>
      <c r="C177" s="265"/>
      <c r="D177" s="265"/>
      <c r="E177" s="76"/>
      <c r="F177" s="76"/>
      <c r="G177" s="265"/>
      <c r="H177" s="265"/>
      <c r="I177" s="76"/>
      <c r="J177" s="76"/>
      <c r="K177" s="265"/>
      <c r="L177" s="265"/>
      <c r="M177" s="76"/>
      <c r="N177" s="76"/>
      <c r="O177" s="265"/>
      <c r="P177" s="265"/>
      <c r="Q177" s="76"/>
      <c r="R177" s="76"/>
    </row>
    <row r="178" customFormat="false" ht="15.75" hidden="false" customHeight="true" outlineLevel="0" collapsed="false">
      <c r="A178" s="74"/>
      <c r="B178" s="146"/>
      <c r="C178" s="265"/>
      <c r="D178" s="265"/>
      <c r="E178" s="76"/>
      <c r="F178" s="76"/>
      <c r="G178" s="265"/>
      <c r="H178" s="265"/>
      <c r="I178" s="76"/>
      <c r="J178" s="76"/>
      <c r="K178" s="265"/>
      <c r="L178" s="265"/>
      <c r="M178" s="76"/>
      <c r="N178" s="76"/>
      <c r="O178" s="265"/>
      <c r="P178" s="265"/>
      <c r="Q178" s="76"/>
      <c r="R178" s="76"/>
    </row>
    <row r="179" customFormat="false" ht="15.75" hidden="false" customHeight="true" outlineLevel="0" collapsed="false">
      <c r="A179" s="74"/>
      <c r="B179" s="146"/>
      <c r="C179" s="265"/>
      <c r="D179" s="265"/>
      <c r="E179" s="76"/>
      <c r="F179" s="76"/>
      <c r="G179" s="265"/>
      <c r="H179" s="265"/>
      <c r="I179" s="76"/>
      <c r="J179" s="76"/>
      <c r="K179" s="265"/>
      <c r="L179" s="265"/>
      <c r="M179" s="76"/>
      <c r="N179" s="76"/>
      <c r="O179" s="265"/>
      <c r="P179" s="265"/>
      <c r="Q179" s="76"/>
      <c r="R179" s="76"/>
    </row>
    <row r="180" customFormat="false" ht="15.75" hidden="false" customHeight="true" outlineLevel="0" collapsed="false">
      <c r="A180" s="74"/>
      <c r="B180" s="146"/>
      <c r="C180" s="265"/>
      <c r="D180" s="265"/>
      <c r="E180" s="76"/>
      <c r="F180" s="76"/>
      <c r="G180" s="265"/>
      <c r="H180" s="265"/>
      <c r="I180" s="76"/>
      <c r="J180" s="76"/>
      <c r="K180" s="265"/>
      <c r="L180" s="265"/>
      <c r="M180" s="76"/>
      <c r="N180" s="76"/>
      <c r="O180" s="265"/>
      <c r="P180" s="265"/>
      <c r="Q180" s="76"/>
      <c r="R180" s="76"/>
    </row>
    <row r="181" customFormat="false" ht="15.75" hidden="false" customHeight="true" outlineLevel="0" collapsed="false">
      <c r="A181" s="74"/>
      <c r="B181" s="146"/>
      <c r="C181" s="265"/>
      <c r="D181" s="265"/>
      <c r="E181" s="76"/>
      <c r="F181" s="76"/>
      <c r="G181" s="265"/>
      <c r="H181" s="265"/>
      <c r="I181" s="76"/>
      <c r="J181" s="76"/>
      <c r="K181" s="265"/>
      <c r="L181" s="265"/>
      <c r="M181" s="76"/>
      <c r="N181" s="76"/>
      <c r="O181" s="265"/>
      <c r="P181" s="265"/>
      <c r="Q181" s="76"/>
      <c r="R181" s="76"/>
    </row>
    <row r="182" customFormat="false" ht="15.75" hidden="false" customHeight="true" outlineLevel="0" collapsed="false">
      <c r="A182" s="74"/>
      <c r="B182" s="146"/>
      <c r="C182" s="265"/>
      <c r="D182" s="265"/>
      <c r="E182" s="76"/>
      <c r="F182" s="76"/>
      <c r="G182" s="265"/>
      <c r="H182" s="265"/>
      <c r="I182" s="76"/>
      <c r="J182" s="76"/>
      <c r="K182" s="265"/>
      <c r="L182" s="265"/>
      <c r="M182" s="76"/>
      <c r="N182" s="76"/>
      <c r="O182" s="265"/>
      <c r="P182" s="265"/>
      <c r="Q182" s="76"/>
      <c r="R182" s="76"/>
    </row>
    <row r="183" customFormat="false" ht="15.75" hidden="false" customHeight="true" outlineLevel="0" collapsed="false">
      <c r="A183" s="74"/>
      <c r="B183" s="146"/>
      <c r="C183" s="265"/>
      <c r="D183" s="265"/>
      <c r="E183" s="76"/>
      <c r="F183" s="76"/>
      <c r="G183" s="265"/>
      <c r="H183" s="265"/>
      <c r="I183" s="76"/>
      <c r="J183" s="76"/>
      <c r="K183" s="265"/>
      <c r="L183" s="265"/>
      <c r="M183" s="76"/>
      <c r="N183" s="76"/>
      <c r="O183" s="265"/>
      <c r="P183" s="265"/>
      <c r="Q183" s="76"/>
      <c r="R183" s="76"/>
    </row>
    <row r="184" customFormat="false" ht="15.75" hidden="false" customHeight="true" outlineLevel="0" collapsed="false">
      <c r="A184" s="74"/>
      <c r="B184" s="146"/>
      <c r="C184" s="265"/>
      <c r="D184" s="265"/>
      <c r="E184" s="76"/>
      <c r="F184" s="76"/>
      <c r="G184" s="265"/>
      <c r="H184" s="265"/>
      <c r="I184" s="76"/>
      <c r="J184" s="76"/>
      <c r="K184" s="265"/>
      <c r="L184" s="265"/>
      <c r="M184" s="76"/>
      <c r="N184" s="76"/>
      <c r="O184" s="265"/>
      <c r="P184" s="265"/>
      <c r="Q184" s="76"/>
      <c r="R184" s="76"/>
    </row>
    <row r="185" customFormat="false" ht="15.75" hidden="false" customHeight="true" outlineLevel="0" collapsed="false">
      <c r="A185" s="74"/>
      <c r="B185" s="146"/>
      <c r="C185" s="265"/>
      <c r="D185" s="265"/>
      <c r="E185" s="76"/>
      <c r="F185" s="76"/>
      <c r="G185" s="265"/>
      <c r="H185" s="265"/>
      <c r="I185" s="76"/>
      <c r="J185" s="76"/>
      <c r="K185" s="265"/>
      <c r="L185" s="265"/>
      <c r="M185" s="76"/>
      <c r="N185" s="76"/>
      <c r="O185" s="265"/>
      <c r="P185" s="265"/>
      <c r="Q185" s="76"/>
      <c r="R185" s="76"/>
    </row>
    <row r="186" customFormat="false" ht="15.75" hidden="false" customHeight="true" outlineLevel="0" collapsed="false">
      <c r="A186" s="74"/>
      <c r="B186" s="146"/>
      <c r="C186" s="265"/>
      <c r="D186" s="265"/>
      <c r="E186" s="76"/>
      <c r="F186" s="76"/>
      <c r="G186" s="265"/>
      <c r="H186" s="265"/>
      <c r="I186" s="76"/>
      <c r="J186" s="76"/>
      <c r="K186" s="265"/>
      <c r="L186" s="265"/>
      <c r="M186" s="76"/>
      <c r="N186" s="76"/>
      <c r="O186" s="265"/>
      <c r="P186" s="265"/>
      <c r="Q186" s="76"/>
      <c r="R186" s="76"/>
    </row>
    <row r="187" customFormat="false" ht="15.75" hidden="false" customHeight="true" outlineLevel="0" collapsed="false">
      <c r="A187" s="74"/>
      <c r="B187" s="146"/>
      <c r="C187" s="265"/>
      <c r="D187" s="265"/>
      <c r="E187" s="76"/>
      <c r="F187" s="76"/>
      <c r="G187" s="265"/>
      <c r="H187" s="265"/>
      <c r="I187" s="76"/>
      <c r="J187" s="76"/>
      <c r="K187" s="265"/>
      <c r="L187" s="265"/>
      <c r="M187" s="76"/>
      <c r="N187" s="76"/>
      <c r="O187" s="265"/>
      <c r="P187" s="265"/>
      <c r="Q187" s="76"/>
      <c r="R187" s="76"/>
    </row>
    <row r="188" customFormat="false" ht="15.75" hidden="false" customHeight="true" outlineLevel="0" collapsed="false">
      <c r="A188" s="74"/>
      <c r="B188" s="146"/>
      <c r="C188" s="265"/>
      <c r="D188" s="265"/>
      <c r="E188" s="76"/>
      <c r="F188" s="76"/>
      <c r="G188" s="265"/>
      <c r="H188" s="265"/>
      <c r="I188" s="76"/>
      <c r="J188" s="76"/>
      <c r="K188" s="265"/>
      <c r="L188" s="265"/>
      <c r="M188" s="76"/>
      <c r="N188" s="76"/>
      <c r="O188" s="265"/>
      <c r="P188" s="265"/>
      <c r="Q188" s="76"/>
      <c r="R188" s="76"/>
    </row>
    <row r="189" customFormat="false" ht="15.75" hidden="false" customHeight="true" outlineLevel="0" collapsed="false">
      <c r="A189" s="74"/>
      <c r="B189" s="146"/>
      <c r="C189" s="265"/>
      <c r="D189" s="265"/>
      <c r="E189" s="76"/>
      <c r="F189" s="76"/>
      <c r="G189" s="265"/>
      <c r="H189" s="265"/>
      <c r="I189" s="76"/>
      <c r="J189" s="76"/>
      <c r="K189" s="265"/>
      <c r="L189" s="265"/>
      <c r="M189" s="76"/>
      <c r="N189" s="76"/>
      <c r="O189" s="265"/>
      <c r="P189" s="265"/>
      <c r="Q189" s="76"/>
      <c r="R189" s="76"/>
    </row>
    <row r="190" customFormat="false" ht="15.75" hidden="false" customHeight="true" outlineLevel="0" collapsed="false">
      <c r="A190" s="74"/>
      <c r="B190" s="146"/>
      <c r="C190" s="265"/>
      <c r="D190" s="265"/>
      <c r="E190" s="76"/>
      <c r="F190" s="76"/>
      <c r="G190" s="265"/>
      <c r="H190" s="265"/>
      <c r="I190" s="76"/>
      <c r="J190" s="76"/>
      <c r="K190" s="265"/>
      <c r="L190" s="265"/>
      <c r="M190" s="76"/>
      <c r="N190" s="76"/>
      <c r="O190" s="265"/>
      <c r="P190" s="265"/>
      <c r="Q190" s="76"/>
      <c r="R190" s="76"/>
    </row>
    <row r="191" customFormat="false" ht="15.75" hidden="false" customHeight="true" outlineLevel="0" collapsed="false">
      <c r="A191" s="74"/>
      <c r="B191" s="146"/>
      <c r="C191" s="265"/>
      <c r="D191" s="265"/>
      <c r="E191" s="76"/>
      <c r="F191" s="76"/>
      <c r="G191" s="265"/>
      <c r="H191" s="265"/>
      <c r="I191" s="76"/>
      <c r="J191" s="76"/>
      <c r="K191" s="265"/>
      <c r="L191" s="265"/>
      <c r="M191" s="76"/>
      <c r="N191" s="76"/>
      <c r="O191" s="265"/>
      <c r="P191" s="265"/>
      <c r="Q191" s="76"/>
      <c r="R191" s="76"/>
    </row>
    <row r="192" customFormat="false" ht="15.75" hidden="false" customHeight="true" outlineLevel="0" collapsed="false">
      <c r="A192" s="74"/>
      <c r="B192" s="146"/>
      <c r="C192" s="265"/>
      <c r="D192" s="265"/>
      <c r="E192" s="76"/>
      <c r="F192" s="76"/>
      <c r="G192" s="265"/>
      <c r="H192" s="265"/>
      <c r="I192" s="76"/>
      <c r="J192" s="76"/>
      <c r="K192" s="265"/>
      <c r="L192" s="265"/>
      <c r="M192" s="76"/>
      <c r="N192" s="76"/>
      <c r="O192" s="265"/>
      <c r="P192" s="265"/>
      <c r="Q192" s="76"/>
      <c r="R192" s="76"/>
    </row>
    <row r="193" customFormat="false" ht="15.75" hidden="false" customHeight="true" outlineLevel="0" collapsed="false">
      <c r="A193" s="74"/>
      <c r="B193" s="146"/>
      <c r="C193" s="265"/>
      <c r="D193" s="265"/>
      <c r="E193" s="76"/>
      <c r="F193" s="76"/>
      <c r="G193" s="265"/>
      <c r="H193" s="265"/>
      <c r="I193" s="76"/>
      <c r="J193" s="76"/>
      <c r="K193" s="265"/>
      <c r="L193" s="265"/>
      <c r="M193" s="76"/>
      <c r="N193" s="76"/>
      <c r="O193" s="265"/>
      <c r="P193" s="265"/>
      <c r="Q193" s="76"/>
      <c r="R193" s="76"/>
    </row>
    <row r="194" customFormat="false" ht="15.75" hidden="false" customHeight="true" outlineLevel="0" collapsed="false">
      <c r="A194" s="74"/>
      <c r="B194" s="146"/>
      <c r="C194" s="265"/>
      <c r="D194" s="265"/>
      <c r="E194" s="76"/>
      <c r="F194" s="76"/>
      <c r="G194" s="265"/>
      <c r="H194" s="265"/>
      <c r="I194" s="76"/>
      <c r="J194" s="76"/>
      <c r="K194" s="265"/>
      <c r="L194" s="265"/>
      <c r="M194" s="76"/>
      <c r="N194" s="76"/>
      <c r="O194" s="265"/>
      <c r="P194" s="265"/>
      <c r="Q194" s="76"/>
      <c r="R194" s="76"/>
    </row>
    <row r="195" customFormat="false" ht="15.75" hidden="false" customHeight="true" outlineLevel="0" collapsed="false">
      <c r="A195" s="74"/>
      <c r="B195" s="146"/>
      <c r="C195" s="265"/>
      <c r="D195" s="265"/>
      <c r="E195" s="76"/>
      <c r="F195" s="76"/>
      <c r="G195" s="265"/>
      <c r="H195" s="265"/>
      <c r="I195" s="76"/>
      <c r="J195" s="76"/>
      <c r="K195" s="265"/>
      <c r="L195" s="265"/>
      <c r="M195" s="76"/>
      <c r="N195" s="76"/>
      <c r="O195" s="265"/>
      <c r="P195" s="265"/>
      <c r="Q195" s="76"/>
      <c r="R195" s="76"/>
    </row>
    <row r="196" customFormat="false" ht="15.75" hidden="false" customHeight="true" outlineLevel="0" collapsed="false">
      <c r="A196" s="74"/>
      <c r="B196" s="146"/>
      <c r="C196" s="265"/>
      <c r="D196" s="265"/>
      <c r="E196" s="76"/>
      <c r="F196" s="76"/>
      <c r="G196" s="265"/>
      <c r="H196" s="265"/>
      <c r="I196" s="76"/>
      <c r="J196" s="76"/>
      <c r="K196" s="265"/>
      <c r="L196" s="265"/>
      <c r="M196" s="76"/>
      <c r="N196" s="76"/>
      <c r="O196" s="265"/>
      <c r="P196" s="265"/>
      <c r="Q196" s="76"/>
      <c r="R196" s="76"/>
    </row>
    <row r="197" customFormat="false" ht="15.75" hidden="false" customHeight="true" outlineLevel="0" collapsed="false">
      <c r="A197" s="74"/>
      <c r="B197" s="146"/>
      <c r="C197" s="265"/>
      <c r="D197" s="265"/>
      <c r="E197" s="76"/>
      <c r="F197" s="76"/>
      <c r="G197" s="265"/>
      <c r="H197" s="265"/>
      <c r="I197" s="76"/>
      <c r="J197" s="76"/>
      <c r="K197" s="265"/>
      <c r="L197" s="265"/>
      <c r="M197" s="76"/>
      <c r="N197" s="76"/>
      <c r="O197" s="265"/>
      <c r="P197" s="265"/>
      <c r="Q197" s="76"/>
      <c r="R197" s="76"/>
    </row>
    <row r="198" customFormat="false" ht="15.75" hidden="false" customHeight="true" outlineLevel="0" collapsed="false">
      <c r="A198" s="74"/>
      <c r="B198" s="146"/>
      <c r="C198" s="265"/>
      <c r="D198" s="265"/>
      <c r="E198" s="76"/>
      <c r="F198" s="76"/>
      <c r="G198" s="265"/>
      <c r="H198" s="265"/>
      <c r="I198" s="76"/>
      <c r="J198" s="76"/>
      <c r="K198" s="265"/>
      <c r="L198" s="265"/>
      <c r="M198" s="76"/>
      <c r="N198" s="76"/>
      <c r="O198" s="265"/>
      <c r="P198" s="265"/>
      <c r="Q198" s="76"/>
      <c r="R198" s="76"/>
    </row>
    <row r="199" customFormat="false" ht="15.75" hidden="false" customHeight="true" outlineLevel="0" collapsed="false">
      <c r="A199" s="74"/>
      <c r="B199" s="146"/>
      <c r="C199" s="265"/>
      <c r="D199" s="265"/>
      <c r="E199" s="76"/>
      <c r="F199" s="76"/>
      <c r="G199" s="265"/>
      <c r="H199" s="265"/>
      <c r="I199" s="76"/>
      <c r="J199" s="76"/>
      <c r="K199" s="265"/>
      <c r="L199" s="265"/>
      <c r="M199" s="76"/>
      <c r="N199" s="76"/>
      <c r="O199" s="265"/>
      <c r="P199" s="265"/>
      <c r="Q199" s="76"/>
      <c r="R199" s="76"/>
    </row>
    <row r="200" customFormat="false" ht="15.75" hidden="false" customHeight="true" outlineLevel="0" collapsed="false">
      <c r="A200" s="74"/>
      <c r="B200" s="146"/>
      <c r="C200" s="265"/>
      <c r="D200" s="265"/>
      <c r="E200" s="76"/>
      <c r="F200" s="76"/>
      <c r="G200" s="265"/>
      <c r="H200" s="265"/>
      <c r="I200" s="76"/>
      <c r="J200" s="76"/>
      <c r="K200" s="265"/>
      <c r="L200" s="265"/>
      <c r="M200" s="76"/>
      <c r="N200" s="76"/>
      <c r="O200" s="265"/>
      <c r="P200" s="265"/>
      <c r="Q200" s="76"/>
      <c r="R200" s="76"/>
    </row>
    <row r="201" customFormat="false" ht="15.75" hidden="false" customHeight="true" outlineLevel="0" collapsed="false">
      <c r="A201" s="74"/>
      <c r="B201" s="146"/>
      <c r="C201" s="265"/>
      <c r="D201" s="265"/>
      <c r="E201" s="76"/>
      <c r="F201" s="76"/>
      <c r="G201" s="265"/>
      <c r="H201" s="265"/>
      <c r="I201" s="76"/>
      <c r="J201" s="76"/>
      <c r="K201" s="265"/>
      <c r="L201" s="265"/>
      <c r="M201" s="76"/>
      <c r="N201" s="76"/>
      <c r="O201" s="265"/>
      <c r="P201" s="265"/>
      <c r="Q201" s="76"/>
      <c r="R201" s="76"/>
    </row>
    <row r="202" customFormat="false" ht="15.75" hidden="false" customHeight="true" outlineLevel="0" collapsed="false">
      <c r="A202" s="74"/>
      <c r="B202" s="146"/>
      <c r="C202" s="265"/>
      <c r="D202" s="265"/>
      <c r="E202" s="76"/>
      <c r="F202" s="76"/>
      <c r="G202" s="265"/>
      <c r="H202" s="265"/>
      <c r="I202" s="76"/>
      <c r="J202" s="76"/>
      <c r="K202" s="265"/>
      <c r="L202" s="265"/>
      <c r="M202" s="76"/>
      <c r="N202" s="76"/>
      <c r="O202" s="265"/>
      <c r="P202" s="265"/>
      <c r="Q202" s="76"/>
      <c r="R202" s="76"/>
    </row>
    <row r="203" customFormat="false" ht="15.75" hidden="false" customHeight="true" outlineLevel="0" collapsed="false">
      <c r="A203" s="74"/>
      <c r="B203" s="146"/>
      <c r="C203" s="265"/>
      <c r="D203" s="265"/>
      <c r="E203" s="76"/>
      <c r="F203" s="76"/>
      <c r="G203" s="265"/>
      <c r="H203" s="265"/>
      <c r="I203" s="76"/>
      <c r="J203" s="76"/>
      <c r="K203" s="265"/>
      <c r="L203" s="265"/>
      <c r="M203" s="76"/>
      <c r="N203" s="76"/>
      <c r="O203" s="265"/>
      <c r="P203" s="265"/>
      <c r="Q203" s="76"/>
      <c r="R203" s="76"/>
    </row>
    <row r="204" customFormat="false" ht="15.75" hidden="false" customHeight="true" outlineLevel="0" collapsed="false">
      <c r="A204" s="74"/>
      <c r="B204" s="146"/>
      <c r="C204" s="265"/>
      <c r="D204" s="265"/>
      <c r="E204" s="76"/>
      <c r="F204" s="76"/>
      <c r="G204" s="265"/>
      <c r="H204" s="265"/>
      <c r="I204" s="76"/>
      <c r="J204" s="76"/>
      <c r="K204" s="265"/>
      <c r="L204" s="265"/>
      <c r="M204" s="76"/>
      <c r="N204" s="76"/>
      <c r="O204" s="265"/>
      <c r="P204" s="265"/>
      <c r="Q204" s="76"/>
      <c r="R204" s="76"/>
    </row>
    <row r="205" customFormat="false" ht="15.75" hidden="false" customHeight="true" outlineLevel="0" collapsed="false">
      <c r="A205" s="74"/>
      <c r="B205" s="146"/>
      <c r="C205" s="265"/>
      <c r="D205" s="265"/>
      <c r="E205" s="76"/>
      <c r="F205" s="76"/>
      <c r="G205" s="265"/>
      <c r="H205" s="265"/>
      <c r="I205" s="76"/>
      <c r="J205" s="76"/>
      <c r="K205" s="265"/>
      <c r="L205" s="265"/>
      <c r="M205" s="76"/>
      <c r="N205" s="76"/>
      <c r="O205" s="265"/>
      <c r="P205" s="265"/>
      <c r="Q205" s="76"/>
      <c r="R205" s="76"/>
    </row>
    <row r="206" customFormat="false" ht="15.75" hidden="false" customHeight="true" outlineLevel="0" collapsed="false">
      <c r="A206" s="74"/>
      <c r="B206" s="146"/>
      <c r="C206" s="265"/>
      <c r="D206" s="265"/>
      <c r="E206" s="76"/>
      <c r="F206" s="76"/>
      <c r="G206" s="265"/>
      <c r="H206" s="265"/>
      <c r="I206" s="76"/>
      <c r="J206" s="76"/>
      <c r="K206" s="265"/>
      <c r="L206" s="265"/>
      <c r="M206" s="76"/>
      <c r="N206" s="76"/>
      <c r="O206" s="265"/>
      <c r="P206" s="265"/>
      <c r="Q206" s="76"/>
      <c r="R206" s="76"/>
    </row>
    <row r="207" customFormat="false" ht="15.75" hidden="false" customHeight="true" outlineLevel="0" collapsed="false">
      <c r="A207" s="74"/>
      <c r="B207" s="146"/>
      <c r="C207" s="265"/>
      <c r="D207" s="265"/>
      <c r="E207" s="76"/>
      <c r="F207" s="76"/>
      <c r="G207" s="265"/>
      <c r="H207" s="265"/>
      <c r="I207" s="76"/>
      <c r="J207" s="76"/>
      <c r="K207" s="265"/>
      <c r="L207" s="265"/>
      <c r="M207" s="76"/>
      <c r="N207" s="76"/>
      <c r="O207" s="265"/>
      <c r="P207" s="265"/>
      <c r="Q207" s="76"/>
      <c r="R207" s="76"/>
    </row>
    <row r="208" customFormat="false" ht="15.75" hidden="false" customHeight="true" outlineLevel="0" collapsed="false">
      <c r="A208" s="74"/>
      <c r="B208" s="146"/>
      <c r="C208" s="265"/>
      <c r="D208" s="265"/>
      <c r="E208" s="76"/>
      <c r="F208" s="76"/>
      <c r="G208" s="265"/>
      <c r="H208" s="265"/>
      <c r="I208" s="76"/>
      <c r="J208" s="76"/>
      <c r="K208" s="265"/>
      <c r="L208" s="265"/>
      <c r="M208" s="76"/>
      <c r="N208" s="76"/>
      <c r="O208" s="265"/>
      <c r="P208" s="265"/>
      <c r="Q208" s="76"/>
      <c r="R208" s="76"/>
    </row>
    <row r="209" customFormat="false" ht="15.75" hidden="false" customHeight="true" outlineLevel="0" collapsed="false">
      <c r="A209" s="74"/>
      <c r="B209" s="146"/>
      <c r="C209" s="265"/>
      <c r="D209" s="265"/>
      <c r="E209" s="76"/>
      <c r="F209" s="76"/>
      <c r="G209" s="265"/>
      <c r="H209" s="265"/>
      <c r="I209" s="76"/>
      <c r="J209" s="76"/>
      <c r="K209" s="265"/>
      <c r="L209" s="265"/>
      <c r="M209" s="76"/>
      <c r="N209" s="76"/>
      <c r="O209" s="265"/>
      <c r="P209" s="265"/>
      <c r="Q209" s="76"/>
      <c r="R209" s="76"/>
    </row>
    <row r="210" customFormat="false" ht="15.75" hidden="false" customHeight="true" outlineLevel="0" collapsed="false">
      <c r="A210" s="74"/>
      <c r="B210" s="146"/>
      <c r="C210" s="265"/>
      <c r="D210" s="265"/>
      <c r="E210" s="76"/>
      <c r="F210" s="76"/>
      <c r="G210" s="265"/>
      <c r="H210" s="265"/>
      <c r="I210" s="76"/>
      <c r="J210" s="76"/>
      <c r="K210" s="265"/>
      <c r="L210" s="265"/>
      <c r="M210" s="76"/>
      <c r="N210" s="76"/>
      <c r="O210" s="265"/>
      <c r="P210" s="265"/>
      <c r="Q210" s="76"/>
      <c r="R210" s="76"/>
    </row>
    <row r="211" customFormat="false" ht="15.75" hidden="false" customHeight="true" outlineLevel="0" collapsed="false">
      <c r="A211" s="74"/>
      <c r="B211" s="146"/>
      <c r="C211" s="265"/>
      <c r="D211" s="265"/>
      <c r="E211" s="76"/>
      <c r="F211" s="76"/>
      <c r="G211" s="265"/>
      <c r="H211" s="265"/>
      <c r="I211" s="76"/>
      <c r="J211" s="76"/>
      <c r="K211" s="265"/>
      <c r="L211" s="265"/>
      <c r="M211" s="76"/>
      <c r="N211" s="76"/>
      <c r="O211" s="265"/>
      <c r="P211" s="265"/>
      <c r="Q211" s="76"/>
      <c r="R211" s="76"/>
    </row>
    <row r="212" customFormat="false" ht="15.75" hidden="false" customHeight="true" outlineLevel="0" collapsed="false">
      <c r="A212" s="74"/>
      <c r="B212" s="146"/>
      <c r="C212" s="265"/>
      <c r="D212" s="265"/>
      <c r="E212" s="76"/>
      <c r="F212" s="76"/>
      <c r="G212" s="265"/>
      <c r="H212" s="265"/>
      <c r="I212" s="76"/>
      <c r="J212" s="76"/>
      <c r="K212" s="265"/>
      <c r="L212" s="265"/>
      <c r="M212" s="76"/>
      <c r="N212" s="76"/>
      <c r="O212" s="265"/>
      <c r="P212" s="265"/>
      <c r="Q212" s="76"/>
      <c r="R212" s="76"/>
    </row>
    <row r="213" customFormat="false" ht="15.75" hidden="false" customHeight="true" outlineLevel="0" collapsed="false">
      <c r="A213" s="74"/>
      <c r="B213" s="146"/>
      <c r="C213" s="265"/>
      <c r="D213" s="265"/>
      <c r="E213" s="76"/>
      <c r="F213" s="76"/>
      <c r="G213" s="265"/>
      <c r="H213" s="265"/>
      <c r="I213" s="76"/>
      <c r="J213" s="76"/>
      <c r="K213" s="265"/>
      <c r="L213" s="265"/>
      <c r="M213" s="76"/>
      <c r="N213" s="76"/>
      <c r="O213" s="265"/>
      <c r="P213" s="265"/>
      <c r="Q213" s="76"/>
      <c r="R213" s="76"/>
    </row>
    <row r="214" customFormat="false" ht="15.75" hidden="false" customHeight="true" outlineLevel="0" collapsed="false">
      <c r="A214" s="74"/>
      <c r="B214" s="146"/>
      <c r="C214" s="265"/>
      <c r="D214" s="265"/>
      <c r="E214" s="76"/>
      <c r="F214" s="76"/>
      <c r="G214" s="265"/>
      <c r="H214" s="265"/>
      <c r="I214" s="76"/>
      <c r="J214" s="76"/>
      <c r="K214" s="265"/>
      <c r="L214" s="265"/>
      <c r="M214" s="76"/>
      <c r="N214" s="76"/>
      <c r="O214" s="265"/>
      <c r="P214" s="265"/>
      <c r="Q214" s="76"/>
      <c r="R214" s="76"/>
    </row>
    <row r="215" customFormat="false" ht="15.75" hidden="false" customHeight="true" outlineLevel="0" collapsed="false">
      <c r="A215" s="74"/>
      <c r="B215" s="146"/>
      <c r="C215" s="265"/>
      <c r="D215" s="265"/>
      <c r="E215" s="76"/>
      <c r="F215" s="76"/>
      <c r="G215" s="265"/>
      <c r="H215" s="265"/>
      <c r="I215" s="76"/>
      <c r="J215" s="76"/>
      <c r="K215" s="265"/>
      <c r="L215" s="265"/>
      <c r="M215" s="76"/>
      <c r="N215" s="76"/>
      <c r="O215" s="265"/>
      <c r="P215" s="265"/>
      <c r="Q215" s="76"/>
      <c r="R215" s="76"/>
    </row>
    <row r="216" customFormat="false" ht="15.75" hidden="false" customHeight="true" outlineLevel="0" collapsed="false">
      <c r="A216" s="74"/>
      <c r="B216" s="146"/>
      <c r="C216" s="265"/>
      <c r="D216" s="265"/>
      <c r="E216" s="76"/>
      <c r="F216" s="76"/>
      <c r="G216" s="265"/>
      <c r="H216" s="265"/>
      <c r="I216" s="76"/>
      <c r="J216" s="76"/>
      <c r="K216" s="265"/>
      <c r="L216" s="265"/>
      <c r="M216" s="76"/>
      <c r="N216" s="76"/>
      <c r="O216" s="265"/>
      <c r="P216" s="265"/>
      <c r="Q216" s="76"/>
      <c r="R216" s="76"/>
    </row>
    <row r="217" customFormat="false" ht="15.75" hidden="false" customHeight="true" outlineLevel="0" collapsed="false">
      <c r="A217" s="74"/>
      <c r="B217" s="146"/>
      <c r="C217" s="265"/>
      <c r="D217" s="265"/>
      <c r="E217" s="76"/>
      <c r="F217" s="76"/>
      <c r="G217" s="265"/>
      <c r="H217" s="265"/>
      <c r="I217" s="76"/>
      <c r="J217" s="76"/>
      <c r="K217" s="265"/>
      <c r="L217" s="265"/>
      <c r="M217" s="76"/>
      <c r="N217" s="76"/>
      <c r="O217" s="265"/>
      <c r="P217" s="265"/>
      <c r="Q217" s="76"/>
      <c r="R217" s="76"/>
    </row>
    <row r="218" customFormat="false" ht="15.75" hidden="false" customHeight="true" outlineLevel="0" collapsed="false">
      <c r="A218" s="74"/>
      <c r="B218" s="146"/>
      <c r="C218" s="265"/>
      <c r="D218" s="265"/>
      <c r="E218" s="76"/>
      <c r="F218" s="76"/>
      <c r="G218" s="265"/>
      <c r="H218" s="265"/>
      <c r="I218" s="76"/>
      <c r="J218" s="76"/>
      <c r="K218" s="265"/>
      <c r="L218" s="265"/>
      <c r="M218" s="76"/>
      <c r="N218" s="76"/>
      <c r="O218" s="265"/>
      <c r="P218" s="265"/>
      <c r="Q218" s="76"/>
      <c r="R218" s="76"/>
    </row>
    <row r="219" customFormat="false" ht="15.75" hidden="false" customHeight="true" outlineLevel="0" collapsed="false">
      <c r="A219" s="74"/>
      <c r="B219" s="146"/>
      <c r="C219" s="265"/>
      <c r="D219" s="265"/>
      <c r="E219" s="76"/>
      <c r="F219" s="76"/>
      <c r="G219" s="265"/>
      <c r="H219" s="265"/>
      <c r="I219" s="76"/>
      <c r="J219" s="76"/>
      <c r="K219" s="265"/>
      <c r="L219" s="265"/>
      <c r="M219" s="76"/>
      <c r="N219" s="76"/>
      <c r="O219" s="265"/>
      <c r="P219" s="265"/>
      <c r="Q219" s="76"/>
      <c r="R219" s="76"/>
    </row>
    <row r="220" customFormat="false" ht="15.75" hidden="false" customHeight="true" outlineLevel="0" collapsed="false">
      <c r="A220" s="74"/>
      <c r="B220" s="146"/>
      <c r="C220" s="265"/>
      <c r="D220" s="265"/>
      <c r="E220" s="76"/>
      <c r="F220" s="76"/>
      <c r="G220" s="265"/>
      <c r="H220" s="265"/>
      <c r="I220" s="76"/>
      <c r="J220" s="76"/>
      <c r="K220" s="265"/>
      <c r="L220" s="265"/>
      <c r="M220" s="76"/>
      <c r="N220" s="76"/>
      <c r="O220" s="265"/>
      <c r="P220" s="265"/>
      <c r="Q220" s="76"/>
      <c r="R220" s="76"/>
    </row>
    <row r="221" customFormat="false" ht="15.75" hidden="false" customHeight="true" outlineLevel="0" collapsed="false">
      <c r="A221" s="74"/>
      <c r="B221" s="146"/>
      <c r="C221" s="265"/>
      <c r="D221" s="265"/>
      <c r="E221" s="76"/>
      <c r="F221" s="76"/>
      <c r="G221" s="265"/>
      <c r="H221" s="265"/>
      <c r="I221" s="76"/>
      <c r="J221" s="76"/>
      <c r="K221" s="265"/>
      <c r="L221" s="265"/>
      <c r="M221" s="76"/>
      <c r="N221" s="76"/>
      <c r="O221" s="265"/>
      <c r="P221" s="265"/>
      <c r="Q221" s="76"/>
      <c r="R221" s="76"/>
    </row>
    <row r="222" customFormat="false" ht="15.75" hidden="false" customHeight="true" outlineLevel="0" collapsed="false">
      <c r="A222" s="74"/>
      <c r="B222" s="146"/>
      <c r="C222" s="265"/>
      <c r="D222" s="265"/>
      <c r="E222" s="76"/>
      <c r="F222" s="76"/>
      <c r="G222" s="265"/>
      <c r="H222" s="265"/>
      <c r="I222" s="76"/>
      <c r="J222" s="76"/>
      <c r="K222" s="265"/>
      <c r="L222" s="265"/>
      <c r="M222" s="76"/>
      <c r="N222" s="76"/>
      <c r="O222" s="265"/>
      <c r="P222" s="265"/>
      <c r="Q222" s="76"/>
      <c r="R222" s="76"/>
    </row>
    <row r="223" customFormat="false" ht="15.75" hidden="false" customHeight="true" outlineLevel="0" collapsed="false">
      <c r="A223" s="74"/>
      <c r="B223" s="146"/>
      <c r="C223" s="265"/>
      <c r="D223" s="265"/>
      <c r="E223" s="76"/>
      <c r="F223" s="76"/>
      <c r="G223" s="265"/>
      <c r="H223" s="265"/>
      <c r="I223" s="76"/>
      <c r="J223" s="76"/>
      <c r="K223" s="265"/>
      <c r="L223" s="265"/>
      <c r="M223" s="76"/>
      <c r="N223" s="76"/>
      <c r="O223" s="265"/>
      <c r="P223" s="265"/>
      <c r="Q223" s="76"/>
      <c r="R223" s="76"/>
    </row>
    <row r="224" customFormat="false" ht="15.75" hidden="false" customHeight="true" outlineLevel="0" collapsed="false">
      <c r="A224" s="74"/>
      <c r="B224" s="146"/>
      <c r="C224" s="265"/>
      <c r="D224" s="265"/>
      <c r="E224" s="76"/>
      <c r="F224" s="76"/>
      <c r="G224" s="265"/>
      <c r="H224" s="265"/>
      <c r="I224" s="76"/>
      <c r="J224" s="76"/>
      <c r="K224" s="265"/>
      <c r="L224" s="265"/>
      <c r="M224" s="76"/>
      <c r="N224" s="76"/>
      <c r="O224" s="265"/>
      <c r="P224" s="265"/>
      <c r="Q224" s="76"/>
      <c r="R224" s="76"/>
    </row>
    <row r="225" customFormat="false" ht="15.75" hidden="false" customHeight="true" outlineLevel="0" collapsed="false">
      <c r="A225" s="74"/>
      <c r="B225" s="146"/>
      <c r="C225" s="265"/>
      <c r="D225" s="265"/>
      <c r="E225" s="76"/>
      <c r="F225" s="76"/>
      <c r="G225" s="265"/>
      <c r="H225" s="265"/>
      <c r="I225" s="76"/>
      <c r="J225" s="76"/>
      <c r="K225" s="265"/>
      <c r="L225" s="265"/>
      <c r="M225" s="76"/>
      <c r="N225" s="76"/>
      <c r="O225" s="265"/>
      <c r="P225" s="265"/>
      <c r="Q225" s="76"/>
      <c r="R225" s="76"/>
    </row>
    <row r="226" customFormat="false" ht="15.75" hidden="false" customHeight="true" outlineLevel="0" collapsed="false">
      <c r="A226" s="74"/>
      <c r="B226" s="146"/>
      <c r="C226" s="265"/>
      <c r="D226" s="265"/>
      <c r="E226" s="76"/>
      <c r="F226" s="76"/>
      <c r="G226" s="265"/>
      <c r="H226" s="265"/>
      <c r="I226" s="76"/>
      <c r="J226" s="76"/>
      <c r="K226" s="265"/>
      <c r="L226" s="265"/>
      <c r="M226" s="76"/>
      <c r="N226" s="76"/>
      <c r="O226" s="265"/>
      <c r="P226" s="265"/>
      <c r="Q226" s="76"/>
      <c r="R226" s="76"/>
    </row>
    <row r="227" customFormat="false" ht="15.75" hidden="false" customHeight="true" outlineLevel="0" collapsed="false">
      <c r="A227" s="74"/>
      <c r="B227" s="146"/>
      <c r="C227" s="265"/>
      <c r="D227" s="265"/>
      <c r="E227" s="76"/>
      <c r="F227" s="76"/>
      <c r="G227" s="265"/>
      <c r="H227" s="265"/>
      <c r="I227" s="76"/>
      <c r="J227" s="76"/>
      <c r="K227" s="265"/>
      <c r="L227" s="265"/>
      <c r="M227" s="76"/>
      <c r="N227" s="76"/>
      <c r="O227" s="265"/>
      <c r="P227" s="265"/>
      <c r="Q227" s="76"/>
      <c r="R227" s="76"/>
    </row>
    <row r="228" customFormat="false" ht="15.75" hidden="false" customHeight="true" outlineLevel="0" collapsed="false">
      <c r="A228" s="74"/>
      <c r="B228" s="146"/>
      <c r="C228" s="265"/>
      <c r="D228" s="265"/>
      <c r="E228" s="76"/>
      <c r="F228" s="76"/>
      <c r="G228" s="265"/>
      <c r="H228" s="265"/>
      <c r="I228" s="76"/>
      <c r="J228" s="76"/>
      <c r="K228" s="265"/>
      <c r="L228" s="265"/>
      <c r="M228" s="76"/>
      <c r="N228" s="76"/>
      <c r="O228" s="265"/>
      <c r="P228" s="265"/>
      <c r="Q228" s="76"/>
      <c r="R228" s="76"/>
    </row>
    <row r="229" customFormat="false" ht="15.75" hidden="false" customHeight="true" outlineLevel="0" collapsed="false">
      <c r="A229" s="74"/>
      <c r="B229" s="146"/>
      <c r="C229" s="265"/>
      <c r="D229" s="265"/>
      <c r="E229" s="76"/>
      <c r="F229" s="76"/>
      <c r="G229" s="265"/>
      <c r="H229" s="265"/>
      <c r="I229" s="76"/>
      <c r="J229" s="76"/>
      <c r="K229" s="265"/>
      <c r="L229" s="265"/>
      <c r="M229" s="76"/>
      <c r="N229" s="76"/>
      <c r="O229" s="265"/>
      <c r="P229" s="265"/>
      <c r="Q229" s="76"/>
      <c r="R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L6">
    <cfRule type="expression" priority="2" aboveAverage="0" equalAverage="0" bottom="0" percent="0" rank="0" text="" dxfId="0">
      <formula>LEN(TRIM(L6))&gt;0</formula>
    </cfRule>
  </conditionalFormatting>
  <hyperlinks>
    <hyperlink ref="D1" r:id="rId1" display="Тумба под ТВ Ацтека Azteca RTV2D2S/4/15"/>
    <hyperlink ref="F1" r:id="rId2" display="Стол письменный Индиана Indiana (сосна канйон) JBIU_2d2s_140"/>
    <hyperlink ref="H1" r:id="rId3" display="Шкаф Коэн Коен МДФ SZF2D2S"/>
    <hyperlink ref="J1" r:id="rId4" display="Комод Вайт White 4S _90"/>
    <hyperlink ref="N1" r:id="rId5" display="Аляска Alaska гостиная"/>
    <hyperlink ref="R1" r:id="rId6" display="Шкаф Либерти Liberti 3D"/>
    <hyperlink ref="A3" r:id="rId7" display="BRWmania.com.ua "/>
    <hyperlink ref="A4" r:id="rId8" display="http://redlight.com.ua/"/>
    <hyperlink ref="C4" r:id="rId9" display="http://redlight.com.ua/cat/mebel-dlja-gostinnoj/tv-stands/tumba-tv-rtv2d2s-4-15-atsteka.html"/>
    <hyperlink ref="E4" r:id="rId10" display="http://redlight.com.ua/cat/stoly/pisminnye/stol-pismenniy-jbiu-2d2s-indiana.html"/>
    <hyperlink ref="G4" r:id="rId11" display="http://redlight.com.ua/cat/modulnaya-mebel/shkaf/shkaf-szf2d2s-koen-(mdf).html"/>
    <hyperlink ref="I4" r:id="rId12" display="http://redlight.com.ua/cat/modulnaya-mebel/komod/vayt-komod-4s-90.html"/>
    <hyperlink ref="K4" r:id="rId13" display="http://redlight.com.ua/cat/prihozhie/sovremennye/nepo-prihozhaya-rrk-.html"/>
    <hyperlink ref="M4" r:id="rId14" display="http://redlight.com.ua/cat/mebel-dlja-gostinnoj/stenki/stenka-alyaska.html"/>
    <hyperlink ref="O4" r:id="rId15" display="http://redlight.com.ua/cat/mebel-dlja-gostinnoj/stenki/stenka-kvatro.html"/>
    <hyperlink ref="Q4" r:id="rId16" display="http://redlight.com.ua/cat/modulnaya-mebel/shkaf/liberti-shkaf-szf3d.html"/>
    <hyperlink ref="A5" r:id="rId17" display="https://mebli-bristol.com.ua/"/>
    <hyperlink ref="C5" r:id="rId18" display="https://mebli-bristol.com.ua/acteka-tumba-rtv-2d2s-4-15-brv-ukraina.html"/>
    <hyperlink ref="E5" r:id="rId19" display="https://mebli-bristol.com.ua/indiana-stil-pis-movij-jbiu-2d2s-140-sosna-kan-jon-brv-ukraina.html"/>
    <hyperlink ref="G5" r:id="rId20" display="https://mebli-bristol.com.ua/koen-shafa-szf-2d2s-mdf-gerbor.html"/>
    <hyperlink ref="I5" r:id="rId21" display="https://mebli-bristol.com.ua/vajt-komod-4s-90-gerbor.html"/>
    <hyperlink ref="K5" r:id="rId22" display="https://mebli-bristol.com.ua/nepo-peredpokij-ppk-gerbor-9712.html"/>
    <hyperlink ref="M5" r:id="rId23" display="https://mebli-bristol.com.ua/aljaska-brv-ukraina.html"/>
    <hyperlink ref="O5" r:id="rId24" display="https://mebli-bristol.com.ua/kvatro-gerbor.html"/>
    <hyperlink ref="Q5" r:id="rId25" display="https://mebli-bristol.com.ua/liberti-shafa-szf-3d-brv-ukraina.html"/>
    <hyperlink ref="A6" r:id="rId26" display="http://gerbor.kiev.ua/"/>
    <hyperlink ref="C6" r:id="rId27" display="http://gerbor.kiev.ua/mebelnye-sistemy/mebel-brw-azteca/azteca-tumba-tv-rtv2d2s-brv/"/>
    <hyperlink ref="E6" r:id="rId28" display="http://gerbor.kiev.ua/mebelnye-sistemy/mebel-indiana-kanjon-brw/indiana-kanjon-stol-pismennyy-jbiu2d2s140-brv/"/>
    <hyperlink ref="G6" r:id="rId29" display="http://gerbor.kiev.ua/mebelnye-sistemy/mebel-koen-gerbor/koen-shkaf-szf2d2s-gerbor/"/>
    <hyperlink ref="I6" r:id="rId30" display="http://gerbor.kiev.ua/mebelnye-sistemy/mebel-white-gerbor/white-komod-4s90-gerbor/"/>
    <hyperlink ref="K6" r:id="rId31" display="http://gerbor.kiev.ua/mebelnye-sistemy/mebel-nepo-gerbor/nepo-prikhozhaya-ppk-gerbor/"/>
    <hyperlink ref="M6" r:id="rId32" display="http://gerbor.kiev.ua/mebelnye-sistemy/mebel-alaska-brw/alaska-gostinaya-brw/"/>
    <hyperlink ref="O6" r:id="rId33" display="http://gerbor.kiev.ua/mebelnye-sistemy/mebel-quatro-gerbor/quatro-gostinaya-gerbor/"/>
    <hyperlink ref="Q6" r:id="rId34" display="http://gerbor.kiev.ua/mebelnye-sistemy/mebel-liberti-brw/liberti-shkaf-szf3d-brv/"/>
    <hyperlink ref="A7" r:id="rId35" display="http://www.brwland.com.ua/"/>
    <hyperlink ref="C7" r:id="rId36" display="http://www.brwland.com.ua/product/azteca-tumba-tv-rtv2d2s415-brv-ukraina/"/>
    <hyperlink ref="E7" r:id="rId37" display="http://www.brwland.com.ua/product/indiana-kanjon-stol-pismennyj-jbiu-2d2s140-brv-ukraina/"/>
    <hyperlink ref="G7" r:id="rId38" display="http://www.brwland.com.ua/product/koen-szf-2d2s-shkaf-gerbor/"/>
    <hyperlink ref="I7" r:id="rId39" display="http://www.brwland.com.ua/product/white-komod-4s90-gerbor/"/>
    <hyperlink ref="K7" r:id="rId40" display="http://www.brwland.com.ua/product/nepo-prihozhaja-ppk-gerbor/"/>
    <hyperlink ref="M7" r:id="rId41" display="http://www.brwland.com.ua/product/gostinaja-aljaska-brv-ukraina/"/>
    <hyperlink ref="O7" r:id="rId42" display="http://www.brwland.com.ua/product/kvatro-gerbor/"/>
    <hyperlink ref="Q7" r:id="rId43" display="http://www.brwland.com.ua/product/liberti-shkaf-szf3d-brv-ukraina/"/>
    <hyperlink ref="A8" r:id="rId44" display="http://gerbor.dp.ua/"/>
    <hyperlink ref="C8" r:id="rId45" display="http://gerbor.dp.ua/index.php?route=product/product&amp;product_id=3138&amp;search=%D0%B0%D1%86%D1%82%D0%B5%D0%BA%D0%B0&amp;description=true&amp;sub_category=1&amp;page=2"/>
    <hyperlink ref="E8" r:id="rId46" display="http://gerbor.dp.ua/index.php?route=product/product&amp;product_id=1725&amp;search=%D0%B8%D0%BD%D0%B4%D0%B8%D0%B0%D0%BD%D0%B0&amp;description=true&amp;sub_category=1"/>
    <hyperlink ref="G8" r:id="rId47" display="http://gerbor.dp.ua/index.php?route=product/product&amp;product_id=3812&amp;search=%D0%BA%D0%BE%D0%B5%D0%BD+%D0%BC%D0%B4%D1%84&amp;description=true&amp;sub_category=1"/>
    <hyperlink ref="I8" r:id="rId48" display="http://gerbor.dp.ua/index.php?route=product/product&amp;product_id=3085&amp;search=%D0%B2%D0%B0%D0%B9%D1%82&amp;description=true"/>
    <hyperlink ref="K8" r:id="rId49" display="http://gerbor.dp.ua/index.php?route=product/product&amp;product_id=3473&amp;search=%D0%BD%D0%B5%D0%BF%D0%BE&amp;description=true&amp;page=2"/>
    <hyperlink ref="M8" r:id="rId50" display="http://gerbor.dp.ua/index.php?route=product/product&amp;product_id=3031&amp;search=%D0%B0%D0%BB%D1%8F%D1%81%D0%BA%D0%B0&amp;description=true"/>
    <hyperlink ref="O8" r:id="rId51" display="http://gerbor.dp.ua/index.php?route=product/product&amp;product_id=2040&amp;search=%D0%BA%D0%B2%D0%B0%D1%82%D1%80%D0%BE&amp;description=true"/>
    <hyperlink ref="Q8" r:id="rId52" display="http://gerbor.dp.ua/index.php?route=product/product&amp;product_id=3851&amp;search=%D0%BB%D0%B8%D0%B1%D0%B5%D1%80%D1%82%D0%B8&amp;description=true"/>
    <hyperlink ref="A9" r:id="rId53" display="https://vashamebel.in.ua/"/>
    <hyperlink ref="C9" r:id="rId54" display="https://vashamebel.in.ua/tumba-tv-brv-atsteka-rtv2d2s415/p12722"/>
    <hyperlink ref="E9" r:id="rId55" display="https://vashamebel.in.ua/stol-pismennyij-brv-indiana-jbiu-2d2s/p916"/>
    <hyperlink ref="G9" r:id="rId56" display="https://vashamebel.in.ua/shkaf-gerbor-koen-szf2d2s/p2181"/>
    <hyperlink ref="I9" r:id="rId57" display="https://vashamebel.in.ua/komod-gerbor-vajt-4s-90/p10774"/>
    <hyperlink ref="K9" r:id="rId58" display="https://vashamebel.in.ua/prihozhaya-gerbor-nepo-ppk/p12249"/>
    <hyperlink ref="M9" r:id="rId59" display="https://vashamebel.in.ua/gostinaya-brv-alyaska/p4420"/>
    <hyperlink ref="O9" r:id="rId60" display="https://vashamebel.in.ua/stenka-gerbor-kvatro/p2359"/>
    <hyperlink ref="A10" r:id="rId61" display="http://mebel-mebel.com.ua/"/>
    <hyperlink ref="A11" r:id="rId62" display="http://abcmebli.com.ua"/>
    <hyperlink ref="C11" r:id="rId63" display="http://abcmebli.com.ua/p14992-tumba_tv_rtv2d2s-4-15_atsteka"/>
    <hyperlink ref="E11" r:id="rId64" display="http://abcmebli.com.ua/p1892-stol_pismenniy_jbiu2d2s_140_indiana"/>
    <hyperlink ref="G11" r:id="rId65" display="http://abcmebli.com.ua/p15143-koen_mdf_shkaf_szf2d2s"/>
    <hyperlink ref="I11" r:id="rId66" display="http://abcmebli.com.ua/p15658-komod_4s_90_vayt_gerbor"/>
    <hyperlink ref="K11" r:id="rId67" display="http://abcmebli.com.ua/p15897-nepo_prihozhaya_ppk_gerbor"/>
    <hyperlink ref="M11" r:id="rId68" display="http://abcmebli.com.ua/p15191-stenka_alyaska_brv"/>
    <hyperlink ref="O11" r:id="rId69" display="http://abcmebli.com.ua/p2515-stenka_kvatro_gerbor"/>
    <hyperlink ref="Q11" r:id="rId70" display="http://abcmebli.com.ua/p15617-shkaf_szf3d_liberti_brv"/>
    <hyperlink ref="A12" r:id="rId71" display="https://gerbor.mebelok.com/"/>
    <hyperlink ref="C12" r:id="rId72" display="https://www.mebelok.com/tymba-tv-rtv2d2s415-acteka/"/>
    <hyperlink ref="E12" r:id="rId73" display="https://www.mebelok.com/stol-pismennyy-jbiu-2d2s-140/"/>
    <hyperlink ref="G12" r:id="rId74" display="https://www.mebelok.com/koen-shkaf-szf2d2s-mdf/"/>
    <hyperlink ref="K12" r:id="rId75" display="https://www.mebelok.com/prihojaya-ppk-nepo/"/>
    <hyperlink ref="O12" r:id="rId76" display="https://www.mebelok.com/gostinaya-kvatro/"/>
    <hyperlink ref="Q12" r:id="rId77" display="https://www.mebelok.com/shkaf-3d-liberti/"/>
    <hyperlink ref="A13" r:id="rId78" display="http://maxmebel.com.ua/"/>
    <hyperlink ref="C13" r:id="rId79" display="http://maxmebel.com.ua/pi/products_id/15620"/>
    <hyperlink ref="E13" r:id="rId80" display="http://maxmebel.com.ua/pi/products_id/4909"/>
    <hyperlink ref="G13" r:id="rId81" display="http://maxmebel.com.ua/pi/products_id/6503"/>
    <hyperlink ref="I13" r:id="rId82" display="http://maxmebel.com.ua/pi/products_id/13019"/>
    <hyperlink ref="K13" r:id="rId83" display="http://maxmebel.com.ua/pi/products_id/14792"/>
    <hyperlink ref="M13" r:id="rId84" display="http://maxmebel.com.ua/pi/products_id/509"/>
    <hyperlink ref="O13" r:id="rId85" display="http://maxmebel.com.ua/pi/products_id/6732"/>
    <hyperlink ref="Q13" r:id="rId86" display="http://maxmebel.com.ua/pi/products_id/19831"/>
    <hyperlink ref="A14" r:id="rId87" display="https://moyamebel.com.ua/ua"/>
    <hyperlink ref="K14" r:id="rId88" display="https://moyamebel.com.ua/ua/products/prihozhaya-nepo"/>
    <hyperlink ref="O14" r:id="rId89" display="https://moyamebel.com.ua/ua/products/gostinaya-kvatro"/>
    <hyperlink ref="A15" r:id="rId90" display="https://mebel-soyuz.com.ua/"/>
    <hyperlink ref="C15" r:id="rId91" display="https://mebel-soyuz.com.ua/13769/"/>
    <hyperlink ref="E15" r:id="rId92" display="https://mebel-soyuz.com.ua/8676/"/>
    <hyperlink ref="G15" r:id="rId93" display="https://mebel-soyuz.com.ua/3180/"/>
    <hyperlink ref="I15" r:id="rId94" display="https://mebel-soyuz.com.ua/6202//"/>
    <hyperlink ref="K15" r:id="rId95" display="https://mebel-soyuz.com.ua/8926/"/>
    <hyperlink ref="M15" r:id="rId96" display="https://mebel-soyuz.com.ua/10995/"/>
    <hyperlink ref="O15" r:id="rId97" display="https://mebel-soyuz.com.ua/stenky/gerbor/kvatro//"/>
    <hyperlink ref="Q15" r:id="rId98" display="https://mebel-soyuz.com.ua/7243/"/>
    <hyperlink ref="A16" r:id="rId99" display="https://sofino.ua/"/>
    <hyperlink ref="E16" r:id="rId100" display="https://sofino.ua/brw-ukraina-stol-pismennyjj-jbiu2d2s140-indiana/g-40899"/>
    <hyperlink ref="G16" r:id="rId101" display="https://sofino.ua/gerbor-shkaf-szf2d2s-koen-mdf-venge-magija-shtroks-temnyjj/g-19372"/>
    <hyperlink ref="I16" r:id="rId102" display="https://sofino.ua/gerbor-komod-4s-90-vajjt/g-95203"/>
    <hyperlink ref="K16" r:id="rId103" display="https://sofino.ua/gerbor-prikhozhaja-ppk-nepo/g-287089"/>
    <hyperlink ref="M16" r:id="rId104" display="https://sofino.ua/brw-ukraina-stenka-aljaska-belyjj-gljanec/g-454107"/>
    <hyperlink ref="O16" r:id="rId105" display="https://sofino.ua/gerbor-stenka-s-podsvetkojj-kvatro/g-18955"/>
    <hyperlink ref="Q16" r:id="rId106" display="https://sofino.ua/brw-ukraina-shkaf-3d-liberti-dub-sonoma-belyjj-gljanec/g-95147"/>
    <hyperlink ref="A17" r:id="rId107" display="http://www.brw-gerbor.od.ua/"/>
    <hyperlink ref="I17" r:id="rId108" display="http://brw-gerbor.od.ua/index.php?route=product/product&amp;filter_name=%D0%B2%D0%B0%D0%B9%D1%82&amp;product_id=3155"/>
    <hyperlink ref="K17" r:id="rId109" display="http://brw-gerbor.od.ua/index.php?route=product/product&amp;filter_name=%D0%BD%D0%B5%D0%BF%D0%BE&amp;page=2&amp;product_id=3266"/>
    <hyperlink ref="M17" r:id="rId110" display="http://brw-gerbor.od.ua/index.php?route=product/product&amp;filter_name=%D0%B0%D0%BB%D1%8F%D1%81%D0%BA%D0%B0&amp;product_id=4574"/>
    <hyperlink ref="O17" r:id="rId111" display="http://brw-gerbor.od.ua/index.php?route=product/product&amp;filter_name=%D0%BA%D0%B2%D0%B0%D1%82%D1%80%D0%BE&amp;product_id=116"/>
    <hyperlink ref="Q17" r:id="rId112" display="http://brw-gerbor.od.ua/index.php?route=product/product&amp;filter_name=%D0%BB%D0%B8%D0%B1%D0%B5%D1%80%D1%82%D0%B8&amp;product_id=2703"/>
    <hyperlink ref="A18" r:id="rId113" display="http://gerbor.mebli-smerichka.com.ua/"/>
    <hyperlink ref="A19" r:id="rId114" display="http://furniture.zp.ua/"/>
    <hyperlink ref="C19" r:id="rId115" display="http://furniture.zp.ua/gerbor-xolding/gostinnie/modulnie-nabori/5562-gostinaya-atsteka.html?search_query=acteka&amp;results=2"/>
    <hyperlink ref="E19" r:id="rId116" display="http://furniture.zp.ua/gerbor-xolding/detskie/3184-stol-pismenniie-jbiu-2d2s-140-indiana.html?search_query=indiana&amp;results=24"/>
    <hyperlink ref="K19" r:id="rId117" display="http://furniture.zp.ua/gerbor-xolding/prixojie/modulnie-sistemi/6017-prihozhaya-nepo-ppk.html?search_query=nepo&amp;results=151"/>
    <hyperlink ref="M19" r:id="rId118" display="http://furniture.zp.ua/gerbor-xolding/gostinnie/modulnie-nabori/6155-gostinaya-alyaska.html?search_query=alyaska&amp;results=3"/>
    <hyperlink ref="O19" r:id="rId119" display="http://furniture.zp.ua/gerbor-xolding/gostinnie/1467-kvatro.html?search_query=kvatro&amp;results=4"/>
    <hyperlink ref="Q19" r:id="rId120" display="http://furniture.zp.ua/gerbor-xolding/spalni/modulnie-sistemi/5565-spalnya-liberti.html?search_query=liberti&amp;results=2"/>
    <hyperlink ref="A21" r:id="rId121" display="https://www.brw-kiev.com.ua/"/>
    <hyperlink ref="C21" r:id="rId122" display="https://www.brw-kiev.com.ua/catalog/mebel/azteca-shafka_pid_tv-rtv2d2s_4_15-000004821.html"/>
    <hyperlink ref="G21" r:id="rId123" display="https://www.brw-kiev.com.ua/catalog/mebel/koen-shafa-szf2d2s-000003944.html"/>
    <hyperlink ref="I21" r:id="rId124" display="https://www.brw-kiev.com.ua/catalog/mebel/spalnya/vayt-komod-kom4s_90-000008377.html"/>
    <hyperlink ref="K21" r:id="rId125" display="https://www.brw-kiev.com.ua/catalog/mebel/nepo-peredpokiy-ppk-000006567.html"/>
    <hyperlink ref="M21" r:id="rId126" display="https://www.brw-kiev.com.ua/catalog/mebel/stinki-vital_nya-alaska-000006901.html"/>
    <hyperlink ref="Q21" r:id="rId127" display="https://www.brw-kiev.com.ua/catalog/mebel/spalnya/liberty-shafa-szf_3d-000006341.html"/>
    <hyperlink ref="A22" r:id="rId128" display="https://brw-lviv.com.ua/"/>
    <hyperlink ref="C22" r:id="rId129" display="https://brw-lviv.com.ua/product/atsteky-tumba-tv-rtv2d2s-4-15-brv-ukrayina"/>
    <hyperlink ref="E22" r:id="rId130" display="https://brw-lviv.com.ua/product/indiana-kanjon-stil-pysmovyj-jbiu-2d2s-140-brv-ukrayina"/>
    <hyperlink ref="G22" r:id="rId131" display="https://brw-lviv.com.ua/product/koen-mdf-shafa-szf-2d2s-gerbor"/>
    <hyperlink ref="I22" r:id="rId132" display="https://brw-lviv.com.ua/product/vajt-komod-4s-90-gerbor"/>
    <hyperlink ref="K22" r:id="rId133" display="https://brw-lviv.com.ua/product/nepo-peredpokij-ppk-gerbor"/>
    <hyperlink ref="M22" r:id="rId134" display="https://brw-lviv.com.ua/product/vitalnya-alyaska-brv-ukrayina-2"/>
    <hyperlink ref="O22" r:id="rId135" display="https://brw-lviv.com.ua/product/vitalnya-kvatro-gerbor"/>
    <hyperlink ref="Q22" r:id="rId136" display="https://brw-lviv.com.ua/product/lyberty-shafa-szf3d-brv-ukrayina"/>
    <hyperlink ref="A23" r:id="rId137" display="http://beruvse.com/"/>
    <hyperlink ref="C23" r:id="rId138" display="http://beruvse.com/product/azteca-rtv2d2s415-tumba-tv-brw/"/>
    <hyperlink ref="K23" r:id="rId139" display="http://beruvse.com/product/nepo-prihozhaja-ppk/"/>
    <hyperlink ref="O23" r:id="rId140" display="http://beruvse.com/product/stenka-kvatro/"/>
    <hyperlink ref="A24" r:id="rId141" display="https://brw.kiev.ua/"/>
    <hyperlink ref="C24" r:id="rId142" display="https://brw.kiev.ua/mebel-brw-ukraina/azteca/tumba-tv-rtv2d2s-azteca-brv/"/>
    <hyperlink ref="E24" r:id="rId143" display="https://brw.kiev.ua/mebel-brw-ukraina/indiana-kanjon/stol-pismennyy-jbiu2d2s140-indiana-brv-kanjon/"/>
    <hyperlink ref="G24" r:id="rId144" display="https://brw.kiev.ua/mebel-gerbor/koen/shkaf-szf2d2s-koen-gerbor/"/>
    <hyperlink ref="I24" r:id="rId145" display="https://brw.kiev.ua/mebel-gerbor/white/komod-4s90-white-gerbor/"/>
    <hyperlink ref="K24" r:id="rId146" display="https://brw.kiev.ua/mebel-gerbor/nepo/prikhozhaya-ppk-nepo-gerbor/"/>
    <hyperlink ref="M24" r:id="rId147" display="https://brw.kiev.ua/mebel-brw-ukraina/alaska/stenka-alaska-brv/"/>
    <hyperlink ref="O24" r:id="rId148" display="https://brw.kiev.ua/mebel-gerbor/quatro/stenka-quatro-gerbor/"/>
    <hyperlink ref="Q24" r:id="rId149" display="https://brw.kiev.ua/mebel-brw-ukraina/liberti/shkaf-szf3d-liberti-brv/"/>
    <hyperlink ref="A25" r:id="rId150" display="http://brw.com.ua/"/>
    <hyperlink ref="A26" r:id="rId151" display="https://mebelstyle.net/"/>
    <hyperlink ref="C26" r:id="rId152" display="https://mebelstyle.net/tumby-pod-tv/tumba-pod-tv-brw-ukraina-azteca-rtv2d2s415-82546.html"/>
    <hyperlink ref="I26" r:id="rId153" display="https://mebelstyle.net/komody/komod-gerbor-vajt-4s90-83449.html"/>
    <hyperlink ref="K26" r:id="rId154" display="https://mebelstyle.net/prikhozhie/prikhozhaja-gerbor-nepo-ppk-83649.html"/>
    <hyperlink ref="O26" r:id="rId155" display="https://mebelstyle.net/gostinye/gostinaja-gerbor-kvatro-venge-56219.html"/>
    <hyperlink ref="A27" r:id="rId156" display="https://lvivmebli.com/"/>
    <hyperlink ref="C27" r:id="rId157" display="https://lvivmebli.com/13319/"/>
    <hyperlink ref="E27" r:id="rId158" display="https://lvivmebli.com/5039/"/>
    <hyperlink ref="I27" r:id="rId159" display="https://lvivmebli.com/20467/"/>
    <hyperlink ref="K27" r:id="rId160" display="https://lvivmebli.com/20985/"/>
    <hyperlink ref="O27" r:id="rId161" display="https://lvivmebli.com/20532/"/>
    <hyperlink ref="Q27" r:id="rId162" display="https://lvivmebli.com/20571/"/>
    <hyperlink ref="A28" r:id="rId163" display="http://centrmebliv.com.ua/"/>
    <hyperlink ref="C28" r:id="rId164" display="http://centrmebliv.com.ua/modulni-mebli/brw-azteca/mebli-brw-brv-azteca-tumba-rtv2d2s?keyword=%D0%B0%D1%86%D1%82%D0%B5%D0%BA%D0%B0"/>
    <hyperlink ref="G28" r:id="rId165" display="http://centrmebliv.com.ua/modulni-mebli/gerbor-koen-mdf/gerbor/brw-koen-mdf-shafa-sf-2d2s"/>
    <hyperlink ref="I28" r:id="rId166" display="http://centrmebliv.com.ua/modulni-mebli/gerbor-vayt/mebli-gerbor-gerbor-vayt-komod-4s-90"/>
    <hyperlink ref="K28" r:id="rId167" display="http://centrmebliv.com.ua/modulni-mebli/gerbor-nepo/mebli-gerbor-gerbor-nepo-pryhozha-rrk"/>
    <hyperlink ref="O28" r:id="rId168" display="http://centrmebliv.com.ua/mebli-dlya-vitalni/stinky/mebli-gerbor-gerbor-kvatro"/>
    <hyperlink ref="A29" r:id="rId169" display="https://letromebel.com.ua/"/>
    <hyperlink ref="C29" r:id="rId170" display="https://letromebel.com.ua/p566111870-tumba-rtv2d2s415-atsteka.html"/>
    <hyperlink ref="I29" r:id="rId171" display="https://letromebel.com.ua/p565553911-komod-4s90-vajt.html"/>
    <hyperlink ref="K29" r:id="rId172" display="https://letromebel.com.ua/p441285622-prihozhaya-ppk-nepo.html"/>
    <hyperlink ref="O29" r:id="rId173" display="https://letromebel.com.ua/p436378844-stenka-kvatro-venge.html"/>
    <hyperlink ref="Q29" r:id="rId174" display="https://letromebel.com.ua/p567125880-shkaf-szf3d-liberti.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54.3"/>
    <col collapsed="false" customWidth="true" hidden="false" outlineLevel="0" max="3" min="3" style="0" width="22.86"/>
  </cols>
  <sheetData>
    <row r="1" customFormat="false" ht="15.75" hidden="false" customHeight="true" outlineLevel="0" collapsed="false">
      <c r="A1" s="1" t="s">
        <v>0</v>
      </c>
      <c r="B1" s="1" t="s">
        <v>126</v>
      </c>
      <c r="C1" s="131" t="s">
        <v>1</v>
      </c>
      <c r="D1" s="131" t="s">
        <v>2</v>
      </c>
      <c r="E1" s="131" t="s">
        <v>3</v>
      </c>
      <c r="F1" s="131" t="s">
        <v>4</v>
      </c>
      <c r="G1" s="131" t="s">
        <v>513</v>
      </c>
      <c r="H1" s="131" t="s">
        <v>179</v>
      </c>
      <c r="I1" s="131" t="s">
        <v>180</v>
      </c>
      <c r="J1" s="131" t="s">
        <v>514</v>
      </c>
      <c r="K1" s="124" t="s">
        <v>9</v>
      </c>
      <c r="L1" s="124" t="s">
        <v>15</v>
      </c>
      <c r="M1" s="123" t="s">
        <v>10</v>
      </c>
      <c r="N1" s="124" t="s">
        <v>181</v>
      </c>
    </row>
    <row r="2" customFormat="false" ht="15.75" hidden="false" customHeight="true" outlineLevel="0" collapsed="false">
      <c r="A2" s="196" t="s">
        <v>515</v>
      </c>
      <c r="B2" s="146"/>
      <c r="C2" s="172" t="n">
        <v>3294</v>
      </c>
      <c r="D2" s="172" t="n">
        <v>3735</v>
      </c>
      <c r="E2" s="172" t="n">
        <v>3442</v>
      </c>
      <c r="F2" s="172" t="n">
        <v>4979</v>
      </c>
      <c r="G2" s="172" t="n">
        <v>3222</v>
      </c>
      <c r="H2" s="172" t="n">
        <v>5053</v>
      </c>
      <c r="I2" s="172" t="n">
        <v>4906</v>
      </c>
      <c r="J2" s="172" t="n">
        <v>6808</v>
      </c>
      <c r="K2" s="173" t="n">
        <v>1808</v>
      </c>
      <c r="L2" s="173" t="n">
        <v>7225</v>
      </c>
      <c r="M2" s="173" t="n">
        <v>2840</v>
      </c>
      <c r="N2" s="173" t="n">
        <v>8638</v>
      </c>
    </row>
    <row r="3" customFormat="false" ht="15.75" hidden="false" customHeight="true" outlineLevel="0" collapsed="false">
      <c r="A3" s="78" t="s">
        <v>28</v>
      </c>
      <c r="B3" s="147" t="s">
        <v>128</v>
      </c>
      <c r="C3" s="229" t="n">
        <v>3294</v>
      </c>
      <c r="D3" s="229" t="n">
        <v>3735</v>
      </c>
      <c r="E3" s="229" t="n">
        <v>3442</v>
      </c>
      <c r="F3" s="229" t="n">
        <v>4979</v>
      </c>
      <c r="G3" s="229" t="n">
        <v>3222</v>
      </c>
      <c r="H3" s="229" t="n">
        <v>5053</v>
      </c>
      <c r="I3" s="229" t="n">
        <v>4906</v>
      </c>
      <c r="J3" s="229" t="n">
        <v>6808</v>
      </c>
      <c r="K3" s="229" t="n">
        <v>1808</v>
      </c>
      <c r="L3" s="229" t="n">
        <v>7225</v>
      </c>
      <c r="M3" s="229" t="n">
        <v>2840</v>
      </c>
      <c r="N3" s="229" t="n">
        <v>8638</v>
      </c>
    </row>
    <row r="4" customFormat="false" ht="15.75" hidden="false" customHeight="true" outlineLevel="0" collapsed="false">
      <c r="A4" s="78" t="s">
        <v>29</v>
      </c>
      <c r="B4" s="160" t="s">
        <v>516</v>
      </c>
      <c r="C4" s="286" t="n">
        <v>3294</v>
      </c>
      <c r="D4" s="232" t="n">
        <v>3735</v>
      </c>
      <c r="E4" s="232" t="n">
        <v>3442</v>
      </c>
      <c r="F4" s="232" t="s">
        <v>570</v>
      </c>
      <c r="G4" s="232" t="s">
        <v>552</v>
      </c>
      <c r="H4" s="232" t="s">
        <v>571</v>
      </c>
      <c r="I4" s="232" t="s">
        <v>554</v>
      </c>
      <c r="J4" s="232" t="s">
        <v>555</v>
      </c>
      <c r="K4" s="232" t="s">
        <v>556</v>
      </c>
      <c r="L4" s="232" t="s">
        <v>613</v>
      </c>
      <c r="M4" s="232" t="s">
        <v>557</v>
      </c>
      <c r="N4" s="232" t="s">
        <v>614</v>
      </c>
    </row>
    <row r="5" customFormat="false" ht="15.75" hidden="false" customHeight="true" outlineLevel="0" collapsed="false">
      <c r="A5" s="78" t="s">
        <v>30</v>
      </c>
      <c r="B5" s="160" t="s">
        <v>397</v>
      </c>
      <c r="C5" s="232" t="s">
        <v>531</v>
      </c>
      <c r="D5" s="232" t="s">
        <v>532</v>
      </c>
      <c r="E5" s="232" t="s">
        <v>569</v>
      </c>
      <c r="F5" s="232" t="s">
        <v>570</v>
      </c>
      <c r="G5" s="232" t="s">
        <v>552</v>
      </c>
      <c r="H5" s="232" t="s">
        <v>571</v>
      </c>
      <c r="I5" s="232" t="s">
        <v>554</v>
      </c>
      <c r="J5" s="232" t="s">
        <v>555</v>
      </c>
      <c r="K5" s="232" t="s">
        <v>556</v>
      </c>
      <c r="L5" s="232"/>
      <c r="M5" s="232" t="s">
        <v>557</v>
      </c>
      <c r="N5" s="232" t="s">
        <v>541</v>
      </c>
    </row>
    <row r="6" customFormat="false" ht="102" hidden="false" customHeight="true" outlineLevel="0" collapsed="false">
      <c r="A6" s="78" t="s">
        <v>17</v>
      </c>
      <c r="B6" s="160" t="s">
        <v>530</v>
      </c>
      <c r="C6" s="187" t="s">
        <v>531</v>
      </c>
      <c r="D6" s="187" t="s">
        <v>532</v>
      </c>
      <c r="E6" s="187" t="s">
        <v>533</v>
      </c>
      <c r="F6" s="187" t="s">
        <v>534</v>
      </c>
      <c r="G6" s="187" t="s">
        <v>535</v>
      </c>
      <c r="H6" s="187" t="s">
        <v>536</v>
      </c>
      <c r="I6" s="187" t="s">
        <v>537</v>
      </c>
      <c r="J6" s="187" t="s">
        <v>538</v>
      </c>
      <c r="K6" s="232" t="s">
        <v>556</v>
      </c>
      <c r="L6" s="187" t="s">
        <v>540</v>
      </c>
      <c r="M6" s="187" t="s">
        <v>557</v>
      </c>
      <c r="N6" s="187" t="s">
        <v>541</v>
      </c>
    </row>
    <row r="7" customFormat="false" ht="15.75" hidden="false" customHeight="true" outlineLevel="0" collapsed="false">
      <c r="A7" s="78" t="s">
        <v>18</v>
      </c>
      <c r="B7" s="160" t="s">
        <v>403</v>
      </c>
      <c r="C7" s="187" t="n">
        <v>3294</v>
      </c>
      <c r="D7" s="187" t="n">
        <v>3735</v>
      </c>
      <c r="E7" s="187" t="n">
        <v>3420</v>
      </c>
      <c r="F7" s="187" t="n">
        <v>4785</v>
      </c>
      <c r="G7" s="187" t="n">
        <v>3269</v>
      </c>
      <c r="H7" s="187" t="n">
        <v>5166</v>
      </c>
      <c r="I7" s="187" t="n">
        <v>5013</v>
      </c>
      <c r="J7" s="187" t="n">
        <v>6910</v>
      </c>
      <c r="K7" s="232" t="n">
        <v>1808</v>
      </c>
      <c r="L7" s="187" t="n">
        <v>7225</v>
      </c>
      <c r="M7" s="187" t="n">
        <v>2840</v>
      </c>
      <c r="N7" s="187" t="n">
        <v>8638</v>
      </c>
    </row>
    <row r="8" customFormat="false" ht="15.75" hidden="false" customHeight="true" outlineLevel="0" collapsed="false">
      <c r="A8" s="78" t="s">
        <v>31</v>
      </c>
      <c r="B8" s="160" t="s">
        <v>406</v>
      </c>
      <c r="C8" s="281" t="n">
        <v>2971</v>
      </c>
      <c r="D8" s="281" t="n">
        <v>3452</v>
      </c>
      <c r="E8" s="281" t="n">
        <v>3109</v>
      </c>
      <c r="F8" s="281" t="n">
        <v>4350</v>
      </c>
      <c r="G8" s="281" t="n">
        <v>2971</v>
      </c>
      <c r="H8" s="281" t="n">
        <v>4695</v>
      </c>
      <c r="I8" s="281" t="n">
        <v>4557</v>
      </c>
      <c r="J8" s="281" t="n">
        <v>6281</v>
      </c>
      <c r="K8" s="281"/>
      <c r="L8" s="281" t="n">
        <v>6426</v>
      </c>
      <c r="M8" s="281" t="n">
        <v>2483</v>
      </c>
      <c r="N8" s="187"/>
    </row>
    <row r="9" customFormat="false" ht="15.75" hidden="false" customHeight="true" outlineLevel="0" collapsed="false">
      <c r="A9" s="78" t="s">
        <v>19</v>
      </c>
      <c r="B9" s="160" t="s">
        <v>415</v>
      </c>
      <c r="C9" s="187" t="s">
        <v>600</v>
      </c>
      <c r="D9" s="187" t="s">
        <v>601</v>
      </c>
      <c r="E9" s="187" t="s">
        <v>615</v>
      </c>
      <c r="F9" s="187" t="n">
        <v>5241</v>
      </c>
      <c r="G9" s="187" t="n">
        <v>3391</v>
      </c>
      <c r="H9" s="187" t="n">
        <v>5318</v>
      </c>
      <c r="I9" s="187" t="s">
        <v>603</v>
      </c>
      <c r="J9" s="187" t="s">
        <v>604</v>
      </c>
      <c r="K9" s="187" t="s">
        <v>581</v>
      </c>
      <c r="L9" s="187" t="s">
        <v>548</v>
      </c>
      <c r="M9" s="187" t="s">
        <v>616</v>
      </c>
      <c r="N9" s="187"/>
    </row>
    <row r="10" customFormat="false" ht="193.5" hidden="false" customHeight="true" outlineLevel="0" collapsed="false">
      <c r="A10" s="78" t="s">
        <v>20</v>
      </c>
      <c r="B10" s="160" t="s">
        <v>423</v>
      </c>
      <c r="C10" s="232" t="s">
        <v>517</v>
      </c>
      <c r="D10" s="232" t="s">
        <v>550</v>
      </c>
      <c r="E10" s="232" t="s">
        <v>528</v>
      </c>
      <c r="F10" s="232" t="s">
        <v>551</v>
      </c>
      <c r="G10" s="187" t="s">
        <v>552</v>
      </c>
      <c r="H10" s="187" t="s">
        <v>553</v>
      </c>
      <c r="I10" s="187" t="s">
        <v>554</v>
      </c>
      <c r="J10" s="187" t="s">
        <v>555</v>
      </c>
      <c r="K10" s="187" t="s">
        <v>556</v>
      </c>
      <c r="L10" s="281" t="s">
        <v>525</v>
      </c>
      <c r="M10" s="187" t="s">
        <v>557</v>
      </c>
      <c r="N10" s="187"/>
    </row>
    <row r="11" customFormat="false" ht="15.75" hidden="false" customHeight="true" outlineLevel="0" collapsed="false">
      <c r="A11" s="78" t="s">
        <v>21</v>
      </c>
      <c r="B11" s="160" t="s">
        <v>424</v>
      </c>
      <c r="C11" s="232" t="s">
        <v>531</v>
      </c>
      <c r="D11" s="187" t="s">
        <v>532</v>
      </c>
      <c r="E11" s="187"/>
      <c r="F11" s="187"/>
      <c r="G11" s="232" t="s">
        <v>552</v>
      </c>
      <c r="H11" s="232" t="s">
        <v>571</v>
      </c>
      <c r="I11" s="232" t="s">
        <v>554</v>
      </c>
      <c r="J11" s="232" t="s">
        <v>555</v>
      </c>
      <c r="K11" s="232" t="s">
        <v>617</v>
      </c>
      <c r="L11" s="232" t="s">
        <v>540</v>
      </c>
      <c r="M11" s="232" t="s">
        <v>557</v>
      </c>
      <c r="N11" s="232" t="s">
        <v>541</v>
      </c>
    </row>
    <row r="12" customFormat="false" ht="15.75" hidden="false" customHeight="true" outlineLevel="0" collapsed="false">
      <c r="A12" s="78" t="s">
        <v>22</v>
      </c>
      <c r="B12" s="160" t="s">
        <v>567</v>
      </c>
      <c r="C12" s="187"/>
      <c r="D12" s="187"/>
      <c r="E12" s="187" t="n">
        <v>3635</v>
      </c>
      <c r="F12" s="187" t="n">
        <v>5255</v>
      </c>
      <c r="G12" s="187" t="n">
        <v>3405</v>
      </c>
      <c r="H12" s="187" t="n">
        <v>5325</v>
      </c>
      <c r="I12" s="187"/>
      <c r="J12" s="187"/>
      <c r="K12" s="187"/>
      <c r="L12" s="187"/>
      <c r="M12" s="187" t="n">
        <v>2995</v>
      </c>
      <c r="N12" s="232" t="n">
        <v>9105</v>
      </c>
    </row>
    <row r="13" customFormat="false" ht="15.75" hidden="false" customHeight="true" outlineLevel="0" collapsed="false">
      <c r="A13" s="78" t="s">
        <v>23</v>
      </c>
      <c r="B13" s="160" t="s">
        <v>568</v>
      </c>
      <c r="C13" s="187" t="s">
        <v>531</v>
      </c>
      <c r="D13" s="187" t="s">
        <v>532</v>
      </c>
      <c r="E13" s="187" t="s">
        <v>569</v>
      </c>
      <c r="F13" s="187" t="s">
        <v>570</v>
      </c>
      <c r="G13" s="187" t="s">
        <v>552</v>
      </c>
      <c r="H13" s="187" t="s">
        <v>571</v>
      </c>
      <c r="I13" s="187" t="s">
        <v>554</v>
      </c>
      <c r="J13" s="187" t="s">
        <v>555</v>
      </c>
      <c r="K13" s="187" t="s">
        <v>556</v>
      </c>
      <c r="L13" s="187" t="s">
        <v>540</v>
      </c>
      <c r="M13" s="281" t="s">
        <v>618</v>
      </c>
      <c r="N13" s="187"/>
    </row>
    <row r="14" customFormat="false" ht="15.75" hidden="false" customHeight="true" outlineLevel="0" collapsed="false">
      <c r="A14" s="78" t="s">
        <v>24</v>
      </c>
      <c r="B14" s="160" t="s">
        <v>429</v>
      </c>
      <c r="C14" s="187"/>
      <c r="D14" s="187"/>
      <c r="E14" s="187"/>
      <c r="F14" s="187"/>
      <c r="G14" s="187"/>
      <c r="H14" s="187"/>
      <c r="I14" s="187"/>
      <c r="J14" s="187"/>
      <c r="K14" s="232" t="s">
        <v>619</v>
      </c>
      <c r="L14" s="232"/>
      <c r="M14" s="232" t="s">
        <v>620</v>
      </c>
      <c r="N14" s="187"/>
    </row>
    <row r="15" customFormat="false" ht="15.75" hidden="false" customHeight="true" outlineLevel="0" collapsed="false">
      <c r="A15" s="78" t="s">
        <v>35</v>
      </c>
      <c r="B15" s="147" t="s">
        <v>432</v>
      </c>
      <c r="C15" s="232" t="n">
        <v>3294</v>
      </c>
      <c r="D15" s="232" t="n">
        <v>3735</v>
      </c>
      <c r="E15" s="232" t="n">
        <v>3442</v>
      </c>
      <c r="F15" s="232" t="n">
        <v>4979</v>
      </c>
      <c r="G15" s="232" t="n">
        <v>3222</v>
      </c>
      <c r="H15" s="232" t="n">
        <v>5053</v>
      </c>
      <c r="I15" s="232" t="n">
        <v>4906</v>
      </c>
      <c r="J15" s="232" t="n">
        <v>6808</v>
      </c>
      <c r="K15" s="232" t="n">
        <v>1808</v>
      </c>
      <c r="L15" s="232" t="n">
        <v>7225</v>
      </c>
      <c r="M15" s="232" t="n">
        <v>2840</v>
      </c>
      <c r="N15" s="232" t="n">
        <v>8638</v>
      </c>
    </row>
    <row r="16" customFormat="false" ht="15.75" hidden="false" customHeight="true" outlineLevel="0" collapsed="false">
      <c r="A16" s="78" t="s">
        <v>36</v>
      </c>
      <c r="B16" s="160" t="s">
        <v>434</v>
      </c>
      <c r="C16" s="187" t="s">
        <v>574</v>
      </c>
      <c r="D16" s="187" t="s">
        <v>575</v>
      </c>
      <c r="E16" s="187" t="s">
        <v>576</v>
      </c>
      <c r="F16" s="187" t="s">
        <v>394</v>
      </c>
      <c r="G16" s="187" t="s">
        <v>577</v>
      </c>
      <c r="H16" s="187" t="s">
        <v>578</v>
      </c>
      <c r="I16" s="187" t="s">
        <v>579</v>
      </c>
      <c r="J16" s="187" t="s">
        <v>580</v>
      </c>
      <c r="K16" s="187" t="s">
        <v>581</v>
      </c>
      <c r="L16" s="187"/>
      <c r="M16" s="187" t="s">
        <v>582</v>
      </c>
      <c r="N16" s="187" t="s">
        <v>583</v>
      </c>
    </row>
    <row r="17" customFormat="false" ht="15.75" hidden="false" customHeight="true" outlineLevel="0" collapsed="false">
      <c r="A17" s="78" t="s">
        <v>442</v>
      </c>
      <c r="B17" s="160" t="s">
        <v>443</v>
      </c>
      <c r="C17" s="187" t="n">
        <v>3294</v>
      </c>
      <c r="D17" s="187" t="n">
        <v>3735</v>
      </c>
      <c r="E17" s="187" t="n">
        <v>3442</v>
      </c>
      <c r="F17" s="287" t="n">
        <v>4979</v>
      </c>
      <c r="G17" s="187"/>
      <c r="H17" s="232" t="n">
        <v>5053</v>
      </c>
      <c r="I17" s="187" t="n">
        <v>4.906</v>
      </c>
      <c r="J17" s="187"/>
      <c r="K17" s="187" t="n">
        <v>1808</v>
      </c>
      <c r="L17" s="187"/>
      <c r="M17" s="187" t="n">
        <v>2840</v>
      </c>
      <c r="N17" s="187" t="n">
        <v>8638</v>
      </c>
    </row>
    <row r="18" customFormat="false" ht="15.75" hidden="false" customHeight="true" outlineLevel="0" collapsed="false">
      <c r="A18" s="78" t="s">
        <v>176</v>
      </c>
      <c r="B18" s="160" t="s">
        <v>450</v>
      </c>
      <c r="C18" s="187"/>
      <c r="D18" s="187"/>
      <c r="E18" s="187"/>
      <c r="F18" s="187"/>
      <c r="G18" s="187"/>
      <c r="H18" s="187"/>
      <c r="I18" s="187"/>
      <c r="J18" s="187"/>
      <c r="K18" s="187"/>
      <c r="L18" s="187"/>
      <c r="M18" s="187" t="n">
        <v>2750</v>
      </c>
      <c r="N18" s="187"/>
    </row>
    <row r="19" customFormat="false" ht="15.75" hidden="false" customHeight="true" outlineLevel="0" collapsed="false">
      <c r="A19" s="78" t="s">
        <v>451</v>
      </c>
      <c r="B19" s="160" t="s">
        <v>452</v>
      </c>
      <c r="C19" s="281" t="n">
        <v>2970</v>
      </c>
      <c r="D19" s="281" t="n">
        <v>3450</v>
      </c>
      <c r="E19" s="281" t="s">
        <v>584</v>
      </c>
      <c r="F19" s="281" t="s">
        <v>520</v>
      </c>
      <c r="G19" s="281" t="s">
        <v>517</v>
      </c>
      <c r="H19" s="281" t="s">
        <v>521</v>
      </c>
      <c r="I19" s="281"/>
      <c r="J19" s="281"/>
      <c r="K19" s="281" t="s">
        <v>524</v>
      </c>
      <c r="L19" s="281" t="s">
        <v>585</v>
      </c>
      <c r="M19" s="232" t="s">
        <v>557</v>
      </c>
      <c r="N19" s="281" t="n">
        <v>7730</v>
      </c>
    </row>
    <row r="20" customFormat="false" ht="15.75" hidden="false" customHeight="true" outlineLevel="0" collapsed="false">
      <c r="A20" s="280"/>
      <c r="B20" s="147"/>
      <c r="C20" s="187"/>
      <c r="D20" s="187"/>
      <c r="E20" s="187"/>
      <c r="F20" s="187"/>
      <c r="G20" s="187"/>
      <c r="H20" s="187"/>
      <c r="I20" s="187"/>
      <c r="J20" s="187"/>
      <c r="K20" s="187"/>
      <c r="L20" s="187"/>
      <c r="M20" s="187"/>
      <c r="N20" s="187"/>
    </row>
    <row r="21" customFormat="false" ht="15.75" hidden="false" customHeight="true" outlineLevel="0" collapsed="false">
      <c r="A21" s="78" t="s">
        <v>37</v>
      </c>
      <c r="B21" s="160" t="s">
        <v>586</v>
      </c>
      <c r="C21" s="187" t="s">
        <v>587</v>
      </c>
      <c r="D21" s="187" t="s">
        <v>588</v>
      </c>
      <c r="E21" s="187"/>
      <c r="F21" s="187"/>
      <c r="G21" s="187"/>
      <c r="H21" s="187"/>
      <c r="I21" s="187"/>
      <c r="J21" s="187"/>
      <c r="K21" s="187" t="s">
        <v>589</v>
      </c>
      <c r="L21" s="187"/>
      <c r="M21" s="187"/>
      <c r="N21" s="187"/>
    </row>
    <row r="22" customFormat="false" ht="15.75" hidden="false" customHeight="true" outlineLevel="0" collapsed="false">
      <c r="A22" s="78" t="s">
        <v>464</v>
      </c>
      <c r="B22" s="160" t="s">
        <v>465</v>
      </c>
      <c r="C22" s="281" t="n">
        <v>2971</v>
      </c>
      <c r="D22" s="281" t="n">
        <v>3452</v>
      </c>
      <c r="E22" s="187"/>
      <c r="F22" s="187"/>
      <c r="G22" s="187"/>
      <c r="H22" s="187"/>
      <c r="I22" s="281" t="n">
        <v>4557</v>
      </c>
      <c r="J22" s="281" t="n">
        <v>6281</v>
      </c>
      <c r="K22" s="281" t="n">
        <v>1.608</v>
      </c>
      <c r="L22" s="281" t="n">
        <v>6426</v>
      </c>
      <c r="M22" s="281" t="n">
        <v>2483</v>
      </c>
      <c r="N22" s="281" t="n">
        <v>7730</v>
      </c>
    </row>
    <row r="23" customFormat="false" ht="15.75" hidden="false" customHeight="true" outlineLevel="0" collapsed="false">
      <c r="A23" s="78" t="s">
        <v>474</v>
      </c>
      <c r="B23" s="160" t="s">
        <v>475</v>
      </c>
      <c r="C23" s="187"/>
      <c r="D23" s="187"/>
      <c r="E23" s="281" t="s">
        <v>591</v>
      </c>
      <c r="F23" s="281" t="s">
        <v>592</v>
      </c>
      <c r="G23" s="187"/>
      <c r="H23" s="187"/>
      <c r="I23" s="187"/>
      <c r="J23" s="187"/>
      <c r="K23" s="187"/>
      <c r="L23" s="187"/>
      <c r="M23" s="187"/>
      <c r="N23" s="187"/>
    </row>
    <row r="24" customFormat="false" ht="15.75" hidden="false" customHeight="true" outlineLevel="0" collapsed="false">
      <c r="A24" s="78" t="s">
        <v>25</v>
      </c>
      <c r="B24" s="160" t="s">
        <v>593</v>
      </c>
      <c r="C24" s="187" t="s">
        <v>621</v>
      </c>
      <c r="D24" s="187" t="s">
        <v>622</v>
      </c>
      <c r="E24" s="187" t="s">
        <v>569</v>
      </c>
      <c r="F24" s="187" t="s">
        <v>570</v>
      </c>
      <c r="G24" s="187"/>
      <c r="H24" s="187"/>
      <c r="I24" s="187"/>
      <c r="J24" s="187"/>
      <c r="K24" s="232" t="n">
        <v>1808</v>
      </c>
      <c r="L24" s="187"/>
      <c r="M24" s="187"/>
      <c r="N24" s="187"/>
    </row>
    <row r="25" customFormat="false" ht="15.75" hidden="false" customHeight="true" outlineLevel="0" collapsed="false">
      <c r="A25" s="78" t="s">
        <v>123</v>
      </c>
      <c r="B25" s="160" t="s">
        <v>488</v>
      </c>
      <c r="C25" s="187"/>
      <c r="D25" s="187"/>
      <c r="E25" s="187" t="n">
        <v>1</v>
      </c>
      <c r="F25" s="187" t="n">
        <v>1</v>
      </c>
      <c r="G25" s="187"/>
      <c r="H25" s="187"/>
      <c r="I25" s="187"/>
      <c r="J25" s="187"/>
      <c r="K25" s="187"/>
      <c r="L25" s="187"/>
      <c r="M25" s="187"/>
      <c r="N25" s="187"/>
    </row>
    <row r="26" customFormat="false" ht="15.75" hidden="false" customHeight="true" outlineLevel="0" collapsed="false">
      <c r="A26" s="78" t="s">
        <v>124</v>
      </c>
      <c r="B26" s="160" t="s">
        <v>599</v>
      </c>
      <c r="C26" s="232" t="s">
        <v>531</v>
      </c>
      <c r="D26" s="232" t="s">
        <v>532</v>
      </c>
      <c r="E26" s="232" t="s">
        <v>569</v>
      </c>
      <c r="F26" s="232" t="s">
        <v>570</v>
      </c>
      <c r="G26" s="187"/>
      <c r="H26" s="187"/>
      <c r="I26" s="187"/>
      <c r="J26" s="187"/>
      <c r="K26" s="187"/>
      <c r="L26" s="187"/>
      <c r="M26" s="187"/>
      <c r="N26" s="187"/>
    </row>
    <row r="27" customFormat="false" ht="15.75" hidden="false" customHeight="true" outlineLevel="0" collapsed="false">
      <c r="A27" s="78" t="s">
        <v>38</v>
      </c>
      <c r="B27" s="147" t="s">
        <v>494</v>
      </c>
      <c r="C27" s="187"/>
      <c r="D27" s="187"/>
      <c r="E27" s="281" t="n">
        <v>2548</v>
      </c>
      <c r="F27" s="281" t="n">
        <v>4056</v>
      </c>
      <c r="G27" s="187"/>
      <c r="H27" s="187"/>
      <c r="I27" s="281" t="n">
        <v>4082</v>
      </c>
      <c r="J27" s="281" t="n">
        <v>5174</v>
      </c>
      <c r="K27" s="281" t="n">
        <v>1586</v>
      </c>
      <c r="L27" s="187"/>
      <c r="M27" s="281" t="n">
        <v>2496</v>
      </c>
      <c r="N27" s="281" t="n">
        <v>6448</v>
      </c>
    </row>
    <row r="28" customFormat="false" ht="15.75" hidden="false" customHeight="true" outlineLevel="0" collapsed="false">
      <c r="A28" s="78" t="s">
        <v>39</v>
      </c>
      <c r="B28" s="147" t="s">
        <v>173</v>
      </c>
      <c r="C28" s="187" t="n">
        <v>3294</v>
      </c>
      <c r="D28" s="187" t="n">
        <v>3735</v>
      </c>
      <c r="E28" s="187" t="n">
        <v>3442</v>
      </c>
      <c r="F28" s="187" t="n">
        <v>4979</v>
      </c>
      <c r="G28" s="187" t="n">
        <v>3222</v>
      </c>
      <c r="H28" s="187" t="n">
        <v>5053</v>
      </c>
      <c r="I28" s="187" t="n">
        <v>4906</v>
      </c>
      <c r="J28" s="187" t="n">
        <v>6808</v>
      </c>
      <c r="K28" s="187" t="n">
        <v>1808</v>
      </c>
      <c r="L28" s="187"/>
      <c r="M28" s="187" t="n">
        <v>2840</v>
      </c>
      <c r="N28" s="187"/>
    </row>
    <row r="29" customFormat="false" ht="15.75" hidden="false" customHeight="true" outlineLevel="0" collapsed="false">
      <c r="A29" s="78" t="s">
        <v>40</v>
      </c>
      <c r="B29" s="147" t="s">
        <v>506</v>
      </c>
      <c r="C29" s="187" t="s">
        <v>600</v>
      </c>
      <c r="D29" s="187" t="s">
        <v>601</v>
      </c>
      <c r="E29" s="232" t="s">
        <v>615</v>
      </c>
      <c r="F29" s="232" t="s">
        <v>623</v>
      </c>
      <c r="G29" s="187"/>
      <c r="H29" s="187"/>
      <c r="I29" s="187" t="s">
        <v>603</v>
      </c>
      <c r="J29" s="187" t="s">
        <v>604</v>
      </c>
      <c r="K29" s="187" t="s">
        <v>581</v>
      </c>
      <c r="L29" s="187"/>
      <c r="M29" s="187" t="s">
        <v>582</v>
      </c>
      <c r="N29" s="232" t="s">
        <v>624</v>
      </c>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c r="A229" s="74"/>
      <c r="B229" s="146"/>
      <c r="C229" s="76"/>
      <c r="D229" s="76"/>
      <c r="E229" s="76"/>
      <c r="F229" s="76"/>
      <c r="G229" s="76"/>
      <c r="H229" s="76"/>
      <c r="I229" s="76"/>
      <c r="J229" s="76"/>
      <c r="K229" s="76"/>
      <c r="L229" s="76"/>
      <c r="M229" s="76"/>
      <c r="N229" s="76"/>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G1" r:id="rId5" display="Комод Коэн Коен МДФ KOM4S"/>
    <hyperlink ref="H1" r:id="rId6" display="Шкаф Коэн Коен МДФ SZF2D2S"/>
    <hyperlink ref="I1" r:id="rId7" display="Комод Вайт White 4S _90"/>
    <hyperlink ref="J1" r:id="rId8" display="Шкаф Вайт White 2D"/>
    <hyperlink ref="L1" r:id="rId9" display="Аляска Alaska гостиная"/>
    <hyperlink ref="N1" r:id="rId10" display="Шкаф Либерти Liberti 3D"/>
    <hyperlink ref="A3" r:id="rId11" display="BRWmania.com.ua "/>
    <hyperlink ref="A4" r:id="rId12" display="http://redlight.com.ua/"/>
    <hyperlink ref="A5" r:id="rId13" display="https://mebli-bristol.com.ua/"/>
    <hyperlink ref="A6" r:id="rId14" display="http://gerbor.kiev.ua/"/>
    <hyperlink ref="A7" r:id="rId15" display="http://www.brwland.com.ua/"/>
    <hyperlink ref="A8" r:id="rId16" display="http://gerbor.dp.ua/"/>
    <hyperlink ref="A9" r:id="rId17" display="https://vashamebel.in.ua/"/>
    <hyperlink ref="A10" r:id="rId18" display="http://mebel-mebel.com.ua/"/>
    <hyperlink ref="A11" r:id="rId19" display="http://abcmebli.com.ua"/>
    <hyperlink ref="A12" r:id="rId20" display="https://gerbor.mebelok.com/"/>
    <hyperlink ref="A13" r:id="rId21" display="http://maxmebel.com.ua/"/>
    <hyperlink ref="A14" r:id="rId22" display="https://moyamebel.com.ua/ua"/>
    <hyperlink ref="A15" r:id="rId23" display="https://mebel-soyuz.com.ua/"/>
    <hyperlink ref="A16" r:id="rId24" display="https://sofino.ua/"/>
    <hyperlink ref="A17" r:id="rId25" display="http://www.brw-gerbor.od.ua/"/>
    <hyperlink ref="A18" r:id="rId26" display="http://gerbor.mebli-smerichka.com.ua/"/>
    <hyperlink ref="A19" r:id="rId27" display="http://furniture.zp.ua/"/>
    <hyperlink ref="A21" r:id="rId28" display="https://www.brw-kiev.com.ua/"/>
    <hyperlink ref="A22" r:id="rId29" display="https://brw-lviv.com.ua/"/>
    <hyperlink ref="A23" r:id="rId30" display="http://beruvse.com/"/>
    <hyperlink ref="A24" r:id="rId31" display="https://brw.kiev.ua/"/>
    <hyperlink ref="A25" r:id="rId32" display="http://brw.com.ua/"/>
    <hyperlink ref="A26" r:id="rId33" display="https://mebelstyle.net/"/>
    <hyperlink ref="A27" r:id="rId34" display="https://lvivmebli.com/"/>
    <hyperlink ref="A28" r:id="rId35" display="http://centrmebliv.com.ua/"/>
    <hyperlink ref="A29" r:id="rId36" display="https://letro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2" t="s">
        <v>1</v>
      </c>
      <c r="C1" s="2" t="s">
        <v>2</v>
      </c>
      <c r="D1" s="2" t="s">
        <v>3</v>
      </c>
      <c r="E1" s="2" t="s">
        <v>4</v>
      </c>
      <c r="F1" s="2" t="s">
        <v>5</v>
      </c>
      <c r="G1" s="2" t="s">
        <v>6</v>
      </c>
      <c r="H1" s="2" t="s">
        <v>7</v>
      </c>
      <c r="I1" s="2" t="s">
        <v>8</v>
      </c>
      <c r="J1" s="3" t="s">
        <v>9</v>
      </c>
      <c r="K1" s="3" t="s">
        <v>15</v>
      </c>
      <c r="L1" s="4" t="s">
        <v>10</v>
      </c>
      <c r="M1" s="3" t="s">
        <v>11</v>
      </c>
      <c r="N1" s="3" t="s">
        <v>12</v>
      </c>
      <c r="O1" s="3" t="s">
        <v>13</v>
      </c>
      <c r="P1" s="3" t="s">
        <v>14</v>
      </c>
    </row>
    <row r="2" customFormat="false" ht="40.5" hidden="false" customHeight="true" outlineLevel="0" collapsed="false">
      <c r="A2" s="5" t="s">
        <v>16</v>
      </c>
      <c r="B2" s="6" t="n">
        <v>4400</v>
      </c>
      <c r="C2" s="7" t="n">
        <v>5210</v>
      </c>
      <c r="D2" s="8" t="n">
        <v>4170</v>
      </c>
      <c r="E2" s="7" t="n">
        <v>6210</v>
      </c>
      <c r="F2" s="8" t="n">
        <v>2630</v>
      </c>
      <c r="G2" s="8" t="n">
        <v>6210</v>
      </c>
      <c r="H2" s="8" t="n">
        <v>7210</v>
      </c>
      <c r="I2" s="9" t="n">
        <v>3860</v>
      </c>
      <c r="J2" s="10" t="n">
        <v>2340</v>
      </c>
      <c r="K2" s="10" t="n">
        <v>9650</v>
      </c>
      <c r="L2" s="10" t="n">
        <v>3950</v>
      </c>
      <c r="M2" s="10" t="n">
        <v>5350</v>
      </c>
      <c r="N2" s="77" t="n">
        <v>4940</v>
      </c>
      <c r="O2" s="10" t="n">
        <v>4030</v>
      </c>
      <c r="P2" s="10" t="n">
        <v>4670</v>
      </c>
    </row>
    <row r="3" customFormat="false" ht="48" hidden="false" customHeight="true" outlineLevel="0" collapsed="false">
      <c r="A3" s="78" t="s">
        <v>28</v>
      </c>
      <c r="B3" s="79" t="str">
        <f aca="false">HYPERLINK("https://brwmania.com.ua/gostinaja/modulnye-gostinye/sistema-azteka/tumba-pod-tv-acteka-rtv2d2s415/","4200")</f>
        <v>4200</v>
      </c>
      <c r="C3" s="80" t="str">
        <f aca="false">HYPERLINK("https://brwmania.com.ua/gostinaja/modulnye-gostinye/sistema-azteka/komod-acteka-kom4s811/","5010")</f>
        <v>5010</v>
      </c>
      <c r="D3" s="80" t="str">
        <f aca="false">HYPERLINK("https://brwmania.com.ua/gostinaja/modulnye-gostinye/sistema-indiana-indiana---dub-shuter/indiana-dub-shuter-laminat-j-011-komod-jkom-4s-80/","4010")</f>
        <v>4010</v>
      </c>
      <c r="E3" s="80" t="str">
        <f aca="false">HYPERLINK("https://brwmania.com.ua/gostinaja/modulnye-gostinye/sistema-indiana-indiana---dub-shuter/indiana-dub-shuter-laminat-j-007-stol-pismennyy-jbiu-2d2s-140/","5980")</f>
        <v>5980</v>
      </c>
      <c r="F3" s="80" t="str">
        <f aca="false">HYPERLINK("https://brwmania.com.ua/gostinaja/modulnye-gostinye/sistema_dzhuli/komod-dzhuli-july-kom4s-90/","2480")</f>
        <v>2480</v>
      </c>
      <c r="G3" s="80" t="str">
        <f aca="false">HYPERLINK("https://brwmania.com.ua/gostinaja/modulnye-gostinye/tovar-novij/shkaf-platjanoj-porto-szf3d2s/","5890")</f>
        <v>5890</v>
      </c>
      <c r="H3" s="80" t="str">
        <f aca="false">HYPERLINK("https://brwmania.com.ua/gostinaja/modulnye-gostinye/sistema-sonata-sonata/s-015-sonata-komod-8-s/","7090")</f>
        <v>7090</v>
      </c>
      <c r="I3" s="80" t="str">
        <f aca="false">HYPERLINK("https://brwmania.com.ua/gostinaja/modulnye-gostinye/sistema_kaspian_dub_sonoma/kaspian-dub-sonoma-jm-007-stol-pismennyy-biu-1d1s/","3630")</f>
        <v>3630</v>
      </c>
      <c r="J3" s="19" t="str">
        <f aca="false">HYPERLINK("https://brwmania.com.ua/gostinaja/modulnye-gostinye/sistema_nepo/nepo-prihozha-ppk/","2330")</f>
        <v>2330</v>
      </c>
      <c r="K3" s="80" t="str">
        <f aca="false">HYPERLINK("https://brwmania.com.ua/gostinaja/komplekty-gostinyh/aljaska-alaska-gostinaja/","9080")</f>
        <v>9080</v>
      </c>
      <c r="L3" s="81" t="n">
        <v>3880</v>
      </c>
      <c r="M3" s="81" t="n">
        <v>5210</v>
      </c>
      <c r="N3" s="81" t="n">
        <v>4780</v>
      </c>
      <c r="O3" s="81" t="n">
        <v>5590</v>
      </c>
      <c r="P3" s="81" t="n">
        <v>4550</v>
      </c>
    </row>
    <row r="4" customFormat="false" ht="60.75" hidden="false" customHeight="true" outlineLevel="0" collapsed="false">
      <c r="A4" s="78" t="s">
        <v>29</v>
      </c>
      <c r="B4" s="29" t="str">
        <f aca="false">HYPERLINK("https://redlight.com.ua/tv-stands/item-tumba-tv-rtv2d2s-4-15-atsteka","4400")</f>
        <v>4400</v>
      </c>
      <c r="C4" s="30" t="str">
        <f aca="false">HYPERLINK("https://redlight.com.ua/komod/item-komod-kom4s-8-11-atsteka","5210")</f>
        <v>5210</v>
      </c>
      <c r="D4" s="30" t="str">
        <f aca="false">HYPERLINK("https://redlight.com.ua/komod/item-komod-jkom-4s-80-indiana","4010")</f>
        <v>4010</v>
      </c>
      <c r="E4" s="30" t="str">
        <f aca="false">HYPERLINK("https://redlight.com.ua/stoly/item-stol-pismenniy-jbiu-2d2s-indiana","5980")</f>
        <v>5980</v>
      </c>
      <c r="F4" s="30" t="str">
        <f aca="false">HYPERLINK("https://redlight.com.ua/komod/item-komod-kom4s-90-dzhuli","2630")</f>
        <v>2630</v>
      </c>
      <c r="G4" s="27" t="str">
        <f aca="false">HYPERLINK("http://redlight.com.ua/raspashnyye-shkafy/item-porto-shkaf-szf3d2s","5890")</f>
        <v>5890</v>
      </c>
      <c r="H4" s="32" t="str">
        <f aca="false">HYPERLINK("http://redlight.com.ua/komod/item-komod-8s-sonata-","7210")</f>
        <v>7210</v>
      </c>
      <c r="I4" s="34" t="str">
        <f aca="false">HYPERLINK("http://redlight.com.ua/stoly/item-kaspian-pismenniy-stol-biu-1d1s-120-kaspian","3630")</f>
        <v>3630</v>
      </c>
      <c r="J4" s="30" t="str">
        <f aca="false">HYPERLINK("https://redlight.com.ua/prihozhie/item-nepo-prihozhaya-rrk-","2340")</f>
        <v>2340</v>
      </c>
      <c r="K4" s="36" t="str">
        <f aca="false">HYPERLINK("http://redlight.com.ua/stenki/item-stenka-alyaska","7644")</f>
        <v>7644</v>
      </c>
      <c r="L4" s="82" t="n">
        <v>3950</v>
      </c>
      <c r="M4" s="82" t="n">
        <v>5350</v>
      </c>
      <c r="N4" s="82" t="n">
        <v>4940</v>
      </c>
      <c r="O4" s="82" t="n">
        <v>4030</v>
      </c>
      <c r="P4" s="82" t="n">
        <v>4670</v>
      </c>
    </row>
    <row r="5" customFormat="false" ht="63" hidden="false" customHeight="true" outlineLevel="0" collapsed="false">
      <c r="A5" s="78" t="s">
        <v>30</v>
      </c>
      <c r="B5" s="35" t="str">
        <f aca="false">HYPERLINK("https://mebli-bristol.com.ua/acteka-tumba-rtv-2d2s-4-15-brv-ukraina.html","4400")</f>
        <v>4400</v>
      </c>
      <c r="C5" s="32" t="str">
        <f aca="false">HYPERLINK("https://mebli-bristol.com.ua/acteka-komod-kom-4s-8-11-brv-ukraina.html","5210")</f>
        <v>5210</v>
      </c>
      <c r="D5" s="32" t="str">
        <f aca="false">HYPERLINK("https://mebli-bristol.com.ua/indiana-komod-jkom-4s-80-sosna-kan-jon-brv-ukraina.html","4170")</f>
        <v>4170</v>
      </c>
      <c r="E5" s="32" t="str">
        <f aca="false">HYPERLINK("https://mebli-bristol.com.ua/indiana-stil-pis-movij-jbiu-2d2s-140-sosna-kan-jon-brv-ukraina.html","6210")</f>
        <v>6210</v>
      </c>
      <c r="F5" s="32" t="str">
        <f aca="false">HYPERLINK("https://mebli-bristol.com.ua/dzhuli-komod-kom-4s-90-brv-ukraina.html","2630")</f>
        <v>2630</v>
      </c>
      <c r="G5" s="32" t="str">
        <f aca="false">HYPERLINK("https://mebli-bristol.com.ua/porto-shafa-szf-3d2s-brv-ukraina.html","6210")</f>
        <v>6210</v>
      </c>
      <c r="H5" s="32" t="str">
        <f aca="false">HYPERLINK("https://mebli-bristol.com.ua/sonata-komod-8s-gerbor.html","7210")</f>
        <v>7210</v>
      </c>
      <c r="I5" s="32" t="str">
        <f aca="false">HYPERLINK("https://mebli-bristol.com.ua/kaspian-stil-pis-movij-biu-1d1s-120-dub-sonoma-brv-ukraina.html","3860")</f>
        <v>3860</v>
      </c>
      <c r="J5" s="36" t="str">
        <f aca="false">HYPERLINK("https://mebli-bristol.com.ua/nepo-peredpokij-ppk-gerbor-9728.html","1971")</f>
        <v>1971</v>
      </c>
      <c r="K5" s="32" t="str">
        <f aca="false">HYPERLINK("https://mebli-bristol.com.ua/aljaska-brv-ukraina.html","9650")</f>
        <v>9650</v>
      </c>
      <c r="L5" s="82" t="n">
        <v>3950</v>
      </c>
      <c r="M5" s="82" t="n">
        <v>5350</v>
      </c>
      <c r="N5" s="82" t="n">
        <v>4940</v>
      </c>
      <c r="O5" s="82" t="n">
        <v>4030</v>
      </c>
      <c r="P5" s="82" t="n">
        <v>4670</v>
      </c>
    </row>
    <row r="6" customFormat="false" ht="60" hidden="false" customHeight="true" outlineLevel="0" collapsed="false">
      <c r="A6" s="78" t="s">
        <v>17</v>
      </c>
      <c r="B6" s="33" t="str">
        <f aca="false">HYPERLINK("https://gerbor.kiev.ua/mebel-brv-ukraina/mebel-brw-azteca/azteca-tumba-tv-rtv2d2s-brv/","4200")</f>
        <v>4200</v>
      </c>
      <c r="C6" s="34" t="str">
        <f aca="false">HYPERLINK("https://gerbor.kiev.ua/mebel-brv-ukraina/mebel-brw-azteca/azteca-komod-kom4s-brv/","5010")</f>
        <v>5010</v>
      </c>
      <c r="D6" s="34" t="str">
        <f aca="false">HYPERLINK("https://gerbor.kiev.ua/mebel-brv-ukraina/mebel-indiana-brw/indiana-komod-jkom4s80-brv/","4010")</f>
        <v>4010</v>
      </c>
      <c r="E6" s="34" t="str">
        <f aca="false">HYPERLINK("https://gerbor.kiev.ua/mebel-brv-ukraina/mebel-indiana-brw/indiana-stol-pismennyy-jbiu2d2s140-brv/","5980")</f>
        <v>5980</v>
      </c>
      <c r="F6" s="34" t="str">
        <f aca="false">HYPERLINK("https://gerbor.kiev.ua/mebel-brv-ukraina/mebel-july-brw/july-komod-kom4s90-brv/","2480")</f>
        <v>2480</v>
      </c>
      <c r="G6" s="27" t="str">
        <f aca="false">HYPERLINK("https://gerbor.kiev.ua/mebelnye-sistemy/mebel-porto-brv/porto-shkaf-szf3d2s-brv/","5890")</f>
        <v>5890</v>
      </c>
      <c r="H6" s="27" t="str">
        <f aca="false">HYPERLINK("https://gerbor.kiev.ua/mebelnye-sistemy/mebel-sonata-gerbor/sonata-komod-8s-gerbor/","7090")</f>
        <v>7090</v>
      </c>
      <c r="I6" s="27" t="str">
        <f aca="false">HYPERLINK("https://gerbor.kiev.ua/mebelnye-sistemy/mebel-kaspian-sonoma-brw/kaspian-sonoma-stol-pismennyy-biu1d1s-brv/","3630")</f>
        <v>3630</v>
      </c>
      <c r="J6" s="27" t="str">
        <f aca="false">HYPERLINK("https://gerbor.kiev.ua/mebelnye-sistemy/mebel-nepo-gerbor/nepo-prikhozhaya-ppk-gerbor/","2330")</f>
        <v>2330</v>
      </c>
      <c r="K6" s="19" t="str">
        <f aca="false">HYPERLINK("https://gerbor.kiev.ua/mebelnye-sistemy/mebel-alaska-brw/alaska-gostinaya-brw/","9290")</f>
        <v>9290</v>
      </c>
      <c r="L6" s="83"/>
      <c r="M6" s="90" t="n">
        <v>5210</v>
      </c>
      <c r="N6" s="16" t="n">
        <v>4940</v>
      </c>
      <c r="O6" s="82" t="n">
        <v>5590</v>
      </c>
      <c r="P6" s="82" t="n">
        <v>4050</v>
      </c>
      <c r="Q6" s="84"/>
    </row>
    <row r="7" customFormat="false" ht="63" hidden="false" customHeight="true" outlineLevel="0" collapsed="false">
      <c r="A7" s="78" t="s">
        <v>18</v>
      </c>
      <c r="B7" s="29" t="str">
        <f aca="false">HYPERLINK("https://brwland.com.ua/product/azteca-tumba-tv-rtv2d2s415-brv-ukraina/","4400")</f>
        <v>4400</v>
      </c>
      <c r="C7" s="30" t="str">
        <f aca="false">HYPERLINK("https://brwland.com.ua/product/azteca-komod-kom4s811-brv-ukraina/","5210")</f>
        <v>5210</v>
      </c>
      <c r="D7" s="30" t="str">
        <f aca="false">HYPERLINK("https://brwland.com.ua/product/mebel-indiana-komod-jkom-4s-80-gerbor/","4170")</f>
        <v>4170</v>
      </c>
      <c r="E7" s="30" t="str">
        <f aca="false">HYPERLINK("https://brwland.com.ua/product/mebel-indiana-stol-pismennyj-jbiu-2d2s-140-gerbor/","6210")</f>
        <v>6210</v>
      </c>
      <c r="F7" s="30" t="str">
        <f aca="false">HYPERLINK("https://brwland.com.ua/product/dzhuli-komod-kom4s90-brv-ukraina/","2630")</f>
        <v>2630</v>
      </c>
      <c r="G7" s="32" t="str">
        <f aca="false">HYPERLINK("http://www.brwland.com.ua/product/porto-shkaf-szf3d2s-brv-ukraina/","6210")</f>
        <v>6210</v>
      </c>
      <c r="H7" s="27" t="str">
        <f aca="false">HYPERLINK("http://www.brwland.com.ua/product/komod-8s-sonata-gerbor/","7090")</f>
        <v>7090</v>
      </c>
      <c r="I7" s="19" t="str">
        <f aca="false">HYPERLINK("http://www.brwland.com.ua/product/kaspian-sonoma-stol-pismennyj-biu1d1s-brv-ukraina/","3860")</f>
        <v>3860</v>
      </c>
      <c r="J7" s="27" t="str">
        <f aca="false">HYPERLINK("http://www.brwland.com.ua/product/nepo-prihozhaja-ppk-gerbor/","2330")</f>
        <v>2330</v>
      </c>
      <c r="K7" s="19" t="str">
        <f aca="false">HYPERLINK("http://www.brwland.com.ua/product/gostinaja-aljaska-brv-ukraina/","9650")</f>
        <v>9650</v>
      </c>
      <c r="L7" s="36" t="str">
        <f aca="false">HYPERLINK("http://www.brwland.com.ua/product/komplekt-quatro/","3151")</f>
        <v>3151</v>
      </c>
      <c r="M7" s="82" t="n">
        <v>5350</v>
      </c>
      <c r="N7" s="82" t="n">
        <v>4940</v>
      </c>
      <c r="O7" s="82" t="n">
        <v>4030</v>
      </c>
      <c r="P7" s="82" t="n">
        <v>4090</v>
      </c>
      <c r="Q7" s="84"/>
    </row>
    <row r="8" customFormat="false" ht="60" hidden="false" customHeight="true" outlineLevel="0" collapsed="false">
      <c r="A8" s="78" t="s">
        <v>31</v>
      </c>
      <c r="B8" s="85" t="str">
        <f aca="false">HYPERLINK("http://gerbor.dp.ua/index.php?route=product/product&amp;product_id=3138","0")</f>
        <v>0</v>
      </c>
      <c r="C8" s="86" t="str">
        <f aca="false">HYPERLINK("http://gerbor.dp.ua/index.php?route=product/product&amp;product_id=3131","0")</f>
        <v>0</v>
      </c>
      <c r="D8" s="86" t="str">
        <f aca="false">HYPERLINK("http://gerbor.dp.ua/index.php?route=product/product&amp;product_id=1730","0")</f>
        <v>0</v>
      </c>
      <c r="E8" s="86" t="str">
        <f aca="false">HYPERLINK("http://gerbor.dp.ua/index.php?route=product/product&amp;product_id=1725","0")</f>
        <v>0</v>
      </c>
      <c r="F8" s="86" t="str">
        <f aca="false">HYPERLINK("http://gerbor.dp.ua/index.php?route=product/product&amp;product_id=1755","0")</f>
        <v>0</v>
      </c>
      <c r="G8" s="27" t="str">
        <f aca="false">HYPERLINK("http://gerbor.dp.ua/index.php?route=product/product&amp;product_id=3905","4060")</f>
        <v>4060</v>
      </c>
      <c r="H8" s="86" t="str">
        <f aca="false">HYPERLINK("http://gerbor.dp.ua/index.php?route=product/product&amp;product_id=2156","0")</f>
        <v>0</v>
      </c>
      <c r="I8" s="86" t="str">
        <f aca="false">HYPERLINK("http://gerbor.dp.ua/index.php?route=product/product&amp;product_id=2819","0")</f>
        <v>0</v>
      </c>
      <c r="J8" s="86" t="str">
        <f aca="false">HYPERLINK("http://gerbor.dp.ua/index.php?route=product/product&amp;product_id=3473&amp;search=%D0%BD%D0%B5%D0%BF%D0%BE","0")</f>
        <v>0</v>
      </c>
      <c r="K8" s="86" t="str">
        <f aca="false">HYPERLINK("http://gerbor.dp.ua/index.php?route=product/product&amp;product_id=3031","0")</f>
        <v>0</v>
      </c>
      <c r="L8" s="86" t="str">
        <f aca="false">HYPERLINK("http://gerbor.dp.ua/index.php?route=product/product&amp;product_id=2040","0")</f>
        <v>0</v>
      </c>
      <c r="M8" s="19" t="str">
        <f aca="false">HYPERLINK("http://gerbor.dp.ua/index.php?route=product/product&amp;product_id=2775","5350")</f>
        <v>5350</v>
      </c>
      <c r="N8" s="86" t="str">
        <f aca="false">HYPERLINK("http://gerbor.dp.ua/index.php?route=product/product&amp;product_id=4118","0")</f>
        <v>0</v>
      </c>
      <c r="O8" s="87" t="n">
        <v>4043</v>
      </c>
      <c r="P8" s="86" t="str">
        <f aca="false">HYPERLINK("http://gerbor.dp.ua/index.php?route=product/product&amp;product_id=3797&amp;search=%D0%BA%D0%BE%D0%B5%D0%BD+%D0%BC%D0%B4%D1%84&amp;description=true","0")</f>
        <v>0</v>
      </c>
    </row>
    <row r="9" customFormat="false" ht="56.25" hidden="false" customHeight="true" outlineLevel="0" collapsed="false">
      <c r="A9" s="88" t="s">
        <v>32</v>
      </c>
      <c r="B9" s="33" t="str">
        <f aca="false">HYPERLINK("https://www.dybok.com.ua/ru/product/detail/35816","4393")</f>
        <v>4393</v>
      </c>
      <c r="C9" s="30" t="str">
        <f aca="false">HYPERLINK("https://www.dybok.com.ua/ru/product/detail/35870","5215")</f>
        <v>5215</v>
      </c>
      <c r="D9" s="89" t="n">
        <v>3229</v>
      </c>
      <c r="E9" s="30" t="str">
        <f aca="false">HYPERLINK("https://www.dybok.com.ua/ru/product/detail/4291","6230")</f>
        <v>6230</v>
      </c>
      <c r="F9" s="34" t="str">
        <f aca="false">HYPERLINK("https://www.dybok.com.ua/ru/product/detail/9798","2624")</f>
        <v>2624</v>
      </c>
      <c r="G9" s="30" t="str">
        <f aca="false">HYPERLINK("https://www.dybok.com.ua/ru/product/detail/35840","6685")</f>
        <v>6685</v>
      </c>
      <c r="H9" s="30" t="str">
        <f aca="false">HYPERLINK("https://www.dybok.com.ua/ru/product/detail/261","7228")</f>
        <v>7228</v>
      </c>
      <c r="I9" s="36" t="str">
        <f aca="false">HYPERLINK("https://www.dybok.com.ua/","3006")</f>
        <v>3006</v>
      </c>
      <c r="J9" s="89" t="n">
        <v>1931</v>
      </c>
      <c r="K9" s="34" t="str">
        <f aca="false">HYPERLINK("https://www.dybok.com.ua/ru/product/detail/50410","8916")</f>
        <v>8916</v>
      </c>
      <c r="L9" s="82" t="n">
        <v>3961</v>
      </c>
      <c r="M9" s="82" t="n">
        <v>5363</v>
      </c>
      <c r="N9" s="32" t="str">
        <f aca="false">HYPERLINK("https://www.dybok.com.ua/ru/product/detail/54996","4953")</f>
        <v>4953</v>
      </c>
      <c r="O9" s="82" t="n">
        <v>4043</v>
      </c>
      <c r="P9" s="82" t="n">
        <v>4673</v>
      </c>
    </row>
    <row r="10" customFormat="false" ht="61.5" hidden="false" customHeight="true" outlineLevel="0" collapsed="false">
      <c r="A10" s="78" t="s">
        <v>19</v>
      </c>
      <c r="B10" s="33" t="str">
        <f aca="false">HYPERLINK("https://vashamebel.in.ua/tumba-tv-brv-atsteka-rtv2d2s415/p12722","4200")</f>
        <v>4200</v>
      </c>
      <c r="C10" s="34" t="str">
        <f aca="false">HYPERLINK("https://vashamebel.in.ua/komod-brv-atsteka-kom4s811/p12731","5010")</f>
        <v>5010</v>
      </c>
      <c r="D10" s="34" t="str">
        <f aca="false">HYPERLINK("https://vashamebel.in.ua/komod-brv-indiana-jkom4s80/p921","4010")</f>
        <v>4010</v>
      </c>
      <c r="E10" s="34" t="str">
        <f aca="false">HYPERLINK("https://vashamebel.in.ua/stol-pismennyij-brv-indiana-jbiu-2d2s/p916","5980")</f>
        <v>5980</v>
      </c>
      <c r="F10" s="34" t="str">
        <f aca="false">HYPERLINK("https://vashamebel.in.ua/komod-brv-dzhuli-kom4s90/p7958","2480")</f>
        <v>2480</v>
      </c>
      <c r="G10" s="27" t="str">
        <f aca="false">HYPERLINK("https://vashamebel.in.ua/shkaf-brv-porto-szf3d2s/p12560","5890")</f>
        <v>5890</v>
      </c>
      <c r="H10" s="34" t="str">
        <f aca="false">HYPERLINK("https://vashamebel.in.ua/komod-gerbor-sonata-8s/p845","7090")</f>
        <v>7090</v>
      </c>
      <c r="I10" s="87" t="s">
        <v>33</v>
      </c>
      <c r="J10" s="34" t="str">
        <f aca="false">HYPERLINK("https://vashamebel.in.ua/prihozhaya-gerbor-nepo-ppk/p12249","2330")</f>
        <v>2330</v>
      </c>
      <c r="K10" s="34" t="str">
        <f aca="false">HYPERLINK("https://vashamebel.in.ua/gostinaya-brv-alyaska/p4420","9290")</f>
        <v>9290</v>
      </c>
      <c r="L10" s="90" t="n">
        <v>3880</v>
      </c>
      <c r="M10" s="90" t="n">
        <v>5210</v>
      </c>
      <c r="N10" s="90" t="n">
        <v>4780</v>
      </c>
      <c r="O10" s="82" t="n">
        <v>5590</v>
      </c>
      <c r="P10" s="90" t="n">
        <v>4050</v>
      </c>
    </row>
    <row r="11" customFormat="false" ht="70.5" hidden="false" customHeight="true" outlineLevel="0" collapsed="false">
      <c r="A11" s="78" t="s">
        <v>20</v>
      </c>
      <c r="B11" s="33" t="str">
        <f aca="false">HYPERLINK("https://mebel-mebel.com.ua/eshop/dom-tumby-dlia-tv/tumba_rtv2d2s_4_15_atsteka-id461.html","4200")</f>
        <v>4200</v>
      </c>
      <c r="C11" s="34" t="str">
        <f aca="false">HYPERLINK("https://mebel-mebel.com.ua/eshop/dom-komody/komod_kom4s_8_11_atsteka-id496.html","5010")</f>
        <v>5010</v>
      </c>
      <c r="D11" s="34" t="str">
        <f aca="false">HYPERLINK("https://mebel-mebel.com.ua/eshop/dom-komody/komod_jkom_4s80_indiana-id663.html","4010")</f>
        <v>4010</v>
      </c>
      <c r="E11" s="34" t="str">
        <f aca="false">HYPERLINK("https://mebel-mebel.com.ua/eshop/dom-stoly-kompiuternye/stol_pismenniy_jbiu_2d2s_140_indiana-id659.html","5980")</f>
        <v>5980</v>
      </c>
      <c r="F11" s="34" t="str">
        <f aca="false">HYPERLINK("https://mebel-mebel.com.ua/eshop/dom-komody/komod_kom_4s_90_dzhuli-id569.html","2480")</f>
        <v>2480</v>
      </c>
      <c r="G11" s="34" t="str">
        <f aca="false">HYPERLINK("https://mebel-mebel.com.ua/eshop/detskie-shkafy/shkaf_szf3d2s_porto-id35136.html","5890")</f>
        <v>5890</v>
      </c>
      <c r="H11" s="27" t="str">
        <f aca="false">HYPERLINK("https://mebel-mebel.com.ua/eshop/dom-komody/komod_8s_s_015_sonata-id1567.html","7090")</f>
        <v>7090</v>
      </c>
      <c r="I11" s="27" t="str">
        <f aca="false">HYPERLINK("https://mebel-mebel.com.ua/eshop/dom-stoly-kompiuternye/stol_pismenniy_biu_1d1s_120_kaspian-id797.html","3630")</f>
        <v>3630</v>
      </c>
      <c r="J11" s="27" t="str">
        <f aca="false">HYPERLINK("https://mebel-mebel.com.ua/eshop/dom-prihozhie/prihozhaya_ppk_nepo-id28028.html","2330")</f>
        <v>2330</v>
      </c>
      <c r="K11" s="34" t="str">
        <f aca="false">HYPERLINK("https://mebel-mebel.com.ua/eshop/dom-stenki-dlia-gostinoi/gostinaya_arktika-id50834.html","9290")</f>
        <v>9290</v>
      </c>
      <c r="L11" s="90" t="n">
        <v>3880</v>
      </c>
      <c r="M11" s="90" t="n">
        <v>4689</v>
      </c>
      <c r="N11" s="90" t="n">
        <v>4780</v>
      </c>
      <c r="O11" s="90" t="n">
        <v>4751</v>
      </c>
      <c r="P11" s="90" t="n">
        <v>4550</v>
      </c>
    </row>
    <row r="12" customFormat="false" ht="75.75" hidden="false" customHeight="true" outlineLevel="0" collapsed="false">
      <c r="A12" s="91" t="s">
        <v>21</v>
      </c>
      <c r="B12" s="33" t="str">
        <f aca="false">HYPERLINK("https://abcmebli.com.ua/p14992-tumba_tv_rtv2d2s-4-15_atsteka","4237")</f>
        <v>4237</v>
      </c>
      <c r="C12" s="27" t="str">
        <f aca="false">HYPERLINK("https://abcmebli.com.ua/p15683-atsteka_komod_kom4s-8-11_brv","5010")</f>
        <v>5010</v>
      </c>
      <c r="D12" s="27" t="str">
        <f aca="false">HYPERLINK("https://abcmebli.com.ua/p1896-komod_jkom4s_80_indiana","4010")</f>
        <v>4010</v>
      </c>
      <c r="E12" s="27" t="str">
        <f aca="false">HYPERLINK("https://abcmebli.com.ua/p1892-stol_pismenniy_jbiu2d2s_140_indiana","5980")</f>
        <v>5980</v>
      </c>
      <c r="F12" s="34" t="str">
        <f aca="false">HYPERLINK("https://abcmebli.com.ua/p8553-komod_kom4s-90_july","2480")</f>
        <v>2480</v>
      </c>
      <c r="G12" s="27" t="str">
        <f aca="false">HYPERLINK("https://abcmebli.com.ua/p15039-shkaf_platyanoy_szf3d2s_porto","5890")</f>
        <v>5890</v>
      </c>
      <c r="H12" s="27" t="str">
        <f aca="false">HYPERLINK("https://abcmebli.com.ua/p2225-komod_8-s_sonata","7554")</f>
        <v>7554</v>
      </c>
      <c r="I12" s="27" t="str">
        <f aca="false">HYPERLINK("https://abcmebli.com.ua/p14308-stol_pismenniy_biu_1d1s_120_kaspian","3630")</f>
        <v>3630</v>
      </c>
      <c r="J12" s="34" t="str">
        <f aca="false">HYPERLINK("https://abcmebli.com.ua/p15897-nepo_prihozhaya_ppk_gerbor","2160")</f>
        <v>2160</v>
      </c>
      <c r="K12" s="32" t="str">
        <f aca="false">HYPERLINK("https://abcmebli.com.ua/p15950-gostinaya_alyaska_brv-ukraina","9904")</f>
        <v>9904</v>
      </c>
      <c r="L12" s="32" t="str">
        <f aca="false">HYPERLINK("https://abcmebli.com.ua/p2515-stenka_kvatro_gerbor","4077")</f>
        <v>4077</v>
      </c>
      <c r="M12" s="27" t="str">
        <f aca="false">HYPERLINK("https://abcmebli.com.ua/p4993-komod_kom1w2d2s_9_15_vusher","5100")</f>
        <v>5100</v>
      </c>
      <c r="N12" s="32" t="str">
        <f aca="false">HYPERLINK("https://abcmebli.com.ua/p15847-german_komod_kom3s-9-12_brv","4780")</f>
        <v>4780</v>
      </c>
      <c r="O12" s="32" t="str">
        <f aca="false">HYPERLINK("https://abcmebli.com.ua/p16267-alisa_tumba_tv_rtv2s2k_gerbor","5590")</f>
        <v>5590</v>
      </c>
      <c r="P12" s="27" t="str">
        <f aca="false">HYPERLINK("https://abcmebli.com.ua/p15137-koen_mdf_komod_kom4s","4550")</f>
        <v>4550</v>
      </c>
    </row>
    <row r="13" customFormat="false" ht="56.25" hidden="false" customHeight="true" outlineLevel="0" collapsed="false">
      <c r="A13" s="78" t="s">
        <v>22</v>
      </c>
      <c r="B13" s="35" t="str">
        <f aca="false">HYPERLINK("https://www.mebelok.com/tymba-tv-rtv2d2s415-acteka/","4200")</f>
        <v>4200</v>
      </c>
      <c r="C13" s="30" t="str">
        <f aca="false">HYPERLINK("https://www.mebelok.com/komod-kom4s811-acteka/","5011")</f>
        <v>5011</v>
      </c>
      <c r="D13" s="30" t="str">
        <f aca="false">HYPERLINK("https://www.mebelok.com/komod-jkom-4s-80/","4011")</f>
        <v>4011</v>
      </c>
      <c r="E13" s="32" t="str">
        <f aca="false">HYPERLINK("https://www.mebelok.com/stol-pismennyy-jbiu-2d2s-140/","5981")</f>
        <v>5981</v>
      </c>
      <c r="F13" s="30" t="str">
        <f aca="false">HYPERLINK("https://www.mebelok.com/komod-kom-4s-90-juli/","2481")</f>
        <v>2481</v>
      </c>
      <c r="G13" s="30" t="str">
        <f aca="false">HYPERLINK("https://www.mebelok.com/shkaf-szf3d2s-porto/","5891")</f>
        <v>5891</v>
      </c>
      <c r="H13" s="32" t="str">
        <f aca="false">HYPERLINK("https://www.mebelok.com/komod-8s-sonata/","7091")</f>
        <v>7091</v>
      </c>
      <c r="I13" s="32" t="str">
        <f aca="false">HYPERLINK("https://www.mebelok.com/stol-pismennyy-biu1d1s-120-kaspian/","3631")</f>
        <v>3631</v>
      </c>
      <c r="J13" s="19" t="str">
        <f aca="false">HYPERLINK("https://www.mebelok.com/prihojaya-ppk-nepo/","2330")</f>
        <v>2330</v>
      </c>
      <c r="K13" s="36" t="str">
        <f aca="false">HYPERLINK("https://www.mebelok.com/gostinaya-alyaska/","7655")</f>
        <v>7655</v>
      </c>
      <c r="L13" s="82" t="n">
        <v>3951</v>
      </c>
      <c r="M13" s="82" t="n">
        <v>5351</v>
      </c>
      <c r="N13" s="82" t="n">
        <v>4941</v>
      </c>
      <c r="O13" s="82" t="n">
        <v>5590</v>
      </c>
      <c r="P13" s="82" t="n">
        <v>4670</v>
      </c>
    </row>
    <row r="14" customFormat="false" ht="48" hidden="false" customHeight="true" outlineLevel="0" collapsed="false">
      <c r="A14" s="91" t="s">
        <v>23</v>
      </c>
      <c r="B14" s="37" t="str">
        <f aca="false">HYPERLINK("https://maxmebel.com.ua/atsteka_tumba_rtv2d2s","3970")</f>
        <v>3970</v>
      </c>
      <c r="C14" s="27" t="str">
        <f aca="false">HYPERLINK("https://maxmebel.com.ua/atsteka_komod_kom4s-8-11","4840")</f>
        <v>4840</v>
      </c>
      <c r="D14" s="27" t="str">
        <f aca="false">HYPERLINK("https://maxmebel.com.ua/indiana_komod_jkom_4s_80","3890")</f>
        <v>3890</v>
      </c>
      <c r="E14" s="27" t="str">
        <f aca="false">HYPERLINK("https://maxmebel.com.ua/indiana_pismenniy_stol_jbiu_2d2s","5910")</f>
        <v>5910</v>
      </c>
      <c r="F14" s="27" t="str">
        <f aca="false">HYPERLINK("https://maxmebel.com.ua/dzhuli_komod_kom4s-90","2370")</f>
        <v>2370</v>
      </c>
      <c r="G14" s="27" t="str">
        <f aca="false">HYPERLINK("https://maxmebel.com.ua/porto_shkaf_platyanoy_szf3d2s","5666")</f>
        <v>5666</v>
      </c>
      <c r="H14" s="27" t="str">
        <f aca="false">HYPERLINK("https://maxmebel.com.ua/sonata_komod_8-s","7060")</f>
        <v>7060</v>
      </c>
      <c r="I14" s="27" t="str">
        <f aca="false">HYPERLINK("https://maxmebel.com.ua/kaspian_stol_pismenniy_biu_1d1s","3530")</f>
        <v>3530</v>
      </c>
      <c r="J14" s="27" t="str">
        <f aca="false">HYPERLINK("https://maxmebel.com.ua/nepo_prihozhaya_rrk","2330")</f>
        <v>2330</v>
      </c>
      <c r="K14" s="27" t="str">
        <f aca="false">HYPERLINK("https://maxmebel.com.ua/stenka_alyaska","7964")</f>
        <v>7964</v>
      </c>
      <c r="L14" s="90" t="n">
        <v>3810</v>
      </c>
      <c r="M14" s="16" t="n">
        <v>5350</v>
      </c>
      <c r="N14" s="19" t="str">
        <f aca="false">HYPERLINK("https://maxmebel.com.ua/german_komod_kon3s-9-12","4940")</f>
        <v>4940</v>
      </c>
      <c r="O14" s="92" t="s">
        <v>34</v>
      </c>
      <c r="P14" s="16" t="n">
        <v>4670</v>
      </c>
    </row>
    <row r="15" customFormat="false" ht="39" hidden="false" customHeight="true" outlineLevel="0" collapsed="false">
      <c r="A15" s="78" t="s">
        <v>24</v>
      </c>
      <c r="B15" s="37" t="str">
        <f aca="false">HYPERLINK("https://moyamebel.com.ua/ua/products/tumba-rtv-atsteka","4200")</f>
        <v>4200</v>
      </c>
      <c r="C15" s="27" t="str">
        <f aca="false">HYPERLINK("https://moyamebel.com.ua/ua/products/komod-atsteka","5010")</f>
        <v>5010</v>
      </c>
      <c r="D15" s="27" t="str">
        <f aca="false">HYPERLINK("https://moyamebel.com.ua/ua/products/komod-4s-80-indiana","4010")</f>
        <v>4010</v>
      </c>
      <c r="E15" s="27" t="str">
        <f aca="false">HYPERLINK("https://moyamebel.com.ua/ua/products/stol-pismennyj-2d2s-indiana","5980")</f>
        <v>5980</v>
      </c>
      <c r="F15" s="27" t="str">
        <f aca="false">HYPERLINK("https://moyamebel.com.ua/ua/products/komod-dzhuli-90","2480")</f>
        <v>2480</v>
      </c>
      <c r="G15" s="27" t="str">
        <f aca="false">HYPERLINK("https://moyamebel.com.ua/ua/products/shkaf-3d2sporto","5890")</f>
        <v>5890</v>
      </c>
      <c r="H15" s="34" t="str">
        <f aca="false">HYPERLINK("https://moyamebel.com.ua/ua/products/komod-8s-sonata","7090")</f>
        <v>7090</v>
      </c>
      <c r="I15" s="27" t="str">
        <f aca="false">HYPERLINK("https://moyamebel.com.ua/ua/products/stol-pismennyj-120-kaspian","3630")</f>
        <v>3630</v>
      </c>
      <c r="J15" s="93"/>
      <c r="K15" s="27" t="str">
        <f aca="false">HYPERLINK("https://moyamebel.com.ua/ua/products/gostinaya-alyaska","7644")</f>
        <v>7644</v>
      </c>
      <c r="L15" s="82" t="n">
        <v>3880</v>
      </c>
      <c r="M15" s="90" t="n">
        <v>5210</v>
      </c>
      <c r="N15" s="83" t="str">
        <f aca="false">HYPERLINK("","")</f>
        <v/>
      </c>
      <c r="O15" s="94" t="s">
        <v>34</v>
      </c>
      <c r="P15" s="94" t="s">
        <v>34</v>
      </c>
    </row>
    <row r="16" customFormat="false" ht="31.5" hidden="false" customHeight="true" outlineLevel="0" collapsed="false">
      <c r="A16" s="78" t="s">
        <v>35</v>
      </c>
      <c r="B16" s="35" t="str">
        <f aca="false">HYPERLINK("https://mebel-soyuz.com.ua/12896.html","4400")</f>
        <v>4400</v>
      </c>
      <c r="C16" s="32" t="str">
        <f aca="false">HYPERLINK("https://mebel-soyuz.com.ua/12903.html","5210")</f>
        <v>5210</v>
      </c>
      <c r="D16" s="32" t="str">
        <f aca="false">HYPERLINK("https://mebel-soyuz.com.ua/2266.html","4170")</f>
        <v>4170</v>
      </c>
      <c r="E16" s="32" t="str">
        <f aca="false">HYPERLINK("https://mebel-soyuz.com.ua/stol-pismennyj-jbiu-2d2s-140-indiana.html","6210")</f>
        <v>6210</v>
      </c>
      <c r="F16" s="32" t="str">
        <f aca="false">HYPERLINK("https://mebel-soyuz.com.ua/komod-kom-4s-90-dzhuli.html","2630")</f>
        <v>2630</v>
      </c>
      <c r="G16" s="32" t="str">
        <f aca="false">HYPERLINK("https://mebel-soyuz.com.ua/shkaf-szf3d2s-porto.html","6210")</f>
        <v>6210</v>
      </c>
      <c r="H16" s="32" t="str">
        <f aca="false">HYPERLINK("https://mebel-soyuz.com.ua/473.html","7210")</f>
        <v>7210</v>
      </c>
      <c r="I16" s="30" t="str">
        <f aca="false">HYPERLINK("https://mebel-soyuz.com.ua/8687.html","3860")</f>
        <v>3860</v>
      </c>
      <c r="J16" s="32" t="str">
        <f aca="false">HYPERLINK("https://mebel-soyuz.com.ua/8926.html","2340")</f>
        <v>2340</v>
      </c>
      <c r="K16" s="32" t="str">
        <f aca="false">HYPERLINK("https://mebel-soyuz.com.ua/10995.html","9650")</f>
        <v>9650</v>
      </c>
      <c r="L16" s="95" t="str">
        <f aca="false">HYPERLINK("https://mebel-soyuz.com.ua/gostinaya-kvatro.html","3810")</f>
        <v>3810</v>
      </c>
      <c r="M16" s="95" t="str">
        <f aca="false">HYPERLINK("https://mebel-soyuz.com.ua/3933.html","5350")</f>
        <v>5350</v>
      </c>
      <c r="N16" s="95" t="str">
        <f aca="false">HYPERLINK("https://mebel-soyuz.com.ua/komod-kom3s912-german.html","4940")</f>
        <v>4940</v>
      </c>
      <c r="O16" s="96" t="str">
        <f aca="false">HYPERLINK("https://mebel-soyuz.com.ua/komod-kom3s912-german.html","5550")</f>
        <v>5550</v>
      </c>
      <c r="P16" s="95" t="str">
        <f aca="false">HYPERLINK("https://mebel-soyuz.com.ua/komod-kom4s-koen-mdf.html","4670")</f>
        <v>4670</v>
      </c>
    </row>
    <row r="17" customFormat="false" ht="33.75" hidden="false" customHeight="true" outlineLevel="0" collapsed="false">
      <c r="A17" s="78" t="s">
        <v>36</v>
      </c>
      <c r="B17" s="97" t="str">
        <f aca="false">HYPERLINK("https://sofino.ua/brw-ukraina-tumba-rtv2d2s415-acteka/g-95393","4400")</f>
        <v>4400</v>
      </c>
      <c r="C17" s="22" t="str">
        <f aca="false">HYPERLINK("https://sofino.ua/brw-ukraina-komod-kom4s811-acteka/g-95386","5210")</f>
        <v>5210</v>
      </c>
      <c r="D17" s="22" t="str">
        <f aca="false">HYPERLINK("https://sofino.ua/brw-ukraina-komod-jkom4s80-indiana/g-40903","4170")</f>
        <v>4170</v>
      </c>
      <c r="E17" s="30" t="str">
        <f aca="false">HYPERLINK("https://sofino.ua/brw-ukraina-stol-pismennyjj-jbiu2d2s140-indiana/g-40899","6210")</f>
        <v>6210</v>
      </c>
      <c r="F17" s="30" t="str">
        <f aca="false">HYPERLINK("https://sofino.ua/brw-ukraina-komod-kom4s90-dzhuli-akacija-mali-bronz/g-40377","2630")</f>
        <v>2630</v>
      </c>
      <c r="G17" s="30" t="str">
        <f aca="false">HYPERLINK("https://sofino.ua/brw-ukraina-shkaf-platjanojj-szf3d2s-porto-dzhanni-sosna-lariko/g-264368","6210")</f>
        <v>6210</v>
      </c>
      <c r="H17" s="30" t="str">
        <f aca="false">HYPERLINK("https://sofino.ua/gerbor-komod-8s-sonata/g-19192","7210")</f>
        <v>7210</v>
      </c>
      <c r="I17" s="19" t="str">
        <f aca="false">HYPERLINK("https://sofino.ua/brw-ukraina-stol-pismennyjj-biu-1d1s-kaspian/g-264409","3860")</f>
        <v>3860</v>
      </c>
      <c r="J17" s="22" t="str">
        <f aca="false">HYPERLINK("https://sofino.ua/gerbor-prikhozhaja-ppk-nepo/g-287089","2340")</f>
        <v>2340</v>
      </c>
      <c r="K17" s="22" t="str">
        <f aca="false">HYPERLINK("https://sofino.ua/brw-ukraina-stenka-aljaska-belyjj-gljanec/g-454107","9650")</f>
        <v>9650</v>
      </c>
      <c r="L17" s="82" t="n">
        <v>3950</v>
      </c>
      <c r="M17" s="82" t="n">
        <v>5350</v>
      </c>
      <c r="N17" s="32" t="str">
        <f aca="false">HYPERLINK("https://sofino.ua/brw-ukraina-komod-kom3s912-german/g-599343","4940")</f>
        <v>4940</v>
      </c>
      <c r="O17" s="94" t="s">
        <v>34</v>
      </c>
      <c r="P17" s="32" t="str">
        <f aca="false">HYPERLINK("https://sofino.ua/gerbor-komod-kom4s-koen-mdf-venge-magija-shtroks-temnyjj/g-19366","4670")</f>
        <v>4670</v>
      </c>
    </row>
    <row r="18" customFormat="false" ht="54.75" hidden="false" customHeight="true" outlineLevel="0" collapsed="false">
      <c r="A18" s="78" t="s">
        <v>37</v>
      </c>
      <c r="B18" s="98" t="str">
        <f aca="false">HYPERLINK("","")</f>
        <v/>
      </c>
      <c r="C18" s="27" t="str">
        <f aca="false">HYPERLINK("https://www.brw-kiev.com.ua/catalog/mebel/azteca-komod-kom4s_8_11-000004816.html","4199")</f>
        <v>4199</v>
      </c>
      <c r="D18" s="27" t="str">
        <f aca="false">HYPERLINK("https://www.brw-kiev.com.ua/catalog/mebel/indiana-komod-jkom4s_80-000000261.html","4019")</f>
        <v>4019</v>
      </c>
      <c r="E18" s="27" t="str">
        <f aca="false">HYPERLINK("https://www.brw-kiev.com.ua/catalog/mebel/indiana-stil_pis_moviy-jbiu2d2s-000000254.html","5989")</f>
        <v>5989</v>
      </c>
      <c r="F18" s="27" t="str">
        <f aca="false">HYPERLINK("https://www.brw-kiev.com.ua/catalog/mebel/july-komod-kom4s_90-000005407.html","2489")</f>
        <v>2489</v>
      </c>
      <c r="G18" s="27" t="str">
        <f aca="false">HYPERLINK("https://www.brw-kiev.com.ua/catalog/mebel/porto-shafa-szf3d2s-000006440.html","5899")</f>
        <v>5899</v>
      </c>
      <c r="H18" s="99"/>
      <c r="I18" s="34" t="str">
        <f aca="false">HYPERLINK("https://www.brw-kiev.com.ua/catalog/mebel/kaspian-stil_pis_moviy-biu1d1s_120-000006188.html","3639")</f>
        <v>3639</v>
      </c>
      <c r="J18" s="22" t="str">
        <f aca="false">HYPERLINK("https://www.brw-kiev.com.ua/catalog/mebel/prihozhaya/nepo-peredpokiy-ppk-000006567.html?sphrase_id=84980","2339")</f>
        <v>2339</v>
      </c>
      <c r="K18" s="34" t="str">
        <f aca="false">HYPERLINK("https://www.brw-kiev.com.ua/catalog/mebel/gostinaya/stinki-vital_nya-alaska-000006901.html?sphrase_id=84981","9299")</f>
        <v>9299</v>
      </c>
      <c r="L18" s="83"/>
      <c r="M18" s="83"/>
      <c r="N18" s="83" t="str">
        <f aca="false">HYPERLINK("","")</f>
        <v/>
      </c>
      <c r="O18" s="94" t="s">
        <v>34</v>
      </c>
      <c r="P18" s="90" t="n">
        <v>4409</v>
      </c>
    </row>
    <row r="19" customFormat="false" ht="38.25" hidden="false" customHeight="true" outlineLevel="0" collapsed="false">
      <c r="A19" s="78" t="s">
        <v>25</v>
      </c>
      <c r="B19" s="103" t="n">
        <v>4200</v>
      </c>
      <c r="C19" s="90" t="n">
        <v>5010</v>
      </c>
      <c r="D19" s="90" t="n">
        <v>4010</v>
      </c>
      <c r="E19" s="90" t="n">
        <v>5980</v>
      </c>
      <c r="F19" s="90" t="n">
        <v>2480</v>
      </c>
      <c r="G19" s="27" t="str">
        <f aca="false">HYPERLINK("https://brw.kiev.ua/mebel-brw-ukraina/porto/shkaf-szf3d2s-porto-brv/","5890")</f>
        <v>5890</v>
      </c>
      <c r="H19" s="27" t="str">
        <f aca="false">HYPERLINK("https://brw.kiev.ua/mebel-gerbor/sonata/komod-8s-sonata-gerbor/","7090")</f>
        <v>7090</v>
      </c>
      <c r="I19" s="27" t="str">
        <f aca="false">HYPERLINK("https://brw.kiev.ua/mebel-brw-ukraina/kaspian-venge/stol-pismennyy-biu1d1s-kaspian-brv-venge/","3630")</f>
        <v>3630</v>
      </c>
      <c r="J19" s="27" t="str">
        <f aca="false">HYPERLINK("https://brw.kiev.ua/mebel-gerbor/nepo/prikhozhaya-ppk-nepo-gerbor/","2330")</f>
        <v>2330</v>
      </c>
      <c r="K19" s="19" t="str">
        <f aca="false">HYPERLINK("https://brw.kiev.ua/mebel-brw-ukraina/alaska/stenka-alaska-brv/","9650")</f>
        <v>9650</v>
      </c>
      <c r="L19" s="83"/>
      <c r="M19" s="90" t="n">
        <v>5210</v>
      </c>
      <c r="N19" s="16" t="n">
        <v>4940</v>
      </c>
      <c r="O19" s="82" t="n">
        <v>5590</v>
      </c>
      <c r="P19" s="90" t="n">
        <v>4050</v>
      </c>
    </row>
    <row r="20" customFormat="false" ht="34.5" hidden="false" customHeight="true" outlineLevel="0" collapsed="false">
      <c r="A20" s="78" t="s">
        <v>38</v>
      </c>
      <c r="B20" s="37" t="str">
        <f aca="false">HYPERLINK("https://lvivmebli.com/13319/","3900")</f>
        <v>3900</v>
      </c>
      <c r="C20" s="27" t="str">
        <f aca="false">HYPERLINK("https://lvivmebli.com/13320/","4675")</f>
        <v>4675</v>
      </c>
      <c r="D20" s="27" t="str">
        <f aca="false">HYPERLINK("https://lvivmebli.com/5030/","4255")</f>
        <v>4255</v>
      </c>
      <c r="E20" s="27" t="str">
        <f aca="false">HYPERLINK("https://lvivmebli.com/5039/","5911")</f>
        <v>5911</v>
      </c>
      <c r="F20" s="36" t="str">
        <f aca="false">HYPERLINK("https://lvivmebli.com/11483/","2300")</f>
        <v>2300</v>
      </c>
      <c r="G20" s="27"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01" t="str">
        <f aca="false">HYPERLINK("http://centrmebliv.com.ua/modulni-mebli/brw-azteca/mebli-brw-brv-azteca-tumba-rtv2d2s?keyword=%D0%B0%D1%86%D1%82%D0%B5%D0%BA%D0%B0","3343")</f>
        <v>3343</v>
      </c>
      <c r="C21" s="36" t="str">
        <f aca="false">HYPERLINK("http://centrmebliv.com.ua/modulni-mebli/brw-azteca/mebli-brw-brv-azteca-komod-4s?keyword=%D0%B0%D1%86%D1%82%D0%B5%D0%BA%D0%B0","3924")</f>
        <v>3924</v>
      </c>
      <c r="D21" s="36" t="str">
        <f aca="false">HYPERLINK("http://centrmebliv.com.ua/mebli-dlya-spalni/komody/mebli-brw-brv-indiana-komod-jkom4s_80?keyword=%D1%96%D0%BD%D0%B4%D1%96%D0%B0%D0%BD%D0%B0","3562")</f>
        <v>3562</v>
      </c>
      <c r="E21" s="102" t="str">
        <f aca="false">HYPERLINK("http://centrmebliv.com.ua/modulni-mebli/brw-ukrayina-indiana/mebli-brw-brv-indiana-stil-pysmovyy-jbiu2d2s_140?keyword=%D1%96%D0%BD%D0%B4%D1%96%D0%B0%D0%BD%D0%B0","5158")</f>
        <v>5158</v>
      </c>
      <c r="F21" s="36" t="str">
        <f aca="false">HYPERLINK("http://centrmebliv.com.ua/spalni/komody/mebli-brw-brv-july-komod-kom4s/90?keyword=july","2098")</f>
        <v>2098</v>
      </c>
      <c r="G21" s="36" t="str">
        <f aca="false">HYPERLINK("http://centrmebliv.com.ua/modulni-mebli/brw-ukrayina-porto/mebli-brw-brv-porto-shafa-dlya-odyagu-sf3d2s?keyword=szf3d2s","5377")</f>
        <v>5377</v>
      </c>
      <c r="H21" s="36" t="str">
        <f aca="false">HYPERLINK("http://centrmebliv.com.ua/mebli-dlya-spalni/komody/mebli-gerbor-gerbor-s-015-sonata-_komod-8/s?keyword=%D1%81%D0%BE%D0%BD%D0%B0%D1%82%D0%B0","5683")</f>
        <v>5683</v>
      </c>
      <c r="I21" s="36" t="str">
        <f aca="false">HYPERLINK("http://centrmebliv.com.ua/ofisni-mebli/ofisni-stoly-vid-modulnyh-system/gerbor/brw-kaspian-stil-pysmovyy-biu-1d1s-120?keyword=%D0%BA%D0%B0%D1%81%D0%BF%D1%96%D0%B0%D0%BD","3002")</f>
        <v>3002</v>
      </c>
      <c r="J21" s="83"/>
      <c r="K21" s="83"/>
      <c r="L21" s="36" t="str">
        <f aca="false">HYPERLINK("http://centrmebliv.com.ua/mebli-dlya-vitalni/stinky/mebli-gerbor-gerbor-kvatro","3007")</f>
        <v>3007</v>
      </c>
      <c r="M21" s="36"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3" t="n">
        <v>4200</v>
      </c>
      <c r="C22" s="90" t="n">
        <v>5010</v>
      </c>
      <c r="D22" s="90" t="n">
        <v>4010</v>
      </c>
      <c r="E22" s="90" t="n">
        <v>5980</v>
      </c>
      <c r="F22" s="90" t="n">
        <v>2480</v>
      </c>
      <c r="G22" s="27" t="str">
        <f aca="false">HYPERLINK("https://letromebel.com.ua/p567177190-shkaf-szf3d2s-porto.html","5890")</f>
        <v>5890</v>
      </c>
      <c r="H22" s="83"/>
      <c r="I22" s="83"/>
      <c r="J22" s="104" t="str">
        <f aca="false">HYPERLINK("https://letromebel.com.ua/p441285622-prihozhaya-ppk-nepo.html","1963")</f>
        <v>1963</v>
      </c>
      <c r="K22" s="36" t="str">
        <f aca="false">HYPERLINK("https://letromebel.com.ua/p822866700-stenka-gostinuyu-alyaska.html","7644")</f>
        <v>7644</v>
      </c>
      <c r="L22" s="34" t="str">
        <f aca="false">HYPERLINK("https://letromebel.com.ua/p436378844-stenka-kvatro-venge.html","3810")</f>
        <v>3810</v>
      </c>
      <c r="M22" s="90" t="n">
        <v>5210</v>
      </c>
      <c r="N22" s="90" t="n">
        <v>4780</v>
      </c>
      <c r="O22" s="82" t="n">
        <v>5590</v>
      </c>
      <c r="P22" s="90" t="n">
        <v>4550</v>
      </c>
    </row>
    <row r="23" customFormat="false" ht="27" hidden="false" customHeight="true" outlineLevel="0" collapsed="false">
      <c r="A23" s="91" t="s">
        <v>26</v>
      </c>
      <c r="B23" s="103" t="n">
        <v>4200</v>
      </c>
      <c r="C23" s="82" t="n">
        <v>5210</v>
      </c>
      <c r="D23" s="82" t="n">
        <v>4170</v>
      </c>
      <c r="E23" s="82" t="n">
        <v>6210</v>
      </c>
      <c r="F23" s="82" t="n">
        <v>2630</v>
      </c>
      <c r="G23" s="32" t="str">
        <f aca="false">HYPERLINK("https://shurup.net.ua/shkaf-szf3d2s-porto.p24169","6210")</f>
        <v>6210</v>
      </c>
      <c r="H23" s="27" t="str">
        <f aca="false">HYPERLINK("https://shurup.net.ua/komod-8s-sonata.p1034","7090")</f>
        <v>7090</v>
      </c>
      <c r="I23" s="30" t="str">
        <f aca="false">HYPERLINK("https://shurup.net.ua/stol-pismennyj-biu-1d1s-120-kaspian-dub-sonoma.p6492","3860")</f>
        <v>3860</v>
      </c>
      <c r="J23" s="27" t="str">
        <f aca="false">HYPERLINK("https://shurup.net.ua/prihozhaya-rrk-nepo.p13611","2330")</f>
        <v>2330</v>
      </c>
      <c r="K23" s="27" t="str">
        <f aca="false">HYPERLINK("https://shurup.net.ua/gostinaja-aljaska.p28551","8900")</f>
        <v>8900</v>
      </c>
      <c r="L23" s="27" t="str">
        <f aca="false">HYPERLINK("https://shurup.net.ua/gostinaya-kvatro-venge-magiya.p836","3880")</f>
        <v>3880</v>
      </c>
      <c r="M23" s="90" t="n">
        <v>5020</v>
      </c>
      <c r="N23" s="32" t="str">
        <f aca="false">HYPERLINK("https://shurup.net.ua/komod-kon3s64-german.p32275","4940")</f>
        <v>4940</v>
      </c>
      <c r="O23" s="94" t="s">
        <v>34</v>
      </c>
      <c r="P23" s="27" t="str">
        <f aca="false">HYPERLINK("https://shurup.net.ua/komod-kom4s-koen-mdf.p1194","4550")</f>
        <v>4550</v>
      </c>
      <c r="S23" s="42"/>
    </row>
    <row r="24" customFormat="false" ht="36.75" hidden="false" customHeight="true" outlineLevel="0" collapsed="false">
      <c r="A24" s="105" t="s">
        <v>41</v>
      </c>
      <c r="B24" s="98" t="str">
        <f aca="false">HYPERLINK("","")</f>
        <v/>
      </c>
      <c r="C24" s="47"/>
      <c r="D24" s="47"/>
      <c r="E24" s="47"/>
      <c r="F24" s="47"/>
      <c r="G24" s="83"/>
      <c r="H24" s="83"/>
      <c r="I24" s="83"/>
      <c r="J24" s="65" t="str">
        <f aca="false">HYPERLINK("https://www.taburetka.ua/prihozhie-40/prihozhaya-ppk-nepo-2914","2520")</f>
        <v>2520</v>
      </c>
      <c r="K24" s="83"/>
      <c r="L24" s="82" t="n">
        <v>4385</v>
      </c>
      <c r="M24" s="16" t="n">
        <v>5925</v>
      </c>
      <c r="N24" s="83" t="str">
        <f aca="false">HYPERLINK("","")</f>
        <v/>
      </c>
      <c r="O24" s="94" t="s">
        <v>34</v>
      </c>
      <c r="P24" s="36" t="str">
        <f aca="false">HYPERLINK("https://www.taburetka.ua/gostinye-600/modulnaya-sistema-koen-1347","4560")</f>
        <v>4560</v>
      </c>
    </row>
    <row r="25" customFormat="false" ht="37.5" hidden="false" customHeight="true" outlineLevel="0" collapsed="false">
      <c r="A25" s="106" t="s">
        <v>42</v>
      </c>
      <c r="B25" s="107" t="n">
        <v>3970</v>
      </c>
      <c r="C25" s="108" t="n">
        <v>4840</v>
      </c>
      <c r="D25" s="108" t="n">
        <v>3890</v>
      </c>
      <c r="E25" s="108" t="n">
        <v>5910</v>
      </c>
      <c r="F25" s="108" t="n">
        <v>2370</v>
      </c>
      <c r="G25" s="39" t="str">
        <f aca="false">HYPERLINK("http://www.maxidom.com.ua/shkaf-porto-porto-szf3d2s.html?search_string=%D8%EA%E0%F4+%CF%EE%F0%F2%EE+%28Porto%29+SZF3D2S","")</f>
        <v/>
      </c>
      <c r="H25" s="65" t="str">
        <f aca="false">HYPERLINK("http://www.maxidom.com.ua/komod-sonata-8s.html?search_string=%CA%EE%EC%EE%E4+%D1%EE%ED%E0%F2%E0+8s","")</f>
        <v/>
      </c>
      <c r="I25" s="39" t="str">
        <f aca="false">HYPERLINK("http://www.maxidom.com.ua/stol-pismenniy-biu-1d1s-kaspian-kaspian.html?search_string=%D1%F2%EE%EB+%EF%E8%F1%FC%EC%E5%ED%ED%FB%E9+BIU+1D1S+%CA%E0%F1%EF%E8%E0%ED+%28Kaspian%29","")</f>
        <v/>
      </c>
      <c r="J25" s="109" t="str">
        <f aca="false">HYPERLINK("http://www.maxidom.com.ua/prihozhaya-nepo-ppk.html?search_string=%CF%F0%E8%F5%EE%E6%E0%FF+%CD%E5%EF%EE+PPK","2290")</f>
        <v>2290</v>
      </c>
      <c r="K25" s="109" t="str">
        <f aca="false">HYPERLINK("http://www.maxidom.com.ua/stenka-alyaska.html?search_string=%D1%F2%E5%ED%EA%E0+%C0%EB%FF%F1%EA%E0","7644")</f>
        <v>7644</v>
      </c>
      <c r="L25" s="36" t="str">
        <f aca="false">HYPERLINK("http://www.maxidom.com.ua/stenka-kvatro.html?search_string=%D1%F2%E5%ED%EA%E0+%CA%E2%E0%F2%F0%EE","3730")</f>
        <v>3730</v>
      </c>
      <c r="M25" s="36" t="str">
        <f aca="false">HYPERLINK("http://www.maxidom.com.ua/komod-kom-1w2d2s-vusher.html?search_string=%CA%EE%EC%EE%E4+KOM+1W2D2S+%C2%F3%F8%E5%F0","5020")</f>
        <v>5020</v>
      </c>
      <c r="N25" s="27" t="str">
        <f aca="false">HYPERLINK("https://www.maxidom.com.ua/komod-german-kom3s912/","4680")</f>
        <v>4680</v>
      </c>
      <c r="O25" s="94" t="s">
        <v>34</v>
      </c>
      <c r="P25" s="19" t="str">
        <f aca="false">HYPERLINK("https://www.maxidom.com.ua/komod-kom4s-koen-mdf/","4670")</f>
        <v>4670</v>
      </c>
    </row>
    <row r="26" customFormat="false" ht="42" hidden="false" customHeight="true" outlineLevel="0" collapsed="false">
      <c r="A26" s="106" t="s">
        <v>27</v>
      </c>
      <c r="B26" s="100" t="n">
        <v>4400</v>
      </c>
      <c r="C26" s="110" t="n">
        <v>5210</v>
      </c>
      <c r="D26" s="90" t="n">
        <v>3890</v>
      </c>
      <c r="E26" s="115" t="n">
        <v>5910</v>
      </c>
      <c r="F26" s="110" t="n">
        <v>2630</v>
      </c>
      <c r="G26" s="44" t="str">
        <f aca="false">HYPERLINK("https://mebel-online.com.ua/shkaf-szf3d2s-porto?filter_name=SZF3D2S","5666")</f>
        <v>5666</v>
      </c>
      <c r="H26" s="44" t="str">
        <f aca="false">HYPERLINK("https://mebel-online.com.ua/p1728-gerbor_sonata_komod_8-s?filter_name=%D1%81%D0%BE%D0%BD%D0%B0%D1%82%D0%B0","6980")</f>
        <v>6980</v>
      </c>
      <c r="I26" s="111"/>
      <c r="J26" s="27" t="str">
        <f aca="false">HYPERLINK("https://mebel-online.com.ua/prihozhaya-gerbor-ppk-nepo?filter_name=%D0%BD%D0%B5%D0%BF%D0%BE","2290")</f>
        <v>2290</v>
      </c>
      <c r="K26" s="45" t="str">
        <f aca="false">HYPERLINK("https://mebel-online.com.ua/stenka-aliaska-brw%20?filter_name=%D0%B0%D0%BB%D1%8F%D1%81%D0%BA%D0%B0","7644")</f>
        <v>7644</v>
      </c>
      <c r="L26" s="19" t="str">
        <f aca="false">HYPERLINK("https://mebel-online.com.ua/stenka-kvatro-gerbor?filter_name=%D0%BA%D0%B2%D0%B0%D1%82%D1%80%D0%BE","3950")</f>
        <v>3950</v>
      </c>
      <c r="M26" s="19" t="str">
        <f aca="false">HYPERLINK("https://mebel-online.com.ua/komod-kom-1w2d2s-vusher-gerbor?filter_name=%D0%B2%D1%83%D1%88%D0%B5%D1%80","5350")</f>
        <v>5350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82" t="n">
        <v>4400</v>
      </c>
      <c r="C27" s="82" t="n">
        <v>5210</v>
      </c>
      <c r="D27" s="82" t="n">
        <v>4170</v>
      </c>
      <c r="E27" s="82" t="n">
        <v>6210</v>
      </c>
      <c r="F27" s="82" t="n">
        <v>2630</v>
      </c>
      <c r="G27" s="32" t="str">
        <f aca="false">HYPERLINK("https://mebelnuy.com.ua/shkaf-szf3d2s-porto-brv?search=%D0%9F%D0%BE%D1%80%D1%82%D0%BE%20SZF3D2S&amp;description=true","6210")</f>
        <v>6210</v>
      </c>
      <c r="H27" s="19" t="str">
        <f aca="false">HYPERLINK("https://mebelnuy.com.ua/komod-gerbor-sonata-8-s?search=%D0%A1%D0%BE%D0%BD%D0%B0%D1%82%D0%B0%208%2Fs&amp;description=true","7210")</f>
        <v>7210</v>
      </c>
      <c r="I27" s="83" t="str">
        <f aca="false">HYPERLINK("","")</f>
        <v/>
      </c>
      <c r="J27" s="19" t="str">
        <f aca="false">HYPERLINK("https://mebelnuy.com.ua/prihozhaya-gerbor-nepo-ppk","2340")</f>
        <v>2340</v>
      </c>
      <c r="K27" s="27" t="str">
        <f aca="false">HYPERLINK("https://mebelnuy.com.ua/gostinaya-alyaska-brv?search=%D0%90%D0%BB%D1%8F%D1%81%D0%BA%D0%B0%20%D0%B3%D0%BE%D1%81%D1%82%D0%B8%D0%BD%D0%B0%D1%8F&amp;description=true","8014")</f>
        <v>8014</v>
      </c>
      <c r="L27" s="16" t="n">
        <v>3950</v>
      </c>
      <c r="M27" s="16" t="n">
        <v>5350</v>
      </c>
      <c r="N27" s="82" t="n">
        <v>4940</v>
      </c>
      <c r="O27" s="16" t="n">
        <v>5590</v>
      </c>
      <c r="P27" s="16" t="n">
        <v>4670</v>
      </c>
    </row>
    <row r="28" customFormat="false" ht="36.75" hidden="false" customHeight="true" outlineLevel="0" collapsed="false">
      <c r="A28" s="91" t="s">
        <v>44</v>
      </c>
      <c r="B28" s="90" t="n">
        <v>3890</v>
      </c>
      <c r="C28" s="90" t="n">
        <v>4760</v>
      </c>
      <c r="D28" s="90" t="n">
        <v>3890</v>
      </c>
      <c r="E28" s="90" t="n">
        <v>5910</v>
      </c>
      <c r="F28" s="90" t="n">
        <v>2370</v>
      </c>
      <c r="G28" s="27" t="str">
        <f aca="false">HYPERLINK("https://amado.com.ua/detskaya/shkafy-i-penaly-dlya-detskoj/porto-shkaf-platyanoj-szf3d2s-brw","5666")</f>
        <v>5666</v>
      </c>
      <c r="H28" s="27" t="str">
        <f aca="false">HYPERLINK("https://amado.com.ua/gostinaya/komody-i-tumby-v-gostinuyu/sonata-komod-8-s-gerbor","6980")</f>
        <v>6980</v>
      </c>
      <c r="I28" s="27" t="str">
        <f aca="false">HYPERLINK("https://amado.com.ua/gostinaya/kaspian-sonoma-stol-pismennyj-biu-1d1s-brw","3530")</f>
        <v>3530</v>
      </c>
      <c r="J28" s="27" t="str">
        <f aca="false">HYPERLINK("https://amado.com.ua/prihozhaya/prihozhie-celnye/nepo-prihozhaya-ppk-gerbor","2290")</f>
        <v>2290</v>
      </c>
      <c r="K28" s="27" t="str">
        <f aca="false">HYPERLINK("https://amado.com.ua/gostinaya/modulnye-gostinye/gostinaya-alyaska-gerbor","8900")</f>
        <v>8900</v>
      </c>
      <c r="L28" s="27" t="str">
        <f aca="false">HYPERLINK("https://amado.com.ua/gostinaya/modulnye-gostinye/gostinaya-kvatro-gerbor","3730")</f>
        <v>3730</v>
      </c>
      <c r="M28" s="27" t="str">
        <f aca="false">HYPERLINK("https://amado.com.ua/gostinaya/komody-i-tumby-v-gostinuyu/vusher-komod-kom-1w2d2s-gerbor","5020")</f>
        <v>5020</v>
      </c>
      <c r="N28" s="27"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116"/>
      <c r="B30" s="117" t="s">
        <v>45</v>
      </c>
      <c r="C30" s="117" t="s">
        <v>46</v>
      </c>
      <c r="D30" s="117" t="s">
        <v>47</v>
      </c>
      <c r="E30" s="117" t="s">
        <v>48</v>
      </c>
      <c r="F30" s="117" t="s">
        <v>49</v>
      </c>
      <c r="G30" s="117" t="s">
        <v>50</v>
      </c>
      <c r="H30" s="117" t="s">
        <v>51</v>
      </c>
      <c r="I30" s="117" t="s">
        <v>52</v>
      </c>
      <c r="J30" s="117" t="s">
        <v>53</v>
      </c>
      <c r="K30" s="117" t="s">
        <v>54</v>
      </c>
      <c r="L30" s="117" t="s">
        <v>55</v>
      </c>
      <c r="M30" s="117" t="s">
        <v>56</v>
      </c>
      <c r="N30" s="117" t="s">
        <v>57</v>
      </c>
      <c r="O30" s="117" t="s">
        <v>58</v>
      </c>
      <c r="P30" s="117" t="s">
        <v>59</v>
      </c>
      <c r="T30" s="118"/>
      <c r="U30" s="118"/>
      <c r="V30" s="118"/>
      <c r="W30" s="118"/>
      <c r="X30" s="118"/>
      <c r="Y30" s="118"/>
    </row>
    <row r="31" customFormat="false" ht="15.75" hidden="false" customHeight="true" outlineLevel="0" collapsed="false">
      <c r="A31" s="91" t="s">
        <v>60</v>
      </c>
      <c r="B31" s="119" t="str">
        <f aca="false">HYPERLINK("https://epicentrk.ua/ua/shop/hubr-tumba-prikrovatnaya-brw-atsteka-kom2s-4-5-belyy-glyanets-8003916.html","1967")</f>
        <v>1967</v>
      </c>
      <c r="C31" s="119" t="str">
        <f aca="false">HYPERLINK("https://epicentrk.ua/ua/shop/hubr-komod-home-ua-brw-black-red-white-zlata-kom2d3s-86kh41kh135-sm-dub-takho-belyy-glyanets-8004551.html","3090")</f>
        <v>3090</v>
      </c>
      <c r="D31" s="120" t="str">
        <f aca="false">HYPERLINK("https://epicentrk.ua/ua/shop/hubr-tumba-prikrovatnaya-brw-indiana-jkom-1s-50-sosna-kanon-8004034.html","1510")</f>
        <v>1510</v>
      </c>
      <c r="E31" s="120" t="str">
        <f aca="false">HYPERLINK("https://epicentrk.ua/ua/shop/hubr-veshalka-home-ua-brw-black-red-white-kristina-wie-60-152kh24kh66-sm-belyy-glyanets-8004512.html","1234")</f>
        <v>1234</v>
      </c>
      <c r="F31" s="120" t="str">
        <f aca="false">HYPERLINK("https://epicentrk.ua/ua/shop/hubr-prikhozhaya-home-ua-brw-black-red-white-porto-ppk-189kh95-5kh39-5-sm-dzhanni-sosna-larik-8003795.html","3823")</f>
        <v>3823</v>
      </c>
      <c r="G31" s="119" t="str">
        <f aca="false">HYPERLINK("https://epicentrk.ua/ua/shop/hubr-komod-brw-kaspian-kom-1d1sp-dub-sonoma-8004075.html","1572")</f>
        <v>1572</v>
      </c>
      <c r="H31" s="119" t="str">
        <f aca="false">HYPERLINK("https://epicentrk.ua/ua/shop/hubr-stol-pismennyy-home-ua-brw-black-red-white-markus-biu-1d1s-1200kh755kh560-mm-dzhanni-8005038.html","2528")</f>
        <v>2528</v>
      </c>
      <c r="I31" s="120" t="str">
        <f aca="false">HYPERLINK("https://epicentrk.ua/ua/shop/hubr-komod-gerbor-tina-sosna-kanon-dub-sonoma-tryufel-kom4s1d.html","4230")</f>
        <v>4230</v>
      </c>
      <c r="J31" s="120" t="str">
        <f aca="false">HYPERLINK("https://epicentrk.ua/ua/shop/hubr-komod-home-ua-brw-black-red-white-markus-kom-4s-11-91kh38kh106-5-sm-dzhanni-8004912.html","3960")</f>
        <v>3960</v>
      </c>
      <c r="K31" s="120" t="str">
        <f aca="false">HYPERLINK("https://epicentrk.ua/ua/shop/hubr-tumba-prikrovatnaya-brw-loren-kom-1s-akatsiya-mali-bronza-8004104.html","1197")</f>
        <v>1197</v>
      </c>
      <c r="L31" s="120" t="str">
        <f aca="false">HYPERLINK("https://epicentrk.ua/ua/shop/hubr-komod-gerbor-vusher-belyy-glyanets-kom1d4sl-p.html","3620")</f>
        <v>3620</v>
      </c>
      <c r="M31" s="120" t="str">
        <f aca="false">HYPERLINK("https://epicentrk.ua/ua/shop/hubr-komod-gerbor-marsel-yasen-snezhnyy-kom4s.html","6230")</f>
        <v>6230</v>
      </c>
      <c r="N31" s="120" t="str">
        <f aca="false">HYPERLINK("https://epicentrk.ua/ua/shop/vitrina-venge.html","4439")</f>
        <v>4439</v>
      </c>
      <c r="O31" s="120" t="str">
        <f aca="false">HYPERLINK("https://epicentrk.ua/ua/shop/hubr-komod-gerbor-open-orekh-kaliforniyskiy-kom4s.html","2330")</f>
        <v>2330</v>
      </c>
      <c r="P31" s="120" t="str">
        <f aca="false">HYPERLINK("https://epicentrk.ua/ua/shop/hubr-komod-gerbor-graf-orekh-kom3d3s.html","5790")</f>
        <v>5790</v>
      </c>
    </row>
    <row r="32" customFormat="false" ht="15.75" hidden="false" customHeight="true" outlineLevel="0" collapsed="false">
      <c r="A32" s="112"/>
      <c r="B32" s="113"/>
      <c r="C32" s="114"/>
      <c r="D32" s="114"/>
      <c r="E32" s="114"/>
      <c r="F32" s="114"/>
      <c r="G32" s="114"/>
      <c r="H32" s="114"/>
      <c r="I32" s="114"/>
      <c r="J32" s="114"/>
      <c r="K32" s="114"/>
      <c r="L32" s="114"/>
      <c r="M32" s="114"/>
      <c r="N32" s="114"/>
      <c r="O32" s="114"/>
      <c r="P32" s="114"/>
      <c r="Q32" s="112"/>
      <c r="R32" s="112"/>
      <c r="S32" s="112"/>
      <c r="T32" s="112"/>
      <c r="U32" s="112"/>
      <c r="V32" s="112"/>
      <c r="W32" s="112"/>
      <c r="X32" s="112"/>
      <c r="Y32" s="112"/>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L3" r:id="rId7" display="https://brwmania.com.ua/gostinaja/komplekty-gostinyh/stinka-kvatro-venge-magia/"/>
    <hyperlink ref="M3" r:id="rId8" display="https://brwmania.com.ua/gostinaja/modulnye-gostinye/sistema-vusher-vusher/010-vusher-komod-kom-1w2d2s/"/>
    <hyperlink ref="N3" r:id="rId9" display="https://brwmania.com.ua/gostinaja/modulnye-gostinye/sistema-german/komod-brw-german-kom3s-9-12-dub-stirling/"/>
    <hyperlink ref="O3" r:id="rId10" display="https://brwmania.com.ua/gostinaja/modulnye-gostinye/sistema-alisa-alisa-gerbor/gerbor-gerbor-tumba-pod-televizor-alisa-rtv2s2k/"/>
    <hyperlink ref="P3" r:id="rId11" display="https://brwmania.com.ua/gostinaja/modulnye-gostinye/sistema_koen_mdf/008-koen-mdf-komod-kom4s/"/>
    <hyperlink ref="A4" r:id="rId12" display="http://redlight.com.ua/"/>
    <hyperlink ref="L4" r:id="rId13" display="http://redlight.com.ua/stenki/item-stenka-kvatro"/>
    <hyperlink ref="M4" r:id="rId14" display="https://redlight.com.ua/komod/item-tumba-kom-1w2d2s-9-15-vusher"/>
    <hyperlink ref="N4" r:id="rId15" display="https://redlight.com.ua/komod/item-german-komod-kom-3s-9-12"/>
    <hyperlink ref="O4" r:id="rId16" display="https://redlight.com.ua/tv-stands/item-alisa-tumba-rtv2s2k"/>
    <hyperlink ref="P4" r:id="rId17" display="https://redlight.com.ua/komod/item-komod-kom4s-koen-(mdf)-"/>
    <hyperlink ref="A5" r:id="rId18" display="https://mebli-bristol.com.ua/"/>
    <hyperlink ref="L5" r:id="rId19" display="https://mebli-bristol.com.ua/kvatro-gerbor.html"/>
    <hyperlink ref="M5" r:id="rId20" display="https://mebli-bristol.com.ua/vusher-komod-kom-1w-2d2s-gerbor.html"/>
    <hyperlink ref="N5" r:id="rId21" display="https://mebli-bristol.com.ua/german-komod-kom-3s-9-12-brv-ukraina.html"/>
    <hyperlink ref="O5" r:id="rId22" display="https://mebli-bristol.com.ua/alisa-tumba-rtv-2s2k-gerbor.html"/>
    <hyperlink ref="P5" r:id="rId23" display="https://mebli-bristol.com.ua/koen-komod-kom-4s-mdf-gerbor.html"/>
    <hyperlink ref="A6" r:id="rId24" display="http://gerbor.kiev.ua/"/>
    <hyperlink ref="M6" r:id="rId25" display="https://gerbor.kiev.ua/mebelnye-sistemy/mebel-vusher-gerbor/vusher-komod-kom1w2d2s-gerbor/"/>
    <hyperlink ref="N6" r:id="rId26" display="https://gerbor.kiev.ua/mebel-brv-ukraina/mebel-german-brw/german-komod-kom3s-brv/"/>
    <hyperlink ref="O6" r:id="rId27" display="https://gerbor.kiev.ua/mebelnye-sistemy/mebel-alisa-gerbor/alisa-tumba-tv-rtv2s2k-gerbor/"/>
    <hyperlink ref="P6" r:id="rId28" display="https://gerbor.kiev.ua/mebelnye-sistemy/mebel-koen-gerbor/koen-komod-kom4s-gerbor/"/>
    <hyperlink ref="A7" r:id="rId29" display="http://www.brwland.com.ua/"/>
    <hyperlink ref="M7" r:id="rId30" display="http://www.brwland.com.ua/product/vusher-bufet-kom1w2d2s915-gerbor/"/>
    <hyperlink ref="N7" r:id="rId31" display="https://brwland.com.ua/product/german-komod-kom3s912-brv-ukraina/"/>
    <hyperlink ref="O7" r:id="rId32" display="https://brwland.com.ua/product/alisa-tumba-tv-rtv2s2k-gerbor/"/>
    <hyperlink ref="P7" r:id="rId33" display="https://brwland.com.ua/product/koen-kom4s-komod-gerbor/"/>
    <hyperlink ref="A8" r:id="rId34" display="http://gerbor.dp.ua/"/>
    <hyperlink ref="O8" r:id="rId35" display="http://gerbor.dp.ua/index.php?route=product/product&amp;product_id=4257"/>
    <hyperlink ref="A9" r:id="rId36" display="https://www.dybok.com.ua/"/>
    <hyperlink ref="D9" r:id="rId37" display="https://www.dybok.com.ua/ru/product/detail/55516"/>
    <hyperlink ref="J9" r:id="rId38" display="https://www.dybok.com.ua/ru/product/detail/18085"/>
    <hyperlink ref="L9" r:id="rId39" display="https://www.dybok.com.ua/ru/product/detail/6077"/>
    <hyperlink ref="M9" r:id="rId40" display="https://www.dybok.com.ua/ru/product/detail/7086"/>
    <hyperlink ref="O9" r:id="rId41" display="https://www.dybok.com.ua/ua/product/detail/80992"/>
    <hyperlink ref="P9" r:id="rId42" display="https://www.dybok.com.ua/ua/product/detail/76092"/>
    <hyperlink ref="A10" r:id="rId43" display="https://vashamebel.in.ua/"/>
    <hyperlink ref="I10" r:id="rId44" display="0 грн"/>
    <hyperlink ref="L10" r:id="rId45" display="https://vashamebel.in.ua/stenka-gerbor-kvatro/p2359"/>
    <hyperlink ref="M10" r:id="rId46" display="https://vashamebel.in.ua/komod-gerbor-vusher-kom1w2d2s/p4762"/>
    <hyperlink ref="N10" r:id="rId47" display="https://vashamebel.in.ua/komod-brv-german-kom3s912/p16187"/>
    <hyperlink ref="O10" r:id="rId48" display="https://vashamebel.in.ua/tumba-tv-gerbor-alisa-rtv2s2k/p16540"/>
    <hyperlink ref="P10" r:id="rId49" display="https://vashamebel.in.ua/komod-gerbor-koen-kom4s/p2171"/>
    <hyperlink ref="A11" r:id="rId50" display="http://mebel-mebel.com.ua/"/>
    <hyperlink ref="L11" r:id="rId51" display="https://mebel-mebel.com.ua/eshop/dom-stenki-dlia-gostinoi/gostinaya_kvatro-id152.html"/>
    <hyperlink ref="M11" r:id="rId52" display="https://mebel-mebel.com.ua/eshop/dom-komody/komod_kom_1w2d2s_vusher-id560.html"/>
    <hyperlink ref="N11" r:id="rId53" display="https://mebel-mebel.com.ua/eshop/dom-komody/komod_kom3s_9_12_german_brv_ukraina-id60297.html"/>
    <hyperlink ref="O11" r:id="rId54" display="https://mebel-mebel.com.ua/eshop/dom-tumby-dlia-tv/tumba_rtv_2s2k_alisa_gerbor-id60350.html"/>
    <hyperlink ref="P11" r:id="rId55" display="https://mebel-mebel.com.ua/eshop/dom-komody/komod_kom_4s_mdf_8_koen-id921.html"/>
    <hyperlink ref="A12" r:id="rId56" display="http://abcmebli.com.ua"/>
    <hyperlink ref="A13" r:id="rId57" display="https://gerbor.mebelok.com/"/>
    <hyperlink ref="L13" r:id="rId58" display="https://www.mebelok.com/gostinaya-kvatro"/>
    <hyperlink ref="M13" r:id="rId59" display="https://www.mebelok.com/komod-kom-1w2d2s-vusher/"/>
    <hyperlink ref="N13" r:id="rId60" display="https://www.mebelok.com/komod-kom3s-9-12/"/>
    <hyperlink ref="O13" r:id="rId61" display="https://www.mebelok.com/tumba-tv-rtv2s2k-alisa/"/>
    <hyperlink ref="P13" r:id="rId62" display="https://www.mebelok.com/koen-komod-kom4s-mdf/"/>
    <hyperlink ref="A14" r:id="rId63" display="http://maxmebel.com.ua/"/>
    <hyperlink ref="L14" r:id="rId64" display="https://maxmebel.com.ua/stenka_kvatro"/>
    <hyperlink ref="M14" r:id="rId65" display="https://maxmebel.com.ua/vusher_komod_kom_1w2d2s"/>
    <hyperlink ref="P14" r:id="rId66" display="https://maxmebel.com.ua/koen_komod_kom4s-mdf"/>
    <hyperlink ref="A15" r:id="rId67" display="https://moyamebel.com.ua/ua"/>
    <hyperlink ref="L15" r:id="rId68" display="https://moyamebel.com.ua/ua/products/gostinaya-kvatro"/>
    <hyperlink ref="M15" r:id="rId69" display="https://moyamebel.com.ua/ua/products/komod-1w2d2s-vusher"/>
    <hyperlink ref="A16" r:id="rId70" display="https://mebel-soyuz.com.ua/"/>
    <hyperlink ref="A17" r:id="rId71" display="https://sofino.ua/"/>
    <hyperlink ref="L17" r:id="rId72" display="https://sofino.ua/gerbor-stenka-s-podsvetkojj-kvatro/g-18955"/>
    <hyperlink ref="M17" r:id="rId73" display="https://sofino.ua/gerbor-bufet-kom1w2d2s-s-podsvetkojj-vusher/g-176785"/>
    <hyperlink ref="A18" r:id="rId74" display="https://www.brw-kiev.com.ua/"/>
    <hyperlink ref="P18" r:id="rId75" display="https://www.brw-kiev.com.ua/catalog/mebel/gostinaya/koen-komod-kom4s-000003956.html"/>
    <hyperlink ref="A19" r:id="rId76" display="https://brw.kiev.ua/"/>
    <hyperlink ref="B19" r:id="rId77" display="https://brw.kiev.ua/mebel-brw-ukraina/azteca/tumba-tv-rtv2d2s-azteca-brv/"/>
    <hyperlink ref="C19" r:id="rId78" display="https://brw.kiev.ua/mebel-brw-ukraina/azteca/komod-kom4s-azteca-brv/"/>
    <hyperlink ref="D19" r:id="rId79" display="https://brw.kiev.ua/mebel-brw-ukraina/indiana-kanjon/komod-jkom4s80-indiana-brv-kanjon/"/>
    <hyperlink ref="E19" r:id="rId80" display="https://brw.kiev.ua/mebel-brw-ukraina/indiana-shutter/stol-pismennyy-jbiu2d2s140-indiana-brv-shutter/"/>
    <hyperlink ref="F19" r:id="rId81" display="https://brw.kiev.ua/mebel-brw-ukraina/july/komod-kom4s90-july-brv/"/>
    <hyperlink ref="M19" r:id="rId82" display="https://brw.kiev.ua/mebel-gerbor/vusher/komod-kom1w2d2s-vusher-gerbor/"/>
    <hyperlink ref="N19" r:id="rId83" display="https://brw.kiev.ua/mebel-brw-ukraina/german/komod-kom3s-german-brv/"/>
    <hyperlink ref="O19" r:id="rId84" display="https://brw.kiev.ua/mebel-gerbor/alisa/tumba-tv-rtv2s2k-alisa-gerbor/"/>
    <hyperlink ref="P19" r:id="rId85" display="https://brw.kiev.ua/mebel-gerbor/koen/komod-kom4s-koen-gerbor/"/>
    <hyperlink ref="A20" r:id="rId86" display="https://lvivmebli.com/"/>
    <hyperlink ref="A21" r:id="rId87" display="http://centrmebliv.com.ua/"/>
    <hyperlink ref="A22" r:id="rId88" display="https://letromebel.com.ua/"/>
    <hyperlink ref="B22" r:id="rId89" display="https://letromebel.com.ua/p566111870-tumba-rtv2d2s415-atsteka.html"/>
    <hyperlink ref="C22" r:id="rId90" display="https://letromebel.com.ua/p566126810-komod-kom4s811-atsteka.html"/>
    <hyperlink ref="D22" r:id="rId91" display="https://letromebel.com.ua/p566921861-komod-jkom4s80-indiana.html"/>
    <hyperlink ref="E22" r:id="rId92" display="https://letromebel.com.ua/p566921329-stol-pismennyj-jbiu2d2s140.html"/>
    <hyperlink ref="F22" r:id="rId93" display="https://letromebel.com.ua/p445989920-komod-kom-dzhuli.html"/>
    <hyperlink ref="M22" r:id="rId94" display="https://letromebel.com.ua/p332640892-bufet-kom1w2d2s-vusher.html"/>
    <hyperlink ref="N22" r:id="rId95" display="https://letromebel.com.ua/ua/p920135181-komod-german-kom3s912.html"/>
    <hyperlink ref="O22" r:id="rId96" display="https://letromebel.com.ua/ua/p1053586927-tumba-alisa-rtv2s2k.html"/>
    <hyperlink ref="P22" r:id="rId97" display="https://letromebel.com.ua/site_search/page_2?search_term=%D0%BA%D0%BE%D0%B5%D0%BD+%D0%BC%D0%B4%D1%84"/>
    <hyperlink ref="A23" r:id="rId98" display="https://shurup.net.ua/"/>
    <hyperlink ref="B23" r:id="rId99" display="https://shurup.net.ua/azteca-acteka-tumba-rtv2d2s415.p17205"/>
    <hyperlink ref="C23" r:id="rId100" display="https://shurup.net.ua/azteca-acteka-komod-kom4s811.p17200"/>
    <hyperlink ref="D23" r:id="rId101" display="https://shurup.net.ua/komod-jkom-4s80-indiana-sosna-kanon.p9412"/>
    <hyperlink ref="E23" r:id="rId102" display="https://shurup.net.ua/stol-pismennyj-jbiu-2d2s-140-indiana-dub-shutter.p5488"/>
    <hyperlink ref="F23" r:id="rId103" display="https://shurup.net.ua/komod-kom-4s-90-dzhuli.p7011"/>
    <hyperlink ref="M23" r:id="rId104" display="https://shurup.net.ua/komod-kom1w2d2s-9-15-vusher.p1953"/>
    <hyperlink ref="A24" r:id="rId105" display="https://www.taburetka.ua"/>
    <hyperlink ref="L24" r:id="rId106" display="https://www.taburetka.ua/gostinye-600/gostinaya-kvatro-2834"/>
    <hyperlink ref="M24" r:id="rId107" display="https://www.taburetka.ua/komody-i-tumby-35/komod-kom1w2d2s-vusher-2974"/>
    <hyperlink ref="A25" r:id="rId108" display="http://www.maxidom.com.ua/"/>
    <hyperlink ref="B25" r:id="rId109" display="http://www.maxidom.com.ua/tumba-rtv-atsteka-2d2s415.html?search_string=%D2%F3%EC%E1%E0+%D0%D2%C2+%C0%F6%F2%E5%EA%E0+2D2S%2F4%2F15"/>
    <hyperlink ref="C25" r:id="rId110" display="http://www.maxidom.com.ua/komod-atsteka-kom4s811.html?search_string=%CA%EE%EC%EE%E4+%C0%F6%F2%E5%EA%E0+KOM4S%2F8%2F11"/>
    <hyperlink ref="D25" r:id="rId111" display="http://www.maxidom.com.ua/komod_indiana_jkom4s80.html?search_string=%CA%EE%EC%EE%E4+%C8%ED%E4%E8%E0%ED%E0+JKOM4s%2F80"/>
    <hyperlink ref="E25" r:id="rId112" display="http://www.maxidom.com.ua/stol_pismenniy_indiana_jbiu2d2s.html?search_string=%D1%F2%EE%EB+%EF%E8%F1%FC%EC%E5%ED%ED%FB%E9+%C8%ED%E4%E8%E0%ED%E0+JBIU2d2s"/>
    <hyperlink ref="F25" r:id="rId113" display="http://www.maxidom.com.ua/komod-kom4s90-dzhuli.html?search_string=%CA%EE%EC%EE%E4+KOM4S%2F90+%C4%E6%F3%EB%E8"/>
    <hyperlink ref="A26" r:id="rId114" display="https://mebel-online.com.ua"/>
    <hyperlink ref="B26" r:id="rId115" display="https://mebel-online.com.ua/tymba-rtv2d2s-4-15-azteca?filter_name=azteca"/>
    <hyperlink ref="C26" r:id="rId116" display="https://mebel-online.com.ua/komod-kom4s-8-11-azteca?filter_name=azteca"/>
    <hyperlink ref="D26" r:id="rId117" display="https://mebel-online.com.ua/p5228-komod_jkom_4s_80_indiana_brw?filter_name=%D0%B8%D0%BD%D0%B4%D0%B8%D0%B0%D0%BD%D0%B0"/>
    <hyperlink ref="E26" r:id="rId118" display="https://mebel-online.com.ua/p5223-stol_pismenniy_jbiu_2d2s_140_indiana_brw?filter_name=%D0%B8%D0%BD%D0%B4%D0%B8%D0%B0%D0%BD%D0%B0"/>
    <hyperlink ref="F26" r:id="rId119" display="https://mebel-online.com.ua/komod-kom4s-90-july?filter_name=july"/>
    <hyperlink ref="A27" r:id="rId120" display="https://mebelnuy.com.ua/"/>
    <hyperlink ref="B27" r:id="rId121" display="https://mebelnuy.com.ua/tumba-pod-tv-rtv2d2s-4-15-acteka-brv?search=%D0%A2%D0%92%20%D0%90%D1%86%D1%82%D0%B5%D0%BA%D0%B0%20RTV2D2S&amp;description=true"/>
    <hyperlink ref="C27" r:id="rId122" display="https://mebelnuy.com.ua/komod-kom4s-8-11-acteka-brv?search=%D0%90%D1%86%D1%82%D0%B5%D0%BA%D0%B0%20KOM4S%2F8%2F11&amp;description=true"/>
    <hyperlink ref="D27" r:id="rId123" display="https://mebelnuy.com.ua/komod-jkom-4s-80-indiana-brv?search=%D0%98%D0%BD%D0%B4%D0%B8%D0%B0%D0%BD%D0%B0%20JKOM_4s&amp;description=true"/>
    <hyperlink ref="E27" r:id="rId124" display="https://mebelnuy.com.ua/stol-pismennyj-jbiu-2d2s-140-indiana-brv?search=%D0%98%D0%BD%D0%B4%D0%B8%D0%B0%D0%BD%D0%B0%20JBIU_2d2s_140&amp;description=true"/>
    <hyperlink ref="F27" r:id="rId125" display="https://mebelnuy.com.ua/komod-kom4s-90-dzhuli-brv?search=%D0%94%D0%96%D0%A3%D0%9B%D0%98%20KOM4S%2F90&amp;description=true"/>
    <hyperlink ref="L27" r:id="rId126" display="https://mebelnuy.com.ua/gostinaya-gerbor-kvatro-venge-magiya?search=%D0%BA%D0%B2%D0%B0%D1%82%D1%80%D0%BE&amp;description=true"/>
    <hyperlink ref="M27" r:id="rId127" display="https://mebelnuy.com.ua/komod-gerbor-vusher-kom-1w2d2s?search=%D0%92%D1%83%D1%88%D0%B5%D1%80%20KOM%201W2D2S&amp;description=true"/>
    <hyperlink ref="N27" r:id="rId128" display="https://mebelnuy.com.ua/komod-german-115-brv?search=%D0%93%D0%95%D0%A0%D0%9C%D0%90%D0%9D&amp;description=true"/>
    <hyperlink ref="O27" r:id="rId129" display="https://mebelnuy.com.ua/tumba-gerbor-alisa-rtv2s2k?search=%D0%B0%D0%BB%D0%B8%D1%81%D0%B0&amp;description=true"/>
    <hyperlink ref="P27" r:id="rId130" display="https://mebelnuy.com.ua/komod-gerbor-koen-kom4s-mdf?search=%D0%BA%D0%BE%D0%B5%D0%BD%20%D0%BC%D0%B4%D1%84&amp;description=true"/>
    <hyperlink ref="A28" r:id="rId131" display="https://amado.com.ua"/>
    <hyperlink ref="B28" r:id="rId132" display="https://amado.com.ua/gostinaya/komody-i-tumby-v-gostinuyu/acteka-tumba-rtv2d2s-4-15-brw"/>
    <hyperlink ref="C28" r:id="rId133" display="https://amado.com.ua/gostinaya/komody-i-tumby-v-gostinuyu/acteka-komod-kom4s-8-11-brw"/>
    <hyperlink ref="D28" r:id="rId134" display="https://amado.com.ua/detskaya/komody-i-tumby-dlya-detskoj/indiana-komod-jkom-4s-80-sosna-kanon-brw"/>
    <hyperlink ref="E28" r:id="rId135" display="https://amado.com.ua/detskaya/stoly-i-nadstrojki/indiana-stol-pismennyj-jbiu-2d2s-140-sosna-kanon-brw"/>
    <hyperlink ref="F28" r:id="rId136" display="https://amado.com.ua/gostinaya/komody-i-tumby-v-gostinuyu/dzhuli-komod-kom4s-90-brw"/>
    <hyperlink ref="A31" r:id="rId137" display="https://epicentrk.ua/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3.29"/>
    <col collapsed="false" customWidth="true" hidden="false" outlineLevel="0" max="2" min="2" style="0" width="54.3"/>
    <col collapsed="false" customWidth="true" hidden="false" outlineLevel="0" max="3" min="3" style="0" width="22.86"/>
  </cols>
  <sheetData>
    <row r="1" customFormat="false" ht="15.75" hidden="false" customHeight="true" outlineLevel="0" collapsed="false">
      <c r="A1" s="1" t="s">
        <v>0</v>
      </c>
      <c r="B1" s="1" t="s">
        <v>126</v>
      </c>
      <c r="C1" s="131" t="s">
        <v>1</v>
      </c>
      <c r="D1" s="131" t="s">
        <v>2</v>
      </c>
      <c r="E1" s="131" t="s">
        <v>3</v>
      </c>
      <c r="F1" s="131" t="s">
        <v>4</v>
      </c>
      <c r="G1" s="131" t="s">
        <v>513</v>
      </c>
      <c r="H1" s="131" t="s">
        <v>179</v>
      </c>
      <c r="I1" s="131" t="s">
        <v>180</v>
      </c>
      <c r="J1" s="131" t="s">
        <v>514</v>
      </c>
      <c r="K1" s="124" t="s">
        <v>9</v>
      </c>
      <c r="L1" s="124" t="s">
        <v>15</v>
      </c>
      <c r="M1" s="123" t="s">
        <v>10</v>
      </c>
      <c r="N1" s="124" t="s">
        <v>181</v>
      </c>
    </row>
    <row r="2" customFormat="false" ht="15.75" hidden="false" customHeight="true" outlineLevel="0" collapsed="false">
      <c r="A2" s="196" t="s">
        <v>515</v>
      </c>
      <c r="B2" s="146"/>
      <c r="C2" s="172" t="n">
        <v>3294</v>
      </c>
      <c r="D2" s="172" t="n">
        <v>3735</v>
      </c>
      <c r="E2" s="172" t="n">
        <v>3442</v>
      </c>
      <c r="F2" s="172" t="n">
        <v>4979</v>
      </c>
      <c r="G2" s="172" t="n">
        <v>3222</v>
      </c>
      <c r="H2" s="172" t="n">
        <v>5053</v>
      </c>
      <c r="I2" s="172" t="n">
        <v>4906</v>
      </c>
      <c r="J2" s="172" t="n">
        <v>6808</v>
      </c>
      <c r="K2" s="173" t="n">
        <v>1808</v>
      </c>
      <c r="L2" s="173" t="n">
        <v>7225</v>
      </c>
      <c r="M2" s="173" t="n">
        <v>2840</v>
      </c>
      <c r="N2" s="173" t="n">
        <v>8638</v>
      </c>
    </row>
    <row r="3" customFormat="false" ht="15.75" hidden="false" customHeight="true" outlineLevel="0" collapsed="false">
      <c r="A3" s="78" t="s">
        <v>28</v>
      </c>
      <c r="B3" s="147" t="s">
        <v>128</v>
      </c>
      <c r="C3" s="229" t="n">
        <v>3294</v>
      </c>
      <c r="D3" s="229" t="n">
        <v>3735</v>
      </c>
      <c r="E3" s="229" t="n">
        <v>3442</v>
      </c>
      <c r="F3" s="229" t="n">
        <v>4979</v>
      </c>
      <c r="G3" s="229" t="n">
        <v>3222</v>
      </c>
      <c r="H3" s="229" t="n">
        <v>5053</v>
      </c>
      <c r="I3" s="229" t="n">
        <v>4906</v>
      </c>
      <c r="J3" s="229" t="n">
        <v>6808</v>
      </c>
      <c r="K3" s="229" t="n">
        <v>1808</v>
      </c>
      <c r="L3" s="229" t="n">
        <v>7225</v>
      </c>
      <c r="M3" s="229" t="n">
        <v>2840</v>
      </c>
      <c r="N3" s="229" t="n">
        <v>8638</v>
      </c>
    </row>
    <row r="4" customFormat="false" ht="15.75" hidden="false" customHeight="true" outlineLevel="0" collapsed="false">
      <c r="A4" s="78" t="s">
        <v>29</v>
      </c>
      <c r="B4" s="160" t="s">
        <v>516</v>
      </c>
      <c r="C4" s="286" t="n">
        <v>3294</v>
      </c>
      <c r="D4" s="232" t="n">
        <v>3735</v>
      </c>
      <c r="E4" s="232" t="n">
        <v>3442</v>
      </c>
      <c r="F4" s="232" t="s">
        <v>570</v>
      </c>
      <c r="G4" s="232" t="s">
        <v>552</v>
      </c>
      <c r="H4" s="232" t="s">
        <v>571</v>
      </c>
      <c r="I4" s="232" t="s">
        <v>554</v>
      </c>
      <c r="J4" s="232" t="s">
        <v>555</v>
      </c>
      <c r="K4" s="232" t="s">
        <v>556</v>
      </c>
      <c r="L4" s="232" t="s">
        <v>613</v>
      </c>
      <c r="M4" s="232" t="s">
        <v>557</v>
      </c>
      <c r="N4" s="232" t="s">
        <v>614</v>
      </c>
    </row>
    <row r="5" customFormat="false" ht="15.75" hidden="false" customHeight="true" outlineLevel="0" collapsed="false">
      <c r="A5" s="78" t="s">
        <v>30</v>
      </c>
      <c r="B5" s="160" t="s">
        <v>397</v>
      </c>
      <c r="C5" s="232" t="s">
        <v>531</v>
      </c>
      <c r="D5" s="232" t="s">
        <v>532</v>
      </c>
      <c r="E5" s="232" t="s">
        <v>569</v>
      </c>
      <c r="F5" s="232" t="s">
        <v>570</v>
      </c>
      <c r="G5" s="232" t="s">
        <v>552</v>
      </c>
      <c r="H5" s="232" t="s">
        <v>571</v>
      </c>
      <c r="I5" s="232" t="s">
        <v>554</v>
      </c>
      <c r="J5" s="232" t="s">
        <v>555</v>
      </c>
      <c r="K5" s="232" t="s">
        <v>556</v>
      </c>
      <c r="L5" s="232"/>
      <c r="M5" s="232" t="s">
        <v>557</v>
      </c>
      <c r="N5" s="232" t="s">
        <v>541</v>
      </c>
    </row>
    <row r="6" customFormat="false" ht="102" hidden="false" customHeight="true" outlineLevel="0" collapsed="false">
      <c r="A6" s="78" t="s">
        <v>17</v>
      </c>
      <c r="B6" s="160" t="s">
        <v>530</v>
      </c>
      <c r="C6" s="187" t="s">
        <v>531</v>
      </c>
      <c r="D6" s="187" t="s">
        <v>532</v>
      </c>
      <c r="E6" s="187" t="s">
        <v>569</v>
      </c>
      <c r="F6" s="187" t="n">
        <v>4979</v>
      </c>
      <c r="G6" s="187" t="s">
        <v>552</v>
      </c>
      <c r="H6" s="187" t="s">
        <v>571</v>
      </c>
      <c r="I6" s="187" t="n">
        <v>4906</v>
      </c>
      <c r="J6" s="187" t="n">
        <v>6808</v>
      </c>
      <c r="K6" s="232" t="s">
        <v>556</v>
      </c>
      <c r="L6" s="187" t="s">
        <v>540</v>
      </c>
      <c r="M6" s="187" t="s">
        <v>557</v>
      </c>
      <c r="N6" s="187" t="s">
        <v>541</v>
      </c>
    </row>
    <row r="7" customFormat="false" ht="15.75" hidden="false" customHeight="true" outlineLevel="0" collapsed="false">
      <c r="A7" s="78" t="s">
        <v>18</v>
      </c>
      <c r="B7" s="160" t="s">
        <v>403</v>
      </c>
      <c r="C7" s="187" t="n">
        <v>3294</v>
      </c>
      <c r="D7" s="187" t="n">
        <v>3735</v>
      </c>
      <c r="E7" s="187" t="n">
        <v>3442</v>
      </c>
      <c r="F7" s="187" t="n">
        <v>4979</v>
      </c>
      <c r="G7" s="187" t="n">
        <v>3222</v>
      </c>
      <c r="H7" s="187" t="n">
        <v>5053</v>
      </c>
      <c r="I7" s="187" t="n">
        <v>4906</v>
      </c>
      <c r="J7" s="187" t="n">
        <v>6808</v>
      </c>
      <c r="K7" s="232" t="n">
        <v>1808</v>
      </c>
      <c r="L7" s="187" t="n">
        <v>7225</v>
      </c>
      <c r="M7" s="187" t="n">
        <v>2840</v>
      </c>
      <c r="N7" s="187" t="n">
        <v>8638</v>
      </c>
    </row>
    <row r="8" customFormat="false" ht="15.75" hidden="false" customHeight="true" outlineLevel="0" collapsed="false">
      <c r="A8" s="78" t="s">
        <v>31</v>
      </c>
      <c r="B8" s="160" t="s">
        <v>406</v>
      </c>
      <c r="C8" s="281" t="n">
        <v>2971</v>
      </c>
      <c r="D8" s="281" t="n">
        <v>3452</v>
      </c>
      <c r="E8" s="281" t="n">
        <v>3109</v>
      </c>
      <c r="F8" s="281" t="n">
        <v>4350</v>
      </c>
      <c r="G8" s="281" t="n">
        <v>2971</v>
      </c>
      <c r="H8" s="281" t="n">
        <v>4695</v>
      </c>
      <c r="I8" s="281" t="n">
        <v>4557</v>
      </c>
      <c r="J8" s="281" t="n">
        <v>6281</v>
      </c>
      <c r="K8" s="281"/>
      <c r="L8" s="281" t="n">
        <v>6426</v>
      </c>
      <c r="M8" s="281" t="n">
        <v>2483</v>
      </c>
      <c r="N8" s="187"/>
    </row>
    <row r="9" customFormat="false" ht="15.75" hidden="false" customHeight="true" outlineLevel="0" collapsed="false">
      <c r="A9" s="78" t="s">
        <v>19</v>
      </c>
      <c r="B9" s="160" t="s">
        <v>415</v>
      </c>
      <c r="C9" s="187" t="s">
        <v>600</v>
      </c>
      <c r="D9" s="187" t="s">
        <v>601</v>
      </c>
      <c r="E9" s="187" t="s">
        <v>615</v>
      </c>
      <c r="F9" s="187" t="n">
        <v>5241</v>
      </c>
      <c r="G9" s="187" t="n">
        <v>3391</v>
      </c>
      <c r="H9" s="187" t="n">
        <v>5318</v>
      </c>
      <c r="I9" s="187" t="s">
        <v>603</v>
      </c>
      <c r="J9" s="187" t="s">
        <v>604</v>
      </c>
      <c r="K9" s="187" t="s">
        <v>581</v>
      </c>
      <c r="L9" s="281" t="s">
        <v>548</v>
      </c>
      <c r="M9" s="187" t="s">
        <v>616</v>
      </c>
      <c r="N9" s="187"/>
    </row>
    <row r="10" customFormat="false" ht="193.5" hidden="false" customHeight="true" outlineLevel="0" collapsed="false">
      <c r="A10" s="78" t="s">
        <v>20</v>
      </c>
      <c r="B10" s="160" t="s">
        <v>423</v>
      </c>
      <c r="C10" s="232" t="n">
        <v>3294</v>
      </c>
      <c r="D10" s="232" t="n">
        <v>3735</v>
      </c>
      <c r="E10" s="232" t="n">
        <v>3442</v>
      </c>
      <c r="F10" s="232" t="n">
        <v>4979</v>
      </c>
      <c r="G10" s="187" t="s">
        <v>552</v>
      </c>
      <c r="H10" s="187" t="s">
        <v>553</v>
      </c>
      <c r="I10" s="187" t="s">
        <v>554</v>
      </c>
      <c r="J10" s="187" t="s">
        <v>555</v>
      </c>
      <c r="K10" s="187" t="s">
        <v>556</v>
      </c>
      <c r="L10" s="232" t="n">
        <v>7225</v>
      </c>
      <c r="M10" s="187" t="s">
        <v>557</v>
      </c>
      <c r="N10" s="187"/>
    </row>
    <row r="11" customFormat="false" ht="15.75" hidden="false" customHeight="true" outlineLevel="0" collapsed="false">
      <c r="A11" s="78" t="s">
        <v>21</v>
      </c>
      <c r="B11" s="160" t="s">
        <v>424</v>
      </c>
      <c r="C11" s="232" t="s">
        <v>531</v>
      </c>
      <c r="D11" s="187" t="s">
        <v>532</v>
      </c>
      <c r="E11" s="187"/>
      <c r="F11" s="187"/>
      <c r="G11" s="232" t="s">
        <v>552</v>
      </c>
      <c r="H11" s="232" t="s">
        <v>571</v>
      </c>
      <c r="I11" s="232" t="s">
        <v>554</v>
      </c>
      <c r="J11" s="232" t="s">
        <v>555</v>
      </c>
      <c r="K11" s="232" t="s">
        <v>617</v>
      </c>
      <c r="L11" s="232" t="s">
        <v>540</v>
      </c>
      <c r="M11" s="232" t="s">
        <v>557</v>
      </c>
      <c r="N11" s="232" t="s">
        <v>541</v>
      </c>
    </row>
    <row r="12" customFormat="false" ht="15.75" hidden="false" customHeight="true" outlineLevel="0" collapsed="false">
      <c r="A12" s="78" t="s">
        <v>22</v>
      </c>
      <c r="B12" s="160" t="s">
        <v>567</v>
      </c>
      <c r="C12" s="187"/>
      <c r="D12" s="187"/>
      <c r="E12" s="187" t="n">
        <v>3635</v>
      </c>
      <c r="F12" s="187" t="n">
        <v>5255</v>
      </c>
      <c r="G12" s="187" t="n">
        <v>3405</v>
      </c>
      <c r="H12" s="187" t="n">
        <v>5325</v>
      </c>
      <c r="I12" s="187"/>
      <c r="J12" s="187"/>
      <c r="K12" s="187"/>
      <c r="L12" s="187"/>
      <c r="M12" s="187" t="n">
        <v>2995</v>
      </c>
      <c r="N12" s="232" t="n">
        <v>9105</v>
      </c>
    </row>
    <row r="13" customFormat="false" ht="15.75" hidden="false" customHeight="true" outlineLevel="0" collapsed="false">
      <c r="A13" s="78" t="s">
        <v>23</v>
      </c>
      <c r="B13" s="160" t="s">
        <v>568</v>
      </c>
      <c r="C13" s="187" t="s">
        <v>625</v>
      </c>
      <c r="D13" s="187" t="s">
        <v>626</v>
      </c>
      <c r="E13" s="187" t="s">
        <v>627</v>
      </c>
      <c r="F13" s="187" t="s">
        <v>628</v>
      </c>
      <c r="G13" s="187" t="s">
        <v>629</v>
      </c>
      <c r="H13" s="187" t="s">
        <v>630</v>
      </c>
      <c r="I13" s="187" t="s">
        <v>631</v>
      </c>
      <c r="J13" s="187" t="s">
        <v>632</v>
      </c>
      <c r="K13" s="187" t="s">
        <v>633</v>
      </c>
      <c r="L13" s="187" t="s">
        <v>634</v>
      </c>
      <c r="M13" s="281" t="s">
        <v>618</v>
      </c>
      <c r="N13" s="187"/>
    </row>
    <row r="14" customFormat="false" ht="15.75" hidden="false" customHeight="true" outlineLevel="0" collapsed="false">
      <c r="A14" s="78" t="s">
        <v>24</v>
      </c>
      <c r="B14" s="160" t="s">
        <v>429</v>
      </c>
      <c r="C14" s="187"/>
      <c r="D14" s="187"/>
      <c r="E14" s="187"/>
      <c r="F14" s="187"/>
      <c r="G14" s="187"/>
      <c r="H14" s="187"/>
      <c r="I14" s="187"/>
      <c r="J14" s="187"/>
      <c r="K14" s="232" t="s">
        <v>619</v>
      </c>
      <c r="L14" s="232"/>
      <c r="M14" s="232" t="s">
        <v>620</v>
      </c>
      <c r="N14" s="187"/>
    </row>
    <row r="15" customFormat="false" ht="15.75" hidden="false" customHeight="true" outlineLevel="0" collapsed="false">
      <c r="A15" s="78" t="s">
        <v>35</v>
      </c>
      <c r="B15" s="147" t="s">
        <v>432</v>
      </c>
      <c r="C15" s="232" t="n">
        <v>3294</v>
      </c>
      <c r="D15" s="232" t="n">
        <v>3735</v>
      </c>
      <c r="E15" s="232" t="n">
        <v>3442</v>
      </c>
      <c r="F15" s="232" t="n">
        <v>4979</v>
      </c>
      <c r="G15" s="232" t="n">
        <v>3222</v>
      </c>
      <c r="H15" s="232" t="n">
        <v>5053</v>
      </c>
      <c r="I15" s="232" t="n">
        <v>4906</v>
      </c>
      <c r="J15" s="232" t="n">
        <v>6808</v>
      </c>
      <c r="K15" s="232" t="n">
        <v>1808</v>
      </c>
      <c r="L15" s="232" t="n">
        <v>7225</v>
      </c>
      <c r="M15" s="232" t="n">
        <v>2840</v>
      </c>
      <c r="N15" s="232" t="n">
        <v>8638</v>
      </c>
    </row>
    <row r="16" customFormat="false" ht="15.75" hidden="false" customHeight="true" outlineLevel="0" collapsed="false">
      <c r="A16" s="78" t="s">
        <v>36</v>
      </c>
      <c r="B16" s="160" t="s">
        <v>434</v>
      </c>
      <c r="C16" s="187" t="s">
        <v>574</v>
      </c>
      <c r="D16" s="187" t="s">
        <v>575</v>
      </c>
      <c r="E16" s="187" t="s">
        <v>576</v>
      </c>
      <c r="F16" s="187" t="s">
        <v>394</v>
      </c>
      <c r="G16" s="187" t="s">
        <v>577</v>
      </c>
      <c r="H16" s="187" t="s">
        <v>578</v>
      </c>
      <c r="I16" s="187" t="s">
        <v>579</v>
      </c>
      <c r="J16" s="187" t="s">
        <v>580</v>
      </c>
      <c r="K16" s="187" t="s">
        <v>581</v>
      </c>
      <c r="L16" s="187"/>
      <c r="M16" s="187" t="s">
        <v>582</v>
      </c>
      <c r="N16" s="187" t="s">
        <v>583</v>
      </c>
    </row>
    <row r="17" customFormat="false" ht="15.75" hidden="false" customHeight="true" outlineLevel="0" collapsed="false">
      <c r="A17" s="78" t="s">
        <v>442</v>
      </c>
      <c r="B17" s="160" t="s">
        <v>443</v>
      </c>
      <c r="C17" s="187" t="n">
        <v>3294</v>
      </c>
      <c r="D17" s="187" t="n">
        <v>3735</v>
      </c>
      <c r="E17" s="187" t="n">
        <v>3442</v>
      </c>
      <c r="F17" s="287" t="n">
        <v>4979</v>
      </c>
      <c r="G17" s="187"/>
      <c r="H17" s="232" t="n">
        <v>5053</v>
      </c>
      <c r="I17" s="187" t="n">
        <v>4.906</v>
      </c>
      <c r="J17" s="187" t="n">
        <v>6808</v>
      </c>
      <c r="K17" s="187" t="n">
        <v>1808</v>
      </c>
      <c r="L17" s="187"/>
      <c r="M17" s="187" t="n">
        <v>2840</v>
      </c>
      <c r="N17" s="187" t="n">
        <v>8638</v>
      </c>
    </row>
    <row r="18" customFormat="false" ht="15.75" hidden="false" customHeight="true" outlineLevel="0" collapsed="false">
      <c r="A18" s="78" t="s">
        <v>176</v>
      </c>
      <c r="B18" s="160" t="s">
        <v>450</v>
      </c>
      <c r="C18" s="187"/>
      <c r="D18" s="187"/>
      <c r="E18" s="187"/>
      <c r="F18" s="187"/>
      <c r="G18" s="187"/>
      <c r="H18" s="187"/>
      <c r="I18" s="187"/>
      <c r="J18" s="187"/>
      <c r="K18" s="187"/>
      <c r="L18" s="187"/>
      <c r="M18" s="281" t="n">
        <v>2750</v>
      </c>
      <c r="N18" s="187"/>
    </row>
    <row r="19" customFormat="false" ht="15.75" hidden="false" customHeight="true" outlineLevel="0" collapsed="false">
      <c r="A19" s="78" t="s">
        <v>451</v>
      </c>
      <c r="B19" s="160" t="s">
        <v>452</v>
      </c>
      <c r="C19" s="281" t="n">
        <v>2970</v>
      </c>
      <c r="D19" s="281" t="n">
        <v>3450</v>
      </c>
      <c r="E19" s="281" t="s">
        <v>584</v>
      </c>
      <c r="F19" s="281" t="s">
        <v>520</v>
      </c>
      <c r="G19" s="281" t="s">
        <v>517</v>
      </c>
      <c r="H19" s="281" t="s">
        <v>521</v>
      </c>
      <c r="I19" s="281"/>
      <c r="J19" s="281"/>
      <c r="K19" s="281" t="s">
        <v>524</v>
      </c>
      <c r="L19" s="281" t="s">
        <v>585</v>
      </c>
      <c r="M19" s="232" t="s">
        <v>557</v>
      </c>
      <c r="N19" s="281" t="n">
        <v>7730</v>
      </c>
    </row>
    <row r="20" customFormat="false" ht="15.75" hidden="false" customHeight="true" outlineLevel="0" collapsed="false">
      <c r="A20" s="280"/>
      <c r="B20" s="147"/>
      <c r="C20" s="187"/>
      <c r="D20" s="187"/>
      <c r="E20" s="187"/>
      <c r="F20" s="187"/>
      <c r="G20" s="187"/>
      <c r="H20" s="187"/>
      <c r="I20" s="187"/>
      <c r="J20" s="187"/>
      <c r="K20" s="187"/>
      <c r="L20" s="187"/>
      <c r="M20" s="187"/>
      <c r="N20" s="187"/>
    </row>
    <row r="21" customFormat="false" ht="15.75" hidden="false" customHeight="true" outlineLevel="0" collapsed="false">
      <c r="A21" s="78" t="s">
        <v>37</v>
      </c>
      <c r="B21" s="160" t="s">
        <v>586</v>
      </c>
      <c r="C21" s="187" t="s">
        <v>587</v>
      </c>
      <c r="D21" s="187" t="s">
        <v>588</v>
      </c>
      <c r="E21" s="187" t="s">
        <v>635</v>
      </c>
      <c r="F21" s="187" t="s">
        <v>636</v>
      </c>
      <c r="G21" s="187"/>
      <c r="H21" s="187"/>
      <c r="I21" s="187"/>
      <c r="J21" s="187"/>
      <c r="K21" s="187" t="s">
        <v>589</v>
      </c>
      <c r="L21" s="187"/>
      <c r="M21" s="187"/>
      <c r="N21" s="187" t="s">
        <v>637</v>
      </c>
    </row>
    <row r="22" customFormat="false" ht="15.75" hidden="false" customHeight="true" outlineLevel="0" collapsed="false">
      <c r="A22" s="78" t="s">
        <v>464</v>
      </c>
      <c r="B22" s="160" t="s">
        <v>465</v>
      </c>
      <c r="C22" s="281" t="n">
        <v>2971</v>
      </c>
      <c r="D22" s="281" t="n">
        <v>3452</v>
      </c>
      <c r="E22" s="281" t="n">
        <v>3.109</v>
      </c>
      <c r="F22" s="281" t="n">
        <v>4.35</v>
      </c>
      <c r="G22" s="187"/>
      <c r="H22" s="187"/>
      <c r="I22" s="281" t="n">
        <v>4557</v>
      </c>
      <c r="J22" s="281" t="n">
        <v>6281</v>
      </c>
      <c r="K22" s="281" t="n">
        <v>1.608</v>
      </c>
      <c r="L22" s="281" t="n">
        <v>6426</v>
      </c>
      <c r="M22" s="281" t="n">
        <v>2483</v>
      </c>
      <c r="N22" s="281" t="n">
        <v>7730</v>
      </c>
    </row>
    <row r="23" customFormat="false" ht="15.75" hidden="false" customHeight="true" outlineLevel="0" collapsed="false">
      <c r="A23" s="78" t="s">
        <v>25</v>
      </c>
      <c r="B23" s="160" t="s">
        <v>593</v>
      </c>
      <c r="C23" s="187" t="s">
        <v>621</v>
      </c>
      <c r="D23" s="187" t="s">
        <v>622</v>
      </c>
      <c r="E23" s="187" t="s">
        <v>569</v>
      </c>
      <c r="F23" s="187" t="s">
        <v>570</v>
      </c>
      <c r="G23" s="187"/>
      <c r="H23" s="187"/>
      <c r="I23" s="187"/>
      <c r="J23" s="187"/>
      <c r="K23" s="232" t="n">
        <v>1808</v>
      </c>
      <c r="L23" s="187"/>
      <c r="M23" s="187"/>
      <c r="N23" s="187"/>
    </row>
    <row r="24" customFormat="false" ht="15.75" hidden="false" customHeight="true" outlineLevel="0" collapsed="false">
      <c r="A24" s="78" t="s">
        <v>123</v>
      </c>
      <c r="B24" s="160" t="s">
        <v>488</v>
      </c>
      <c r="C24" s="187"/>
      <c r="D24" s="187"/>
      <c r="E24" s="187" t="n">
        <v>1</v>
      </c>
      <c r="F24" s="187" t="n">
        <v>1</v>
      </c>
      <c r="G24" s="187"/>
      <c r="H24" s="187"/>
      <c r="I24" s="187"/>
      <c r="J24" s="187"/>
      <c r="K24" s="187"/>
      <c r="L24" s="187"/>
      <c r="M24" s="187"/>
      <c r="N24" s="187"/>
    </row>
    <row r="25" customFormat="false" ht="15.75" hidden="false" customHeight="true" outlineLevel="0" collapsed="false">
      <c r="A25" s="78" t="s">
        <v>124</v>
      </c>
      <c r="B25" s="160" t="s">
        <v>599</v>
      </c>
      <c r="C25" s="232" t="s">
        <v>531</v>
      </c>
      <c r="D25" s="232" t="s">
        <v>532</v>
      </c>
      <c r="E25" s="232" t="s">
        <v>569</v>
      </c>
      <c r="F25" s="232" t="s">
        <v>570</v>
      </c>
      <c r="G25" s="187"/>
      <c r="H25" s="187"/>
      <c r="I25" s="187"/>
      <c r="J25" s="187"/>
      <c r="K25" s="187"/>
      <c r="L25" s="187"/>
      <c r="M25" s="187"/>
      <c r="N25" s="187"/>
    </row>
    <row r="26" customFormat="false" ht="15.75" hidden="false" customHeight="true" outlineLevel="0" collapsed="false">
      <c r="A26" s="78" t="s">
        <v>38</v>
      </c>
      <c r="B26" s="147" t="s">
        <v>494</v>
      </c>
      <c r="C26" s="187"/>
      <c r="D26" s="187"/>
      <c r="E26" s="281" t="n">
        <v>2548</v>
      </c>
      <c r="F26" s="281" t="n">
        <v>4056</v>
      </c>
      <c r="G26" s="187"/>
      <c r="H26" s="187"/>
      <c r="I26" s="281" t="n">
        <v>4082</v>
      </c>
      <c r="J26" s="281" t="n">
        <v>5174</v>
      </c>
      <c r="K26" s="281" t="n">
        <v>1586</v>
      </c>
      <c r="L26" s="187"/>
      <c r="M26" s="281" t="n">
        <v>2496</v>
      </c>
      <c r="N26" s="281" t="n">
        <v>6448</v>
      </c>
    </row>
    <row r="27" customFormat="false" ht="15.75" hidden="false" customHeight="true" outlineLevel="0" collapsed="false">
      <c r="A27" s="78" t="s">
        <v>39</v>
      </c>
      <c r="B27" s="147" t="s">
        <v>173</v>
      </c>
      <c r="C27" s="187" t="n">
        <v>3294</v>
      </c>
      <c r="D27" s="187" t="n">
        <v>3735</v>
      </c>
      <c r="E27" s="187" t="n">
        <v>3442</v>
      </c>
      <c r="F27" s="187" t="n">
        <v>4979</v>
      </c>
      <c r="G27" s="187" t="n">
        <v>3222</v>
      </c>
      <c r="H27" s="187" t="n">
        <v>5053</v>
      </c>
      <c r="I27" s="187" t="n">
        <v>4906</v>
      </c>
      <c r="J27" s="187" t="n">
        <v>6808</v>
      </c>
      <c r="K27" s="187" t="n">
        <v>1808</v>
      </c>
      <c r="L27" s="187"/>
      <c r="M27" s="187" t="n">
        <v>2840</v>
      </c>
      <c r="N27" s="187" t="n">
        <v>8638</v>
      </c>
    </row>
    <row r="28" customFormat="false" ht="15.75" hidden="false" customHeight="true" outlineLevel="0" collapsed="false">
      <c r="A28" s="78" t="s">
        <v>40</v>
      </c>
      <c r="B28" s="147" t="s">
        <v>506</v>
      </c>
      <c r="C28" s="187" t="s">
        <v>600</v>
      </c>
      <c r="D28" s="187" t="s">
        <v>601</v>
      </c>
      <c r="E28" s="232" t="s">
        <v>615</v>
      </c>
      <c r="F28" s="232" t="s">
        <v>623</v>
      </c>
      <c r="G28" s="187"/>
      <c r="H28" s="187"/>
      <c r="I28" s="187" t="s">
        <v>603</v>
      </c>
      <c r="J28" s="187" t="s">
        <v>604</v>
      </c>
      <c r="K28" s="187" t="s">
        <v>581</v>
      </c>
      <c r="L28" s="187"/>
      <c r="M28" s="187" t="s">
        <v>582</v>
      </c>
      <c r="N28" s="232" t="s">
        <v>624</v>
      </c>
    </row>
    <row r="29" customFormat="false" ht="15.75" hidden="false" customHeight="true" outlineLevel="0" collapsed="false">
      <c r="A29" s="74"/>
      <c r="B29" s="146"/>
      <c r="C29" s="76"/>
      <c r="D29" s="76"/>
      <c r="E29" s="76"/>
      <c r="F29" s="76"/>
      <c r="G29" s="76"/>
      <c r="H29" s="76"/>
      <c r="I29" s="76"/>
      <c r="J29" s="76"/>
      <c r="K29" s="76"/>
      <c r="L29" s="76"/>
      <c r="M29" s="76"/>
      <c r="N29" s="76"/>
    </row>
    <row r="30" customFormat="false" ht="15.75" hidden="false" customHeight="true" outlineLevel="0" collapsed="false">
      <c r="A30" s="74"/>
      <c r="B30" s="146"/>
      <c r="C30" s="76"/>
      <c r="D30" s="76"/>
      <c r="E30" s="76"/>
      <c r="F30" s="76"/>
      <c r="G30" s="76"/>
      <c r="H30" s="76"/>
      <c r="I30" s="76"/>
      <c r="J30" s="76"/>
      <c r="K30" s="76"/>
      <c r="L30" s="76"/>
      <c r="M30" s="76"/>
      <c r="N30" s="76"/>
    </row>
    <row r="31" customFormat="false" ht="15.75" hidden="false" customHeight="true" outlineLevel="0" collapsed="false">
      <c r="A31" s="74"/>
      <c r="B31" s="146"/>
      <c r="C31" s="76"/>
      <c r="D31" s="76"/>
      <c r="E31" s="76"/>
      <c r="F31" s="76"/>
      <c r="G31" s="76"/>
      <c r="H31" s="76"/>
      <c r="I31" s="76"/>
      <c r="J31" s="76"/>
      <c r="K31" s="76"/>
      <c r="L31" s="76"/>
      <c r="M31" s="76"/>
      <c r="N31" s="76"/>
    </row>
    <row r="32" customFormat="false" ht="15.75" hidden="false" customHeight="true" outlineLevel="0" collapsed="false">
      <c r="A32" s="74"/>
      <c r="B32" s="146"/>
      <c r="C32" s="76"/>
      <c r="D32" s="76"/>
      <c r="E32" s="76"/>
      <c r="F32" s="76"/>
      <c r="G32" s="76"/>
      <c r="H32" s="76"/>
      <c r="I32" s="76"/>
      <c r="J32" s="76"/>
      <c r="K32" s="76"/>
      <c r="L32" s="76"/>
      <c r="M32" s="76"/>
      <c r="N32" s="76"/>
    </row>
    <row r="33" customFormat="false" ht="15.75" hidden="false" customHeight="true" outlineLevel="0" collapsed="false">
      <c r="A33" s="74"/>
      <c r="B33" s="146"/>
      <c r="C33" s="76"/>
      <c r="D33" s="76"/>
      <c r="E33" s="76"/>
      <c r="F33" s="76"/>
      <c r="G33" s="76"/>
      <c r="H33" s="76"/>
      <c r="I33" s="76"/>
      <c r="J33" s="76"/>
      <c r="K33" s="76"/>
      <c r="L33" s="76"/>
      <c r="M33" s="76"/>
      <c r="N33" s="76"/>
    </row>
    <row r="34" customFormat="false" ht="15.75" hidden="false" customHeight="true" outlineLevel="0" collapsed="false">
      <c r="A34" s="74"/>
      <c r="B34" s="146"/>
      <c r="C34" s="76"/>
      <c r="D34" s="76"/>
      <c r="E34" s="76"/>
      <c r="F34" s="76"/>
      <c r="G34" s="76"/>
      <c r="H34" s="76"/>
      <c r="I34" s="76"/>
      <c r="J34" s="76"/>
      <c r="K34" s="76"/>
      <c r="L34" s="76"/>
      <c r="M34" s="76"/>
      <c r="N34" s="76"/>
    </row>
    <row r="35" customFormat="false" ht="15.75" hidden="false" customHeight="true" outlineLevel="0" collapsed="false">
      <c r="A35" s="74"/>
      <c r="B35" s="146"/>
      <c r="C35" s="76"/>
      <c r="D35" s="76"/>
      <c r="E35" s="76"/>
      <c r="F35" s="76"/>
      <c r="G35" s="76"/>
      <c r="H35" s="76"/>
      <c r="I35" s="76"/>
      <c r="J35" s="76"/>
      <c r="K35" s="76"/>
      <c r="L35" s="76"/>
      <c r="M35" s="76"/>
      <c r="N35" s="76"/>
    </row>
    <row r="36" customFormat="false" ht="15.75" hidden="false" customHeight="true" outlineLevel="0" collapsed="false">
      <c r="A36" s="74"/>
      <c r="B36" s="146"/>
      <c r="C36" s="76"/>
      <c r="D36" s="76"/>
      <c r="E36" s="76"/>
      <c r="F36" s="76"/>
      <c r="G36" s="76"/>
      <c r="H36" s="76"/>
      <c r="I36" s="76"/>
      <c r="J36" s="76"/>
      <c r="K36" s="76"/>
      <c r="L36" s="76"/>
      <c r="M36" s="76"/>
      <c r="N36" s="76"/>
    </row>
    <row r="37" customFormat="false" ht="15.75" hidden="false" customHeight="true" outlineLevel="0" collapsed="false">
      <c r="A37" s="74"/>
      <c r="B37" s="146"/>
      <c r="C37" s="76"/>
      <c r="D37" s="76"/>
      <c r="E37" s="76"/>
      <c r="F37" s="76"/>
      <c r="G37" s="76"/>
      <c r="H37" s="76"/>
      <c r="I37" s="76"/>
      <c r="J37" s="76"/>
      <c r="K37" s="76"/>
      <c r="L37" s="76"/>
      <c r="M37" s="76"/>
      <c r="N37" s="76"/>
    </row>
    <row r="38" customFormat="false" ht="15.75" hidden="false" customHeight="true" outlineLevel="0" collapsed="false">
      <c r="A38" s="74"/>
      <c r="B38" s="146"/>
      <c r="C38" s="76"/>
      <c r="D38" s="76"/>
      <c r="E38" s="76"/>
      <c r="F38" s="76"/>
      <c r="G38" s="76"/>
      <c r="H38" s="76"/>
      <c r="I38" s="76"/>
      <c r="J38" s="76"/>
      <c r="K38" s="76"/>
      <c r="L38" s="76"/>
      <c r="M38" s="76"/>
      <c r="N38" s="76"/>
    </row>
    <row r="39" customFormat="false" ht="15.75" hidden="false" customHeight="true" outlineLevel="0" collapsed="false">
      <c r="A39" s="74"/>
      <c r="B39" s="146"/>
      <c r="C39" s="76"/>
      <c r="D39" s="76"/>
      <c r="E39" s="76"/>
      <c r="F39" s="76"/>
      <c r="G39" s="76"/>
      <c r="H39" s="76"/>
      <c r="I39" s="76"/>
      <c r="J39" s="76"/>
      <c r="K39" s="76"/>
      <c r="L39" s="76"/>
      <c r="M39" s="76"/>
      <c r="N39" s="76"/>
    </row>
    <row r="40" customFormat="false" ht="15.75" hidden="false" customHeight="true" outlineLevel="0" collapsed="false">
      <c r="A40" s="74"/>
      <c r="B40" s="146"/>
      <c r="C40" s="76"/>
      <c r="D40" s="76"/>
      <c r="E40" s="76"/>
      <c r="F40" s="76"/>
      <c r="G40" s="76"/>
      <c r="H40" s="76"/>
      <c r="I40" s="76"/>
      <c r="J40" s="76"/>
      <c r="K40" s="76"/>
      <c r="L40" s="76"/>
      <c r="M40" s="76"/>
      <c r="N40" s="76"/>
    </row>
    <row r="41" customFormat="false" ht="15.75" hidden="false" customHeight="true" outlineLevel="0" collapsed="false">
      <c r="A41" s="74"/>
      <c r="B41" s="146"/>
      <c r="C41" s="76"/>
      <c r="D41" s="76"/>
      <c r="E41" s="76"/>
      <c r="F41" s="76"/>
      <c r="G41" s="76"/>
      <c r="H41" s="76"/>
      <c r="I41" s="76"/>
      <c r="J41" s="76"/>
      <c r="K41" s="76"/>
      <c r="L41" s="76"/>
      <c r="M41" s="76"/>
      <c r="N41" s="76"/>
    </row>
    <row r="42" customFormat="false" ht="15.75" hidden="false" customHeight="true" outlineLevel="0" collapsed="false">
      <c r="A42" s="74"/>
      <c r="B42" s="146"/>
      <c r="C42" s="76"/>
      <c r="D42" s="76"/>
      <c r="E42" s="76"/>
      <c r="F42" s="76"/>
      <c r="G42" s="76"/>
      <c r="H42" s="76"/>
      <c r="I42" s="76"/>
      <c r="J42" s="76"/>
      <c r="K42" s="76"/>
      <c r="L42" s="76"/>
      <c r="M42" s="76"/>
      <c r="N42" s="76"/>
    </row>
    <row r="43" customFormat="false" ht="15.75" hidden="false" customHeight="true" outlineLevel="0" collapsed="false">
      <c r="A43" s="74"/>
      <c r="B43" s="146"/>
      <c r="C43" s="76"/>
      <c r="D43" s="76"/>
      <c r="E43" s="76"/>
      <c r="F43" s="76"/>
      <c r="G43" s="76"/>
      <c r="H43" s="76"/>
      <c r="I43" s="76"/>
      <c r="J43" s="76"/>
      <c r="K43" s="76"/>
      <c r="L43" s="76"/>
      <c r="M43" s="76"/>
      <c r="N43" s="76"/>
    </row>
    <row r="44" customFormat="false" ht="15.75" hidden="false" customHeight="true" outlineLevel="0" collapsed="false">
      <c r="A44" s="74"/>
      <c r="B44" s="146"/>
      <c r="C44" s="76"/>
      <c r="D44" s="76"/>
      <c r="E44" s="76"/>
      <c r="F44" s="76"/>
      <c r="G44" s="76"/>
      <c r="H44" s="76"/>
      <c r="I44" s="76"/>
      <c r="J44" s="76"/>
      <c r="K44" s="76"/>
      <c r="L44" s="76"/>
      <c r="M44" s="76"/>
      <c r="N44" s="76"/>
    </row>
    <row r="45" customFormat="false" ht="15.75" hidden="false" customHeight="true" outlineLevel="0" collapsed="false">
      <c r="A45" s="74"/>
      <c r="B45" s="146"/>
      <c r="C45" s="76"/>
      <c r="D45" s="76"/>
      <c r="E45" s="76"/>
      <c r="F45" s="76"/>
      <c r="G45" s="76"/>
      <c r="H45" s="76"/>
      <c r="I45" s="76"/>
      <c r="J45" s="76"/>
      <c r="K45" s="76"/>
      <c r="L45" s="76"/>
      <c r="M45" s="76"/>
      <c r="N45" s="76"/>
    </row>
    <row r="46" customFormat="false" ht="15.75" hidden="false" customHeight="true" outlineLevel="0" collapsed="false">
      <c r="A46" s="74"/>
      <c r="B46" s="146"/>
      <c r="C46" s="76"/>
      <c r="D46" s="76"/>
      <c r="E46" s="76"/>
      <c r="F46" s="76"/>
      <c r="G46" s="76"/>
      <c r="H46" s="76"/>
      <c r="I46" s="76"/>
      <c r="J46" s="76"/>
      <c r="K46" s="76"/>
      <c r="L46" s="76"/>
      <c r="M46" s="76"/>
      <c r="N46" s="76"/>
    </row>
    <row r="47" customFormat="false" ht="15.75" hidden="false" customHeight="true" outlineLevel="0" collapsed="false">
      <c r="A47" s="74"/>
      <c r="B47" s="146"/>
      <c r="C47" s="76"/>
      <c r="D47" s="76"/>
      <c r="E47" s="76"/>
      <c r="F47" s="76"/>
      <c r="G47" s="76"/>
      <c r="H47" s="76"/>
      <c r="I47" s="76"/>
      <c r="J47" s="76"/>
      <c r="K47" s="76"/>
      <c r="L47" s="76"/>
      <c r="M47" s="76"/>
      <c r="N47" s="76"/>
    </row>
    <row r="48" customFormat="false" ht="15.75" hidden="false" customHeight="true" outlineLevel="0" collapsed="false">
      <c r="A48" s="74"/>
      <c r="B48" s="146"/>
      <c r="C48" s="76"/>
      <c r="D48" s="76"/>
      <c r="E48" s="76"/>
      <c r="F48" s="76"/>
      <c r="G48" s="76"/>
      <c r="H48" s="76"/>
      <c r="I48" s="76"/>
      <c r="J48" s="76"/>
      <c r="K48" s="76"/>
      <c r="L48" s="76"/>
      <c r="M48" s="76"/>
      <c r="N48" s="76"/>
    </row>
    <row r="49" customFormat="false" ht="15.75" hidden="false" customHeight="true" outlineLevel="0" collapsed="false">
      <c r="A49" s="74"/>
      <c r="B49" s="146"/>
      <c r="C49" s="76"/>
      <c r="D49" s="76"/>
      <c r="E49" s="76"/>
      <c r="F49" s="76"/>
      <c r="G49" s="76"/>
      <c r="H49" s="76"/>
      <c r="I49" s="76"/>
      <c r="J49" s="76"/>
      <c r="K49" s="76"/>
      <c r="L49" s="76"/>
      <c r="M49" s="76"/>
      <c r="N49" s="76"/>
    </row>
    <row r="50" customFormat="false" ht="15.75" hidden="false" customHeight="true" outlineLevel="0" collapsed="false">
      <c r="A50" s="74"/>
      <c r="B50" s="146"/>
      <c r="C50" s="76"/>
      <c r="D50" s="76"/>
      <c r="E50" s="76"/>
      <c r="F50" s="76"/>
      <c r="G50" s="76"/>
      <c r="H50" s="76"/>
      <c r="I50" s="76"/>
      <c r="J50" s="76"/>
      <c r="K50" s="76"/>
      <c r="L50" s="76"/>
      <c r="M50" s="76"/>
      <c r="N50" s="76"/>
    </row>
    <row r="51" customFormat="false" ht="15.75" hidden="false" customHeight="true" outlineLevel="0" collapsed="false">
      <c r="A51" s="74"/>
      <c r="B51" s="146"/>
      <c r="C51" s="76"/>
      <c r="D51" s="76"/>
      <c r="E51" s="76"/>
      <c r="F51" s="76"/>
      <c r="G51" s="76"/>
      <c r="H51" s="76"/>
      <c r="I51" s="76"/>
      <c r="J51" s="76"/>
      <c r="K51" s="76"/>
      <c r="L51" s="76"/>
      <c r="M51" s="76"/>
      <c r="N51" s="76"/>
    </row>
    <row r="52" customFormat="false" ht="15.75" hidden="false" customHeight="true" outlineLevel="0" collapsed="false">
      <c r="A52" s="74"/>
      <c r="B52" s="146"/>
      <c r="C52" s="76"/>
      <c r="D52" s="76"/>
      <c r="E52" s="76"/>
      <c r="F52" s="76"/>
      <c r="G52" s="76"/>
      <c r="H52" s="76"/>
      <c r="I52" s="76"/>
      <c r="J52" s="76"/>
      <c r="K52" s="76"/>
      <c r="L52" s="76"/>
      <c r="M52" s="76"/>
      <c r="N52" s="76"/>
    </row>
    <row r="53" customFormat="false" ht="15.75" hidden="false" customHeight="true" outlineLevel="0" collapsed="false">
      <c r="A53" s="74"/>
      <c r="B53" s="146"/>
      <c r="C53" s="76"/>
      <c r="D53" s="76"/>
      <c r="E53" s="76"/>
      <c r="F53" s="76"/>
      <c r="G53" s="76"/>
      <c r="H53" s="76"/>
      <c r="I53" s="76"/>
      <c r="J53" s="76"/>
      <c r="K53" s="76"/>
      <c r="L53" s="76"/>
      <c r="M53" s="76"/>
      <c r="N53" s="76"/>
    </row>
    <row r="54" customFormat="false" ht="15.75" hidden="false" customHeight="true" outlineLevel="0" collapsed="false">
      <c r="A54" s="74"/>
      <c r="B54" s="146"/>
      <c r="C54" s="76"/>
      <c r="D54" s="76"/>
      <c r="E54" s="76"/>
      <c r="F54" s="76"/>
      <c r="G54" s="76"/>
      <c r="H54" s="76"/>
      <c r="I54" s="76"/>
      <c r="J54" s="76"/>
      <c r="K54" s="76"/>
      <c r="L54" s="76"/>
      <c r="M54" s="76"/>
      <c r="N54" s="76"/>
    </row>
    <row r="55" customFormat="false" ht="15.75" hidden="false" customHeight="true" outlineLevel="0" collapsed="false">
      <c r="A55" s="74"/>
      <c r="B55" s="146"/>
      <c r="C55" s="76"/>
      <c r="D55" s="76"/>
      <c r="E55" s="76"/>
      <c r="F55" s="76"/>
      <c r="G55" s="76"/>
      <c r="H55" s="76"/>
      <c r="I55" s="76"/>
      <c r="J55" s="76"/>
      <c r="K55" s="76"/>
      <c r="L55" s="76"/>
      <c r="M55" s="76"/>
      <c r="N55" s="76"/>
    </row>
    <row r="56" customFormat="false" ht="15.75" hidden="false" customHeight="true" outlineLevel="0" collapsed="false">
      <c r="A56" s="74"/>
      <c r="B56" s="146"/>
      <c r="C56" s="76"/>
      <c r="D56" s="76"/>
      <c r="E56" s="76"/>
      <c r="F56" s="76"/>
      <c r="G56" s="76"/>
      <c r="H56" s="76"/>
      <c r="I56" s="76"/>
      <c r="J56" s="76"/>
      <c r="K56" s="76"/>
      <c r="L56" s="76"/>
      <c r="M56" s="76"/>
      <c r="N56" s="76"/>
    </row>
    <row r="57" customFormat="false" ht="15.75" hidden="false" customHeight="true" outlineLevel="0" collapsed="false">
      <c r="A57" s="74"/>
      <c r="B57" s="146"/>
      <c r="C57" s="76"/>
      <c r="D57" s="76"/>
      <c r="E57" s="76"/>
      <c r="F57" s="76"/>
      <c r="G57" s="76"/>
      <c r="H57" s="76"/>
      <c r="I57" s="76"/>
      <c r="J57" s="76"/>
      <c r="K57" s="76"/>
      <c r="L57" s="76"/>
      <c r="M57" s="76"/>
      <c r="N57" s="76"/>
    </row>
    <row r="58" customFormat="false" ht="15.75" hidden="false" customHeight="true" outlineLevel="0" collapsed="false">
      <c r="A58" s="74"/>
      <c r="B58" s="146"/>
      <c r="C58" s="76"/>
      <c r="D58" s="76"/>
      <c r="E58" s="76"/>
      <c r="F58" s="76"/>
      <c r="G58" s="76"/>
      <c r="H58" s="76"/>
      <c r="I58" s="76"/>
      <c r="J58" s="76"/>
      <c r="K58" s="76"/>
      <c r="L58" s="76"/>
      <c r="M58" s="76"/>
      <c r="N58" s="76"/>
    </row>
    <row r="59" customFormat="false" ht="15.75" hidden="false" customHeight="true" outlineLevel="0" collapsed="false">
      <c r="A59" s="74"/>
      <c r="B59" s="146"/>
      <c r="C59" s="76"/>
      <c r="D59" s="76"/>
      <c r="E59" s="76"/>
      <c r="F59" s="76"/>
      <c r="G59" s="76"/>
      <c r="H59" s="76"/>
      <c r="I59" s="76"/>
      <c r="J59" s="76"/>
      <c r="K59" s="76"/>
      <c r="L59" s="76"/>
      <c r="M59" s="76"/>
      <c r="N59" s="76"/>
    </row>
    <row r="60" customFormat="false" ht="15.75" hidden="false" customHeight="true" outlineLevel="0" collapsed="false">
      <c r="A60" s="74"/>
      <c r="B60" s="146"/>
      <c r="C60" s="76"/>
      <c r="D60" s="76"/>
      <c r="E60" s="76"/>
      <c r="F60" s="76"/>
      <c r="G60" s="76"/>
      <c r="H60" s="76"/>
      <c r="I60" s="76"/>
      <c r="J60" s="76"/>
      <c r="K60" s="76"/>
      <c r="L60" s="76"/>
      <c r="M60" s="76"/>
      <c r="N60" s="76"/>
    </row>
    <row r="61" customFormat="false" ht="15.75" hidden="false" customHeight="true" outlineLevel="0" collapsed="false">
      <c r="A61" s="74"/>
      <c r="B61" s="146"/>
      <c r="C61" s="76"/>
      <c r="D61" s="76"/>
      <c r="E61" s="76"/>
      <c r="F61" s="76"/>
      <c r="G61" s="76"/>
      <c r="H61" s="76"/>
      <c r="I61" s="76"/>
      <c r="J61" s="76"/>
      <c r="K61" s="76"/>
      <c r="L61" s="76"/>
      <c r="M61" s="76"/>
      <c r="N61" s="76"/>
    </row>
    <row r="62" customFormat="false" ht="15.75" hidden="false" customHeight="true" outlineLevel="0" collapsed="false">
      <c r="A62" s="74"/>
      <c r="B62" s="146"/>
      <c r="C62" s="76"/>
      <c r="D62" s="76"/>
      <c r="E62" s="76"/>
      <c r="F62" s="76"/>
      <c r="G62" s="76"/>
      <c r="H62" s="76"/>
      <c r="I62" s="76"/>
      <c r="J62" s="76"/>
      <c r="K62" s="76"/>
      <c r="L62" s="76"/>
      <c r="M62" s="76"/>
      <c r="N62" s="76"/>
    </row>
    <row r="63" customFormat="false" ht="15.75" hidden="false" customHeight="true" outlineLevel="0" collapsed="false">
      <c r="A63" s="74"/>
      <c r="B63" s="146"/>
      <c r="C63" s="76"/>
      <c r="D63" s="76"/>
      <c r="E63" s="76"/>
      <c r="F63" s="76"/>
      <c r="G63" s="76"/>
      <c r="H63" s="76"/>
      <c r="I63" s="76"/>
      <c r="J63" s="76"/>
      <c r="K63" s="76"/>
      <c r="L63" s="76"/>
      <c r="M63" s="76"/>
      <c r="N63" s="76"/>
    </row>
    <row r="64" customFormat="false" ht="15.75" hidden="false" customHeight="true" outlineLevel="0" collapsed="false">
      <c r="A64" s="74"/>
      <c r="B64" s="146"/>
      <c r="C64" s="76"/>
      <c r="D64" s="76"/>
      <c r="E64" s="76"/>
      <c r="F64" s="76"/>
      <c r="G64" s="76"/>
      <c r="H64" s="76"/>
      <c r="I64" s="76"/>
      <c r="J64" s="76"/>
      <c r="K64" s="76"/>
      <c r="L64" s="76"/>
      <c r="M64" s="76"/>
      <c r="N64" s="76"/>
    </row>
    <row r="65" customFormat="false" ht="15.75" hidden="false" customHeight="true" outlineLevel="0" collapsed="false">
      <c r="A65" s="74"/>
      <c r="B65" s="146"/>
      <c r="C65" s="76"/>
      <c r="D65" s="76"/>
      <c r="E65" s="76"/>
      <c r="F65" s="76"/>
      <c r="G65" s="76"/>
      <c r="H65" s="76"/>
      <c r="I65" s="76"/>
      <c r="J65" s="76"/>
      <c r="K65" s="76"/>
      <c r="L65" s="76"/>
      <c r="M65" s="76"/>
      <c r="N65" s="76"/>
    </row>
    <row r="66" customFormat="false" ht="15.75" hidden="false" customHeight="true" outlineLevel="0" collapsed="false">
      <c r="A66" s="74"/>
      <c r="B66" s="146"/>
      <c r="C66" s="76"/>
      <c r="D66" s="76"/>
      <c r="E66" s="76"/>
      <c r="F66" s="76"/>
      <c r="G66" s="76"/>
      <c r="H66" s="76"/>
      <c r="I66" s="76"/>
      <c r="J66" s="76"/>
      <c r="K66" s="76"/>
      <c r="L66" s="76"/>
      <c r="M66" s="76"/>
      <c r="N66" s="76"/>
    </row>
    <row r="67" customFormat="false" ht="15.75" hidden="false" customHeight="true" outlineLevel="0" collapsed="false">
      <c r="A67" s="74"/>
      <c r="B67" s="146"/>
      <c r="C67" s="76"/>
      <c r="D67" s="76"/>
      <c r="E67" s="76"/>
      <c r="F67" s="76"/>
      <c r="G67" s="76"/>
      <c r="H67" s="76"/>
      <c r="I67" s="76"/>
      <c r="J67" s="76"/>
      <c r="K67" s="76"/>
      <c r="L67" s="76"/>
      <c r="M67" s="76"/>
      <c r="N67" s="76"/>
    </row>
    <row r="68" customFormat="false" ht="15.75" hidden="false" customHeight="true" outlineLevel="0" collapsed="false">
      <c r="A68" s="74"/>
      <c r="B68" s="146"/>
      <c r="C68" s="76"/>
      <c r="D68" s="76"/>
      <c r="E68" s="76"/>
      <c r="F68" s="76"/>
      <c r="G68" s="76"/>
      <c r="H68" s="76"/>
      <c r="I68" s="76"/>
      <c r="J68" s="76"/>
      <c r="K68" s="76"/>
      <c r="L68" s="76"/>
      <c r="M68" s="76"/>
      <c r="N68" s="76"/>
    </row>
    <row r="69" customFormat="false" ht="15.75" hidden="false" customHeight="true" outlineLevel="0" collapsed="false">
      <c r="A69" s="74"/>
      <c r="B69" s="146"/>
      <c r="C69" s="76"/>
      <c r="D69" s="76"/>
      <c r="E69" s="76"/>
      <c r="F69" s="76"/>
      <c r="G69" s="76"/>
      <c r="H69" s="76"/>
      <c r="I69" s="76"/>
      <c r="J69" s="76"/>
      <c r="K69" s="76"/>
      <c r="L69" s="76"/>
      <c r="M69" s="76"/>
      <c r="N69" s="76"/>
    </row>
    <row r="70" customFormat="false" ht="15.75" hidden="false" customHeight="true" outlineLevel="0" collapsed="false">
      <c r="A70" s="74"/>
      <c r="B70" s="146"/>
      <c r="C70" s="76"/>
      <c r="D70" s="76"/>
      <c r="E70" s="76"/>
      <c r="F70" s="76"/>
      <c r="G70" s="76"/>
      <c r="H70" s="76"/>
      <c r="I70" s="76"/>
      <c r="J70" s="76"/>
      <c r="K70" s="76"/>
      <c r="L70" s="76"/>
      <c r="M70" s="76"/>
      <c r="N70" s="76"/>
    </row>
    <row r="71" customFormat="false" ht="15.75" hidden="false" customHeight="true" outlineLevel="0" collapsed="false">
      <c r="A71" s="74"/>
      <c r="B71" s="146"/>
      <c r="C71" s="76"/>
      <c r="D71" s="76"/>
      <c r="E71" s="76"/>
      <c r="F71" s="76"/>
      <c r="G71" s="76"/>
      <c r="H71" s="76"/>
      <c r="I71" s="76"/>
      <c r="J71" s="76"/>
      <c r="K71" s="76"/>
      <c r="L71" s="76"/>
      <c r="M71" s="76"/>
      <c r="N71" s="76"/>
    </row>
    <row r="72" customFormat="false" ht="15.75" hidden="false" customHeight="true" outlineLevel="0" collapsed="false">
      <c r="A72" s="74"/>
      <c r="B72" s="146"/>
      <c r="C72" s="76"/>
      <c r="D72" s="76"/>
      <c r="E72" s="76"/>
      <c r="F72" s="76"/>
      <c r="G72" s="76"/>
      <c r="H72" s="76"/>
      <c r="I72" s="76"/>
      <c r="J72" s="76"/>
      <c r="K72" s="76"/>
      <c r="L72" s="76"/>
      <c r="M72" s="76"/>
      <c r="N72" s="76"/>
    </row>
    <row r="73" customFormat="false" ht="15.75" hidden="false" customHeight="true" outlineLevel="0" collapsed="false">
      <c r="A73" s="74"/>
      <c r="B73" s="146"/>
      <c r="C73" s="76"/>
      <c r="D73" s="76"/>
      <c r="E73" s="76"/>
      <c r="F73" s="76"/>
      <c r="G73" s="76"/>
      <c r="H73" s="76"/>
      <c r="I73" s="76"/>
      <c r="J73" s="76"/>
      <c r="K73" s="76"/>
      <c r="L73" s="76"/>
      <c r="M73" s="76"/>
      <c r="N73" s="76"/>
    </row>
    <row r="74" customFormat="false" ht="15.75" hidden="false" customHeight="true" outlineLevel="0" collapsed="false">
      <c r="A74" s="74"/>
      <c r="B74" s="146"/>
      <c r="C74" s="76"/>
      <c r="D74" s="76"/>
      <c r="E74" s="76"/>
      <c r="F74" s="76"/>
      <c r="G74" s="76"/>
      <c r="H74" s="76"/>
      <c r="I74" s="76"/>
      <c r="J74" s="76"/>
      <c r="K74" s="76"/>
      <c r="L74" s="76"/>
      <c r="M74" s="76"/>
      <c r="N74" s="76"/>
    </row>
    <row r="75" customFormat="false" ht="15.75" hidden="false" customHeight="true" outlineLevel="0" collapsed="false">
      <c r="A75" s="74"/>
      <c r="B75" s="146"/>
      <c r="C75" s="76"/>
      <c r="D75" s="76"/>
      <c r="E75" s="76"/>
      <c r="F75" s="76"/>
      <c r="G75" s="76"/>
      <c r="H75" s="76"/>
      <c r="I75" s="76"/>
      <c r="J75" s="76"/>
      <c r="K75" s="76"/>
      <c r="L75" s="76"/>
      <c r="M75" s="76"/>
      <c r="N75" s="76"/>
    </row>
    <row r="76" customFormat="false" ht="15.75" hidden="false" customHeight="true" outlineLevel="0" collapsed="false">
      <c r="A76" s="74"/>
      <c r="B76" s="146"/>
      <c r="C76" s="76"/>
      <c r="D76" s="76"/>
      <c r="E76" s="76"/>
      <c r="F76" s="76"/>
      <c r="G76" s="76"/>
      <c r="H76" s="76"/>
      <c r="I76" s="76"/>
      <c r="J76" s="76"/>
      <c r="K76" s="76"/>
      <c r="L76" s="76"/>
      <c r="M76" s="76"/>
      <c r="N76" s="76"/>
    </row>
    <row r="77" customFormat="false" ht="15.75" hidden="false" customHeight="true" outlineLevel="0" collapsed="false">
      <c r="A77" s="74"/>
      <c r="B77" s="146"/>
      <c r="C77" s="76"/>
      <c r="D77" s="76"/>
      <c r="E77" s="76"/>
      <c r="F77" s="76"/>
      <c r="G77" s="76"/>
      <c r="H77" s="76"/>
      <c r="I77" s="76"/>
      <c r="J77" s="76"/>
      <c r="K77" s="76"/>
      <c r="L77" s="76"/>
      <c r="M77" s="76"/>
      <c r="N77" s="76"/>
    </row>
    <row r="78" customFormat="false" ht="15.75" hidden="false" customHeight="true" outlineLevel="0" collapsed="false">
      <c r="A78" s="74"/>
      <c r="B78" s="146"/>
      <c r="C78" s="76"/>
      <c r="D78" s="76"/>
      <c r="E78" s="76"/>
      <c r="F78" s="76"/>
      <c r="G78" s="76"/>
      <c r="H78" s="76"/>
      <c r="I78" s="76"/>
      <c r="J78" s="76"/>
      <c r="K78" s="76"/>
      <c r="L78" s="76"/>
      <c r="M78" s="76"/>
      <c r="N78" s="76"/>
    </row>
    <row r="79" customFormat="false" ht="15.75" hidden="false" customHeight="true" outlineLevel="0" collapsed="false">
      <c r="A79" s="74"/>
      <c r="B79" s="146"/>
      <c r="C79" s="76"/>
      <c r="D79" s="76"/>
      <c r="E79" s="76"/>
      <c r="F79" s="76"/>
      <c r="G79" s="76"/>
      <c r="H79" s="76"/>
      <c r="I79" s="76"/>
      <c r="J79" s="76"/>
      <c r="K79" s="76"/>
      <c r="L79" s="76"/>
      <c r="M79" s="76"/>
      <c r="N79" s="76"/>
    </row>
    <row r="80" customFormat="false" ht="15.75" hidden="false" customHeight="true" outlineLevel="0" collapsed="false">
      <c r="A80" s="74"/>
      <c r="B80" s="146"/>
      <c r="C80" s="76"/>
      <c r="D80" s="76"/>
      <c r="E80" s="76"/>
      <c r="F80" s="76"/>
      <c r="G80" s="76"/>
      <c r="H80" s="76"/>
      <c r="I80" s="76"/>
      <c r="J80" s="76"/>
      <c r="K80" s="76"/>
      <c r="L80" s="76"/>
      <c r="M80" s="76"/>
      <c r="N80" s="76"/>
    </row>
    <row r="81" customFormat="false" ht="15.75" hidden="false" customHeight="true" outlineLevel="0" collapsed="false">
      <c r="A81" s="74"/>
      <c r="B81" s="146"/>
      <c r="C81" s="76"/>
      <c r="D81" s="76"/>
      <c r="E81" s="76"/>
      <c r="F81" s="76"/>
      <c r="G81" s="76"/>
      <c r="H81" s="76"/>
      <c r="I81" s="76"/>
      <c r="J81" s="76"/>
      <c r="K81" s="76"/>
      <c r="L81" s="76"/>
      <c r="M81" s="76"/>
      <c r="N81" s="76"/>
    </row>
    <row r="82" customFormat="false" ht="15.75" hidden="false" customHeight="true" outlineLevel="0" collapsed="false">
      <c r="A82" s="74"/>
      <c r="B82" s="146"/>
      <c r="C82" s="76"/>
      <c r="D82" s="76"/>
      <c r="E82" s="76"/>
      <c r="F82" s="76"/>
      <c r="G82" s="76"/>
      <c r="H82" s="76"/>
      <c r="I82" s="76"/>
      <c r="J82" s="76"/>
      <c r="K82" s="76"/>
      <c r="L82" s="76"/>
      <c r="M82" s="76"/>
      <c r="N82" s="76"/>
    </row>
    <row r="83" customFormat="false" ht="15.75" hidden="false" customHeight="true" outlineLevel="0" collapsed="false">
      <c r="A83" s="74"/>
      <c r="B83" s="146"/>
      <c r="C83" s="76"/>
      <c r="D83" s="76"/>
      <c r="E83" s="76"/>
      <c r="F83" s="76"/>
      <c r="G83" s="76"/>
      <c r="H83" s="76"/>
      <c r="I83" s="76"/>
      <c r="J83" s="76"/>
      <c r="K83" s="76"/>
      <c r="L83" s="76"/>
      <c r="M83" s="76"/>
      <c r="N83" s="76"/>
    </row>
    <row r="84" customFormat="false" ht="15.75" hidden="false" customHeight="true" outlineLevel="0" collapsed="false">
      <c r="A84" s="74"/>
      <c r="B84" s="146"/>
      <c r="C84" s="76"/>
      <c r="D84" s="76"/>
      <c r="E84" s="76"/>
      <c r="F84" s="76"/>
      <c r="G84" s="76"/>
      <c r="H84" s="76"/>
      <c r="I84" s="76"/>
      <c r="J84" s="76"/>
      <c r="K84" s="76"/>
      <c r="L84" s="76"/>
      <c r="M84" s="76"/>
      <c r="N84" s="76"/>
    </row>
    <row r="85" customFormat="false" ht="15.75" hidden="false" customHeight="true" outlineLevel="0" collapsed="false">
      <c r="A85" s="74"/>
      <c r="B85" s="146"/>
      <c r="C85" s="76"/>
      <c r="D85" s="76"/>
      <c r="E85" s="76"/>
      <c r="F85" s="76"/>
      <c r="G85" s="76"/>
      <c r="H85" s="76"/>
      <c r="I85" s="76"/>
      <c r="J85" s="76"/>
      <c r="K85" s="76"/>
      <c r="L85" s="76"/>
      <c r="M85" s="76"/>
      <c r="N85" s="76"/>
    </row>
    <row r="86" customFormat="false" ht="15.75" hidden="false" customHeight="true" outlineLevel="0" collapsed="false">
      <c r="A86" s="74"/>
      <c r="B86" s="146"/>
      <c r="C86" s="76"/>
      <c r="D86" s="76"/>
      <c r="E86" s="76"/>
      <c r="F86" s="76"/>
      <c r="G86" s="76"/>
      <c r="H86" s="76"/>
      <c r="I86" s="76"/>
      <c r="J86" s="76"/>
      <c r="K86" s="76"/>
      <c r="L86" s="76"/>
      <c r="M86" s="76"/>
      <c r="N86" s="76"/>
    </row>
    <row r="87" customFormat="false" ht="15.75" hidden="false" customHeight="true" outlineLevel="0" collapsed="false">
      <c r="A87" s="74"/>
      <c r="B87" s="146"/>
      <c r="C87" s="76"/>
      <c r="D87" s="76"/>
      <c r="E87" s="76"/>
      <c r="F87" s="76"/>
      <c r="G87" s="76"/>
      <c r="H87" s="76"/>
      <c r="I87" s="76"/>
      <c r="J87" s="76"/>
      <c r="K87" s="76"/>
      <c r="L87" s="76"/>
      <c r="M87" s="76"/>
      <c r="N87" s="76"/>
    </row>
    <row r="88" customFormat="false" ht="15.75" hidden="false" customHeight="true" outlineLevel="0" collapsed="false">
      <c r="A88" s="74"/>
      <c r="B88" s="146"/>
      <c r="C88" s="76"/>
      <c r="D88" s="76"/>
      <c r="E88" s="76"/>
      <c r="F88" s="76"/>
      <c r="G88" s="76"/>
      <c r="H88" s="76"/>
      <c r="I88" s="76"/>
      <c r="J88" s="76"/>
      <c r="K88" s="76"/>
      <c r="L88" s="76"/>
      <c r="M88" s="76"/>
      <c r="N88" s="76"/>
    </row>
    <row r="89" customFormat="false" ht="15.75" hidden="false" customHeight="true" outlineLevel="0" collapsed="false">
      <c r="A89" s="74"/>
      <c r="B89" s="146"/>
      <c r="C89" s="76"/>
      <c r="D89" s="76"/>
      <c r="E89" s="76"/>
      <c r="F89" s="76"/>
      <c r="G89" s="76"/>
      <c r="H89" s="76"/>
      <c r="I89" s="76"/>
      <c r="J89" s="76"/>
      <c r="K89" s="76"/>
      <c r="L89" s="76"/>
      <c r="M89" s="76"/>
      <c r="N89" s="76"/>
    </row>
    <row r="90" customFormat="false" ht="15.75" hidden="false" customHeight="true" outlineLevel="0" collapsed="false">
      <c r="A90" s="74"/>
      <c r="B90" s="146"/>
      <c r="C90" s="76"/>
      <c r="D90" s="76"/>
      <c r="E90" s="76"/>
      <c r="F90" s="76"/>
      <c r="G90" s="76"/>
      <c r="H90" s="76"/>
      <c r="I90" s="76"/>
      <c r="J90" s="76"/>
      <c r="K90" s="76"/>
      <c r="L90" s="76"/>
      <c r="M90" s="76"/>
      <c r="N90" s="76"/>
    </row>
    <row r="91" customFormat="false" ht="15.75" hidden="false" customHeight="true" outlineLevel="0" collapsed="false">
      <c r="A91" s="74"/>
      <c r="B91" s="146"/>
      <c r="C91" s="76"/>
      <c r="D91" s="76"/>
      <c r="E91" s="76"/>
      <c r="F91" s="76"/>
      <c r="G91" s="76"/>
      <c r="H91" s="76"/>
      <c r="I91" s="76"/>
      <c r="J91" s="76"/>
      <c r="K91" s="76"/>
      <c r="L91" s="76"/>
      <c r="M91" s="76"/>
      <c r="N91" s="76"/>
    </row>
    <row r="92" customFormat="false" ht="15.75" hidden="false" customHeight="true" outlineLevel="0" collapsed="false">
      <c r="A92" s="74"/>
      <c r="B92" s="146"/>
      <c r="C92" s="76"/>
      <c r="D92" s="76"/>
      <c r="E92" s="76"/>
      <c r="F92" s="76"/>
      <c r="G92" s="76"/>
      <c r="H92" s="76"/>
      <c r="I92" s="76"/>
      <c r="J92" s="76"/>
      <c r="K92" s="76"/>
      <c r="L92" s="76"/>
      <c r="M92" s="76"/>
      <c r="N92" s="76"/>
    </row>
    <row r="93" customFormat="false" ht="15.75" hidden="false" customHeight="true" outlineLevel="0" collapsed="false">
      <c r="A93" s="74"/>
      <c r="B93" s="146"/>
      <c r="C93" s="76"/>
      <c r="D93" s="76"/>
      <c r="E93" s="76"/>
      <c r="F93" s="76"/>
      <c r="G93" s="76"/>
      <c r="H93" s="76"/>
      <c r="I93" s="76"/>
      <c r="J93" s="76"/>
      <c r="K93" s="76"/>
      <c r="L93" s="76"/>
      <c r="M93" s="76"/>
      <c r="N93" s="76"/>
    </row>
    <row r="94" customFormat="false" ht="15.75" hidden="false" customHeight="true" outlineLevel="0" collapsed="false">
      <c r="A94" s="74"/>
      <c r="B94" s="146"/>
      <c r="C94" s="76"/>
      <c r="D94" s="76"/>
      <c r="E94" s="76"/>
      <c r="F94" s="76"/>
      <c r="G94" s="76"/>
      <c r="H94" s="76"/>
      <c r="I94" s="76"/>
      <c r="J94" s="76"/>
      <c r="K94" s="76"/>
      <c r="L94" s="76"/>
      <c r="M94" s="76"/>
      <c r="N94" s="76"/>
    </row>
    <row r="95" customFormat="false" ht="15.75" hidden="false" customHeight="true" outlineLevel="0" collapsed="false">
      <c r="A95" s="74"/>
      <c r="B95" s="146"/>
      <c r="C95" s="76"/>
      <c r="D95" s="76"/>
      <c r="E95" s="76"/>
      <c r="F95" s="76"/>
      <c r="G95" s="76"/>
      <c r="H95" s="76"/>
      <c r="I95" s="76"/>
      <c r="J95" s="76"/>
      <c r="K95" s="76"/>
      <c r="L95" s="76"/>
      <c r="M95" s="76"/>
      <c r="N95" s="76"/>
    </row>
    <row r="96" customFormat="false" ht="15.75" hidden="false" customHeight="true" outlineLevel="0" collapsed="false">
      <c r="A96" s="74"/>
      <c r="B96" s="146"/>
      <c r="C96" s="76"/>
      <c r="D96" s="76"/>
      <c r="E96" s="76"/>
      <c r="F96" s="76"/>
      <c r="G96" s="76"/>
      <c r="H96" s="76"/>
      <c r="I96" s="76"/>
      <c r="J96" s="76"/>
      <c r="K96" s="76"/>
      <c r="L96" s="76"/>
      <c r="M96" s="76"/>
      <c r="N96" s="76"/>
    </row>
    <row r="97" customFormat="false" ht="15.75" hidden="false" customHeight="true" outlineLevel="0" collapsed="false">
      <c r="A97" s="74"/>
      <c r="B97" s="146"/>
      <c r="C97" s="76"/>
      <c r="D97" s="76"/>
      <c r="E97" s="76"/>
      <c r="F97" s="76"/>
      <c r="G97" s="76"/>
      <c r="H97" s="76"/>
      <c r="I97" s="76"/>
      <c r="J97" s="76"/>
      <c r="K97" s="76"/>
      <c r="L97" s="76"/>
      <c r="M97" s="76"/>
      <c r="N97" s="76"/>
    </row>
    <row r="98" customFormat="false" ht="15.75" hidden="false" customHeight="true" outlineLevel="0" collapsed="false">
      <c r="A98" s="74"/>
      <c r="B98" s="146"/>
      <c r="C98" s="76"/>
      <c r="D98" s="76"/>
      <c r="E98" s="76"/>
      <c r="F98" s="76"/>
      <c r="G98" s="76"/>
      <c r="H98" s="76"/>
      <c r="I98" s="76"/>
      <c r="J98" s="76"/>
      <c r="K98" s="76"/>
      <c r="L98" s="76"/>
      <c r="M98" s="76"/>
      <c r="N98" s="76"/>
    </row>
    <row r="99" customFormat="false" ht="15.75" hidden="false" customHeight="true" outlineLevel="0" collapsed="false">
      <c r="A99" s="74"/>
      <c r="B99" s="146"/>
      <c r="C99" s="76"/>
      <c r="D99" s="76"/>
      <c r="E99" s="76"/>
      <c r="F99" s="76"/>
      <c r="G99" s="76"/>
      <c r="H99" s="76"/>
      <c r="I99" s="76"/>
      <c r="J99" s="76"/>
      <c r="K99" s="76"/>
      <c r="L99" s="76"/>
      <c r="M99" s="76"/>
      <c r="N99" s="76"/>
    </row>
    <row r="100" customFormat="false" ht="15.75" hidden="false" customHeight="true" outlineLevel="0" collapsed="false">
      <c r="A100" s="74"/>
      <c r="B100" s="146"/>
      <c r="C100" s="76"/>
      <c r="D100" s="76"/>
      <c r="E100" s="76"/>
      <c r="F100" s="76"/>
      <c r="G100" s="76"/>
      <c r="H100" s="76"/>
      <c r="I100" s="76"/>
      <c r="J100" s="76"/>
      <c r="K100" s="76"/>
      <c r="L100" s="76"/>
      <c r="M100" s="76"/>
      <c r="N100" s="76"/>
    </row>
    <row r="101" customFormat="false" ht="15.75" hidden="false" customHeight="true" outlineLevel="0" collapsed="false">
      <c r="A101" s="74"/>
      <c r="B101" s="146"/>
      <c r="C101" s="76"/>
      <c r="D101" s="76"/>
      <c r="E101" s="76"/>
      <c r="F101" s="76"/>
      <c r="G101" s="76"/>
      <c r="H101" s="76"/>
      <c r="I101" s="76"/>
      <c r="J101" s="76"/>
      <c r="K101" s="76"/>
      <c r="L101" s="76"/>
      <c r="M101" s="76"/>
      <c r="N101" s="76"/>
    </row>
    <row r="102" customFormat="false" ht="15.75" hidden="false" customHeight="true" outlineLevel="0" collapsed="false">
      <c r="A102" s="74"/>
      <c r="B102" s="146"/>
      <c r="C102" s="76"/>
      <c r="D102" s="76"/>
      <c r="E102" s="76"/>
      <c r="F102" s="76"/>
      <c r="G102" s="76"/>
      <c r="H102" s="76"/>
      <c r="I102" s="76"/>
      <c r="J102" s="76"/>
      <c r="K102" s="76"/>
      <c r="L102" s="76"/>
      <c r="M102" s="76"/>
      <c r="N102" s="76"/>
    </row>
    <row r="103" customFormat="false" ht="15.75" hidden="false" customHeight="true" outlineLevel="0" collapsed="false">
      <c r="A103" s="74"/>
      <c r="B103" s="146"/>
      <c r="C103" s="76"/>
      <c r="D103" s="76"/>
      <c r="E103" s="76"/>
      <c r="F103" s="76"/>
      <c r="G103" s="76"/>
      <c r="H103" s="76"/>
      <c r="I103" s="76"/>
      <c r="J103" s="76"/>
      <c r="K103" s="76"/>
      <c r="L103" s="76"/>
      <c r="M103" s="76"/>
      <c r="N103" s="76"/>
    </row>
    <row r="104" customFormat="false" ht="15.75" hidden="false" customHeight="true" outlineLevel="0" collapsed="false">
      <c r="A104" s="74"/>
      <c r="B104" s="146"/>
      <c r="C104" s="76"/>
      <c r="D104" s="76"/>
      <c r="E104" s="76"/>
      <c r="F104" s="76"/>
      <c r="G104" s="76"/>
      <c r="H104" s="76"/>
      <c r="I104" s="76"/>
      <c r="J104" s="76"/>
      <c r="K104" s="76"/>
      <c r="L104" s="76"/>
      <c r="M104" s="76"/>
      <c r="N104" s="76"/>
    </row>
    <row r="105" customFormat="false" ht="15.75" hidden="false" customHeight="true" outlineLevel="0" collapsed="false">
      <c r="A105" s="74"/>
      <c r="B105" s="146"/>
      <c r="C105" s="76"/>
      <c r="D105" s="76"/>
      <c r="E105" s="76"/>
      <c r="F105" s="76"/>
      <c r="G105" s="76"/>
      <c r="H105" s="76"/>
      <c r="I105" s="76"/>
      <c r="J105" s="76"/>
      <c r="K105" s="76"/>
      <c r="L105" s="76"/>
      <c r="M105" s="76"/>
      <c r="N105" s="76"/>
    </row>
    <row r="106" customFormat="false" ht="15.75" hidden="false" customHeight="true" outlineLevel="0" collapsed="false">
      <c r="A106" s="74"/>
      <c r="B106" s="146"/>
      <c r="C106" s="76"/>
      <c r="D106" s="76"/>
      <c r="E106" s="76"/>
      <c r="F106" s="76"/>
      <c r="G106" s="76"/>
      <c r="H106" s="76"/>
      <c r="I106" s="76"/>
      <c r="J106" s="76"/>
      <c r="K106" s="76"/>
      <c r="L106" s="76"/>
      <c r="M106" s="76"/>
      <c r="N106" s="76"/>
    </row>
    <row r="107" customFormat="false" ht="15.75" hidden="false" customHeight="true" outlineLevel="0" collapsed="false">
      <c r="A107" s="74"/>
      <c r="B107" s="146"/>
      <c r="C107" s="76"/>
      <c r="D107" s="76"/>
      <c r="E107" s="76"/>
      <c r="F107" s="76"/>
      <c r="G107" s="76"/>
      <c r="H107" s="76"/>
      <c r="I107" s="76"/>
      <c r="J107" s="76"/>
      <c r="K107" s="76"/>
      <c r="L107" s="76"/>
      <c r="M107" s="76"/>
      <c r="N107" s="76"/>
    </row>
    <row r="108" customFormat="false" ht="15.75" hidden="false" customHeight="true" outlineLevel="0" collapsed="false">
      <c r="A108" s="74"/>
      <c r="B108" s="146"/>
      <c r="C108" s="76"/>
      <c r="D108" s="76"/>
      <c r="E108" s="76"/>
      <c r="F108" s="76"/>
      <c r="G108" s="76"/>
      <c r="H108" s="76"/>
      <c r="I108" s="76"/>
      <c r="J108" s="76"/>
      <c r="K108" s="76"/>
      <c r="L108" s="76"/>
      <c r="M108" s="76"/>
      <c r="N108" s="76"/>
    </row>
    <row r="109" customFormat="false" ht="15.75" hidden="false" customHeight="true" outlineLevel="0" collapsed="false">
      <c r="A109" s="74"/>
      <c r="B109" s="146"/>
      <c r="C109" s="76"/>
      <c r="D109" s="76"/>
      <c r="E109" s="76"/>
      <c r="F109" s="76"/>
      <c r="G109" s="76"/>
      <c r="H109" s="76"/>
      <c r="I109" s="76"/>
      <c r="J109" s="76"/>
      <c r="K109" s="76"/>
      <c r="L109" s="76"/>
      <c r="M109" s="76"/>
      <c r="N109" s="76"/>
    </row>
    <row r="110" customFormat="false" ht="15.75" hidden="false" customHeight="true" outlineLevel="0" collapsed="false">
      <c r="A110" s="74"/>
      <c r="B110" s="146"/>
      <c r="C110" s="76"/>
      <c r="D110" s="76"/>
      <c r="E110" s="76"/>
      <c r="F110" s="76"/>
      <c r="G110" s="76"/>
      <c r="H110" s="76"/>
      <c r="I110" s="76"/>
      <c r="J110" s="76"/>
      <c r="K110" s="76"/>
      <c r="L110" s="76"/>
      <c r="M110" s="76"/>
      <c r="N110" s="76"/>
    </row>
    <row r="111" customFormat="false" ht="15.75" hidden="false" customHeight="true" outlineLevel="0" collapsed="false">
      <c r="A111" s="74"/>
      <c r="B111" s="146"/>
      <c r="C111" s="76"/>
      <c r="D111" s="76"/>
      <c r="E111" s="76"/>
      <c r="F111" s="76"/>
      <c r="G111" s="76"/>
      <c r="H111" s="76"/>
      <c r="I111" s="76"/>
      <c r="J111" s="76"/>
      <c r="K111" s="76"/>
      <c r="L111" s="76"/>
      <c r="M111" s="76"/>
      <c r="N111" s="76"/>
    </row>
    <row r="112" customFormat="false" ht="15.75" hidden="false" customHeight="true" outlineLevel="0" collapsed="false">
      <c r="A112" s="74"/>
      <c r="B112" s="146"/>
      <c r="C112" s="76"/>
      <c r="D112" s="76"/>
      <c r="E112" s="76"/>
      <c r="F112" s="76"/>
      <c r="G112" s="76"/>
      <c r="H112" s="76"/>
      <c r="I112" s="76"/>
      <c r="J112" s="76"/>
      <c r="K112" s="76"/>
      <c r="L112" s="76"/>
      <c r="M112" s="76"/>
      <c r="N112" s="76"/>
    </row>
    <row r="113" customFormat="false" ht="15.75" hidden="false" customHeight="true" outlineLevel="0" collapsed="false">
      <c r="A113" s="74"/>
      <c r="B113" s="146"/>
      <c r="C113" s="76"/>
      <c r="D113" s="76"/>
      <c r="E113" s="76"/>
      <c r="F113" s="76"/>
      <c r="G113" s="76"/>
      <c r="H113" s="76"/>
      <c r="I113" s="76"/>
      <c r="J113" s="76"/>
      <c r="K113" s="76"/>
      <c r="L113" s="76"/>
      <c r="M113" s="76"/>
      <c r="N113" s="76"/>
    </row>
    <row r="114" customFormat="false" ht="15.75" hidden="false" customHeight="true" outlineLevel="0" collapsed="false">
      <c r="A114" s="74"/>
      <c r="B114" s="146"/>
      <c r="C114" s="76"/>
      <c r="D114" s="76"/>
      <c r="E114" s="76"/>
      <c r="F114" s="76"/>
      <c r="G114" s="76"/>
      <c r="H114" s="76"/>
      <c r="I114" s="76"/>
      <c r="J114" s="76"/>
      <c r="K114" s="76"/>
      <c r="L114" s="76"/>
      <c r="M114" s="76"/>
      <c r="N114" s="76"/>
    </row>
    <row r="115" customFormat="false" ht="15.75" hidden="false" customHeight="true" outlineLevel="0" collapsed="false">
      <c r="A115" s="74"/>
      <c r="B115" s="146"/>
      <c r="C115" s="76"/>
      <c r="D115" s="76"/>
      <c r="E115" s="76"/>
      <c r="F115" s="76"/>
      <c r="G115" s="76"/>
      <c r="H115" s="76"/>
      <c r="I115" s="76"/>
      <c r="J115" s="76"/>
      <c r="K115" s="76"/>
      <c r="L115" s="76"/>
      <c r="M115" s="76"/>
      <c r="N115" s="76"/>
    </row>
    <row r="116" customFormat="false" ht="15.75" hidden="false" customHeight="true" outlineLevel="0" collapsed="false">
      <c r="A116" s="74"/>
      <c r="B116" s="146"/>
      <c r="C116" s="76"/>
      <c r="D116" s="76"/>
      <c r="E116" s="76"/>
      <c r="F116" s="76"/>
      <c r="G116" s="76"/>
      <c r="H116" s="76"/>
      <c r="I116" s="76"/>
      <c r="J116" s="76"/>
      <c r="K116" s="76"/>
      <c r="L116" s="76"/>
      <c r="M116" s="76"/>
      <c r="N116" s="76"/>
    </row>
    <row r="117" customFormat="false" ht="15.75" hidden="false" customHeight="true" outlineLevel="0" collapsed="false">
      <c r="A117" s="74"/>
      <c r="B117" s="146"/>
      <c r="C117" s="76"/>
      <c r="D117" s="76"/>
      <c r="E117" s="76"/>
      <c r="F117" s="76"/>
      <c r="G117" s="76"/>
      <c r="H117" s="76"/>
      <c r="I117" s="76"/>
      <c r="J117" s="76"/>
      <c r="K117" s="76"/>
      <c r="L117" s="76"/>
      <c r="M117" s="76"/>
      <c r="N117" s="76"/>
    </row>
    <row r="118" customFormat="false" ht="15.75" hidden="false" customHeight="true" outlineLevel="0" collapsed="false">
      <c r="A118" s="74"/>
      <c r="B118" s="146"/>
      <c r="C118" s="76"/>
      <c r="D118" s="76"/>
      <c r="E118" s="76"/>
      <c r="F118" s="76"/>
      <c r="G118" s="76"/>
      <c r="H118" s="76"/>
      <c r="I118" s="76"/>
      <c r="J118" s="76"/>
      <c r="K118" s="76"/>
      <c r="L118" s="76"/>
      <c r="M118" s="76"/>
      <c r="N118" s="76"/>
    </row>
    <row r="119" customFormat="false" ht="15.75" hidden="false" customHeight="true" outlineLevel="0" collapsed="false">
      <c r="A119" s="74"/>
      <c r="B119" s="146"/>
      <c r="C119" s="76"/>
      <c r="D119" s="76"/>
      <c r="E119" s="76"/>
      <c r="F119" s="76"/>
      <c r="G119" s="76"/>
      <c r="H119" s="76"/>
      <c r="I119" s="76"/>
      <c r="J119" s="76"/>
      <c r="K119" s="76"/>
      <c r="L119" s="76"/>
      <c r="M119" s="76"/>
      <c r="N119" s="76"/>
    </row>
    <row r="120" customFormat="false" ht="15.75" hidden="false" customHeight="true" outlineLevel="0" collapsed="false">
      <c r="A120" s="74"/>
      <c r="B120" s="146"/>
      <c r="C120" s="76"/>
      <c r="D120" s="76"/>
      <c r="E120" s="76"/>
      <c r="F120" s="76"/>
      <c r="G120" s="76"/>
      <c r="H120" s="76"/>
      <c r="I120" s="76"/>
      <c r="J120" s="76"/>
      <c r="K120" s="76"/>
      <c r="L120" s="76"/>
      <c r="M120" s="76"/>
      <c r="N120" s="76"/>
    </row>
    <row r="121" customFormat="false" ht="15.75" hidden="false" customHeight="true" outlineLevel="0" collapsed="false">
      <c r="A121" s="74"/>
      <c r="B121" s="146"/>
      <c r="C121" s="76"/>
      <c r="D121" s="76"/>
      <c r="E121" s="76"/>
      <c r="F121" s="76"/>
      <c r="G121" s="76"/>
      <c r="H121" s="76"/>
      <c r="I121" s="76"/>
      <c r="J121" s="76"/>
      <c r="K121" s="76"/>
      <c r="L121" s="76"/>
      <c r="M121" s="76"/>
      <c r="N121" s="76"/>
    </row>
    <row r="122" customFormat="false" ht="15.75" hidden="false" customHeight="true" outlineLevel="0" collapsed="false">
      <c r="A122" s="74"/>
      <c r="B122" s="146"/>
      <c r="C122" s="76"/>
      <c r="D122" s="76"/>
      <c r="E122" s="76"/>
      <c r="F122" s="76"/>
      <c r="G122" s="76"/>
      <c r="H122" s="76"/>
      <c r="I122" s="76"/>
      <c r="J122" s="76"/>
      <c r="K122" s="76"/>
      <c r="L122" s="76"/>
      <c r="M122" s="76"/>
      <c r="N122" s="76"/>
    </row>
    <row r="123" customFormat="false" ht="15.75" hidden="false" customHeight="true" outlineLevel="0" collapsed="false">
      <c r="A123" s="74"/>
      <c r="B123" s="146"/>
      <c r="C123" s="76"/>
      <c r="D123" s="76"/>
      <c r="E123" s="76"/>
      <c r="F123" s="76"/>
      <c r="G123" s="76"/>
      <c r="H123" s="76"/>
      <c r="I123" s="76"/>
      <c r="J123" s="76"/>
      <c r="K123" s="76"/>
      <c r="L123" s="76"/>
      <c r="M123" s="76"/>
      <c r="N123" s="76"/>
    </row>
    <row r="124" customFormat="false" ht="15.75" hidden="false" customHeight="true" outlineLevel="0" collapsed="false">
      <c r="A124" s="74"/>
      <c r="B124" s="146"/>
      <c r="C124" s="76"/>
      <c r="D124" s="76"/>
      <c r="E124" s="76"/>
      <c r="F124" s="76"/>
      <c r="G124" s="76"/>
      <c r="H124" s="76"/>
      <c r="I124" s="76"/>
      <c r="J124" s="76"/>
      <c r="K124" s="76"/>
      <c r="L124" s="76"/>
      <c r="M124" s="76"/>
      <c r="N124" s="76"/>
    </row>
    <row r="125" customFormat="false" ht="15.75" hidden="false" customHeight="true" outlineLevel="0" collapsed="false">
      <c r="A125" s="74"/>
      <c r="B125" s="146"/>
      <c r="C125" s="76"/>
      <c r="D125" s="76"/>
      <c r="E125" s="76"/>
      <c r="F125" s="76"/>
      <c r="G125" s="76"/>
      <c r="H125" s="76"/>
      <c r="I125" s="76"/>
      <c r="J125" s="76"/>
      <c r="K125" s="76"/>
      <c r="L125" s="76"/>
      <c r="M125" s="76"/>
      <c r="N125" s="76"/>
    </row>
    <row r="126" customFormat="false" ht="15.75" hidden="false" customHeight="true" outlineLevel="0" collapsed="false">
      <c r="A126" s="74"/>
      <c r="B126" s="146"/>
      <c r="C126" s="76"/>
      <c r="D126" s="76"/>
      <c r="E126" s="76"/>
      <c r="F126" s="76"/>
      <c r="G126" s="76"/>
      <c r="H126" s="76"/>
      <c r="I126" s="76"/>
      <c r="J126" s="76"/>
      <c r="K126" s="76"/>
      <c r="L126" s="76"/>
      <c r="M126" s="76"/>
      <c r="N126" s="76"/>
    </row>
    <row r="127" customFormat="false" ht="15.75" hidden="false" customHeight="true" outlineLevel="0" collapsed="false">
      <c r="A127" s="74"/>
      <c r="B127" s="146"/>
      <c r="C127" s="76"/>
      <c r="D127" s="76"/>
      <c r="E127" s="76"/>
      <c r="F127" s="76"/>
      <c r="G127" s="76"/>
      <c r="H127" s="76"/>
      <c r="I127" s="76"/>
      <c r="J127" s="76"/>
      <c r="K127" s="76"/>
      <c r="L127" s="76"/>
      <c r="M127" s="76"/>
      <c r="N127" s="76"/>
    </row>
    <row r="128" customFormat="false" ht="15.75" hidden="false" customHeight="true" outlineLevel="0" collapsed="false">
      <c r="A128" s="74"/>
      <c r="B128" s="146"/>
      <c r="C128" s="76"/>
      <c r="D128" s="76"/>
      <c r="E128" s="76"/>
      <c r="F128" s="76"/>
      <c r="G128" s="76"/>
      <c r="H128" s="76"/>
      <c r="I128" s="76"/>
      <c r="J128" s="76"/>
      <c r="K128" s="76"/>
      <c r="L128" s="76"/>
      <c r="M128" s="76"/>
      <c r="N128" s="76"/>
    </row>
    <row r="129" customFormat="false" ht="15.75" hidden="false" customHeight="true" outlineLevel="0" collapsed="false">
      <c r="A129" s="74"/>
      <c r="B129" s="146"/>
      <c r="C129" s="76"/>
      <c r="D129" s="76"/>
      <c r="E129" s="76"/>
      <c r="F129" s="76"/>
      <c r="G129" s="76"/>
      <c r="H129" s="76"/>
      <c r="I129" s="76"/>
      <c r="J129" s="76"/>
      <c r="K129" s="76"/>
      <c r="L129" s="76"/>
      <c r="M129" s="76"/>
      <c r="N129" s="76"/>
    </row>
    <row r="130" customFormat="false" ht="15.75" hidden="false" customHeight="true" outlineLevel="0" collapsed="false">
      <c r="A130" s="74"/>
      <c r="B130" s="146"/>
      <c r="C130" s="76"/>
      <c r="D130" s="76"/>
      <c r="E130" s="76"/>
      <c r="F130" s="76"/>
      <c r="G130" s="76"/>
      <c r="H130" s="76"/>
      <c r="I130" s="76"/>
      <c r="J130" s="76"/>
      <c r="K130" s="76"/>
      <c r="L130" s="76"/>
      <c r="M130" s="76"/>
      <c r="N130" s="76"/>
    </row>
    <row r="131" customFormat="false" ht="15.75" hidden="false" customHeight="true" outlineLevel="0" collapsed="false">
      <c r="A131" s="74"/>
      <c r="B131" s="146"/>
      <c r="C131" s="76"/>
      <c r="D131" s="76"/>
      <c r="E131" s="76"/>
      <c r="F131" s="76"/>
      <c r="G131" s="76"/>
      <c r="H131" s="76"/>
      <c r="I131" s="76"/>
      <c r="J131" s="76"/>
      <c r="K131" s="76"/>
      <c r="L131" s="76"/>
      <c r="M131" s="76"/>
      <c r="N131" s="76"/>
    </row>
    <row r="132" customFormat="false" ht="15.75" hidden="false" customHeight="true" outlineLevel="0" collapsed="false">
      <c r="A132" s="74"/>
      <c r="B132" s="146"/>
      <c r="C132" s="76"/>
      <c r="D132" s="76"/>
      <c r="E132" s="76"/>
      <c r="F132" s="76"/>
      <c r="G132" s="76"/>
      <c r="H132" s="76"/>
      <c r="I132" s="76"/>
      <c r="J132" s="76"/>
      <c r="K132" s="76"/>
      <c r="L132" s="76"/>
      <c r="M132" s="76"/>
      <c r="N132" s="76"/>
    </row>
    <row r="133" customFormat="false" ht="15.75" hidden="false" customHeight="true" outlineLevel="0" collapsed="false">
      <c r="A133" s="74"/>
      <c r="B133" s="146"/>
      <c r="C133" s="76"/>
      <c r="D133" s="76"/>
      <c r="E133" s="76"/>
      <c r="F133" s="76"/>
      <c r="G133" s="76"/>
      <c r="H133" s="76"/>
      <c r="I133" s="76"/>
      <c r="J133" s="76"/>
      <c r="K133" s="76"/>
      <c r="L133" s="76"/>
      <c r="M133" s="76"/>
      <c r="N133" s="76"/>
    </row>
    <row r="134" customFormat="false" ht="15.75" hidden="false" customHeight="true" outlineLevel="0" collapsed="false">
      <c r="A134" s="74"/>
      <c r="B134" s="146"/>
      <c r="C134" s="76"/>
      <c r="D134" s="76"/>
      <c r="E134" s="76"/>
      <c r="F134" s="76"/>
      <c r="G134" s="76"/>
      <c r="H134" s="76"/>
      <c r="I134" s="76"/>
      <c r="J134" s="76"/>
      <c r="K134" s="76"/>
      <c r="L134" s="76"/>
      <c r="M134" s="76"/>
      <c r="N134" s="76"/>
    </row>
    <row r="135" customFormat="false" ht="15.75" hidden="false" customHeight="true" outlineLevel="0" collapsed="false">
      <c r="A135" s="74"/>
      <c r="B135" s="146"/>
      <c r="C135" s="76"/>
      <c r="D135" s="76"/>
      <c r="E135" s="76"/>
      <c r="F135" s="76"/>
      <c r="G135" s="76"/>
      <c r="H135" s="76"/>
      <c r="I135" s="76"/>
      <c r="J135" s="76"/>
      <c r="K135" s="76"/>
      <c r="L135" s="76"/>
      <c r="M135" s="76"/>
      <c r="N135" s="76"/>
    </row>
    <row r="136" customFormat="false" ht="15.75" hidden="false" customHeight="true" outlineLevel="0" collapsed="false">
      <c r="A136" s="74"/>
      <c r="B136" s="146"/>
      <c r="C136" s="76"/>
      <c r="D136" s="76"/>
      <c r="E136" s="76"/>
      <c r="F136" s="76"/>
      <c r="G136" s="76"/>
      <c r="H136" s="76"/>
      <c r="I136" s="76"/>
      <c r="J136" s="76"/>
      <c r="K136" s="76"/>
      <c r="L136" s="76"/>
      <c r="M136" s="76"/>
      <c r="N136" s="76"/>
    </row>
    <row r="137" customFormat="false" ht="15.75" hidden="false" customHeight="true" outlineLevel="0" collapsed="false">
      <c r="A137" s="74"/>
      <c r="B137" s="146"/>
      <c r="C137" s="76"/>
      <c r="D137" s="76"/>
      <c r="E137" s="76"/>
      <c r="F137" s="76"/>
      <c r="G137" s="76"/>
      <c r="H137" s="76"/>
      <c r="I137" s="76"/>
      <c r="J137" s="76"/>
      <c r="K137" s="76"/>
      <c r="L137" s="76"/>
      <c r="M137" s="76"/>
      <c r="N137" s="76"/>
    </row>
    <row r="138" customFormat="false" ht="15.75" hidden="false" customHeight="true" outlineLevel="0" collapsed="false">
      <c r="A138" s="74"/>
      <c r="B138" s="146"/>
      <c r="C138" s="76"/>
      <c r="D138" s="76"/>
      <c r="E138" s="76"/>
      <c r="F138" s="76"/>
      <c r="G138" s="76"/>
      <c r="H138" s="76"/>
      <c r="I138" s="76"/>
      <c r="J138" s="76"/>
      <c r="K138" s="76"/>
      <c r="L138" s="76"/>
      <c r="M138" s="76"/>
      <c r="N138" s="76"/>
    </row>
    <row r="139" customFormat="false" ht="15.75" hidden="false" customHeight="true" outlineLevel="0" collapsed="false">
      <c r="A139" s="74"/>
      <c r="B139" s="146"/>
      <c r="C139" s="76"/>
      <c r="D139" s="76"/>
      <c r="E139" s="76"/>
      <c r="F139" s="76"/>
      <c r="G139" s="76"/>
      <c r="H139" s="76"/>
      <c r="I139" s="76"/>
      <c r="J139" s="76"/>
      <c r="K139" s="76"/>
      <c r="L139" s="76"/>
      <c r="M139" s="76"/>
      <c r="N139" s="76"/>
    </row>
    <row r="140" customFormat="false" ht="15.75" hidden="false" customHeight="true" outlineLevel="0" collapsed="false">
      <c r="A140" s="74"/>
      <c r="B140" s="146"/>
      <c r="C140" s="76"/>
      <c r="D140" s="76"/>
      <c r="E140" s="76"/>
      <c r="F140" s="76"/>
      <c r="G140" s="76"/>
      <c r="H140" s="76"/>
      <c r="I140" s="76"/>
      <c r="J140" s="76"/>
      <c r="K140" s="76"/>
      <c r="L140" s="76"/>
      <c r="M140" s="76"/>
      <c r="N140" s="76"/>
    </row>
    <row r="141" customFormat="false" ht="15.75" hidden="false" customHeight="true" outlineLevel="0" collapsed="false">
      <c r="A141" s="74"/>
      <c r="B141" s="146"/>
      <c r="C141" s="76"/>
      <c r="D141" s="76"/>
      <c r="E141" s="76"/>
      <c r="F141" s="76"/>
      <c r="G141" s="76"/>
      <c r="H141" s="76"/>
      <c r="I141" s="76"/>
      <c r="J141" s="76"/>
      <c r="K141" s="76"/>
      <c r="L141" s="76"/>
      <c r="M141" s="76"/>
      <c r="N141" s="76"/>
    </row>
    <row r="142" customFormat="false" ht="15.75" hidden="false" customHeight="true" outlineLevel="0" collapsed="false">
      <c r="A142" s="74"/>
      <c r="B142" s="146"/>
      <c r="C142" s="76"/>
      <c r="D142" s="76"/>
      <c r="E142" s="76"/>
      <c r="F142" s="76"/>
      <c r="G142" s="76"/>
      <c r="H142" s="76"/>
      <c r="I142" s="76"/>
      <c r="J142" s="76"/>
      <c r="K142" s="76"/>
      <c r="L142" s="76"/>
      <c r="M142" s="76"/>
      <c r="N142" s="76"/>
    </row>
    <row r="143" customFormat="false" ht="15.75" hidden="false" customHeight="true" outlineLevel="0" collapsed="false">
      <c r="A143" s="74"/>
      <c r="B143" s="146"/>
      <c r="C143" s="76"/>
      <c r="D143" s="76"/>
      <c r="E143" s="76"/>
      <c r="F143" s="76"/>
      <c r="G143" s="76"/>
      <c r="H143" s="76"/>
      <c r="I143" s="76"/>
      <c r="J143" s="76"/>
      <c r="K143" s="76"/>
      <c r="L143" s="76"/>
      <c r="M143" s="76"/>
      <c r="N143" s="76"/>
    </row>
    <row r="144" customFormat="false" ht="15.75" hidden="false" customHeight="true" outlineLevel="0" collapsed="false">
      <c r="A144" s="74"/>
      <c r="B144" s="146"/>
      <c r="C144" s="76"/>
      <c r="D144" s="76"/>
      <c r="E144" s="76"/>
      <c r="F144" s="76"/>
      <c r="G144" s="76"/>
      <c r="H144" s="76"/>
      <c r="I144" s="76"/>
      <c r="J144" s="76"/>
      <c r="K144" s="76"/>
      <c r="L144" s="76"/>
      <c r="M144" s="76"/>
      <c r="N144" s="76"/>
    </row>
    <row r="145" customFormat="false" ht="15.75" hidden="false" customHeight="true" outlineLevel="0" collapsed="false">
      <c r="A145" s="74"/>
      <c r="B145" s="146"/>
      <c r="C145" s="76"/>
      <c r="D145" s="76"/>
      <c r="E145" s="76"/>
      <c r="F145" s="76"/>
      <c r="G145" s="76"/>
      <c r="H145" s="76"/>
      <c r="I145" s="76"/>
      <c r="J145" s="76"/>
      <c r="K145" s="76"/>
      <c r="L145" s="76"/>
      <c r="M145" s="76"/>
      <c r="N145" s="76"/>
    </row>
    <row r="146" customFormat="false" ht="15.75" hidden="false" customHeight="true" outlineLevel="0" collapsed="false">
      <c r="A146" s="74"/>
      <c r="B146" s="146"/>
      <c r="C146" s="76"/>
      <c r="D146" s="76"/>
      <c r="E146" s="76"/>
      <c r="F146" s="76"/>
      <c r="G146" s="76"/>
      <c r="H146" s="76"/>
      <c r="I146" s="76"/>
      <c r="J146" s="76"/>
      <c r="K146" s="76"/>
      <c r="L146" s="76"/>
      <c r="M146" s="76"/>
      <c r="N146" s="76"/>
    </row>
    <row r="147" customFormat="false" ht="15.75" hidden="false" customHeight="true" outlineLevel="0" collapsed="false">
      <c r="A147" s="74"/>
      <c r="B147" s="146"/>
      <c r="C147" s="76"/>
      <c r="D147" s="76"/>
      <c r="E147" s="76"/>
      <c r="F147" s="76"/>
      <c r="G147" s="76"/>
      <c r="H147" s="76"/>
      <c r="I147" s="76"/>
      <c r="J147" s="76"/>
      <c r="K147" s="76"/>
      <c r="L147" s="76"/>
      <c r="M147" s="76"/>
      <c r="N147" s="76"/>
    </row>
    <row r="148" customFormat="false" ht="15.75" hidden="false" customHeight="true" outlineLevel="0" collapsed="false">
      <c r="A148" s="74"/>
      <c r="B148" s="146"/>
      <c r="C148" s="76"/>
      <c r="D148" s="76"/>
      <c r="E148" s="76"/>
      <c r="F148" s="76"/>
      <c r="G148" s="76"/>
      <c r="H148" s="76"/>
      <c r="I148" s="76"/>
      <c r="J148" s="76"/>
      <c r="K148" s="76"/>
      <c r="L148" s="76"/>
      <c r="M148" s="76"/>
      <c r="N148" s="76"/>
    </row>
    <row r="149" customFormat="false" ht="15.75" hidden="false" customHeight="true" outlineLevel="0" collapsed="false">
      <c r="A149" s="74"/>
      <c r="B149" s="146"/>
      <c r="C149" s="76"/>
      <c r="D149" s="76"/>
      <c r="E149" s="76"/>
      <c r="F149" s="76"/>
      <c r="G149" s="76"/>
      <c r="H149" s="76"/>
      <c r="I149" s="76"/>
      <c r="J149" s="76"/>
      <c r="K149" s="76"/>
      <c r="L149" s="76"/>
      <c r="M149" s="76"/>
      <c r="N149" s="76"/>
    </row>
    <row r="150" customFormat="false" ht="15.75" hidden="false" customHeight="true" outlineLevel="0" collapsed="false">
      <c r="A150" s="74"/>
      <c r="B150" s="146"/>
      <c r="C150" s="76"/>
      <c r="D150" s="76"/>
      <c r="E150" s="76"/>
      <c r="F150" s="76"/>
      <c r="G150" s="76"/>
      <c r="H150" s="76"/>
      <c r="I150" s="76"/>
      <c r="J150" s="76"/>
      <c r="K150" s="76"/>
      <c r="L150" s="76"/>
      <c r="M150" s="76"/>
      <c r="N150" s="76"/>
    </row>
    <row r="151" customFormat="false" ht="15.75" hidden="false" customHeight="true" outlineLevel="0" collapsed="false">
      <c r="A151" s="74"/>
      <c r="B151" s="146"/>
      <c r="C151" s="76"/>
      <c r="D151" s="76"/>
      <c r="E151" s="76"/>
      <c r="F151" s="76"/>
      <c r="G151" s="76"/>
      <c r="H151" s="76"/>
      <c r="I151" s="76"/>
      <c r="J151" s="76"/>
      <c r="K151" s="76"/>
      <c r="L151" s="76"/>
      <c r="M151" s="76"/>
      <c r="N151" s="76"/>
    </row>
    <row r="152" customFormat="false" ht="15.75" hidden="false" customHeight="true" outlineLevel="0" collapsed="false">
      <c r="A152" s="74"/>
      <c r="B152" s="146"/>
      <c r="C152" s="76"/>
      <c r="D152" s="76"/>
      <c r="E152" s="76"/>
      <c r="F152" s="76"/>
      <c r="G152" s="76"/>
      <c r="H152" s="76"/>
      <c r="I152" s="76"/>
      <c r="J152" s="76"/>
      <c r="K152" s="76"/>
      <c r="L152" s="76"/>
      <c r="M152" s="76"/>
      <c r="N152" s="76"/>
    </row>
    <row r="153" customFormat="false" ht="15.75" hidden="false" customHeight="true" outlineLevel="0" collapsed="false">
      <c r="A153" s="74"/>
      <c r="B153" s="146"/>
      <c r="C153" s="76"/>
      <c r="D153" s="76"/>
      <c r="E153" s="76"/>
      <c r="F153" s="76"/>
      <c r="G153" s="76"/>
      <c r="H153" s="76"/>
      <c r="I153" s="76"/>
      <c r="J153" s="76"/>
      <c r="K153" s="76"/>
      <c r="L153" s="76"/>
      <c r="M153" s="76"/>
      <c r="N153" s="76"/>
    </row>
    <row r="154" customFormat="false" ht="15.75" hidden="false" customHeight="true" outlineLevel="0" collapsed="false">
      <c r="A154" s="74"/>
      <c r="B154" s="146"/>
      <c r="C154" s="76"/>
      <c r="D154" s="76"/>
      <c r="E154" s="76"/>
      <c r="F154" s="76"/>
      <c r="G154" s="76"/>
      <c r="H154" s="76"/>
      <c r="I154" s="76"/>
      <c r="J154" s="76"/>
      <c r="K154" s="76"/>
      <c r="L154" s="76"/>
      <c r="M154" s="76"/>
      <c r="N154" s="76"/>
    </row>
    <row r="155" customFormat="false" ht="15.75" hidden="false" customHeight="true" outlineLevel="0" collapsed="false">
      <c r="A155" s="74"/>
      <c r="B155" s="146"/>
      <c r="C155" s="76"/>
      <c r="D155" s="76"/>
      <c r="E155" s="76"/>
      <c r="F155" s="76"/>
      <c r="G155" s="76"/>
      <c r="H155" s="76"/>
      <c r="I155" s="76"/>
      <c r="J155" s="76"/>
      <c r="K155" s="76"/>
      <c r="L155" s="76"/>
      <c r="M155" s="76"/>
      <c r="N155" s="76"/>
    </row>
    <row r="156" customFormat="false" ht="15.75" hidden="false" customHeight="true" outlineLevel="0" collapsed="false">
      <c r="A156" s="74"/>
      <c r="B156" s="146"/>
      <c r="C156" s="76"/>
      <c r="D156" s="76"/>
      <c r="E156" s="76"/>
      <c r="F156" s="76"/>
      <c r="G156" s="76"/>
      <c r="H156" s="76"/>
      <c r="I156" s="76"/>
      <c r="J156" s="76"/>
      <c r="K156" s="76"/>
      <c r="L156" s="76"/>
      <c r="M156" s="76"/>
      <c r="N156" s="76"/>
    </row>
    <row r="157" customFormat="false" ht="15.75" hidden="false" customHeight="true" outlineLevel="0" collapsed="false">
      <c r="A157" s="74"/>
      <c r="B157" s="146"/>
      <c r="C157" s="76"/>
      <c r="D157" s="76"/>
      <c r="E157" s="76"/>
      <c r="F157" s="76"/>
      <c r="G157" s="76"/>
      <c r="H157" s="76"/>
      <c r="I157" s="76"/>
      <c r="J157" s="76"/>
      <c r="K157" s="76"/>
      <c r="L157" s="76"/>
      <c r="M157" s="76"/>
      <c r="N157" s="76"/>
    </row>
    <row r="158" customFormat="false" ht="15.75" hidden="false" customHeight="true" outlineLevel="0" collapsed="false">
      <c r="A158" s="74"/>
      <c r="B158" s="146"/>
      <c r="C158" s="76"/>
      <c r="D158" s="76"/>
      <c r="E158" s="76"/>
      <c r="F158" s="76"/>
      <c r="G158" s="76"/>
      <c r="H158" s="76"/>
      <c r="I158" s="76"/>
      <c r="J158" s="76"/>
      <c r="K158" s="76"/>
      <c r="L158" s="76"/>
      <c r="M158" s="76"/>
      <c r="N158" s="76"/>
    </row>
    <row r="159" customFormat="false" ht="15.75" hidden="false" customHeight="true" outlineLevel="0" collapsed="false">
      <c r="A159" s="74"/>
      <c r="B159" s="146"/>
      <c r="C159" s="76"/>
      <c r="D159" s="76"/>
      <c r="E159" s="76"/>
      <c r="F159" s="76"/>
      <c r="G159" s="76"/>
      <c r="H159" s="76"/>
      <c r="I159" s="76"/>
      <c r="J159" s="76"/>
      <c r="K159" s="76"/>
      <c r="L159" s="76"/>
      <c r="M159" s="76"/>
      <c r="N159" s="76"/>
    </row>
    <row r="160" customFormat="false" ht="15.75" hidden="false" customHeight="true" outlineLevel="0" collapsed="false">
      <c r="A160" s="74"/>
      <c r="B160" s="146"/>
      <c r="C160" s="76"/>
      <c r="D160" s="76"/>
      <c r="E160" s="76"/>
      <c r="F160" s="76"/>
      <c r="G160" s="76"/>
      <c r="H160" s="76"/>
      <c r="I160" s="76"/>
      <c r="J160" s="76"/>
      <c r="K160" s="76"/>
      <c r="L160" s="76"/>
      <c r="M160" s="76"/>
      <c r="N160" s="76"/>
    </row>
    <row r="161" customFormat="false" ht="15.75" hidden="false" customHeight="true" outlineLevel="0" collapsed="false">
      <c r="A161" s="74"/>
      <c r="B161" s="146"/>
      <c r="C161" s="76"/>
      <c r="D161" s="76"/>
      <c r="E161" s="76"/>
      <c r="F161" s="76"/>
      <c r="G161" s="76"/>
      <c r="H161" s="76"/>
      <c r="I161" s="76"/>
      <c r="J161" s="76"/>
      <c r="K161" s="76"/>
      <c r="L161" s="76"/>
      <c r="M161" s="76"/>
      <c r="N161" s="76"/>
    </row>
    <row r="162" customFormat="false" ht="15.75" hidden="false" customHeight="true" outlineLevel="0" collapsed="false">
      <c r="A162" s="74"/>
      <c r="B162" s="146"/>
      <c r="C162" s="76"/>
      <c r="D162" s="76"/>
      <c r="E162" s="76"/>
      <c r="F162" s="76"/>
      <c r="G162" s="76"/>
      <c r="H162" s="76"/>
      <c r="I162" s="76"/>
      <c r="J162" s="76"/>
      <c r="K162" s="76"/>
      <c r="L162" s="76"/>
      <c r="M162" s="76"/>
      <c r="N162" s="76"/>
    </row>
    <row r="163" customFormat="false" ht="15.75" hidden="false" customHeight="true" outlineLevel="0" collapsed="false">
      <c r="A163" s="74"/>
      <c r="B163" s="146"/>
      <c r="C163" s="76"/>
      <c r="D163" s="76"/>
      <c r="E163" s="76"/>
      <c r="F163" s="76"/>
      <c r="G163" s="76"/>
      <c r="H163" s="76"/>
      <c r="I163" s="76"/>
      <c r="J163" s="76"/>
      <c r="K163" s="76"/>
      <c r="L163" s="76"/>
      <c r="M163" s="76"/>
      <c r="N163" s="76"/>
    </row>
    <row r="164" customFormat="false" ht="15.75" hidden="false" customHeight="true" outlineLevel="0" collapsed="false">
      <c r="A164" s="74"/>
      <c r="B164" s="146"/>
      <c r="C164" s="76"/>
      <c r="D164" s="76"/>
      <c r="E164" s="76"/>
      <c r="F164" s="76"/>
      <c r="G164" s="76"/>
      <c r="H164" s="76"/>
      <c r="I164" s="76"/>
      <c r="J164" s="76"/>
      <c r="K164" s="76"/>
      <c r="L164" s="76"/>
      <c r="M164" s="76"/>
      <c r="N164" s="76"/>
    </row>
    <row r="165" customFormat="false" ht="15.75" hidden="false" customHeight="true" outlineLevel="0" collapsed="false">
      <c r="A165" s="74"/>
      <c r="B165" s="146"/>
      <c r="C165" s="76"/>
      <c r="D165" s="76"/>
      <c r="E165" s="76"/>
      <c r="F165" s="76"/>
      <c r="G165" s="76"/>
      <c r="H165" s="76"/>
      <c r="I165" s="76"/>
      <c r="J165" s="76"/>
      <c r="K165" s="76"/>
      <c r="L165" s="76"/>
      <c r="M165" s="76"/>
      <c r="N165" s="76"/>
    </row>
    <row r="166" customFormat="false" ht="15.75" hidden="false" customHeight="true" outlineLevel="0" collapsed="false">
      <c r="A166" s="74"/>
      <c r="B166" s="146"/>
      <c r="C166" s="76"/>
      <c r="D166" s="76"/>
      <c r="E166" s="76"/>
      <c r="F166" s="76"/>
      <c r="G166" s="76"/>
      <c r="H166" s="76"/>
      <c r="I166" s="76"/>
      <c r="J166" s="76"/>
      <c r="K166" s="76"/>
      <c r="L166" s="76"/>
      <c r="M166" s="76"/>
      <c r="N166" s="76"/>
    </row>
    <row r="167" customFormat="false" ht="15.75" hidden="false" customHeight="true" outlineLevel="0" collapsed="false">
      <c r="A167" s="74"/>
      <c r="B167" s="146"/>
      <c r="C167" s="76"/>
      <c r="D167" s="76"/>
      <c r="E167" s="76"/>
      <c r="F167" s="76"/>
      <c r="G167" s="76"/>
      <c r="H167" s="76"/>
      <c r="I167" s="76"/>
      <c r="J167" s="76"/>
      <c r="K167" s="76"/>
      <c r="L167" s="76"/>
      <c r="M167" s="76"/>
      <c r="N167" s="76"/>
    </row>
    <row r="168" customFormat="false" ht="15.75" hidden="false" customHeight="true" outlineLevel="0" collapsed="false">
      <c r="A168" s="74"/>
      <c r="B168" s="146"/>
      <c r="C168" s="76"/>
      <c r="D168" s="76"/>
      <c r="E168" s="76"/>
      <c r="F168" s="76"/>
      <c r="G168" s="76"/>
      <c r="H168" s="76"/>
      <c r="I168" s="76"/>
      <c r="J168" s="76"/>
      <c r="K168" s="76"/>
      <c r="L168" s="76"/>
      <c r="M168" s="76"/>
      <c r="N168" s="76"/>
    </row>
    <row r="169" customFormat="false" ht="15.75" hidden="false" customHeight="true" outlineLevel="0" collapsed="false">
      <c r="A169" s="74"/>
      <c r="B169" s="146"/>
      <c r="C169" s="76"/>
      <c r="D169" s="76"/>
      <c r="E169" s="76"/>
      <c r="F169" s="76"/>
      <c r="G169" s="76"/>
      <c r="H169" s="76"/>
      <c r="I169" s="76"/>
      <c r="J169" s="76"/>
      <c r="K169" s="76"/>
      <c r="L169" s="76"/>
      <c r="M169" s="76"/>
      <c r="N169" s="76"/>
    </row>
    <row r="170" customFormat="false" ht="15.75" hidden="false" customHeight="true" outlineLevel="0" collapsed="false">
      <c r="A170" s="74"/>
      <c r="B170" s="146"/>
      <c r="C170" s="76"/>
      <c r="D170" s="76"/>
      <c r="E170" s="76"/>
      <c r="F170" s="76"/>
      <c r="G170" s="76"/>
      <c r="H170" s="76"/>
      <c r="I170" s="76"/>
      <c r="J170" s="76"/>
      <c r="K170" s="76"/>
      <c r="L170" s="76"/>
      <c r="M170" s="76"/>
      <c r="N170" s="76"/>
    </row>
    <row r="171" customFormat="false" ht="15.75" hidden="false" customHeight="true" outlineLevel="0" collapsed="false">
      <c r="A171" s="74"/>
      <c r="B171" s="146"/>
      <c r="C171" s="76"/>
      <c r="D171" s="76"/>
      <c r="E171" s="76"/>
      <c r="F171" s="76"/>
      <c r="G171" s="76"/>
      <c r="H171" s="76"/>
      <c r="I171" s="76"/>
      <c r="J171" s="76"/>
      <c r="K171" s="76"/>
      <c r="L171" s="76"/>
      <c r="M171" s="76"/>
      <c r="N171" s="76"/>
    </row>
    <row r="172" customFormat="false" ht="15.75" hidden="false" customHeight="true" outlineLevel="0" collapsed="false">
      <c r="A172" s="74"/>
      <c r="B172" s="146"/>
      <c r="C172" s="76"/>
      <c r="D172" s="76"/>
      <c r="E172" s="76"/>
      <c r="F172" s="76"/>
      <c r="G172" s="76"/>
      <c r="H172" s="76"/>
      <c r="I172" s="76"/>
      <c r="J172" s="76"/>
      <c r="K172" s="76"/>
      <c r="L172" s="76"/>
      <c r="M172" s="76"/>
      <c r="N172" s="76"/>
    </row>
    <row r="173" customFormat="false" ht="15.75" hidden="false" customHeight="true" outlineLevel="0" collapsed="false">
      <c r="A173" s="74"/>
      <c r="B173" s="146"/>
      <c r="C173" s="76"/>
      <c r="D173" s="76"/>
      <c r="E173" s="76"/>
      <c r="F173" s="76"/>
      <c r="G173" s="76"/>
      <c r="H173" s="76"/>
      <c r="I173" s="76"/>
      <c r="J173" s="76"/>
      <c r="K173" s="76"/>
      <c r="L173" s="76"/>
      <c r="M173" s="76"/>
      <c r="N173" s="76"/>
    </row>
    <row r="174" customFormat="false" ht="15.75" hidden="false" customHeight="true" outlineLevel="0" collapsed="false">
      <c r="A174" s="74"/>
      <c r="B174" s="146"/>
      <c r="C174" s="76"/>
      <c r="D174" s="76"/>
      <c r="E174" s="76"/>
      <c r="F174" s="76"/>
      <c r="G174" s="76"/>
      <c r="H174" s="76"/>
      <c r="I174" s="76"/>
      <c r="J174" s="76"/>
      <c r="K174" s="76"/>
      <c r="L174" s="76"/>
      <c r="M174" s="76"/>
      <c r="N174" s="76"/>
    </row>
    <row r="175" customFormat="false" ht="15.75" hidden="false" customHeight="true" outlineLevel="0" collapsed="false">
      <c r="A175" s="74"/>
      <c r="B175" s="146"/>
      <c r="C175" s="76"/>
      <c r="D175" s="76"/>
      <c r="E175" s="76"/>
      <c r="F175" s="76"/>
      <c r="G175" s="76"/>
      <c r="H175" s="76"/>
      <c r="I175" s="76"/>
      <c r="J175" s="76"/>
      <c r="K175" s="76"/>
      <c r="L175" s="76"/>
      <c r="M175" s="76"/>
      <c r="N175" s="76"/>
    </row>
    <row r="176" customFormat="false" ht="15.75" hidden="false" customHeight="true" outlineLevel="0" collapsed="false">
      <c r="A176" s="74"/>
      <c r="B176" s="146"/>
      <c r="C176" s="76"/>
      <c r="D176" s="76"/>
      <c r="E176" s="76"/>
      <c r="F176" s="76"/>
      <c r="G176" s="76"/>
      <c r="H176" s="76"/>
      <c r="I176" s="76"/>
      <c r="J176" s="76"/>
      <c r="K176" s="76"/>
      <c r="L176" s="76"/>
      <c r="M176" s="76"/>
      <c r="N176" s="76"/>
    </row>
    <row r="177" customFormat="false" ht="15.75" hidden="false" customHeight="true" outlineLevel="0" collapsed="false">
      <c r="A177" s="74"/>
      <c r="B177" s="146"/>
      <c r="C177" s="76"/>
      <c r="D177" s="76"/>
      <c r="E177" s="76"/>
      <c r="F177" s="76"/>
      <c r="G177" s="76"/>
      <c r="H177" s="76"/>
      <c r="I177" s="76"/>
      <c r="J177" s="76"/>
      <c r="K177" s="76"/>
      <c r="L177" s="76"/>
      <c r="M177" s="76"/>
      <c r="N177" s="76"/>
    </row>
    <row r="178" customFormat="false" ht="15.75" hidden="false" customHeight="true" outlineLevel="0" collapsed="false">
      <c r="A178" s="74"/>
      <c r="B178" s="146"/>
      <c r="C178" s="76"/>
      <c r="D178" s="76"/>
      <c r="E178" s="76"/>
      <c r="F178" s="76"/>
      <c r="G178" s="76"/>
      <c r="H178" s="76"/>
      <c r="I178" s="76"/>
      <c r="J178" s="76"/>
      <c r="K178" s="76"/>
      <c r="L178" s="76"/>
      <c r="M178" s="76"/>
      <c r="N178" s="76"/>
    </row>
    <row r="179" customFormat="false" ht="15.75" hidden="false" customHeight="true" outlineLevel="0" collapsed="false">
      <c r="A179" s="74"/>
      <c r="B179" s="146"/>
      <c r="C179" s="76"/>
      <c r="D179" s="76"/>
      <c r="E179" s="76"/>
      <c r="F179" s="76"/>
      <c r="G179" s="76"/>
      <c r="H179" s="76"/>
      <c r="I179" s="76"/>
      <c r="J179" s="76"/>
      <c r="K179" s="76"/>
      <c r="L179" s="76"/>
      <c r="M179" s="76"/>
      <c r="N179" s="76"/>
    </row>
    <row r="180" customFormat="false" ht="15.75" hidden="false" customHeight="true" outlineLevel="0" collapsed="false">
      <c r="A180" s="74"/>
      <c r="B180" s="146"/>
      <c r="C180" s="76"/>
      <c r="D180" s="76"/>
      <c r="E180" s="76"/>
      <c r="F180" s="76"/>
      <c r="G180" s="76"/>
      <c r="H180" s="76"/>
      <c r="I180" s="76"/>
      <c r="J180" s="76"/>
      <c r="K180" s="76"/>
      <c r="L180" s="76"/>
      <c r="M180" s="76"/>
      <c r="N180" s="76"/>
    </row>
    <row r="181" customFormat="false" ht="15.75" hidden="false" customHeight="true" outlineLevel="0" collapsed="false">
      <c r="A181" s="74"/>
      <c r="B181" s="146"/>
      <c r="C181" s="76"/>
      <c r="D181" s="76"/>
      <c r="E181" s="76"/>
      <c r="F181" s="76"/>
      <c r="G181" s="76"/>
      <c r="H181" s="76"/>
      <c r="I181" s="76"/>
      <c r="J181" s="76"/>
      <c r="K181" s="76"/>
      <c r="L181" s="76"/>
      <c r="M181" s="76"/>
      <c r="N181" s="76"/>
    </row>
    <row r="182" customFormat="false" ht="15.75" hidden="false" customHeight="true" outlineLevel="0" collapsed="false">
      <c r="A182" s="74"/>
      <c r="B182" s="146"/>
      <c r="C182" s="76"/>
      <c r="D182" s="76"/>
      <c r="E182" s="76"/>
      <c r="F182" s="76"/>
      <c r="G182" s="76"/>
      <c r="H182" s="76"/>
      <c r="I182" s="76"/>
      <c r="J182" s="76"/>
      <c r="K182" s="76"/>
      <c r="L182" s="76"/>
      <c r="M182" s="76"/>
      <c r="N182" s="76"/>
    </row>
    <row r="183" customFormat="false" ht="15.75" hidden="false" customHeight="true" outlineLevel="0" collapsed="false">
      <c r="A183" s="74"/>
      <c r="B183" s="146"/>
      <c r="C183" s="76"/>
      <c r="D183" s="76"/>
      <c r="E183" s="76"/>
      <c r="F183" s="76"/>
      <c r="G183" s="76"/>
      <c r="H183" s="76"/>
      <c r="I183" s="76"/>
      <c r="J183" s="76"/>
      <c r="K183" s="76"/>
      <c r="L183" s="76"/>
      <c r="M183" s="76"/>
      <c r="N183" s="76"/>
    </row>
    <row r="184" customFormat="false" ht="15.75" hidden="false" customHeight="true" outlineLevel="0" collapsed="false">
      <c r="A184" s="74"/>
      <c r="B184" s="146"/>
      <c r="C184" s="76"/>
      <c r="D184" s="76"/>
      <c r="E184" s="76"/>
      <c r="F184" s="76"/>
      <c r="G184" s="76"/>
      <c r="H184" s="76"/>
      <c r="I184" s="76"/>
      <c r="J184" s="76"/>
      <c r="K184" s="76"/>
      <c r="L184" s="76"/>
      <c r="M184" s="76"/>
      <c r="N184" s="76"/>
    </row>
    <row r="185" customFormat="false" ht="15.75" hidden="false" customHeight="true" outlineLevel="0" collapsed="false">
      <c r="A185" s="74"/>
      <c r="B185" s="146"/>
      <c r="C185" s="76"/>
      <c r="D185" s="76"/>
      <c r="E185" s="76"/>
      <c r="F185" s="76"/>
      <c r="G185" s="76"/>
      <c r="H185" s="76"/>
      <c r="I185" s="76"/>
      <c r="J185" s="76"/>
      <c r="K185" s="76"/>
      <c r="L185" s="76"/>
      <c r="M185" s="76"/>
      <c r="N185" s="76"/>
    </row>
    <row r="186" customFormat="false" ht="15.75" hidden="false" customHeight="true" outlineLevel="0" collapsed="false">
      <c r="A186" s="74"/>
      <c r="B186" s="146"/>
      <c r="C186" s="76"/>
      <c r="D186" s="76"/>
      <c r="E186" s="76"/>
      <c r="F186" s="76"/>
      <c r="G186" s="76"/>
      <c r="H186" s="76"/>
      <c r="I186" s="76"/>
      <c r="J186" s="76"/>
      <c r="K186" s="76"/>
      <c r="L186" s="76"/>
      <c r="M186" s="76"/>
      <c r="N186" s="76"/>
    </row>
    <row r="187" customFormat="false" ht="15.75" hidden="false" customHeight="true" outlineLevel="0" collapsed="false">
      <c r="A187" s="74"/>
      <c r="B187" s="146"/>
      <c r="C187" s="76"/>
      <c r="D187" s="76"/>
      <c r="E187" s="76"/>
      <c r="F187" s="76"/>
      <c r="G187" s="76"/>
      <c r="H187" s="76"/>
      <c r="I187" s="76"/>
      <c r="J187" s="76"/>
      <c r="K187" s="76"/>
      <c r="L187" s="76"/>
      <c r="M187" s="76"/>
      <c r="N187" s="76"/>
    </row>
    <row r="188" customFormat="false" ht="15.75" hidden="false" customHeight="true" outlineLevel="0" collapsed="false">
      <c r="A188" s="74"/>
      <c r="B188" s="146"/>
      <c r="C188" s="76"/>
      <c r="D188" s="76"/>
      <c r="E188" s="76"/>
      <c r="F188" s="76"/>
      <c r="G188" s="76"/>
      <c r="H188" s="76"/>
      <c r="I188" s="76"/>
      <c r="J188" s="76"/>
      <c r="K188" s="76"/>
      <c r="L188" s="76"/>
      <c r="M188" s="76"/>
      <c r="N188" s="76"/>
    </row>
    <row r="189" customFormat="false" ht="15.75" hidden="false" customHeight="true" outlineLevel="0" collapsed="false">
      <c r="A189" s="74"/>
      <c r="B189" s="146"/>
      <c r="C189" s="76"/>
      <c r="D189" s="76"/>
      <c r="E189" s="76"/>
      <c r="F189" s="76"/>
      <c r="G189" s="76"/>
      <c r="H189" s="76"/>
      <c r="I189" s="76"/>
      <c r="J189" s="76"/>
      <c r="K189" s="76"/>
      <c r="L189" s="76"/>
      <c r="M189" s="76"/>
      <c r="N189" s="76"/>
    </row>
    <row r="190" customFormat="false" ht="15.75" hidden="false" customHeight="true" outlineLevel="0" collapsed="false">
      <c r="A190" s="74"/>
      <c r="B190" s="146"/>
      <c r="C190" s="76"/>
      <c r="D190" s="76"/>
      <c r="E190" s="76"/>
      <c r="F190" s="76"/>
      <c r="G190" s="76"/>
      <c r="H190" s="76"/>
      <c r="I190" s="76"/>
      <c r="J190" s="76"/>
      <c r="K190" s="76"/>
      <c r="L190" s="76"/>
      <c r="M190" s="76"/>
      <c r="N190" s="76"/>
    </row>
    <row r="191" customFormat="false" ht="15.75" hidden="false" customHeight="true" outlineLevel="0" collapsed="false">
      <c r="A191" s="74"/>
      <c r="B191" s="146"/>
      <c r="C191" s="76"/>
      <c r="D191" s="76"/>
      <c r="E191" s="76"/>
      <c r="F191" s="76"/>
      <c r="G191" s="76"/>
      <c r="H191" s="76"/>
      <c r="I191" s="76"/>
      <c r="J191" s="76"/>
      <c r="K191" s="76"/>
      <c r="L191" s="76"/>
      <c r="M191" s="76"/>
      <c r="N191" s="76"/>
    </row>
    <row r="192" customFormat="false" ht="15.75" hidden="false" customHeight="true" outlineLevel="0" collapsed="false">
      <c r="A192" s="74"/>
      <c r="B192" s="146"/>
      <c r="C192" s="76"/>
      <c r="D192" s="76"/>
      <c r="E192" s="76"/>
      <c r="F192" s="76"/>
      <c r="G192" s="76"/>
      <c r="H192" s="76"/>
      <c r="I192" s="76"/>
      <c r="J192" s="76"/>
      <c r="K192" s="76"/>
      <c r="L192" s="76"/>
      <c r="M192" s="76"/>
      <c r="N192" s="76"/>
    </row>
    <row r="193" customFormat="false" ht="15.75" hidden="false" customHeight="true" outlineLevel="0" collapsed="false">
      <c r="A193" s="74"/>
      <c r="B193" s="146"/>
      <c r="C193" s="76"/>
      <c r="D193" s="76"/>
      <c r="E193" s="76"/>
      <c r="F193" s="76"/>
      <c r="G193" s="76"/>
      <c r="H193" s="76"/>
      <c r="I193" s="76"/>
      <c r="J193" s="76"/>
      <c r="K193" s="76"/>
      <c r="L193" s="76"/>
      <c r="M193" s="76"/>
      <c r="N193" s="76"/>
    </row>
    <row r="194" customFormat="false" ht="15.75" hidden="false" customHeight="true" outlineLevel="0" collapsed="false">
      <c r="A194" s="74"/>
      <c r="B194" s="146"/>
      <c r="C194" s="76"/>
      <c r="D194" s="76"/>
      <c r="E194" s="76"/>
      <c r="F194" s="76"/>
      <c r="G194" s="76"/>
      <c r="H194" s="76"/>
      <c r="I194" s="76"/>
      <c r="J194" s="76"/>
      <c r="K194" s="76"/>
      <c r="L194" s="76"/>
      <c r="M194" s="76"/>
      <c r="N194" s="76"/>
    </row>
    <row r="195" customFormat="false" ht="15.75" hidden="false" customHeight="true" outlineLevel="0" collapsed="false">
      <c r="A195" s="74"/>
      <c r="B195" s="146"/>
      <c r="C195" s="76"/>
      <c r="D195" s="76"/>
      <c r="E195" s="76"/>
      <c r="F195" s="76"/>
      <c r="G195" s="76"/>
      <c r="H195" s="76"/>
      <c r="I195" s="76"/>
      <c r="J195" s="76"/>
      <c r="K195" s="76"/>
      <c r="L195" s="76"/>
      <c r="M195" s="76"/>
      <c r="N195" s="76"/>
    </row>
    <row r="196" customFormat="false" ht="15.75" hidden="false" customHeight="true" outlineLevel="0" collapsed="false">
      <c r="A196" s="74"/>
      <c r="B196" s="146"/>
      <c r="C196" s="76"/>
      <c r="D196" s="76"/>
      <c r="E196" s="76"/>
      <c r="F196" s="76"/>
      <c r="G196" s="76"/>
      <c r="H196" s="76"/>
      <c r="I196" s="76"/>
      <c r="J196" s="76"/>
      <c r="K196" s="76"/>
      <c r="L196" s="76"/>
      <c r="M196" s="76"/>
      <c r="N196" s="76"/>
    </row>
    <row r="197" customFormat="false" ht="15.75" hidden="false" customHeight="true" outlineLevel="0" collapsed="false">
      <c r="A197" s="74"/>
      <c r="B197" s="146"/>
      <c r="C197" s="76"/>
      <c r="D197" s="76"/>
      <c r="E197" s="76"/>
      <c r="F197" s="76"/>
      <c r="G197" s="76"/>
      <c r="H197" s="76"/>
      <c r="I197" s="76"/>
      <c r="J197" s="76"/>
      <c r="K197" s="76"/>
      <c r="L197" s="76"/>
      <c r="M197" s="76"/>
      <c r="N197" s="76"/>
    </row>
    <row r="198" customFormat="false" ht="15.75" hidden="false" customHeight="true" outlineLevel="0" collapsed="false">
      <c r="A198" s="74"/>
      <c r="B198" s="146"/>
      <c r="C198" s="76"/>
      <c r="D198" s="76"/>
      <c r="E198" s="76"/>
      <c r="F198" s="76"/>
      <c r="G198" s="76"/>
      <c r="H198" s="76"/>
      <c r="I198" s="76"/>
      <c r="J198" s="76"/>
      <c r="K198" s="76"/>
      <c r="L198" s="76"/>
      <c r="M198" s="76"/>
      <c r="N198" s="76"/>
    </row>
    <row r="199" customFormat="false" ht="15.75" hidden="false" customHeight="true" outlineLevel="0" collapsed="false">
      <c r="A199" s="74"/>
      <c r="B199" s="146"/>
      <c r="C199" s="76"/>
      <c r="D199" s="76"/>
      <c r="E199" s="76"/>
      <c r="F199" s="76"/>
      <c r="G199" s="76"/>
      <c r="H199" s="76"/>
      <c r="I199" s="76"/>
      <c r="J199" s="76"/>
      <c r="K199" s="76"/>
      <c r="L199" s="76"/>
      <c r="M199" s="76"/>
      <c r="N199" s="76"/>
    </row>
    <row r="200" customFormat="false" ht="15.75" hidden="false" customHeight="true" outlineLevel="0" collapsed="false">
      <c r="A200" s="74"/>
      <c r="B200" s="146"/>
      <c r="C200" s="76"/>
      <c r="D200" s="76"/>
      <c r="E200" s="76"/>
      <c r="F200" s="76"/>
      <c r="G200" s="76"/>
      <c r="H200" s="76"/>
      <c r="I200" s="76"/>
      <c r="J200" s="76"/>
      <c r="K200" s="76"/>
      <c r="L200" s="76"/>
      <c r="M200" s="76"/>
      <c r="N200" s="76"/>
    </row>
    <row r="201" customFormat="false" ht="15.75" hidden="false" customHeight="true" outlineLevel="0" collapsed="false">
      <c r="A201" s="74"/>
      <c r="B201" s="146"/>
      <c r="C201" s="76"/>
      <c r="D201" s="76"/>
      <c r="E201" s="76"/>
      <c r="F201" s="76"/>
      <c r="G201" s="76"/>
      <c r="H201" s="76"/>
      <c r="I201" s="76"/>
      <c r="J201" s="76"/>
      <c r="K201" s="76"/>
      <c r="L201" s="76"/>
      <c r="M201" s="76"/>
      <c r="N201" s="76"/>
    </row>
    <row r="202" customFormat="false" ht="15.75" hidden="false" customHeight="true" outlineLevel="0" collapsed="false">
      <c r="A202" s="74"/>
      <c r="B202" s="146"/>
      <c r="C202" s="76"/>
      <c r="D202" s="76"/>
      <c r="E202" s="76"/>
      <c r="F202" s="76"/>
      <c r="G202" s="76"/>
      <c r="H202" s="76"/>
      <c r="I202" s="76"/>
      <c r="J202" s="76"/>
      <c r="K202" s="76"/>
      <c r="L202" s="76"/>
      <c r="M202" s="76"/>
      <c r="N202" s="76"/>
    </row>
    <row r="203" customFormat="false" ht="15.75" hidden="false" customHeight="true" outlineLevel="0" collapsed="false">
      <c r="A203" s="74"/>
      <c r="B203" s="146"/>
      <c r="C203" s="76"/>
      <c r="D203" s="76"/>
      <c r="E203" s="76"/>
      <c r="F203" s="76"/>
      <c r="G203" s="76"/>
      <c r="H203" s="76"/>
      <c r="I203" s="76"/>
      <c r="J203" s="76"/>
      <c r="K203" s="76"/>
      <c r="L203" s="76"/>
      <c r="M203" s="76"/>
      <c r="N203" s="76"/>
    </row>
    <row r="204" customFormat="false" ht="15.75" hidden="false" customHeight="true" outlineLevel="0" collapsed="false">
      <c r="A204" s="74"/>
      <c r="B204" s="146"/>
      <c r="C204" s="76"/>
      <c r="D204" s="76"/>
      <c r="E204" s="76"/>
      <c r="F204" s="76"/>
      <c r="G204" s="76"/>
      <c r="H204" s="76"/>
      <c r="I204" s="76"/>
      <c r="J204" s="76"/>
      <c r="K204" s="76"/>
      <c r="L204" s="76"/>
      <c r="M204" s="76"/>
      <c r="N204" s="76"/>
    </row>
    <row r="205" customFormat="false" ht="15.75" hidden="false" customHeight="true" outlineLevel="0" collapsed="false">
      <c r="A205" s="74"/>
      <c r="B205" s="146"/>
      <c r="C205" s="76"/>
      <c r="D205" s="76"/>
      <c r="E205" s="76"/>
      <c r="F205" s="76"/>
      <c r="G205" s="76"/>
      <c r="H205" s="76"/>
      <c r="I205" s="76"/>
      <c r="J205" s="76"/>
      <c r="K205" s="76"/>
      <c r="L205" s="76"/>
      <c r="M205" s="76"/>
      <c r="N205" s="76"/>
    </row>
    <row r="206" customFormat="false" ht="15.75" hidden="false" customHeight="true" outlineLevel="0" collapsed="false">
      <c r="A206" s="74"/>
      <c r="B206" s="146"/>
      <c r="C206" s="76"/>
      <c r="D206" s="76"/>
      <c r="E206" s="76"/>
      <c r="F206" s="76"/>
      <c r="G206" s="76"/>
      <c r="H206" s="76"/>
      <c r="I206" s="76"/>
      <c r="J206" s="76"/>
      <c r="K206" s="76"/>
      <c r="L206" s="76"/>
      <c r="M206" s="76"/>
      <c r="N206" s="76"/>
    </row>
    <row r="207" customFormat="false" ht="15.75" hidden="false" customHeight="true" outlineLevel="0" collapsed="false">
      <c r="A207" s="74"/>
      <c r="B207" s="146"/>
      <c r="C207" s="76"/>
      <c r="D207" s="76"/>
      <c r="E207" s="76"/>
      <c r="F207" s="76"/>
      <c r="G207" s="76"/>
      <c r="H207" s="76"/>
      <c r="I207" s="76"/>
      <c r="J207" s="76"/>
      <c r="K207" s="76"/>
      <c r="L207" s="76"/>
      <c r="M207" s="76"/>
      <c r="N207" s="76"/>
    </row>
    <row r="208" customFormat="false" ht="15.75" hidden="false" customHeight="true" outlineLevel="0" collapsed="false">
      <c r="A208" s="74"/>
      <c r="B208" s="146"/>
      <c r="C208" s="76"/>
      <c r="D208" s="76"/>
      <c r="E208" s="76"/>
      <c r="F208" s="76"/>
      <c r="G208" s="76"/>
      <c r="H208" s="76"/>
      <c r="I208" s="76"/>
      <c r="J208" s="76"/>
      <c r="K208" s="76"/>
      <c r="L208" s="76"/>
      <c r="M208" s="76"/>
      <c r="N208" s="76"/>
    </row>
    <row r="209" customFormat="false" ht="15.75" hidden="false" customHeight="true" outlineLevel="0" collapsed="false">
      <c r="A209" s="74"/>
      <c r="B209" s="146"/>
      <c r="C209" s="76"/>
      <c r="D209" s="76"/>
      <c r="E209" s="76"/>
      <c r="F209" s="76"/>
      <c r="G209" s="76"/>
      <c r="H209" s="76"/>
      <c r="I209" s="76"/>
      <c r="J209" s="76"/>
      <c r="K209" s="76"/>
      <c r="L209" s="76"/>
      <c r="M209" s="76"/>
      <c r="N209" s="76"/>
    </row>
    <row r="210" customFormat="false" ht="15.75" hidden="false" customHeight="true" outlineLevel="0" collapsed="false">
      <c r="A210" s="74"/>
      <c r="B210" s="146"/>
      <c r="C210" s="76"/>
      <c r="D210" s="76"/>
      <c r="E210" s="76"/>
      <c r="F210" s="76"/>
      <c r="G210" s="76"/>
      <c r="H210" s="76"/>
      <c r="I210" s="76"/>
      <c r="J210" s="76"/>
      <c r="K210" s="76"/>
      <c r="L210" s="76"/>
      <c r="M210" s="76"/>
      <c r="N210" s="76"/>
    </row>
    <row r="211" customFormat="false" ht="15.75" hidden="false" customHeight="true" outlineLevel="0" collapsed="false">
      <c r="A211" s="74"/>
      <c r="B211" s="146"/>
      <c r="C211" s="76"/>
      <c r="D211" s="76"/>
      <c r="E211" s="76"/>
      <c r="F211" s="76"/>
      <c r="G211" s="76"/>
      <c r="H211" s="76"/>
      <c r="I211" s="76"/>
      <c r="J211" s="76"/>
      <c r="K211" s="76"/>
      <c r="L211" s="76"/>
      <c r="M211" s="76"/>
      <c r="N211" s="76"/>
    </row>
    <row r="212" customFormat="false" ht="15.75" hidden="false" customHeight="true" outlineLevel="0" collapsed="false">
      <c r="A212" s="74"/>
      <c r="B212" s="146"/>
      <c r="C212" s="76"/>
      <c r="D212" s="76"/>
      <c r="E212" s="76"/>
      <c r="F212" s="76"/>
      <c r="G212" s="76"/>
      <c r="H212" s="76"/>
      <c r="I212" s="76"/>
      <c r="J212" s="76"/>
      <c r="K212" s="76"/>
      <c r="L212" s="76"/>
      <c r="M212" s="76"/>
      <c r="N212" s="76"/>
    </row>
    <row r="213" customFormat="false" ht="15.75" hidden="false" customHeight="true" outlineLevel="0" collapsed="false">
      <c r="A213" s="74"/>
      <c r="B213" s="146"/>
      <c r="C213" s="76"/>
      <c r="D213" s="76"/>
      <c r="E213" s="76"/>
      <c r="F213" s="76"/>
      <c r="G213" s="76"/>
      <c r="H213" s="76"/>
      <c r="I213" s="76"/>
      <c r="J213" s="76"/>
      <c r="K213" s="76"/>
      <c r="L213" s="76"/>
      <c r="M213" s="76"/>
      <c r="N213" s="76"/>
    </row>
    <row r="214" customFormat="false" ht="15.75" hidden="false" customHeight="true" outlineLevel="0" collapsed="false">
      <c r="A214" s="74"/>
      <c r="B214" s="146"/>
      <c r="C214" s="76"/>
      <c r="D214" s="76"/>
      <c r="E214" s="76"/>
      <c r="F214" s="76"/>
      <c r="G214" s="76"/>
      <c r="H214" s="76"/>
      <c r="I214" s="76"/>
      <c r="J214" s="76"/>
      <c r="K214" s="76"/>
      <c r="L214" s="76"/>
      <c r="M214" s="76"/>
      <c r="N214" s="76"/>
    </row>
    <row r="215" customFormat="false" ht="15.75" hidden="false" customHeight="true" outlineLevel="0" collapsed="false">
      <c r="A215" s="74"/>
      <c r="B215" s="146"/>
      <c r="C215" s="76"/>
      <c r="D215" s="76"/>
      <c r="E215" s="76"/>
      <c r="F215" s="76"/>
      <c r="G215" s="76"/>
      <c r="H215" s="76"/>
      <c r="I215" s="76"/>
      <c r="J215" s="76"/>
      <c r="K215" s="76"/>
      <c r="L215" s="76"/>
      <c r="M215" s="76"/>
      <c r="N215" s="76"/>
    </row>
    <row r="216" customFormat="false" ht="15.75" hidden="false" customHeight="true" outlineLevel="0" collapsed="false">
      <c r="A216" s="74"/>
      <c r="B216" s="146"/>
      <c r="C216" s="76"/>
      <c r="D216" s="76"/>
      <c r="E216" s="76"/>
      <c r="F216" s="76"/>
      <c r="G216" s="76"/>
      <c r="H216" s="76"/>
      <c r="I216" s="76"/>
      <c r="J216" s="76"/>
      <c r="K216" s="76"/>
      <c r="L216" s="76"/>
      <c r="M216" s="76"/>
      <c r="N216" s="76"/>
    </row>
    <row r="217" customFormat="false" ht="15.75" hidden="false" customHeight="true" outlineLevel="0" collapsed="false">
      <c r="A217" s="74"/>
      <c r="B217" s="146"/>
      <c r="C217" s="76"/>
      <c r="D217" s="76"/>
      <c r="E217" s="76"/>
      <c r="F217" s="76"/>
      <c r="G217" s="76"/>
      <c r="H217" s="76"/>
      <c r="I217" s="76"/>
      <c r="J217" s="76"/>
      <c r="K217" s="76"/>
      <c r="L217" s="76"/>
      <c r="M217" s="76"/>
      <c r="N217" s="76"/>
    </row>
    <row r="218" customFormat="false" ht="15.75" hidden="false" customHeight="true" outlineLevel="0" collapsed="false">
      <c r="A218" s="74"/>
      <c r="B218" s="146"/>
      <c r="C218" s="76"/>
      <c r="D218" s="76"/>
      <c r="E218" s="76"/>
      <c r="F218" s="76"/>
      <c r="G218" s="76"/>
      <c r="H218" s="76"/>
      <c r="I218" s="76"/>
      <c r="J218" s="76"/>
      <c r="K218" s="76"/>
      <c r="L218" s="76"/>
      <c r="M218" s="76"/>
      <c r="N218" s="76"/>
    </row>
    <row r="219" customFormat="false" ht="15.75" hidden="false" customHeight="true" outlineLevel="0" collapsed="false">
      <c r="A219" s="74"/>
      <c r="B219" s="146"/>
      <c r="C219" s="76"/>
      <c r="D219" s="76"/>
      <c r="E219" s="76"/>
      <c r="F219" s="76"/>
      <c r="G219" s="76"/>
      <c r="H219" s="76"/>
      <c r="I219" s="76"/>
      <c r="J219" s="76"/>
      <c r="K219" s="76"/>
      <c r="L219" s="76"/>
      <c r="M219" s="76"/>
      <c r="N219" s="76"/>
    </row>
    <row r="220" customFormat="false" ht="15.75" hidden="false" customHeight="true" outlineLevel="0" collapsed="false">
      <c r="A220" s="74"/>
      <c r="B220" s="146"/>
      <c r="C220" s="76"/>
      <c r="D220" s="76"/>
      <c r="E220" s="76"/>
      <c r="F220" s="76"/>
      <c r="G220" s="76"/>
      <c r="H220" s="76"/>
      <c r="I220" s="76"/>
      <c r="J220" s="76"/>
      <c r="K220" s="76"/>
      <c r="L220" s="76"/>
      <c r="M220" s="76"/>
      <c r="N220" s="76"/>
    </row>
    <row r="221" customFormat="false" ht="15.75" hidden="false" customHeight="true" outlineLevel="0" collapsed="false">
      <c r="A221" s="74"/>
      <c r="B221" s="146"/>
      <c r="C221" s="76"/>
      <c r="D221" s="76"/>
      <c r="E221" s="76"/>
      <c r="F221" s="76"/>
      <c r="G221" s="76"/>
      <c r="H221" s="76"/>
      <c r="I221" s="76"/>
      <c r="J221" s="76"/>
      <c r="K221" s="76"/>
      <c r="L221" s="76"/>
      <c r="M221" s="76"/>
      <c r="N221" s="76"/>
    </row>
    <row r="222" customFormat="false" ht="15.75" hidden="false" customHeight="true" outlineLevel="0" collapsed="false">
      <c r="A222" s="74"/>
      <c r="B222" s="146"/>
      <c r="C222" s="76"/>
      <c r="D222" s="76"/>
      <c r="E222" s="76"/>
      <c r="F222" s="76"/>
      <c r="G222" s="76"/>
      <c r="H222" s="76"/>
      <c r="I222" s="76"/>
      <c r="J222" s="76"/>
      <c r="K222" s="76"/>
      <c r="L222" s="76"/>
      <c r="M222" s="76"/>
      <c r="N222" s="76"/>
    </row>
    <row r="223" customFormat="false" ht="15.75" hidden="false" customHeight="true" outlineLevel="0" collapsed="false">
      <c r="A223" s="74"/>
      <c r="B223" s="146"/>
      <c r="C223" s="76"/>
      <c r="D223" s="76"/>
      <c r="E223" s="76"/>
      <c r="F223" s="76"/>
      <c r="G223" s="76"/>
      <c r="H223" s="76"/>
      <c r="I223" s="76"/>
      <c r="J223" s="76"/>
      <c r="K223" s="76"/>
      <c r="L223" s="76"/>
      <c r="M223" s="76"/>
      <c r="N223" s="76"/>
    </row>
    <row r="224" customFormat="false" ht="15.75" hidden="false" customHeight="true" outlineLevel="0" collapsed="false">
      <c r="A224" s="74"/>
      <c r="B224" s="146"/>
      <c r="C224" s="76"/>
      <c r="D224" s="76"/>
      <c r="E224" s="76"/>
      <c r="F224" s="76"/>
      <c r="G224" s="76"/>
      <c r="H224" s="76"/>
      <c r="I224" s="76"/>
      <c r="J224" s="76"/>
      <c r="K224" s="76"/>
      <c r="L224" s="76"/>
      <c r="M224" s="76"/>
      <c r="N224" s="76"/>
    </row>
    <row r="225" customFormat="false" ht="15.75" hidden="false" customHeight="true" outlineLevel="0" collapsed="false">
      <c r="A225" s="74"/>
      <c r="B225" s="146"/>
      <c r="C225" s="76"/>
      <c r="D225" s="76"/>
      <c r="E225" s="76"/>
      <c r="F225" s="76"/>
      <c r="G225" s="76"/>
      <c r="H225" s="76"/>
      <c r="I225" s="76"/>
      <c r="J225" s="76"/>
      <c r="K225" s="76"/>
      <c r="L225" s="76"/>
      <c r="M225" s="76"/>
      <c r="N225" s="76"/>
    </row>
    <row r="226" customFormat="false" ht="15.75" hidden="false" customHeight="true" outlineLevel="0" collapsed="false">
      <c r="A226" s="74"/>
      <c r="B226" s="146"/>
      <c r="C226" s="76"/>
      <c r="D226" s="76"/>
      <c r="E226" s="76"/>
      <c r="F226" s="76"/>
      <c r="G226" s="76"/>
      <c r="H226" s="76"/>
      <c r="I226" s="76"/>
      <c r="J226" s="76"/>
      <c r="K226" s="76"/>
      <c r="L226" s="76"/>
      <c r="M226" s="76"/>
      <c r="N226" s="76"/>
    </row>
    <row r="227" customFormat="false" ht="15.75" hidden="false" customHeight="true" outlineLevel="0" collapsed="false">
      <c r="A227" s="74"/>
      <c r="B227" s="146"/>
      <c r="C227" s="76"/>
      <c r="D227" s="76"/>
      <c r="E227" s="76"/>
      <c r="F227" s="76"/>
      <c r="G227" s="76"/>
      <c r="H227" s="76"/>
      <c r="I227" s="76"/>
      <c r="J227" s="76"/>
      <c r="K227" s="76"/>
      <c r="L227" s="76"/>
      <c r="M227" s="76"/>
      <c r="N227" s="76"/>
    </row>
    <row r="228" customFormat="false" ht="15.75" hidden="false" customHeight="true" outlineLevel="0" collapsed="false">
      <c r="A228" s="74"/>
      <c r="B228" s="146"/>
      <c r="C228" s="76"/>
      <c r="D228" s="76"/>
      <c r="E228" s="76"/>
      <c r="F228" s="76"/>
      <c r="G228" s="76"/>
      <c r="H228" s="76"/>
      <c r="I228" s="76"/>
      <c r="J228" s="76"/>
      <c r="K228" s="76"/>
      <c r="L228" s="76"/>
      <c r="M228" s="76"/>
      <c r="N228" s="76"/>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C1" r:id="rId1" display="Тумба под ТВ Ацтека Azteca RTV2D2S/4/15"/>
    <hyperlink ref="D1" r:id="rId2" display="Комод Ацтека Azteca KOM4S/8/11"/>
    <hyperlink ref="E1" r:id="rId3" display="Комод Индиана Indiana (сосна канйон) JKOM_4s/80"/>
    <hyperlink ref="F1" r:id="rId4" display="Стол письменный Индиана Indiana (сосна канйон) JBIU_2d2s_140"/>
    <hyperlink ref="G1" r:id="rId5" display="Комод Коэн Коен МДФ KOM4S"/>
    <hyperlink ref="H1" r:id="rId6" display="Шкаф Коэн Коен МДФ SZF2D2S"/>
    <hyperlink ref="I1" r:id="rId7" display="Комод Вайт White 4S _90"/>
    <hyperlink ref="J1" r:id="rId8" display="Шкаф Вайт White 2D"/>
    <hyperlink ref="L1" r:id="rId9" display="Аляска Alaska гостиная"/>
    <hyperlink ref="N1" r:id="rId10" display="Шкаф Либерти Liberti 3D"/>
    <hyperlink ref="A3" r:id="rId11" display="BRWmania.com.ua "/>
    <hyperlink ref="A4" r:id="rId12" display="http://redlight.com.ua/"/>
    <hyperlink ref="A5" r:id="rId13" display="https://mebli-bristol.com.ua/"/>
    <hyperlink ref="A6" r:id="rId14" display="http://gerbor.kiev.ua/"/>
    <hyperlink ref="A7" r:id="rId15" display="http://www.brwland.com.ua/"/>
    <hyperlink ref="A8" r:id="rId16" display="http://gerbor.dp.ua/"/>
    <hyperlink ref="A9" r:id="rId17" display="https://vashamebel.in.ua/"/>
    <hyperlink ref="A10" r:id="rId18" display="http://mebel-mebel.com.ua/"/>
    <hyperlink ref="A11" r:id="rId19" display="http://abcmebli.com.ua"/>
    <hyperlink ref="A12" r:id="rId20" display="https://gerbor.mebelok.com/"/>
    <hyperlink ref="A13" r:id="rId21" display="http://maxmebel.com.ua/"/>
    <hyperlink ref="A14" r:id="rId22" display="https://moyamebel.com.ua/ua"/>
    <hyperlink ref="A15" r:id="rId23" display="https://mebel-soyuz.com.ua/"/>
    <hyperlink ref="A16" r:id="rId24" display="https://sofino.ua/"/>
    <hyperlink ref="A17" r:id="rId25" display="http://www.brw-gerbor.od.ua/"/>
    <hyperlink ref="A18" r:id="rId26" display="http://gerbor.mebli-smerichka.com.ua/"/>
    <hyperlink ref="A19" r:id="rId27" display="http://furniture.zp.ua/"/>
    <hyperlink ref="A21" r:id="rId28" display="https://www.brw-kiev.com.ua/"/>
    <hyperlink ref="A22" r:id="rId29" display="https://brw-lviv.com.ua/"/>
    <hyperlink ref="A23" r:id="rId30" display="https://brw.kiev.ua/"/>
    <hyperlink ref="A24" r:id="rId31" display="http://brw.com.ua/"/>
    <hyperlink ref="A25" r:id="rId32" display="https://mebelstyle.net/"/>
    <hyperlink ref="A26" r:id="rId33" display="https://lvivmebli.com/"/>
    <hyperlink ref="A27" r:id="rId34" display="http://centrmebliv.com.ua/"/>
    <hyperlink ref="A28" r:id="rId35" display="https://letromebe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23.57"/>
    <col collapsed="false" customWidth="true" hidden="false" outlineLevel="0" max="3" min="3" style="0" width="112.71"/>
    <col collapsed="false" customWidth="true" hidden="false" outlineLevel="0" max="4" min="4" style="0" width="35.29"/>
  </cols>
  <sheetData>
    <row r="1" customFormat="false" ht="15.75" hidden="false" customHeight="true" outlineLevel="0" collapsed="false">
      <c r="A1" s="288"/>
      <c r="B1" s="84"/>
      <c r="D1" s="84"/>
    </row>
    <row r="2" customFormat="false" ht="15.75" hidden="false" customHeight="true" outlineLevel="0" collapsed="false">
      <c r="A2" s="289" t="s">
        <v>638</v>
      </c>
      <c r="B2" s="290" t="s">
        <v>639</v>
      </c>
      <c r="C2" s="290" t="s">
        <v>640</v>
      </c>
      <c r="D2" s="290" t="s">
        <v>641</v>
      </c>
      <c r="E2" s="290"/>
      <c r="F2" s="290"/>
      <c r="G2" s="290"/>
      <c r="H2" s="290"/>
      <c r="I2" s="290"/>
      <c r="J2" s="290"/>
      <c r="K2" s="290"/>
      <c r="L2" s="290"/>
      <c r="M2" s="290"/>
      <c r="N2" s="290"/>
      <c r="O2" s="290"/>
      <c r="P2" s="290"/>
      <c r="Q2" s="290"/>
      <c r="R2" s="290"/>
      <c r="S2" s="290"/>
      <c r="T2" s="290"/>
      <c r="U2" s="290"/>
      <c r="V2" s="290"/>
      <c r="W2" s="290"/>
      <c r="X2" s="290"/>
    </row>
    <row r="3" customFormat="false" ht="15.75" hidden="false" customHeight="true" outlineLevel="0" collapsed="false">
      <c r="A3" s="288" t="s">
        <v>642</v>
      </c>
      <c r="B3" s="84" t="s">
        <v>643</v>
      </c>
    </row>
    <row r="4" customFormat="false" ht="15.75" hidden="false" customHeight="true" outlineLevel="0" collapsed="false">
      <c r="A4" s="291" t="s">
        <v>644</v>
      </c>
      <c r="B4" s="84" t="s">
        <v>645</v>
      </c>
      <c r="D4" s="84" t="s">
        <v>646</v>
      </c>
    </row>
    <row r="5" customFormat="false" ht="15.75" hidden="false" customHeight="true" outlineLevel="0" collapsed="false">
      <c r="A5" s="292" t="s">
        <v>647</v>
      </c>
      <c r="B5" s="84" t="s">
        <v>645</v>
      </c>
      <c r="C5" s="84" t="s">
        <v>648</v>
      </c>
      <c r="D5" s="84" t="s">
        <v>649</v>
      </c>
    </row>
    <row r="6" customFormat="false" ht="15.75" hidden="false" customHeight="true" outlineLevel="0" collapsed="false">
      <c r="A6" s="292" t="s">
        <v>650</v>
      </c>
      <c r="B6" s="84" t="s">
        <v>645</v>
      </c>
      <c r="C6" s="84" t="s">
        <v>651</v>
      </c>
      <c r="D6" s="84" t="s">
        <v>646</v>
      </c>
    </row>
    <row r="7" customFormat="false" ht="15.75" hidden="false" customHeight="true" outlineLevel="0" collapsed="false">
      <c r="A7" s="293" t="s">
        <v>652</v>
      </c>
      <c r="B7" s="294" t="s">
        <v>653</v>
      </c>
      <c r="C7" s="84" t="s">
        <v>654</v>
      </c>
      <c r="D7" s="84" t="s">
        <v>655</v>
      </c>
    </row>
    <row r="8" customFormat="false" ht="15.75" hidden="false" customHeight="true" outlineLevel="0" collapsed="false">
      <c r="A8" s="292" t="s">
        <v>656</v>
      </c>
      <c r="B8" s="84" t="s">
        <v>645</v>
      </c>
      <c r="C8" s="84" t="s">
        <v>657</v>
      </c>
      <c r="D8" s="84" t="s">
        <v>649</v>
      </c>
    </row>
    <row r="9" customFormat="false" ht="15.75" hidden="false" customHeight="true" outlineLevel="0" collapsed="false">
      <c r="A9" s="292" t="s">
        <v>658</v>
      </c>
      <c r="B9" s="84" t="s">
        <v>645</v>
      </c>
      <c r="C9" s="84" t="s">
        <v>659</v>
      </c>
      <c r="D9" s="84" t="s">
        <v>649</v>
      </c>
    </row>
    <row r="10" customFormat="false" ht="15.75" hidden="false" customHeight="true" outlineLevel="0" collapsed="false">
      <c r="A10" s="292" t="s">
        <v>660</v>
      </c>
      <c r="B10" s="84" t="s">
        <v>645</v>
      </c>
      <c r="C10" s="84" t="s">
        <v>661</v>
      </c>
      <c r="D10" s="84" t="s">
        <v>649</v>
      </c>
    </row>
    <row r="11" customFormat="false" ht="15.75" hidden="false" customHeight="true" outlineLevel="0" collapsed="false">
      <c r="A11" s="292" t="s">
        <v>662</v>
      </c>
      <c r="B11" s="295" t="s">
        <v>663</v>
      </c>
      <c r="C11" s="84" t="s">
        <v>664</v>
      </c>
      <c r="D11" s="84" t="s">
        <v>649</v>
      </c>
    </row>
    <row r="12" customFormat="false" ht="15.75" hidden="false" customHeight="true" outlineLevel="0" collapsed="false">
      <c r="A12" s="292" t="s">
        <v>665</v>
      </c>
      <c r="B12" s="295" t="s">
        <v>666</v>
      </c>
      <c r="C12" s="84" t="s">
        <v>667</v>
      </c>
      <c r="D12" s="84" t="s">
        <v>668</v>
      </c>
    </row>
    <row r="13" customFormat="false" ht="15.75" hidden="false" customHeight="true" outlineLevel="0" collapsed="false">
      <c r="A13" s="293" t="s">
        <v>669</v>
      </c>
      <c r="B13" s="294" t="s">
        <v>670</v>
      </c>
      <c r="C13" s="84" t="s">
        <v>671</v>
      </c>
      <c r="D13" s="84" t="s">
        <v>649</v>
      </c>
    </row>
    <row r="14" customFormat="false" ht="15.75" hidden="false" customHeight="true" outlineLevel="0" collapsed="false">
      <c r="A14" s="292" t="s">
        <v>672</v>
      </c>
      <c r="B14" s="84" t="s">
        <v>645</v>
      </c>
      <c r="C14" s="84" t="s">
        <v>673</v>
      </c>
      <c r="D14" s="84" t="s">
        <v>649</v>
      </c>
    </row>
    <row r="15" customFormat="false" ht="15.75" hidden="false" customHeight="true" outlineLevel="0" collapsed="false">
      <c r="A15" s="292" t="s">
        <v>674</v>
      </c>
      <c r="B15" s="84" t="s">
        <v>645</v>
      </c>
      <c r="C15" s="84" t="s">
        <v>675</v>
      </c>
      <c r="D15" s="84" t="s">
        <v>676</v>
      </c>
    </row>
    <row r="16" customFormat="false" ht="15.75" hidden="false" customHeight="true" outlineLevel="0" collapsed="false">
      <c r="A16" s="293" t="s">
        <v>677</v>
      </c>
      <c r="B16" s="294" t="s">
        <v>678</v>
      </c>
      <c r="C16" s="84" t="s">
        <v>679</v>
      </c>
      <c r="D16" s="84" t="s">
        <v>680</v>
      </c>
    </row>
    <row r="17" customFormat="false" ht="15.75" hidden="false" customHeight="true" outlineLevel="0" collapsed="false">
      <c r="A17" s="293" t="s">
        <v>681</v>
      </c>
      <c r="B17" s="294" t="s">
        <v>682</v>
      </c>
      <c r="C17" s="84" t="s">
        <v>683</v>
      </c>
      <c r="D17" s="84" t="s">
        <v>684</v>
      </c>
    </row>
    <row r="18" customFormat="false" ht="15.75" hidden="false" customHeight="true" outlineLevel="0" collapsed="false">
      <c r="A18" s="293" t="s">
        <v>685</v>
      </c>
      <c r="B18" s="294" t="s">
        <v>686</v>
      </c>
      <c r="C18" s="84" t="s">
        <v>687</v>
      </c>
      <c r="D18" s="84" t="s">
        <v>688</v>
      </c>
    </row>
    <row r="19" customFormat="false" ht="15.75" hidden="false" customHeight="true" outlineLevel="0" collapsed="false">
      <c r="A19" s="208" t="s">
        <v>30</v>
      </c>
      <c r="B19" s="84" t="s">
        <v>645</v>
      </c>
      <c r="C19" s="84" t="s">
        <v>689</v>
      </c>
      <c r="D19" s="84" t="s">
        <v>690</v>
      </c>
    </row>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A4" r:id="rId1" display="gerbor.kiev.ua"/>
    <hyperlink ref="A5" r:id="rId2" display="abcmebli.com.ua"/>
    <hyperlink ref="A6" r:id="rId3" display="redlight.com.ua"/>
    <hyperlink ref="A7" r:id="rId4" display="dybok.com.ua"/>
    <hyperlink ref="A8" r:id="rId5" display="mebel-online.com.ua"/>
    <hyperlink ref="A9" r:id="rId6" display="amado.in.ua"/>
    <hyperlink ref="A10" r:id="rId7" display="maxidom.com.ua"/>
    <hyperlink ref="A11" r:id="rId8" display="promebli.ua"/>
    <hyperlink ref="A12" r:id="rId9" display="mebline.com.ua"/>
    <hyperlink ref="A13" r:id="rId10" display="sofino.ua"/>
    <hyperlink ref="A14" r:id="rId11" display="amado.com.ua"/>
    <hyperlink ref="A15" r:id="rId12" display="komod-bc.com.ua"/>
    <hyperlink ref="A16" r:id="rId13" display="taburetka.ua"/>
    <hyperlink ref="A17" r:id="rId14" display="shurup.net.ua"/>
    <hyperlink ref="A18" r:id="rId15" display="mebelok.com"/>
    <hyperlink ref="A19" r:id="rId16" display="https://mebli-bristol.com.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21" t="s">
        <v>1</v>
      </c>
      <c r="C1" s="121" t="s">
        <v>2</v>
      </c>
      <c r="D1" s="121" t="s">
        <v>3</v>
      </c>
      <c r="E1" s="121" t="s">
        <v>4</v>
      </c>
      <c r="F1" s="121" t="s">
        <v>5</v>
      </c>
      <c r="G1" s="2" t="s">
        <v>6</v>
      </c>
      <c r="H1" s="2" t="s">
        <v>7</v>
      </c>
      <c r="I1" s="2" t="s">
        <v>8</v>
      </c>
      <c r="J1" s="122" t="s">
        <v>9</v>
      </c>
      <c r="K1" s="122" t="s">
        <v>15</v>
      </c>
      <c r="L1" s="123" t="s">
        <v>10</v>
      </c>
      <c r="M1" s="124" t="s">
        <v>11</v>
      </c>
      <c r="N1" s="124" t="s">
        <v>12</v>
      </c>
      <c r="O1" s="124" t="s">
        <v>13</v>
      </c>
      <c r="P1" s="124" t="s">
        <v>14</v>
      </c>
    </row>
    <row r="2" customFormat="false" ht="40.5" hidden="false" customHeight="true" outlineLevel="0" collapsed="false">
      <c r="A2" s="5" t="s">
        <v>16</v>
      </c>
      <c r="B2" s="6" t="n">
        <v>4400</v>
      </c>
      <c r="C2" s="7" t="n">
        <v>5210</v>
      </c>
      <c r="D2" s="9" t="n">
        <v>4170</v>
      </c>
      <c r="E2" s="9" t="n">
        <v>5980</v>
      </c>
      <c r="F2" s="9" t="n">
        <v>2630</v>
      </c>
      <c r="G2" s="9" t="n">
        <v>6210</v>
      </c>
      <c r="H2" s="7" t="n">
        <v>7210</v>
      </c>
      <c r="I2" s="9" t="n">
        <v>3860</v>
      </c>
      <c r="J2" s="10" t="n">
        <v>2340</v>
      </c>
      <c r="K2" s="10" t="n">
        <v>9650</v>
      </c>
      <c r="L2" s="10" t="n">
        <v>3950</v>
      </c>
      <c r="M2" s="10" t="n">
        <v>5350</v>
      </c>
      <c r="N2" s="77" t="n">
        <v>4940</v>
      </c>
      <c r="O2" s="10" t="n">
        <v>4030</v>
      </c>
      <c r="P2" s="10" t="n">
        <v>4670</v>
      </c>
    </row>
    <row r="3" customFormat="false" ht="48" hidden="false" customHeight="true" outlineLevel="0" collapsed="false">
      <c r="A3" s="78" t="s">
        <v>28</v>
      </c>
      <c r="B3" s="79" t="str">
        <f aca="false">HYPERLINK("https://brwmania.com.ua/gostinaja/modulnye-gostinye/sistema-azteka/tumba-pod-tv-acteka-rtv2d2s415/","4200")</f>
        <v>4200</v>
      </c>
      <c r="C3" s="80" t="str">
        <f aca="false">HYPERLINK("https://brwmania.com.ua/gostinaja/modulnye-gostinye/sistema-azteka/komod-acteka-kom4s811/","5010")</f>
        <v>5010</v>
      </c>
      <c r="D3" s="80" t="str">
        <f aca="false">HYPERLINK("https://brwmania.com.ua/gostinaja/modulnye-gostinye/sistema-indiana-indiana---dub-shuter/indiana-dub-shuter-laminat-j-011-komod-jkom-4s-80/","4010")</f>
        <v>4010</v>
      </c>
      <c r="E3" s="80" t="str">
        <f aca="false">HYPERLINK("https://brwmania.com.ua/gostinaja/modulnye-gostinye/sistema-indiana-indiana---dub-shuter/indiana-dub-shuter-laminat-j-007-stol-pismennyy-jbiu-2d2s-140/","5980")</f>
        <v>5980</v>
      </c>
      <c r="F3" s="80" t="str">
        <f aca="false">HYPERLINK("https://brwmania.com.ua/gostinaja/modulnye-gostinye/sistema_dzhuli/komod-dzhuli-july-kom4s-90/","2480")</f>
        <v>2480</v>
      </c>
      <c r="G3" s="80" t="str">
        <f aca="false">HYPERLINK("https://brwmania.com.ua/gostinaja/modulnye-gostinye/tovar-novij/shkaf-platjanoj-porto-szf3d2s/","5890")</f>
        <v>5890</v>
      </c>
      <c r="H3" s="80" t="str">
        <f aca="false">HYPERLINK("https://brwmania.com.ua/gostinaja/modulnye-gostinye/sistema-sonata-sonata/s-015-sonata-komod-8-s/","7090")</f>
        <v>7090</v>
      </c>
      <c r="I3" s="80" t="str">
        <f aca="false">HYPERLINK("https://brwmania.com.ua/gostinaja/modulnye-gostinye/sistema_kaspian_dub_sonoma/kaspian-dub-sonoma-jm-007-stol-pismennyy-biu-1d1s/","3630")</f>
        <v>3630</v>
      </c>
      <c r="J3" s="19" t="str">
        <f aca="false">HYPERLINK("https://brwmania.com.ua/gostinaja/modulnye-gostinye/sistema_nepo/nepo-prihozha-ppk/","2330")</f>
        <v>2330</v>
      </c>
      <c r="K3" s="80" t="str">
        <f aca="false">HYPERLINK("https://brwmania.com.ua/gostinaja/komplekty-gostinyh/aljaska-alaska-gostinaja/","9080")</f>
        <v>9080</v>
      </c>
      <c r="L3" s="81" t="n">
        <v>3880</v>
      </c>
      <c r="M3" s="81" t="n">
        <v>5210</v>
      </c>
      <c r="N3" s="81" t="n">
        <v>4780</v>
      </c>
      <c r="O3" s="81" t="n">
        <v>5590</v>
      </c>
      <c r="P3" s="81" t="n">
        <v>4550</v>
      </c>
    </row>
    <row r="4" customFormat="false" ht="60.75" hidden="false" customHeight="true" outlineLevel="0" collapsed="false">
      <c r="A4" s="78" t="s">
        <v>29</v>
      </c>
      <c r="B4" s="29" t="str">
        <f aca="false">HYPERLINK("https://redlight.com.ua/tv-stands/item-tumba-tv-rtv2d2s-4-15-atsteka","4200")</f>
        <v>4200</v>
      </c>
      <c r="C4" s="30" t="str">
        <f aca="false">HYPERLINK("https://redlight.com.ua/komod/item-komod-kom4s-8-11-atsteka","5010")</f>
        <v>5010</v>
      </c>
      <c r="D4" s="30" t="str">
        <f aca="false">HYPERLINK("https://redlight.com.ua/komod/item-komod-jkom-4s-80-indiana","4010")</f>
        <v>4010</v>
      </c>
      <c r="E4" s="30" t="str">
        <f aca="false">HYPERLINK("https://redlight.com.ua/stoly/item-stol-pismenniy-jbiu-2d2s-indiana","5980")</f>
        <v>5980</v>
      </c>
      <c r="F4" s="30" t="str">
        <f aca="false">HYPERLINK("https://redlight.com.ua/komod/item-komod-kom4s-90-dzhuli","2480")</f>
        <v>2480</v>
      </c>
      <c r="G4" s="32" t="str">
        <f aca="false">HYPERLINK("http://redlight.com.ua/raspashnyye-shkafy/item-porto-shkaf-szf3d2s","5890")</f>
        <v>5890</v>
      </c>
      <c r="H4" s="32" t="str">
        <f aca="false">HYPERLINK("http://redlight.com.ua/komod/item-komod-8s-sonata-","7090")</f>
        <v>7090</v>
      </c>
      <c r="I4" s="22" t="str">
        <f aca="false">HYPERLINK("http://redlight.com.ua/stoly/item-kaspian-pismenniy-stol-biu-1d1s-120-kaspian","3630")</f>
        <v>3630</v>
      </c>
      <c r="J4" s="30" t="str">
        <f aca="false">HYPERLINK("https://redlight.com.ua/prihozhie/item-nepo-prihozhaya-rrk-","2330")</f>
        <v>2330</v>
      </c>
      <c r="K4" s="36" t="str">
        <f aca="false">HYPERLINK("http://redlight.com.ua/stenki/item-stenka-alyaska","7644")</f>
        <v>7644</v>
      </c>
      <c r="L4" s="82" t="n">
        <v>3880</v>
      </c>
      <c r="M4" s="82" t="n">
        <v>5210</v>
      </c>
      <c r="N4" s="82" t="n">
        <v>4780</v>
      </c>
      <c r="O4" s="82" t="n">
        <v>5590</v>
      </c>
      <c r="P4" s="82" t="n">
        <v>4550</v>
      </c>
    </row>
    <row r="5" customFormat="false" ht="63" hidden="false" customHeight="true" outlineLevel="0" collapsed="false">
      <c r="A5" s="78" t="s">
        <v>30</v>
      </c>
      <c r="B5" s="35" t="str">
        <f aca="false">HYPERLINK("https://mebli-bristol.com.ua/acteka-tumba-rtv-2d2s-4-15-brv-ukraina.html","4200")</f>
        <v>4200</v>
      </c>
      <c r="C5" s="32" t="str">
        <f aca="false">HYPERLINK("https://mebli-bristol.com.ua/acteka-komod-kom-4s-8-11-brv-ukraina.html","5010")</f>
        <v>5010</v>
      </c>
      <c r="D5" s="32" t="str">
        <f aca="false">HYPERLINK("https://mebli-bristol.com.ua/indiana-komod-jkom-4s-80-sosna-kan-jon-brv-ukraina.html","4010")</f>
        <v>4010</v>
      </c>
      <c r="E5" s="32" t="str">
        <f aca="false">HYPERLINK("https://mebli-bristol.com.ua/indiana-stil-pis-movij-jbiu-2d2s-140-sosna-kan-jon-brv-ukraina.html","5980")</f>
        <v>5980</v>
      </c>
      <c r="F5" s="32" t="str">
        <f aca="false">HYPERLINK("https://mebli-bristol.com.ua/dzhuli-komod-kom-4s-90-brv-ukraina.html","2480")</f>
        <v>2480</v>
      </c>
      <c r="G5" s="32" t="str">
        <f aca="false">HYPERLINK("https://mebli-bristol.com.ua/porto-shafa-szf-3d2s-brv-ukraina.html","5890")</f>
        <v>5890</v>
      </c>
      <c r="H5" s="32" t="str">
        <f aca="false">HYPERLINK("https://mebli-bristol.com.ua/sonata-komod-8s-gerbor.html","7090")</f>
        <v>7090</v>
      </c>
      <c r="I5" s="32" t="str">
        <f aca="false">HYPERLINK("https://mebli-bristol.com.ua/kaspian-stil-pis-movij-biu-1d1s-120-dub-sonoma-brv-ukraina.html","3630")</f>
        <v>3630</v>
      </c>
      <c r="J5" s="36" t="str">
        <f aca="false">HYPERLINK("https://mebli-bristol.com.ua/nepo-peredpokij-ppk-gerbor-9728.html","1971")</f>
        <v>1971</v>
      </c>
      <c r="K5" s="32" t="str">
        <f aca="false">HYPERLINK("https://mebli-bristol.com.ua/aljaska-brv-ukraina.html","9290")</f>
        <v>9290</v>
      </c>
      <c r="L5" s="82" t="n">
        <v>3880</v>
      </c>
      <c r="M5" s="82" t="n">
        <v>5210</v>
      </c>
      <c r="N5" s="82" t="n">
        <v>4780</v>
      </c>
      <c r="O5" s="82" t="n">
        <v>5590</v>
      </c>
      <c r="P5" s="82" t="n">
        <v>4550</v>
      </c>
    </row>
    <row r="6" customFormat="false" ht="60" hidden="false" customHeight="true" outlineLevel="0" collapsed="false">
      <c r="A6" s="78" t="s">
        <v>17</v>
      </c>
      <c r="B6" s="29" t="str">
        <f aca="false">HYPERLINK("https://gerbor.kiev.ua/mebel-brv-ukraina/mebel-brw-azteca/azteca-tumba-tv-rtv2d2s-brv/","4200")</f>
        <v>4200</v>
      </c>
      <c r="C6" s="30" t="str">
        <f aca="false">HYPERLINK("https://gerbor.kiev.ua/mebel-brv-ukraina/mebel-brw-azteca/azteca-komod-kom4s-brv/","5010")</f>
        <v>5010</v>
      </c>
      <c r="D6" s="30" t="str">
        <f aca="false">HYPERLINK("https://gerbor.kiev.ua/mebel-brv-ukraina/mebel-indiana-brw/indiana-komod-jkom4s80-brv/","4010")</f>
        <v>4010</v>
      </c>
      <c r="E6" s="30" t="str">
        <f aca="false">HYPERLINK("https://gerbor.kiev.ua/mebel-brv-ukraina/mebel-indiana-brw/indiana-stol-pismennyy-jbiu2d2s140-brv/","5980")</f>
        <v>5980</v>
      </c>
      <c r="F6" s="30" t="str">
        <f aca="false">HYPERLINK("https://gerbor.kiev.ua/mebel-brv-ukraina/mebel-july-brw/july-komod-kom4s90-brv/","2480")</f>
        <v>2480</v>
      </c>
      <c r="G6" s="32" t="str">
        <f aca="false">HYPERLINK("https://gerbor.kiev.ua/mebelnye-sistemy/mebel-porto-brv/porto-shkaf-szf3d2s-brv/","5890")</f>
        <v>5890</v>
      </c>
      <c r="H6" s="32" t="str">
        <f aca="false">HYPERLINK("https://gerbor.kiev.ua/mebelnye-sistemy/mebel-sonata-gerbor/sonata-komod-8s-gerbor/","7090")</f>
        <v>7090</v>
      </c>
      <c r="I6" s="19" t="str">
        <f aca="false">HYPERLINK("https://gerbor.kiev.ua/mebelnye-sistemy/mebel-kaspian-sonoma-brw/kaspian-sonoma-stol-pismennyy-biu1d1s-brv/","3630")</f>
        <v>3630</v>
      </c>
      <c r="J6" s="32" t="str">
        <f aca="false">HYPERLINK("https://gerbor.kiev.ua/mebelnye-sistemy/mebel-nepo-gerbor/nepo-prikhozhaya-ppk-gerbor/","2330")</f>
        <v>2330</v>
      </c>
      <c r="K6" s="19" t="str">
        <f aca="false">HYPERLINK("https://gerbor.kiev.ua/mebelnye-sistemy/mebel-alaska-brw/alaska-gostinaya-brw/","9290")</f>
        <v>9290</v>
      </c>
      <c r="L6" s="83"/>
      <c r="M6" s="82" t="n">
        <v>5210</v>
      </c>
      <c r="N6" s="16" t="n">
        <v>4780</v>
      </c>
      <c r="O6" s="82" t="n">
        <v>5590</v>
      </c>
      <c r="P6" s="82" t="n">
        <v>4550</v>
      </c>
      <c r="Q6" s="84"/>
    </row>
    <row r="7" customFormat="false" ht="63" hidden="false" customHeight="true" outlineLevel="0" collapsed="false">
      <c r="A7" s="78" t="s">
        <v>18</v>
      </c>
      <c r="B7" s="29" t="str">
        <f aca="false">HYPERLINK("https://brwland.com.ua/product/azteca-tumba-tv-rtv2d2s415-brv-ukraina/","4200")</f>
        <v>4200</v>
      </c>
      <c r="C7" s="30" t="str">
        <f aca="false">HYPERLINK("https://brwland.com.ua/product/azteca-komod-kom4s811-brv-ukraina/","5010")</f>
        <v>5010</v>
      </c>
      <c r="D7" s="30" t="str">
        <f aca="false">HYPERLINK("https://brwland.com.ua/product/mebel-indiana-komod-jkom-4s-80-gerbor/","4010")</f>
        <v>4010</v>
      </c>
      <c r="E7" s="30" t="str">
        <f aca="false">HYPERLINK("https://brwland.com.ua/product/mebel-indiana-stol-pismennyj-jbiu-2d2s-140-gerbor/","5980")</f>
        <v>5980</v>
      </c>
      <c r="F7" s="30" t="str">
        <f aca="false">HYPERLINK("https://brwland.com.ua/product/dzhuli-komod-kom4s90-brv-ukraina/","2480")</f>
        <v>2480</v>
      </c>
      <c r="G7" s="32" t="str">
        <f aca="false">HYPERLINK("http://www.brwland.com.ua/product/porto-shkaf-szf3d2s-brv-ukraina/","5890")</f>
        <v>5890</v>
      </c>
      <c r="H7" s="32" t="str">
        <f aca="false">HYPERLINK("http://www.brwland.com.ua/product/komod-8s-sonata-gerbor/","7090")</f>
        <v>7090</v>
      </c>
      <c r="I7" s="19" t="str">
        <f aca="false">HYPERLINK("http://www.brwland.com.ua/product/kaspian-sonoma-stol-pismennyj-biu1d1s-brv-ukraina/","3630")</f>
        <v>3630</v>
      </c>
      <c r="J7" s="32" t="str">
        <f aca="false">HYPERLINK("http://www.brwland.com.ua/product/nepo-prihozhaja-ppk-gerbor/","2330")</f>
        <v>2330</v>
      </c>
      <c r="K7" s="19" t="str">
        <f aca="false">HYPERLINK("http://www.brwland.com.ua/product/gostinaja-aljaska-brv-ukraina/","9290")</f>
        <v>9290</v>
      </c>
      <c r="L7" s="36" t="str">
        <f aca="false">HYPERLINK("http://www.brwland.com.ua/product/komplekt-quatro/","3151")</f>
        <v>3151</v>
      </c>
      <c r="M7" s="82" t="n">
        <v>5210</v>
      </c>
      <c r="N7" s="82" t="n">
        <v>4780</v>
      </c>
      <c r="O7" s="82" t="n">
        <v>5590</v>
      </c>
      <c r="P7" s="82" t="n">
        <v>4550</v>
      </c>
      <c r="Q7" s="84"/>
    </row>
    <row r="8" customFormat="false" ht="60" hidden="false" customHeight="true" outlineLevel="0" collapsed="false">
      <c r="A8" s="78" t="s">
        <v>31</v>
      </c>
      <c r="B8" s="85" t="str">
        <f aca="false">HYPERLINK("http://gerbor.dp.ua/index.php?route=product/product&amp;product_id=3138","0")</f>
        <v>0</v>
      </c>
      <c r="C8" s="86" t="str">
        <f aca="false">HYPERLINK("http://gerbor.dp.ua/index.php?route=product/product&amp;product_id=3131","0")</f>
        <v>0</v>
      </c>
      <c r="D8" s="86" t="str">
        <f aca="false">HYPERLINK("http://gerbor.dp.ua/index.php?route=product/product&amp;product_id=1730","0")</f>
        <v>0</v>
      </c>
      <c r="E8" s="86" t="str">
        <f aca="false">HYPERLINK("http://gerbor.dp.ua/index.php?route=product/product&amp;product_id=1725","0")</f>
        <v>0</v>
      </c>
      <c r="F8" s="86" t="str">
        <f aca="false">HYPERLINK("http://gerbor.dp.ua/index.php?route=product/product&amp;product_id=1755","0")</f>
        <v>0</v>
      </c>
      <c r="G8" s="27" t="str">
        <f aca="false">HYPERLINK("http://gerbor.dp.ua/index.php?route=product/product&amp;product_id=3905","5377")</f>
        <v>5377</v>
      </c>
      <c r="H8" s="86" t="str">
        <f aca="false">HYPERLINK("http://gerbor.dp.ua/index.php?route=product/product&amp;product_id=2156","0")</f>
        <v>0</v>
      </c>
      <c r="I8" s="86" t="str">
        <f aca="false">HYPERLINK("http://gerbor.dp.ua/index.php?route=product/product&amp;product_id=2819","0")</f>
        <v>0</v>
      </c>
      <c r="J8" s="86" t="str">
        <f aca="false">HYPERLINK("http://gerbor.dp.ua/index.php?route=product/product&amp;product_id=3473&amp;search=%D0%BD%D0%B5%D0%BF%D0%BE","0")</f>
        <v>0</v>
      </c>
      <c r="K8" s="86" t="str">
        <f aca="false">HYPERLINK("http://gerbor.dp.ua/index.php?route=product/product&amp;product_id=3031","0")</f>
        <v>0</v>
      </c>
      <c r="L8" s="86" t="str">
        <f aca="false">HYPERLINK("http://gerbor.dp.ua/index.php?route=product/product&amp;product_id=2040","0")</f>
        <v>0</v>
      </c>
      <c r="M8" s="27" t="str">
        <f aca="false">HYPERLINK("http://gerbor.dp.ua/index.php?route=product/product&amp;product_id=2775","4195")</f>
        <v>4195</v>
      </c>
      <c r="N8" s="86" t="str">
        <f aca="false">HYPERLINK("http://gerbor.dp.ua/index.php?route=product/product&amp;product_id=4118","0")</f>
        <v>0</v>
      </c>
      <c r="O8" s="86" t="str">
        <f aca="false">HYPERLINK("http://gerbor.dp.ua/index.php?route=product/product&amp;product_id=4257","0")</f>
        <v>0</v>
      </c>
      <c r="P8" s="86" t="str">
        <f aca="false">HYPERLINK("http://gerbor.dp.ua/index.php?route=product/product&amp;product_id=3797&amp;search=%D0%BA%D0%BE%D0%B5%D0%BD+%D0%BC%D0%B4%D1%84&amp;description=true","0")</f>
        <v>0</v>
      </c>
    </row>
    <row r="9" customFormat="false" ht="56.25" hidden="false" customHeight="true" outlineLevel="0" collapsed="false">
      <c r="A9" s="88" t="s">
        <v>32</v>
      </c>
      <c r="B9" s="29" t="str">
        <f aca="false">HYPERLINK("https://www.dybok.com.ua/ru/product/detail/35816","3973")</f>
        <v>3973</v>
      </c>
      <c r="C9" s="30" t="str">
        <f aca="false">HYPERLINK("https://www.dybok.com.ua/ru/product/detail/35870","4840")</f>
        <v>4840</v>
      </c>
      <c r="D9" s="89" t="n">
        <v>3229</v>
      </c>
      <c r="E9" s="30" t="str">
        <f aca="false">HYPERLINK("https://www.dybok.com.ua/ru/product/detail/4291","5915")</f>
        <v>5915</v>
      </c>
      <c r="F9" s="30" t="str">
        <f aca="false">HYPERLINK("https://www.dybok.com.ua/ru/product/detail/9798","2380")</f>
        <v>2380</v>
      </c>
      <c r="G9" s="30" t="str">
        <f aca="false">HYPERLINK("https://www.dybok.com.ua/ru/product/detail/35840","6090")</f>
        <v>6090</v>
      </c>
      <c r="H9" s="30" t="str">
        <f aca="false">HYPERLINK("https://www.dybok.com.ua/ru/product/detail/261","7105")</f>
        <v>7105</v>
      </c>
      <c r="I9" s="36" t="str">
        <f aca="false">HYPERLINK("https://www.dybok.com.ua/","3006")</f>
        <v>3006</v>
      </c>
      <c r="J9" s="89" t="n">
        <v>1931</v>
      </c>
      <c r="K9" s="30" t="str">
        <f aca="false">HYPERLINK("https://www.dybok.com.ua/ru/product/detail/50410","9095")</f>
        <v>9095</v>
      </c>
      <c r="L9" s="82" t="n">
        <v>3896</v>
      </c>
      <c r="M9" s="82" t="n">
        <v>5216</v>
      </c>
      <c r="N9" s="32" t="str">
        <f aca="false">HYPERLINK("https://www.dybok.com.ua/ru/product/detail/54996","4690")</f>
        <v>4690</v>
      </c>
      <c r="O9" s="82" t="n">
        <v>5600</v>
      </c>
      <c r="P9" s="82" t="n">
        <v>4568</v>
      </c>
    </row>
    <row r="10" customFormat="false" ht="61.5" hidden="false" customHeight="true" outlineLevel="0" collapsed="false">
      <c r="A10" s="78" t="s">
        <v>19</v>
      </c>
      <c r="B10" s="29" t="str">
        <f aca="false">HYPERLINK("https://vashamebel.in.ua/tumba-tv-brv-atsteka-rtv2d2s415/p12722","4200")</f>
        <v>4200</v>
      </c>
      <c r="C10" s="30" t="str">
        <f aca="false">HYPERLINK("https://vashamebel.in.ua/komod-brv-atsteka-kom4s811/p12731","5010")</f>
        <v>5010</v>
      </c>
      <c r="D10" s="30" t="str">
        <f aca="false">HYPERLINK("https://vashamebel.in.ua/komod-brv-indiana-jkom4s80/p921","4010")</f>
        <v>4010</v>
      </c>
      <c r="E10" s="30" t="str">
        <f aca="false">HYPERLINK("https://vashamebel.in.ua/stol-pismennyij-brv-indiana-jbiu-2d2s/p916","5980")</f>
        <v>5980</v>
      </c>
      <c r="F10" s="30" t="str">
        <f aca="false">HYPERLINK("https://vashamebel.in.ua/komod-brv-dzhuli-kom4s90/p7958","2480")</f>
        <v>2480</v>
      </c>
      <c r="G10" s="32" t="str">
        <f aca="false">HYPERLINK("https://vashamebel.in.ua/shkaf-brv-porto-szf3d2s/p12560","5890")</f>
        <v>5890</v>
      </c>
      <c r="H10" s="22" t="str">
        <f aca="false">HYPERLINK("https://vashamebel.in.ua/komod-gerbor-sonata-8s/p845","7090")</f>
        <v>7090</v>
      </c>
      <c r="I10" s="87" t="s">
        <v>33</v>
      </c>
      <c r="J10" s="22" t="str">
        <f aca="false">HYPERLINK("https://vashamebel.in.ua/prihozhaya-gerbor-nepo-ppk/p12249","2330")</f>
        <v>2330</v>
      </c>
      <c r="K10" s="34" t="str">
        <f aca="false">HYPERLINK("https://vashamebel.in.ua/gostinaya-brv-alyaska/p4420","7644")</f>
        <v>7644</v>
      </c>
      <c r="L10" s="82" t="n">
        <v>3880</v>
      </c>
      <c r="M10" s="82" t="n">
        <v>5210</v>
      </c>
      <c r="N10" s="82" t="n">
        <v>4780</v>
      </c>
      <c r="O10" s="82" t="n">
        <v>5590</v>
      </c>
      <c r="P10" s="82" t="n">
        <v>4050</v>
      </c>
    </row>
    <row r="11" customFormat="false" ht="70.5" hidden="false" customHeight="true" outlineLevel="0" collapsed="false">
      <c r="A11" s="78" t="s">
        <v>20</v>
      </c>
      <c r="B11" s="29" t="str">
        <f aca="false">HYPERLINK("https://mebel-mebel.com.ua/eshop/dom-tumby-dlia-tv/tumba_rtv2d2s_4_15_atsteka-id461.html","4200")</f>
        <v>4200</v>
      </c>
      <c r="C11" s="30" t="str">
        <f aca="false">HYPERLINK("https://mebel-mebel.com.ua/eshop/dom-komody/komod_kom4s_8_11_atsteka-id496.html","5010")</f>
        <v>5010</v>
      </c>
      <c r="D11" s="30" t="str">
        <f aca="false">HYPERLINK("https://mebel-mebel.com.ua/eshop/dom-komody/komod_jkom_4s80_indiana-id663.html","4010")</f>
        <v>4010</v>
      </c>
      <c r="E11" s="30" t="str">
        <f aca="false">HYPERLINK("https://mebel-mebel.com.ua/eshop/dom-stoly-kompiuternye/stol_pismenniy_jbiu_2d2s_140_indiana-id659.html","5980")</f>
        <v>5980</v>
      </c>
      <c r="F11" s="30" t="str">
        <f aca="false">HYPERLINK("https://mebel-mebel.com.ua/eshop/dom-komody/komod_kom_4s_90_dzhuli-id569.html","2480")</f>
        <v>2480</v>
      </c>
      <c r="G11" s="30" t="str">
        <f aca="false">HYPERLINK("https://mebel-mebel.com.ua/eshop/detskie-shkafy/shkaf_szf3d2s_porto-id35136.html","5890")</f>
        <v>5890</v>
      </c>
      <c r="H11" s="32" t="str">
        <f aca="false">HYPERLINK("https://mebel-mebel.com.ua/eshop/dom-komody/komod_8s_s_015_sonata-id1567.html","7090")</f>
        <v>7090</v>
      </c>
      <c r="I11" s="19" t="str">
        <f aca="false">HYPERLINK("https://mebel-mebel.com.ua/eshop/dom-stoly-kompiuternye/stol_pismenniy_biu_1d1s_120_kaspian-id797.html","3630")</f>
        <v>3630</v>
      </c>
      <c r="J11" s="32" t="str">
        <f aca="false">HYPERLINK("https://mebel-mebel.com.ua/eshop/dom-prihozhie/prihozhaya_ppk_nepo-id28028.html","2330")</f>
        <v>2330</v>
      </c>
      <c r="K11" s="30" t="str">
        <f aca="false">HYPERLINK("https://mebel-mebel.com.ua/eshop/dom-stenki-dlia-gostinoi/gostinaya_arktika-id50834.html","9290")</f>
        <v>9290</v>
      </c>
      <c r="L11" s="82" t="n">
        <v>3880</v>
      </c>
      <c r="M11" s="90" t="n">
        <v>4689</v>
      </c>
      <c r="N11" s="90" t="n">
        <v>4063</v>
      </c>
      <c r="O11" s="90" t="n">
        <v>4751</v>
      </c>
      <c r="P11" s="82" t="n">
        <v>3867</v>
      </c>
    </row>
    <row r="12" customFormat="false" ht="75.75" hidden="false" customHeight="true" outlineLevel="0" collapsed="false">
      <c r="A12" s="91" t="s">
        <v>21</v>
      </c>
      <c r="B12" s="29" t="str">
        <f aca="false">HYPERLINK("https://abcmebli.com.ua/p14992-tumba_tv_rtv2d2s-4-15_atsteka","3970")</f>
        <v>3970</v>
      </c>
      <c r="C12" s="32" t="str">
        <f aca="false">HYPERLINK("https://abcmebli.com.ua/p15683-atsteka_komod_kom4s-8-11_brv","4840")</f>
        <v>4840</v>
      </c>
      <c r="D12" s="32" t="str">
        <f aca="false">HYPERLINK("https://abcmebli.com.ua/p1896-komod_jkom4s_80_indiana","3890")</f>
        <v>3890</v>
      </c>
      <c r="E12" s="32" t="str">
        <f aca="false">HYPERLINK("https://abcmebli.com.ua/p1892-stol_pismenniy_jbiu2d2s_140_indiana","5910")</f>
        <v>5910</v>
      </c>
      <c r="F12" s="30" t="str">
        <f aca="false">HYPERLINK("https://abcmebli.com.ua/p8553-komod_kom4s-90_july","2370")</f>
        <v>2370</v>
      </c>
      <c r="G12" s="32" t="str">
        <f aca="false">HYPERLINK("https://abcmebli.com.ua/p15039-shkaf_platyanoy_szf3d2s_porto","5666")</f>
        <v>5666</v>
      </c>
      <c r="H12" s="32" t="str">
        <f aca="false">HYPERLINK("https://abcmebli.com.ua/p2225-komod_8-s_sonata","7060")</f>
        <v>7060</v>
      </c>
      <c r="I12" s="32" t="str">
        <f aca="false">HYPERLINK("https://abcmebli.com.ua/p14308-stol_pismenniy_biu_1d1s_120_kaspian","3488")</f>
        <v>3488</v>
      </c>
      <c r="J12" s="30" t="str">
        <f aca="false">HYPERLINK("https://abcmebli.com.ua/p15897-nepo_prihozhaya_ppk_gerbor","2160")</f>
        <v>2160</v>
      </c>
      <c r="K12" s="32" t="str">
        <f aca="false">HYPERLINK("https://abcmebli.com.ua/p15950-gostinaya_alyaska_brv-ukraina","9256")</f>
        <v>9256</v>
      </c>
      <c r="L12" s="32" t="str">
        <f aca="false">HYPERLINK("https://abcmebli.com.ua/p2515-stenka_kvatro_gerbor","3810")</f>
        <v>3810</v>
      </c>
      <c r="M12" s="32" t="str">
        <f aca="false">HYPERLINK("https://abcmebli.com.ua/p4993-komod_kom1w2d2s_9_15_vusher","5100")</f>
        <v>5100</v>
      </c>
      <c r="N12" s="32" t="str">
        <f aca="false">HYPERLINK("https://abcmebli.com.ua/p15847-german_komod_kom3s-9-12_brv","4867")</f>
        <v>4867</v>
      </c>
      <c r="O12" s="32" t="str">
        <f aca="false">HYPERLINK("https://abcmebli.com.ua/p16267-alisa_tumba_tv_rtv2s2k_gerbor","5550")</f>
        <v>5550</v>
      </c>
      <c r="P12" s="32" t="str">
        <f aca="false">HYPERLINK("https://abcmebli.com.ua/p15137-koen_mdf_komod_kom4s","4480")</f>
        <v>4480</v>
      </c>
    </row>
    <row r="13" customFormat="false" ht="56.25" hidden="false" customHeight="true" outlineLevel="0" collapsed="false">
      <c r="A13" s="78" t="s">
        <v>22</v>
      </c>
      <c r="B13" s="35" t="str">
        <f aca="false">HYPERLINK("https://www.mebelok.com/tymba-tv-rtv2d2s415-acteka/","4200")</f>
        <v>4200</v>
      </c>
      <c r="C13" s="30" t="str">
        <f aca="false">HYPERLINK("https://www.mebelok.com/komod-kom4s811-acteka/","5011")</f>
        <v>5011</v>
      </c>
      <c r="D13" s="30" t="str">
        <f aca="false">HYPERLINK("https://www.mebelok.com/komod-jkom-4s-80/","4011")</f>
        <v>4011</v>
      </c>
      <c r="E13" s="32" t="str">
        <f aca="false">HYPERLINK("https://www.mebelok.com/stol-pismennyy-jbiu-2d2s-140/","5981")</f>
        <v>5981</v>
      </c>
      <c r="F13" s="30" t="str">
        <f aca="false">HYPERLINK("https://www.mebelok.com/komod-kom-4s-90-juli/","2481")</f>
        <v>2481</v>
      </c>
      <c r="G13" s="30" t="str">
        <f aca="false">HYPERLINK("https://www.mebelok.com/shkaf-szf3d2s-porto/","5891")</f>
        <v>5891</v>
      </c>
      <c r="H13" s="32" t="str">
        <f aca="false">HYPERLINK("https://www.mebelok.com/komod-8s-sonata/","7091")</f>
        <v>7091</v>
      </c>
      <c r="I13" s="32" t="str">
        <f aca="false">HYPERLINK("https://www.mebelok.com/stol-pismennyy-biu1d1s-120-kaspian/","3631")</f>
        <v>3631</v>
      </c>
      <c r="J13" s="19" t="str">
        <f aca="false">HYPERLINK("https://www.mebelok.com/prihojaya-ppk-nepo/","2330")</f>
        <v>2330</v>
      </c>
      <c r="K13" s="36" t="str">
        <f aca="false">HYPERLINK("https://www.mebelok.com/gostinaya-alyaska/","7655")</f>
        <v>7655</v>
      </c>
      <c r="L13" s="82" t="n">
        <v>3880</v>
      </c>
      <c r="M13" s="82" t="n">
        <v>5211</v>
      </c>
      <c r="N13" s="82" t="n">
        <v>4780</v>
      </c>
      <c r="O13" s="82" t="n">
        <v>5590</v>
      </c>
      <c r="P13" s="82" t="n">
        <v>4552</v>
      </c>
    </row>
    <row r="14" customFormat="false" ht="48" hidden="false" customHeight="true" outlineLevel="0" collapsed="false">
      <c r="A14" s="91" t="s">
        <v>23</v>
      </c>
      <c r="B14" s="37" t="str">
        <f aca="false">HYPERLINK("https://maxmebel.com.ua/atsteka_tumba_rtv2d2s","3970")</f>
        <v>3970</v>
      </c>
      <c r="C14" s="27" t="str">
        <f aca="false">HYPERLINK("https://maxmebel.com.ua/atsteka_komod_kom4s-8-11","4840")</f>
        <v>4840</v>
      </c>
      <c r="D14" s="27" t="str">
        <f aca="false">HYPERLINK("https://maxmebel.com.ua/indiana_komod_jkom_4s_80","3890")</f>
        <v>3890</v>
      </c>
      <c r="E14" s="27" t="str">
        <f aca="false">HYPERLINK("https://maxmebel.com.ua/indiana_pismenniy_stol_jbiu_2d2s","5910")</f>
        <v>5910</v>
      </c>
      <c r="F14" s="27" t="str">
        <f aca="false">HYPERLINK("https://maxmebel.com.ua/dzhuli_komod_kom4s-90","2370")</f>
        <v>2370</v>
      </c>
      <c r="G14" s="27" t="str">
        <f aca="false">HYPERLINK("https://maxmebel.com.ua/porto_shkaf_platyanoy_szf3d2s","5666")</f>
        <v>5666</v>
      </c>
      <c r="H14" s="27" t="str">
        <f aca="false">HYPERLINK("https://maxmebel.com.ua/sonata_komod_8-s","7060")</f>
        <v>7060</v>
      </c>
      <c r="I14" s="27" t="str">
        <f aca="false">HYPERLINK("https://maxmebel.com.ua/kaspian_stol_pismenniy_biu_1d1s","3530")</f>
        <v>3530</v>
      </c>
      <c r="J14" s="19" t="str">
        <f aca="false">HYPERLINK("https://maxmebel.com.ua/nepo_prihozhaya_rrk","2330")</f>
        <v>2330</v>
      </c>
      <c r="K14" s="27" t="str">
        <f aca="false">HYPERLINK("https://maxmebel.com.ua/stenka_alyaska","7964")</f>
        <v>7964</v>
      </c>
      <c r="L14" s="90" t="n">
        <v>3810</v>
      </c>
      <c r="M14" s="90" t="n">
        <v>5100</v>
      </c>
      <c r="N14" s="27" t="str">
        <f aca="false">HYPERLINK("https://maxmebel.com.ua/german_komod_kon3s-9-12","4680")</f>
        <v>4680</v>
      </c>
      <c r="O14" s="92" t="s">
        <v>34</v>
      </c>
      <c r="P14" s="90" t="n">
        <v>4480</v>
      </c>
    </row>
    <row r="15" customFormat="false" ht="39" hidden="false" customHeight="true" outlineLevel="0" collapsed="false">
      <c r="A15" s="78" t="s">
        <v>24</v>
      </c>
      <c r="B15" s="35" t="str">
        <f aca="false">HYPERLINK("https://moyamebel.com.ua/ua/products/tumba-rtv-atsteka","4200")</f>
        <v>4200</v>
      </c>
      <c r="C15" s="32" t="str">
        <f aca="false">HYPERLINK("https://moyamebel.com.ua/ua/products/komod-atsteka","5010")</f>
        <v>5010</v>
      </c>
      <c r="D15" s="32" t="str">
        <f aca="false">HYPERLINK("https://moyamebel.com.ua/ua/products/komod-4s-80-indiana","4010")</f>
        <v>4010</v>
      </c>
      <c r="E15" s="32" t="str">
        <f aca="false">HYPERLINK("https://moyamebel.com.ua/ua/products/stol-pismennyj-2d2s-indiana","5980")</f>
        <v>5980</v>
      </c>
      <c r="F15" s="32" t="str">
        <f aca="false">HYPERLINK("https://moyamebel.com.ua/ua/products/komod-dzhuli-90","2480")</f>
        <v>2480</v>
      </c>
      <c r="G15" s="32" t="str">
        <f aca="false">HYPERLINK("https://moyamebel.com.ua/ua/products/shkaf-3d2sporto","5890")</f>
        <v>5890</v>
      </c>
      <c r="H15" s="22" t="str">
        <f aca="false">HYPERLINK("https://moyamebel.com.ua/ua/products/komod-8s-sonata","7090")</f>
        <v>7090</v>
      </c>
      <c r="I15" s="19" t="str">
        <f aca="false">HYPERLINK("https://moyamebel.com.ua/ua/products/stol-pismennyj-120-kaspian","3630")</f>
        <v>3630</v>
      </c>
      <c r="J15" s="93"/>
      <c r="K15" s="27" t="str">
        <f aca="false">HYPERLINK("https://moyamebel.com.ua/ua/products/gostinaya-alyaska","7644")</f>
        <v>7644</v>
      </c>
      <c r="L15" s="82" t="n">
        <v>3880</v>
      </c>
      <c r="M15" s="82" t="n">
        <v>5210</v>
      </c>
      <c r="N15" s="83" t="str">
        <f aca="false">HYPERLINK("","")</f>
        <v/>
      </c>
      <c r="O15" s="94" t="s">
        <v>34</v>
      </c>
      <c r="P15" s="94" t="s">
        <v>34</v>
      </c>
    </row>
    <row r="16" customFormat="false" ht="31.5" hidden="false" customHeight="true" outlineLevel="0" collapsed="false">
      <c r="A16" s="78" t="s">
        <v>35</v>
      </c>
      <c r="B16" s="35" t="str">
        <f aca="false">HYPERLINK("https://mebel-soyuz.com.ua/12896.html","4200")</f>
        <v>4200</v>
      </c>
      <c r="C16" s="32" t="str">
        <f aca="false">HYPERLINK("https://mebel-soyuz.com.ua/12903.html","5010")</f>
        <v>5010</v>
      </c>
      <c r="D16" s="32" t="str">
        <f aca="false">HYPERLINK("https://mebel-soyuz.com.ua/2266.html","4010")</f>
        <v>4010</v>
      </c>
      <c r="E16" s="32" t="str">
        <f aca="false">HYPERLINK("https://mebel-soyuz.com.ua/stol-pismennyj-jbiu-2d2s-140-indiana.html","5980")</f>
        <v>5980</v>
      </c>
      <c r="F16" s="32" t="str">
        <f aca="false">HYPERLINK("https://mebel-soyuz.com.ua/komod-kom-4s-90-dzhuli.html","2480")</f>
        <v>2480</v>
      </c>
      <c r="G16" s="32" t="str">
        <f aca="false">HYPERLINK("https://mebel-soyuz.com.ua/shkaf-szf3d2s-porto.html","5980")</f>
        <v>5980</v>
      </c>
      <c r="H16" s="32" t="str">
        <f aca="false">HYPERLINK("https://mebel-soyuz.com.ua/473.html","7090")</f>
        <v>7090</v>
      </c>
      <c r="I16" s="30" t="str">
        <f aca="false">HYPERLINK("https://mebel-soyuz.com.ua/8687.html","3630")</f>
        <v>3630</v>
      </c>
      <c r="J16" s="32" t="str">
        <f aca="false">HYPERLINK("https://mebel-soyuz.com.ua/8926.html","2330")</f>
        <v>2330</v>
      </c>
      <c r="K16" s="32" t="str">
        <f aca="false">HYPERLINK("https://mebel-soyuz.com.ua/10995.html","9290")</f>
        <v>9290</v>
      </c>
      <c r="L16" s="95" t="str">
        <f aca="false">HYPERLINK("https://mebel-soyuz.com.ua/gostinaya-kvatro.html","3810")</f>
        <v>3810</v>
      </c>
      <c r="M16" s="95" t="str">
        <f aca="false">HYPERLINK("https://mebel-soyuz.com.ua/3933.html","5100")</f>
        <v>5100</v>
      </c>
      <c r="N16" s="95" t="str">
        <f aca="false">HYPERLINK("https://mebel-soyuz.com.ua/komod-kom3s912-german.html","4680")</f>
        <v>4680</v>
      </c>
      <c r="O16" s="96" t="str">
        <f aca="false">HYPERLINK("https://mebel-soyuz.com.ua/komod-kom3s912-german.html","5550")</f>
        <v>5550</v>
      </c>
      <c r="P16" s="95" t="str">
        <f aca="false">HYPERLINK("https://mebel-soyuz.com.ua/komod-kom4s-koen-mdf.html","4480")</f>
        <v>4480</v>
      </c>
    </row>
    <row r="17" customFormat="false" ht="33.75" hidden="false" customHeight="true" outlineLevel="0" collapsed="false">
      <c r="A17" s="125" t="s">
        <v>36</v>
      </c>
      <c r="B17" s="97" t="str">
        <f aca="false">HYPERLINK("https://sofino.ua/brw-ukraina-tumba-rtv2d2s415-acteka/g-95393","4200")</f>
        <v>4200</v>
      </c>
      <c r="C17" s="22" t="str">
        <f aca="false">HYPERLINK("https://sofino.ua/brw-ukraina-komod-kom4s811-acteka/g-95386","5010")</f>
        <v>5010</v>
      </c>
      <c r="D17" s="22" t="str">
        <f aca="false">HYPERLINK("https://sofino.ua/brw-ukraina-komod-jkom4s80-indiana/g-40903","4010")</f>
        <v>4010</v>
      </c>
      <c r="E17" s="30" t="str">
        <f aca="false">HYPERLINK("https://sofino.ua/brw-ukraina-stol-pismennyjj-jbiu2d2s140-indiana/g-40899","5980")</f>
        <v>5980</v>
      </c>
      <c r="F17" s="30" t="str">
        <f aca="false">HYPERLINK("https://sofino.ua/brw-ukraina-komod-kom4s90-dzhuli-akacija-mali-bronz/g-40377","2480")</f>
        <v>2480</v>
      </c>
      <c r="G17" s="30" t="str">
        <f aca="false">HYPERLINK("https://sofino.ua/brw-ukraina-shkaf-platjanojj-szf3d2s-porto-dzhanni-sosna-lariko/g-264368","5980")</f>
        <v>5980</v>
      </c>
      <c r="H17" s="30" t="str">
        <f aca="false">HYPERLINK("https://sofino.ua/gerbor-komod-8s-sonata/g-19192","7090")</f>
        <v>7090</v>
      </c>
      <c r="I17" s="19" t="str">
        <f aca="false">HYPERLINK("https://sofino.ua/brw-ukraina-stol-pismennyjj-biu-1d1s-kaspian/g-264409","3630")</f>
        <v>3630</v>
      </c>
      <c r="J17" s="22" t="str">
        <f aca="false">HYPERLINK("https://sofino.ua/gerbor-prikhozhaja-ppk-nepo/g-287089","2330")</f>
        <v>2330</v>
      </c>
      <c r="K17" s="22" t="str">
        <f aca="false">HYPERLINK("https://sofino.ua/brw-ukraina-stenka-aljaska-belyjj-gljanec/g-454107","9290")</f>
        <v>9290</v>
      </c>
      <c r="L17" s="82" t="n">
        <v>3880</v>
      </c>
      <c r="M17" s="82" t="n">
        <v>5210</v>
      </c>
      <c r="N17" s="32" t="str">
        <f aca="false">HYPERLINK("https://sofino.ua/brw-ukraina-komod-kom3s912-german/g-599343","4680")</f>
        <v>4680</v>
      </c>
      <c r="O17" s="94" t="s">
        <v>34</v>
      </c>
      <c r="P17" s="32" t="str">
        <f aca="false">HYPERLINK("https://sofino.ua/gerbor-komod-kom4s-koen-mdf-venge-magija-shtroks-temnyjj/g-19366","4480")</f>
        <v>4480</v>
      </c>
    </row>
    <row r="18" customFormat="false" ht="54.75" hidden="false" customHeight="true" outlineLevel="0" collapsed="false">
      <c r="A18" s="78" t="s">
        <v>37</v>
      </c>
      <c r="B18" s="98" t="str">
        <f aca="false">HYPERLINK("","")</f>
        <v/>
      </c>
      <c r="C18" s="32" t="str">
        <f aca="false">HYPERLINK("https://www.brw-kiev.com.ua/catalog/mebel/azteca-komod-kom4s_8_11-000004816.html","5019")</f>
        <v>5019</v>
      </c>
      <c r="D18" s="32" t="str">
        <f aca="false">HYPERLINK("https://www.brw-kiev.com.ua/catalog/mebel/indiana-komod-jkom4s_80-000000261.html","4019")</f>
        <v>4019</v>
      </c>
      <c r="E18" s="32" t="str">
        <f aca="false">HYPERLINK("https://www.brw-kiev.com.ua/catalog/mebel/indiana-stil_pis_moviy-jbiu2d2s-000000254.html","5989")</f>
        <v>5989</v>
      </c>
      <c r="F18" s="32" t="str">
        <f aca="false">HYPERLINK("https://www.brw-kiev.com.ua/catalog/mebel/july-komod-kom4s_90-000005407.html","2489")</f>
        <v>2489</v>
      </c>
      <c r="G18" s="32" t="str">
        <f aca="false">HYPERLINK("https://www.brw-kiev.com.ua/catalog/mebel/porto-shafa-szf3d2s-000006440.html","5899")</f>
        <v>5899</v>
      </c>
      <c r="H18" s="99"/>
      <c r="I18" s="22" t="str">
        <f aca="false">HYPERLINK("https://www.brw-kiev.com.ua/catalog/mebel/kaspian-stil_pis_moviy-biu1d1s_120-000006188.html","3630")</f>
        <v>3630</v>
      </c>
      <c r="J18" s="22" t="str">
        <f aca="false">HYPERLINK("https://www.brw-kiev.com.ua/catalog/mebel/prihozhaya/nepo-peredpokiy-ppk-000006567.html?sphrase_id=84980","2339")</f>
        <v>2339</v>
      </c>
      <c r="K18" s="22" t="str">
        <f aca="false">HYPERLINK("https://www.brw-kiev.com.ua/catalog/mebel/gostinaya/stinki-vital_nya-alaska-000006901.html?sphrase_id=84981","9299")</f>
        <v>9299</v>
      </c>
      <c r="L18" s="83"/>
      <c r="M18" s="83"/>
      <c r="N18" s="83" t="str">
        <f aca="false">HYPERLINK("","")</f>
        <v/>
      </c>
      <c r="O18" s="94" t="s">
        <v>34</v>
      </c>
      <c r="P18" s="90" t="n">
        <v>4409</v>
      </c>
    </row>
    <row r="19" customFormat="false" ht="38.25" hidden="false" customHeight="true" outlineLevel="0" collapsed="false">
      <c r="A19" s="78" t="s">
        <v>25</v>
      </c>
      <c r="B19" s="100" t="n">
        <v>4200</v>
      </c>
      <c r="C19" s="82" t="n">
        <v>5010</v>
      </c>
      <c r="D19" s="82" t="n">
        <v>4010</v>
      </c>
      <c r="E19" s="82" t="n">
        <v>5980</v>
      </c>
      <c r="F19" s="82" t="n">
        <v>2480</v>
      </c>
      <c r="G19" s="19" t="str">
        <f aca="false">HYPERLINK("https://brw.kiev.ua/mebel-brw-ukraina/porto/shkaf-szf3d2s-porto-brv/","5890")</f>
        <v>5890</v>
      </c>
      <c r="H19" s="19" t="str">
        <f aca="false">HYPERLINK("https://brw.kiev.ua/mebel-gerbor/sonata/komod-8s-sonata-gerbor/","7090")</f>
        <v>7090</v>
      </c>
      <c r="I19" s="19" t="str">
        <f aca="false">HYPERLINK("https://brw.kiev.ua/mebel-brw-ukraina/kaspian-venge/stol-pismennyy-biu1d1s-kaspian-brv-venge/","3630")</f>
        <v>3630</v>
      </c>
      <c r="J19" s="19" t="str">
        <f aca="false">HYPERLINK("https://brw.kiev.ua/mebel-gerbor/nepo/prikhozhaya-ppk-nepo-gerbor/","2330")</f>
        <v>2330</v>
      </c>
      <c r="K19" s="19" t="str">
        <f aca="false">HYPERLINK("https://brw.kiev.ua/mebel-brw-ukraina/alaska/stenka-alaska-brv/","9290")</f>
        <v>9290</v>
      </c>
      <c r="L19" s="83"/>
      <c r="M19" s="16" t="n">
        <v>5210</v>
      </c>
      <c r="N19" s="16" t="n">
        <v>4780</v>
      </c>
      <c r="O19" s="82" t="n">
        <v>5590</v>
      </c>
      <c r="P19" s="82" t="n">
        <v>4550</v>
      </c>
    </row>
    <row r="20" customFormat="false" ht="34.5" hidden="false" customHeight="true" outlineLevel="0" collapsed="false">
      <c r="A20" s="78" t="s">
        <v>38</v>
      </c>
      <c r="B20" s="37" t="str">
        <f aca="false">HYPERLINK("https://lvivmebli.com/13319/","3900")</f>
        <v>3900</v>
      </c>
      <c r="C20" s="27" t="str">
        <f aca="false">HYPERLINK("https://lvivmebli.com/13320/","4675")</f>
        <v>4675</v>
      </c>
      <c r="D20" s="32" t="str">
        <f aca="false">HYPERLINK("https://lvivmebli.com/5030/","4255")</f>
        <v>4255</v>
      </c>
      <c r="E20" s="27" t="str">
        <f aca="false">HYPERLINK("https://lvivmebli.com/5039/","5911")</f>
        <v>5911</v>
      </c>
      <c r="F20" s="36" t="str">
        <f aca="false">HYPERLINK("https://lvivmebli.com/11483/","2300")</f>
        <v>2300</v>
      </c>
      <c r="G20" s="32"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01" t="str">
        <f aca="false">HYPERLINK("http://centrmebliv.com.ua/modulni-mebli/brw-azteca/mebli-brw-brv-azteca-tumba-rtv2d2s?keyword=%D0%B0%D1%86%D1%82%D0%B5%D0%BA%D0%B0","3343")</f>
        <v>3343</v>
      </c>
      <c r="C21" s="36" t="str">
        <f aca="false">HYPERLINK("http://centrmebliv.com.ua/modulni-mebli/brw-azteca/mebli-brw-brv-azteca-komod-4s?keyword=%D0%B0%D1%86%D1%82%D0%B5%D0%BA%D0%B0","3924")</f>
        <v>3924</v>
      </c>
      <c r="D21" s="36" t="str">
        <f aca="false">HYPERLINK("http://centrmebliv.com.ua/mebli-dlya-spalni/komody/mebli-brw-brv-indiana-komod-jkom4s_80?keyword=%D1%96%D0%BD%D0%B4%D1%96%D0%B0%D0%BD%D0%B0","3562")</f>
        <v>3562</v>
      </c>
      <c r="E21" s="126" t="str">
        <f aca="false">HYPERLINK("http://centrmebliv.com.ua/modulni-mebli/brw-ukrayina-indiana/mebli-brw-brv-indiana-stil-pysmovyy-jbiu2d2s_140?keyword=%D1%96%D0%BD%D0%B4%D1%96%D0%B0%D0%BD%D0%B0","5158")</f>
        <v>5158</v>
      </c>
      <c r="F21" s="36" t="str">
        <f aca="false">HYPERLINK("http://centrmebliv.com.ua/spalni/komody/mebli-brw-brv-july-komod-kom4s/90?keyword=july","2098")</f>
        <v>2098</v>
      </c>
      <c r="G21" s="36" t="str">
        <f aca="false">HYPERLINK("http://centrmebliv.com.ua/modulni-mebli/brw-ukrayina-porto/mebli-brw-brv-porto-shafa-dlya-odyagu-sf3d2s?keyword=szf3d2s","5377")</f>
        <v>5377</v>
      </c>
      <c r="H21" s="36" t="str">
        <f aca="false">HYPERLINK("http://centrmebliv.com.ua/mebli-dlya-spalni/komody/mebli-gerbor-gerbor-s-015-sonata-_komod-8/s?keyword=%D1%81%D0%BE%D0%BD%D0%B0%D1%82%D0%B0","5683")</f>
        <v>5683</v>
      </c>
      <c r="I21" s="36" t="str">
        <f aca="false">HYPERLINK("http://centrmebliv.com.ua/ofisni-mebli/ofisni-stoly-vid-modulnyh-system/gerbor/brw-kaspian-stil-pysmovyy-biu-1d1s-120?keyword=%D0%BA%D0%B0%D1%81%D0%BF%D1%96%D0%B0%D0%BD","3002")</f>
        <v>3002</v>
      </c>
      <c r="J21" s="83"/>
      <c r="K21" s="83"/>
      <c r="L21" s="36" t="str">
        <f aca="false">HYPERLINK("http://centrmebliv.com.ua/mebli-dlya-vitalni/stinky/mebli-gerbor-gerbor-kvatro","3007")</f>
        <v>3007</v>
      </c>
      <c r="M21" s="36"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0" t="n">
        <v>4200</v>
      </c>
      <c r="C22" s="82" t="n">
        <v>5010</v>
      </c>
      <c r="D22" s="82" t="n">
        <v>4010</v>
      </c>
      <c r="E22" s="82" t="n">
        <v>5980</v>
      </c>
      <c r="F22" s="82" t="n">
        <v>2480</v>
      </c>
      <c r="G22" s="32" t="str">
        <f aca="false">HYPERLINK("https://letromebel.com.ua/p567177190-shkaf-szf3d2s-porto.html","5890")</f>
        <v>5890</v>
      </c>
      <c r="H22" s="83"/>
      <c r="I22" s="83"/>
      <c r="J22" s="104" t="str">
        <f aca="false">HYPERLINK("https://letromebel.com.ua/p441285622-prihozhaya-ppk-nepo.html","1963")</f>
        <v>1963</v>
      </c>
      <c r="K22" s="36" t="str">
        <f aca="false">HYPERLINK("https://letromebel.com.ua/p822866700-stenka-gostinuyu-alyaska.html","7644")</f>
        <v>7644</v>
      </c>
      <c r="L22" s="34" t="str">
        <f aca="false">HYPERLINK("https://letromebel.com.ua/p436378844-stenka-kvatro-venge.html","3810")</f>
        <v>3810</v>
      </c>
      <c r="M22" s="82" t="n">
        <v>5210</v>
      </c>
      <c r="N22" s="82" t="n">
        <v>4780</v>
      </c>
      <c r="O22" s="82" t="n">
        <v>5590</v>
      </c>
      <c r="P22" s="82" t="n">
        <v>4550</v>
      </c>
    </row>
    <row r="23" customFormat="false" ht="27" hidden="false" customHeight="true" outlineLevel="0" collapsed="false">
      <c r="A23" s="91" t="s">
        <v>26</v>
      </c>
      <c r="B23" s="100" t="n">
        <v>3890</v>
      </c>
      <c r="C23" s="82" t="n">
        <v>4760</v>
      </c>
      <c r="D23" s="90" t="n">
        <v>3890</v>
      </c>
      <c r="E23" s="90" t="n">
        <v>5910</v>
      </c>
      <c r="F23" s="82" t="n">
        <v>2370</v>
      </c>
      <c r="G23" s="32" t="str">
        <f aca="false">HYPERLINK("https://shurup.net.ua/shkaf-szf3d2s-porto.p24169","5666")</f>
        <v>5666</v>
      </c>
      <c r="H23" s="32" t="str">
        <f aca="false">HYPERLINK("https://shurup.net.ua/komod-8s-sonata.p1034","6980")</f>
        <v>6980</v>
      </c>
      <c r="I23" s="30" t="str">
        <f aca="false">HYPERLINK("https://shurup.net.ua/stol-pismennyj-biu-1d1s-120-kaspian-dub-sonoma.p6492","3530")</f>
        <v>3530</v>
      </c>
      <c r="J23" s="32" t="str">
        <f aca="false">HYPERLINK("https://shurup.net.ua/prihozhaya-rrk-nepo.p13611","2290")</f>
        <v>2290</v>
      </c>
      <c r="K23" s="27" t="str">
        <f aca="false">HYPERLINK("https://shurup.net.ua/gostinaja-aljaska.p28551","8900")</f>
        <v>8900</v>
      </c>
      <c r="L23" s="32" t="str">
        <f aca="false">HYPERLINK("https://shurup.net.ua/gostinaya-kvatro-venge-magiya.p836","3810")</f>
        <v>3810</v>
      </c>
      <c r="M23" s="82" t="n">
        <v>5020</v>
      </c>
      <c r="N23" s="32" t="str">
        <f aca="false">HYPERLINK("https://shurup.net.ua/komod-kon3s64-german.p32275","4680")</f>
        <v>4680</v>
      </c>
      <c r="O23" s="94" t="s">
        <v>34</v>
      </c>
      <c r="P23" s="32" t="str">
        <f aca="false">HYPERLINK("https://shurup.net.ua/komod-kom4s-koen-mdf.p1194","4400")</f>
        <v>4400</v>
      </c>
      <c r="S23" s="42"/>
    </row>
    <row r="24" customFormat="false" ht="36.75" hidden="false" customHeight="true" outlineLevel="0" collapsed="false">
      <c r="A24" s="105" t="s">
        <v>41</v>
      </c>
      <c r="B24" s="98" t="str">
        <f aca="false">HYPERLINK("","")</f>
        <v/>
      </c>
      <c r="C24" s="47"/>
      <c r="D24" s="47"/>
      <c r="E24" s="47"/>
      <c r="F24" s="47"/>
      <c r="G24" s="83"/>
      <c r="H24" s="83"/>
      <c r="I24" s="83"/>
      <c r="J24" s="65" t="str">
        <f aca="false">HYPERLINK("https://www.taburetka.ua/prihozhie-40/prihozhaya-ppk-nepo-2914","2520")</f>
        <v>2520</v>
      </c>
      <c r="K24" s="83"/>
      <c r="L24" s="82" t="n">
        <v>4195</v>
      </c>
      <c r="M24" s="90" t="n">
        <v>5640</v>
      </c>
      <c r="N24" s="83" t="str">
        <f aca="false">HYPERLINK("","")</f>
        <v/>
      </c>
      <c r="O24" s="94" t="s">
        <v>34</v>
      </c>
      <c r="P24" s="36" t="str">
        <f aca="false">HYPERLINK("https://www.taburetka.ua/gostinye-600/modulnaya-sistema-koen-1347","4560")</f>
        <v>4560</v>
      </c>
    </row>
    <row r="25" customFormat="false" ht="37.5" hidden="false" customHeight="true" outlineLevel="0" collapsed="false">
      <c r="A25" s="106" t="s">
        <v>42</v>
      </c>
      <c r="B25" s="107" t="n">
        <v>3970</v>
      </c>
      <c r="C25" s="108" t="n">
        <v>4840</v>
      </c>
      <c r="D25" s="108" t="n">
        <v>3890</v>
      </c>
      <c r="E25" s="108" t="n">
        <v>5910</v>
      </c>
      <c r="F25" s="108" t="n">
        <v>2370</v>
      </c>
      <c r="G25" s="39" t="str">
        <f aca="false">HYPERLINK("http://www.maxidom.com.ua/shkaf-porto-porto-szf3d2s.html?search_string=%D8%EA%E0%F4+%CF%EE%F0%F2%EE+%28Porto%29+SZF3D2S","")</f>
        <v/>
      </c>
      <c r="H25" s="65" t="str">
        <f aca="false">HYPERLINK("http://www.maxidom.com.ua/komod-sonata-8s.html?search_string=%CA%EE%EC%EE%E4+%D1%EE%ED%E0%F2%E0+8s","")</f>
        <v/>
      </c>
      <c r="I25" s="39" t="str">
        <f aca="false">HYPERLINK("http://www.maxidom.com.ua/stol-pismenniy-biu-1d1s-kaspian-kaspian.html?search_string=%D1%F2%EE%EB+%EF%E8%F1%FC%EC%E5%ED%ED%FB%E9+BIU+1D1S+%CA%E0%F1%EF%E8%E0%ED+%28Kaspian%29","")</f>
        <v/>
      </c>
      <c r="J25" s="109" t="str">
        <f aca="false">HYPERLINK("http://www.maxidom.com.ua/prihozhaya-nepo-ppk.html?search_string=%CF%F0%E8%F5%EE%E6%E0%FF+%CD%E5%EF%EE+PPK","2290")</f>
        <v>2290</v>
      </c>
      <c r="K25" s="109" t="str">
        <f aca="false">HYPERLINK("http://www.maxidom.com.ua/stenka-alyaska.html?search_string=%D1%F2%E5%ED%EA%E0+%C0%EB%FF%F1%EA%E0","7644")</f>
        <v>7644</v>
      </c>
      <c r="L25" s="36" t="str">
        <f aca="false">HYPERLINK("http://www.maxidom.com.ua/stenka-kvatro.html?search_string=%D1%F2%E5%ED%EA%E0+%CA%E2%E0%F2%F0%EE","3730")</f>
        <v>3730</v>
      </c>
      <c r="M25" s="36" t="str">
        <f aca="false">HYPERLINK("http://www.maxidom.com.ua/komod-kom-1w2d2s-vusher.html?search_string=%CA%EE%EC%EE%E4+KOM+1W2D2S+%C2%F3%F8%E5%F0","5020")</f>
        <v>5020</v>
      </c>
      <c r="N25" s="27" t="str">
        <f aca="false">HYPERLINK("https://www.maxidom.com.ua/komod-german-kom3s912/","4680")</f>
        <v>4680</v>
      </c>
      <c r="O25" s="94" t="s">
        <v>34</v>
      </c>
      <c r="P25" s="27" t="str">
        <f aca="false">HYPERLINK("https://www.maxidom.com.ua/komod-kom4s-koen-mdf/","4480")</f>
        <v>4480</v>
      </c>
    </row>
    <row r="26" customFormat="false" ht="42" hidden="false" customHeight="true" outlineLevel="0" collapsed="false">
      <c r="A26" s="106" t="s">
        <v>27</v>
      </c>
      <c r="B26" s="103" t="n">
        <v>3890</v>
      </c>
      <c r="C26" s="115" t="n">
        <v>4760</v>
      </c>
      <c r="D26" s="90" t="n">
        <v>3890</v>
      </c>
      <c r="E26" s="115" t="n">
        <v>5910</v>
      </c>
      <c r="F26" s="115" t="n">
        <v>2370</v>
      </c>
      <c r="G26" s="39" t="str">
        <f aca="false">HYPERLINK("https://mebel-online.com.ua/shkaf-szf3d2s-porto?filter_name=SZF3D2S","5666")</f>
        <v>5666</v>
      </c>
      <c r="H26" s="44" t="str">
        <f aca="false">HYPERLINK("https://mebel-online.com.ua/p1728-gerbor_sonata_komod_8-s?filter_name=%D1%81%D0%BE%D0%BD%D0%B0%D1%82%D0%B0","6980")</f>
        <v>6980</v>
      </c>
      <c r="I26" s="111"/>
      <c r="J26" s="27" t="str">
        <f aca="false">HYPERLINK("https://mebel-online.com.ua/prihozhaya-gerbor-ppk-nepo?filter_name=%D0%BD%D0%B5%D0%BF%D0%BE","2290")</f>
        <v>2290</v>
      </c>
      <c r="K26" s="45" t="str">
        <f aca="false">HYPERLINK("https://mebel-online.com.ua/stenka-aliaska-brw%20?filter_name=%D0%B0%D0%BB%D1%8F%D1%81%D0%BA%D0%B0","7644")</f>
        <v>7644</v>
      </c>
      <c r="L26" s="27" t="str">
        <f aca="false">HYPERLINK("https://mebel-online.com.ua/stenka-kvatro-gerbor?filter_name=%D0%BA%D0%B2%D0%B0%D1%82%D1%80%D0%BE","3810")</f>
        <v>3810</v>
      </c>
      <c r="M26" s="27" t="str">
        <f aca="false">HYPERLINK("https://mebel-online.com.ua/komod-kom-1w2d2s-vusher-gerbor?filter_name=%D0%B2%D1%83%D1%88%D0%B5%D1%80","5020")</f>
        <v>5020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82" t="n">
        <v>4200</v>
      </c>
      <c r="C27" s="82" t="n">
        <v>5010</v>
      </c>
      <c r="D27" s="82" t="n">
        <v>4010</v>
      </c>
      <c r="E27" s="32" t="str">
        <f aca="false">HYPERLINK("https://mebelnuy.com.ua/stol-pismennyj-jbiu-2d2s-140-indiana-brv?search=%D0%98%D0%BD%D0%B4%D0%B8%D0%B0%D0%BD%D0%B0%20JBIU_2d2s_140&amp;description=true","5980")</f>
        <v>5980</v>
      </c>
      <c r="F27" s="82" t="n">
        <v>2480</v>
      </c>
      <c r="G27" s="32" t="str">
        <f aca="false">HYPERLINK("https://mebelnuy.com.ua/shkaf-szf3d2s-porto-brv?search=%D0%9F%D0%BE%D1%80%D1%82%D0%BE%20SZF3D2S&amp;description=true","5890")</f>
        <v>5890</v>
      </c>
      <c r="H27" s="19" t="str">
        <f aca="false">HYPERLINK("https://mebelnuy.com.ua/komod-gerbor-sonata-8-s?search=%D0%A1%D0%BE%D0%BD%D0%B0%D1%82%D0%B0%208%2Fs&amp;description=true","7090")</f>
        <v>7090</v>
      </c>
      <c r="I27" s="83" t="str">
        <f aca="false">HYPERLINK("","")</f>
        <v/>
      </c>
      <c r="J27" s="19" t="str">
        <f aca="false">HYPERLINK("https://mebelnuy.com.ua/prihozhaya-gerbor-nepo-ppk","2330")</f>
        <v>2330</v>
      </c>
      <c r="K27" s="27" t="str">
        <f aca="false">HYPERLINK("https://mebelnuy.com.ua/gostinaya-alyaska-brv?search=%D0%90%D0%BB%D1%8F%D1%81%D0%BA%D0%B0%20%D0%B3%D0%BE%D1%81%D1%82%D0%B8%D0%BD%D0%B0%D1%8F&amp;description=true","8014")</f>
        <v>8014</v>
      </c>
      <c r="L27" s="16" t="n">
        <v>3880</v>
      </c>
      <c r="M27" s="16" t="n">
        <v>5210</v>
      </c>
      <c r="N27" s="82" t="n">
        <v>4780</v>
      </c>
      <c r="O27" s="16" t="n">
        <v>5590</v>
      </c>
      <c r="P27" s="16" t="n">
        <v>4550</v>
      </c>
    </row>
    <row r="28" customFormat="false" ht="36.75" hidden="false" customHeight="true" outlineLevel="0" collapsed="false">
      <c r="A28" s="127" t="s">
        <v>44</v>
      </c>
      <c r="B28" s="90" t="n">
        <v>3890</v>
      </c>
      <c r="C28" s="90" t="n">
        <v>4760</v>
      </c>
      <c r="D28" s="90" t="n">
        <v>3890</v>
      </c>
      <c r="E28" s="90" t="n">
        <v>5910</v>
      </c>
      <c r="F28" s="90" t="n">
        <v>2370</v>
      </c>
      <c r="G28" s="32" t="str">
        <f aca="false">HYPERLINK("https://amado.com.ua/detskaya/shkafy-i-penaly-dlya-detskoj/porto-shkaf-platyanoj-szf3d2s-brw","5666")</f>
        <v>5666</v>
      </c>
      <c r="H28" s="27" t="str">
        <f aca="false">HYPERLINK("https://amado.com.ua/gostinaya/komody-i-tumby-v-gostinuyu/sonata-komod-8-s-gerbor","6980")</f>
        <v>6980</v>
      </c>
      <c r="I28" s="27" t="str">
        <f aca="false">HYPERLINK("https://amado.com.ua/gostinaya/kaspian-sonoma-stol-pismennyj-biu-1d1s-brw","3530")</f>
        <v>3530</v>
      </c>
      <c r="J28" s="27" t="str">
        <f aca="false">HYPERLINK("https://amado.com.ua/prihozhaya/prihozhie-celnye/nepo-prihozhaya-ppk-gerbor","2290")</f>
        <v>2290</v>
      </c>
      <c r="K28" s="27" t="str">
        <f aca="false">HYPERLINK("https://amado.com.ua/gostinaya/modulnye-gostinye/gostinaya-alyaska-gerbor","8900")</f>
        <v>8900</v>
      </c>
      <c r="L28" s="27" t="str">
        <f aca="false">HYPERLINK("https://amado.com.ua/gostinaya/modulnye-gostinye/gostinaya-kvatro-gerbor","3730")</f>
        <v>3730</v>
      </c>
      <c r="M28" s="27" t="str">
        <f aca="false">HYPERLINK("https://amado.com.ua/gostinaya/komody-i-tumby-v-gostinuyu/vusher-komod-kom-1w2d2s-gerbor","5020")</f>
        <v>5020</v>
      </c>
      <c r="N28" s="27"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116"/>
      <c r="B30" s="117" t="s">
        <v>45</v>
      </c>
      <c r="C30" s="117" t="s">
        <v>46</v>
      </c>
      <c r="D30" s="117" t="s">
        <v>47</v>
      </c>
      <c r="E30" s="117" t="s">
        <v>48</v>
      </c>
      <c r="F30" s="117" t="s">
        <v>49</v>
      </c>
      <c r="G30" s="117" t="s">
        <v>50</v>
      </c>
      <c r="H30" s="117" t="s">
        <v>51</v>
      </c>
      <c r="I30" s="117" t="s">
        <v>52</v>
      </c>
      <c r="J30" s="117" t="s">
        <v>53</v>
      </c>
      <c r="K30" s="117" t="s">
        <v>54</v>
      </c>
      <c r="L30" s="117" t="s">
        <v>55</v>
      </c>
      <c r="M30" s="117" t="s">
        <v>56</v>
      </c>
      <c r="N30" s="117" t="s">
        <v>57</v>
      </c>
      <c r="O30" s="117" t="s">
        <v>58</v>
      </c>
      <c r="P30" s="117" t="s">
        <v>59</v>
      </c>
      <c r="T30" s="118"/>
      <c r="U30" s="118"/>
      <c r="V30" s="118"/>
      <c r="W30" s="118"/>
      <c r="X30" s="118"/>
      <c r="Y30" s="118"/>
    </row>
    <row r="31" customFormat="false" ht="15.75" hidden="false" customHeight="true" outlineLevel="0" collapsed="false">
      <c r="A31" s="91" t="s">
        <v>60</v>
      </c>
      <c r="B31" s="119" t="str">
        <f aca="false">HYPERLINK("https://epicentrk.ua/ua/shop/hubr-tumba-prikrovatnaya-brw-atsteka-kom2s-4-5-belyy-glyanets-8003916.html","1967")</f>
        <v>1967</v>
      </c>
      <c r="C31" s="119" t="str">
        <f aca="false">HYPERLINK("https://epicentrk.ua/ua/shop/hubr-komod-home-ua-brw-black-red-white-zlata-kom2d3s-86kh41kh135-sm-dub-takho-belyy-glyanets-8004551.html","3090")</f>
        <v>3090</v>
      </c>
      <c r="D31" s="120" t="str">
        <f aca="false">HYPERLINK("https://epicentrk.ua/ua/shop/hubr-tumba-prikrovatnaya-brw-indiana-jkom-1s-50-sosna-kanon-8004034.html","1510")</f>
        <v>1510</v>
      </c>
      <c r="E31" s="120" t="str">
        <f aca="false">HYPERLINK("https://epicentrk.ua/ua/shop/hubr-veshalka-home-ua-brw-black-red-white-kristina-wie-60-152kh24kh66-sm-belyy-glyanets-8004512.html","1234")</f>
        <v>1234</v>
      </c>
      <c r="F31" s="120" t="str">
        <f aca="false">HYPERLINK("https://epicentrk.ua/ua/shop/hubr-prikhozhaya-home-ua-brw-black-red-white-porto-ppk-189kh95-5kh39-5-sm-dzhanni-sosna-larik-8003795.html","3823")</f>
        <v>3823</v>
      </c>
      <c r="G31" s="119" t="str">
        <f aca="false">HYPERLINK("https://epicentrk.ua/ua/shop/hubr-komod-brw-kaspian-kom-1d1sp-dub-sonoma-8004075.html","1572")</f>
        <v>1572</v>
      </c>
      <c r="H31" s="119" t="str">
        <f aca="false">HYPERLINK("https://epicentrk.ua/ua/shop/hubr-stol-pismennyy-home-ua-brw-black-red-white-markus-biu-1d1s-1200kh755kh560-mm-dzhanni-8005038.html","2528")</f>
        <v>2528</v>
      </c>
      <c r="I31" s="120" t="str">
        <f aca="false">HYPERLINK("https://epicentrk.ua/ua/shop/hubr-komod-gerbor-tina-sosna-kanon-dub-sonoma-tryufel-kom4s1d.html","4230")</f>
        <v>4230</v>
      </c>
      <c r="J31" s="120" t="str">
        <f aca="false">HYPERLINK("https://epicentrk.ua/ua/shop/hubr-komod-home-ua-brw-black-red-white-markus-kom-4s-11-91kh38kh106-5-sm-dzhanni-8004912.html","3960")</f>
        <v>3960</v>
      </c>
      <c r="K31" s="120" t="str">
        <f aca="false">HYPERLINK("https://epicentrk.ua/ua/shop/hubr-tumba-prikrovatnaya-brw-loren-kom-1s-akatsiya-mali-bronza-8004104.html","1197")</f>
        <v>1197</v>
      </c>
      <c r="L31" s="120" t="str">
        <f aca="false">HYPERLINK("https://epicentrk.ua/ua/shop/hubr-komod-gerbor-vusher-belyy-glyanets-kom1d4sl-p.html","3620")</f>
        <v>3620</v>
      </c>
      <c r="M31" s="120" t="str">
        <f aca="false">HYPERLINK("https://epicentrk.ua/ua/shop/hubr-komod-gerbor-marsel-yasen-snezhnyy-kom4s.html","6230")</f>
        <v>6230</v>
      </c>
      <c r="N31" s="120" t="str">
        <f aca="false">HYPERLINK("https://epicentrk.ua/ua/shop/vitrina-venge.html","4439")</f>
        <v>4439</v>
      </c>
      <c r="O31" s="120" t="str">
        <f aca="false">HYPERLINK("https://epicentrk.ua/ua/shop/hubr-komod-gerbor-open-orekh-kaliforniyskiy-kom4s.html","2330")</f>
        <v>2330</v>
      </c>
      <c r="P31" s="120" t="str">
        <f aca="false">HYPERLINK("https://epicentrk.ua/ua/shop/hubr-komod-gerbor-graf-orekh-kom3d3s.html","5790")</f>
        <v>5790</v>
      </c>
    </row>
    <row r="32" customFormat="false" ht="15.75" hidden="false" customHeight="true" outlineLevel="0" collapsed="false">
      <c r="A32" s="112"/>
      <c r="B32" s="113"/>
      <c r="C32" s="114"/>
      <c r="D32" s="114"/>
      <c r="E32" s="114"/>
      <c r="F32" s="114"/>
      <c r="G32" s="114"/>
      <c r="H32" s="114"/>
      <c r="I32" s="114"/>
      <c r="J32" s="114"/>
      <c r="K32" s="114"/>
      <c r="L32" s="114"/>
      <c r="M32" s="114"/>
      <c r="N32" s="114"/>
      <c r="O32" s="114"/>
      <c r="P32" s="114"/>
      <c r="Q32" s="112"/>
      <c r="R32" s="112"/>
      <c r="S32" s="112"/>
      <c r="T32" s="112"/>
      <c r="U32" s="112"/>
      <c r="V32" s="112"/>
      <c r="W32" s="112"/>
      <c r="X32" s="112"/>
      <c r="Y32" s="112"/>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L3" r:id="rId7" display="https://brwmania.com.ua/gostinaja/komplekty-gostinyh/stinka-kvatro-venge-magia/"/>
    <hyperlink ref="M3" r:id="rId8" display="https://brwmania.com.ua/gostinaja/modulnye-gostinye/sistema-vusher-vusher/010-vusher-komod-kom-1w2d2s/"/>
    <hyperlink ref="N3" r:id="rId9" display="https://brwmania.com.ua/gostinaja/modulnye-gostinye/sistema-german/komod-brw-german-kom3s-9-12-dub-stirling/"/>
    <hyperlink ref="O3" r:id="rId10" display="https://brwmania.com.ua/gostinaja/modulnye-gostinye/sistema-alisa-alisa-gerbor/gerbor-gerbor-tumba-pod-televizor-alisa-rtv2s2k/"/>
    <hyperlink ref="P3" r:id="rId11" display="https://brwmania.com.ua/gostinaja/modulnye-gostinye/sistema_koen_mdf/008-koen-mdf-komod-kom4s/"/>
    <hyperlink ref="A4" r:id="rId12" display="http://redlight.com.ua/"/>
    <hyperlink ref="L4" r:id="rId13" display="http://redlight.com.ua/stenki/item-stenka-kvatro"/>
    <hyperlink ref="M4" r:id="rId14" display="https://redlight.com.ua/komod/item-tumba-kom-1w2d2s-9-15-vusher"/>
    <hyperlink ref="N4" r:id="rId15" display="https://redlight.com.ua/komod/item-german-komod-kom-3s-9-12"/>
    <hyperlink ref="O4" r:id="rId16" display="https://redlight.com.ua/tv-stands/item-alisa-tumba-rtv2s2k"/>
    <hyperlink ref="P4" r:id="rId17" display="https://redlight.com.ua/komod/item-komod-kom4s-koen-(mdf)-"/>
    <hyperlink ref="A5" r:id="rId18" display="https://mebli-bristol.com.ua/"/>
    <hyperlink ref="L5" r:id="rId19" display="https://mebli-bristol.com.ua/kvatro-gerbor.html"/>
    <hyperlink ref="M5" r:id="rId20" display="https://mebli-bristol.com.ua/vusher-komod-kom-1w-2d2s-gerbor.html"/>
    <hyperlink ref="N5" r:id="rId21" display="https://mebli-bristol.com.ua/german-komod-kom-3s-9-12-brv-ukraina.html"/>
    <hyperlink ref="O5" r:id="rId22" display="https://mebli-bristol.com.ua/alisa-tumba-rtv-2s2k-gerbor.html"/>
    <hyperlink ref="P5" r:id="rId23" display="https://mebli-bristol.com.ua/koen-komod-kom-4s-mdf-gerbor.html"/>
    <hyperlink ref="A6" r:id="rId24" display="http://gerbor.kiev.ua/"/>
    <hyperlink ref="M6" r:id="rId25" display="https://gerbor.kiev.ua/mebelnye-sistemy/mebel-vusher-gerbor/vusher-komod-kom1w2d2s-gerbor/"/>
    <hyperlink ref="N6" r:id="rId26" display="https://gerbor.kiev.ua/mebel-brv-ukraina/mebel-german-brw/german-komod-kom3s-brv/"/>
    <hyperlink ref="O6" r:id="rId27" display="https://gerbor.kiev.ua/mebelnye-sistemy/mebel-alisa-gerbor/alisa-tumba-tv-rtv2s2k-gerbor/"/>
    <hyperlink ref="P6" r:id="rId28" display="https://gerbor.kiev.ua/mebelnye-sistemy/mebel-koen-gerbor/koen-komod-kom4s-gerbor/"/>
    <hyperlink ref="A7" r:id="rId29" display="http://www.brwland.com.ua/"/>
    <hyperlink ref="M7" r:id="rId30" display="http://www.brwland.com.ua/product/vusher-bufet-kom1w2d2s915-gerbor/"/>
    <hyperlink ref="N7" r:id="rId31" display="https://brwland.com.ua/product/german-komod-kom3s912-brv-ukraina/"/>
    <hyperlink ref="O7" r:id="rId32" display="https://brwland.com.ua/product/alisa-tumba-tv-rtv2s2k-gerbor/"/>
    <hyperlink ref="P7" r:id="rId33" display="https://brwland.com.ua/product/koen-kom4s-komod-gerbor/"/>
    <hyperlink ref="A8" r:id="rId34" display="http://gerbor.dp.ua/"/>
    <hyperlink ref="A9" r:id="rId35" display="https://www.dybok.com.ua/"/>
    <hyperlink ref="D9" r:id="rId36" display="https://www.dybok.com.ua/ru/product/detail/55516"/>
    <hyperlink ref="J9" r:id="rId37" display="https://www.dybok.com.ua/ru/product/detail/18085"/>
    <hyperlink ref="L9" r:id="rId38" display="https://www.dybok.com.ua/ru/product/detail/6077"/>
    <hyperlink ref="M9" r:id="rId39" display="https://www.dybok.com.ua/ru/product/detail/7086"/>
    <hyperlink ref="O9" r:id="rId40" display="https://www.dybok.com.ua/ua/product/detail/80992"/>
    <hyperlink ref="P9" r:id="rId41" display="https://www.dybok.com.ua/ua/product/detail/76092"/>
    <hyperlink ref="A10" r:id="rId42" display="https://vashamebel.in.ua/"/>
    <hyperlink ref="I10" r:id="rId43" display="0 грн"/>
    <hyperlink ref="L10" r:id="rId44" display="https://vashamebel.in.ua/stenka-gerbor-kvatro/p2359"/>
    <hyperlink ref="M10" r:id="rId45" display="https://vashamebel.in.ua/komod-gerbor-vusher-kom1w2d2s/p4762"/>
    <hyperlink ref="N10" r:id="rId46" display="https://vashamebel.in.ua/komod-brv-german-kom3s912/p16187"/>
    <hyperlink ref="O10" r:id="rId47" display="https://vashamebel.in.ua/tumba-tv-gerbor-alisa-rtv2s2k/p16540"/>
    <hyperlink ref="P10" r:id="rId48" display="https://vashamebel.in.ua/komod-gerbor-koen-kom4s/p2171"/>
    <hyperlink ref="A11" r:id="rId49" display="http://mebel-mebel.com.ua/"/>
    <hyperlink ref="L11" r:id="rId50" display="https://mebel-mebel.com.ua/eshop/dom-stenki-dlia-gostinoi/gostinaya_kvatro-id152.html"/>
    <hyperlink ref="M11" r:id="rId51" display="https://mebel-mebel.com.ua/eshop/dom-komody/komod_kom_1w2d2s_vusher-id560.html"/>
    <hyperlink ref="N11" r:id="rId52" display="https://mebel-mebel.com.ua/eshop/dom-komody/komod_kom3s_9_12_german_brv_ukraina-id60297.html"/>
    <hyperlink ref="O11" r:id="rId53" display="https://mebel-mebel.com.ua/eshop/dom-tumby-dlia-tv/tumba_rtv_2s2k_alisa_gerbor-id60350.html"/>
    <hyperlink ref="P11" r:id="rId54" display="https://mebel-mebel.com.ua/eshop/dom-komody/komod_kom_4s_mdf_8_koen-id921.html"/>
    <hyperlink ref="A12" r:id="rId55" display="http://abcmebli.com.ua"/>
    <hyperlink ref="A13" r:id="rId56" display="https://gerbor.mebelok.com/"/>
    <hyperlink ref="L13" r:id="rId57" display="https://www.mebelok.com/gostinaya-kvatro"/>
    <hyperlink ref="M13" r:id="rId58" display="https://www.mebelok.com/komod-kom-1w2d2s-vusher/"/>
    <hyperlink ref="N13" r:id="rId59" display="https://www.mebelok.com/komod-kom3s-9-12/"/>
    <hyperlink ref="O13" r:id="rId60" display="https://www.mebelok.com/tumba-tv-rtv2s2k-alisa/"/>
    <hyperlink ref="P13" r:id="rId61" display="https://www.mebelok.com/koen-komod-kom4s-mdf/"/>
    <hyperlink ref="A14" r:id="rId62" display="http://maxmebel.com.ua/"/>
    <hyperlink ref="L14" r:id="rId63" display="https://maxmebel.com.ua/stenka_kvatro"/>
    <hyperlink ref="M14" r:id="rId64" display="https://maxmebel.com.ua/vusher_komod_kom_1w2d2s"/>
    <hyperlink ref="P14" r:id="rId65" display="https://maxmebel.com.ua/koen_komod_kom4s-mdf"/>
    <hyperlink ref="A15" r:id="rId66" display="https://moyamebel.com.ua/ua"/>
    <hyperlink ref="L15" r:id="rId67" display="https://moyamebel.com.ua/ua/products/gostinaya-kvatro"/>
    <hyperlink ref="M15" r:id="rId68" display="https://moyamebel.com.ua/ua/products/komod-1w2d2s-vusher"/>
    <hyperlink ref="A16" r:id="rId69" display="https://mebel-soyuz.com.ua/"/>
    <hyperlink ref="A17" r:id="rId70" display="https://sofino.ua/"/>
    <hyperlink ref="L17" r:id="rId71" display="https://sofino.ua/gerbor-stenka-s-podsvetkojj-kvatro/g-18955"/>
    <hyperlink ref="M17" r:id="rId72" display="https://sofino.ua/gerbor-bufet-kom1w2d2s-s-podsvetkojj-vusher/g-176785"/>
    <hyperlink ref="A18" r:id="rId73" display="https://www.brw-kiev.com.ua/"/>
    <hyperlink ref="P18" r:id="rId74" display="https://www.brw-kiev.com.ua/catalog/mebel/gostinaya/koen-komod-kom4s-000003956.html"/>
    <hyperlink ref="A19" r:id="rId75" display="https://brw.kiev.ua/"/>
    <hyperlink ref="B19" r:id="rId76" display="https://brw.kiev.ua/mebel-brw-ukraina/azteca/tumba-tv-rtv2d2s-azteca-brv/"/>
    <hyperlink ref="C19" r:id="rId77" display="https://brw.kiev.ua/mebel-brw-ukraina/azteca/komod-kom4s-azteca-brv/"/>
    <hyperlink ref="D19" r:id="rId78" display="https://brw.kiev.ua/mebel-brw-ukraina/indiana-kanjon/komod-jkom4s80-indiana-brv-kanjon/"/>
    <hyperlink ref="E19" r:id="rId79" display="https://brw.kiev.ua/mebel-brw-ukraina/indiana-shutter/stol-pismennyy-jbiu2d2s140-indiana-brv-shutter/"/>
    <hyperlink ref="F19" r:id="rId80" display="https://brw.kiev.ua/mebel-brw-ukraina/july/komod-kom4s90-july-brv/"/>
    <hyperlink ref="M19" r:id="rId81" display="https://brw.kiev.ua/mebel-gerbor/vusher/komod-kom1w2d2s-vusher-gerbor/"/>
    <hyperlink ref="N19" r:id="rId82" display="https://brw.kiev.ua/mebel-brw-ukraina/german/komod-kom3s-german-brv/"/>
    <hyperlink ref="O19" r:id="rId83" display="https://brw.kiev.ua/mebel-gerbor/alisa/tumba-tv-rtv2s2k-alisa-gerbor/"/>
    <hyperlink ref="P19" r:id="rId84" display="https://brw.kiev.ua/mebel-gerbor/koen/komod-kom4s-koen-gerbor/"/>
    <hyperlink ref="A20" r:id="rId85" display="https://lvivmebli.com/"/>
    <hyperlink ref="A21" r:id="rId86" display="http://centrmebliv.com.ua/"/>
    <hyperlink ref="A22" r:id="rId87" display="https://letromebel.com.ua/"/>
    <hyperlink ref="B22" r:id="rId88" display="https://letromebel.com.ua/p566111870-tumba-rtv2d2s415-atsteka.html"/>
    <hyperlink ref="C22" r:id="rId89" display="https://letromebel.com.ua/p566126810-komod-kom4s811-atsteka.html"/>
    <hyperlink ref="D22" r:id="rId90" display="https://letromebel.com.ua/p566921861-komod-jkom4s80-indiana.html"/>
    <hyperlink ref="E22" r:id="rId91" display="https://letromebel.com.ua/p566921329-stol-pismennyj-jbiu2d2s140.html"/>
    <hyperlink ref="F22" r:id="rId92" display="https://letromebel.com.ua/p445989920-komod-kom-dzhuli.html"/>
    <hyperlink ref="M22" r:id="rId93" display="https://letromebel.com.ua/p332640892-bufet-kom1w2d2s-vusher.html"/>
    <hyperlink ref="N22" r:id="rId94" display="https://letromebel.com.ua/ua/p920135181-komod-german-kom3s912.html"/>
    <hyperlink ref="O22" r:id="rId95" display="https://letromebel.com.ua/ua/p1053586927-tumba-alisa-rtv2s2k.html"/>
    <hyperlink ref="P22" r:id="rId96" display="https://letromebel.com.ua/site_search/page_2?search_term=%D0%BA%D0%BE%D0%B5%D0%BD+%D0%BC%D0%B4%D1%84"/>
    <hyperlink ref="A23" r:id="rId97" display="https://shurup.net.ua/"/>
    <hyperlink ref="B23" r:id="rId98" display="https://shurup.net.ua/azteca-acteka-tumba-rtv2d2s415.p17205"/>
    <hyperlink ref="C23" r:id="rId99" display="https://shurup.net.ua/azteca-acteka-komod-kom4s811.p17200"/>
    <hyperlink ref="D23" r:id="rId100" display="https://shurup.net.ua/komod-jkom-4s80-indiana-sosna-kanon.p9412"/>
    <hyperlink ref="E23" r:id="rId101" display="https://shurup.net.ua/stol-pismennyj-jbiu-2d2s-140-indiana-dub-shutter.p5488"/>
    <hyperlink ref="F23" r:id="rId102" display="https://shurup.net.ua/komod-kom-4s-90-dzhuli.p7011"/>
    <hyperlink ref="M23" r:id="rId103" display="https://shurup.net.ua/komod-kom1w2d2s-9-15-vusher.p1953"/>
    <hyperlink ref="A24" r:id="rId104" display="https://www.taburetka.ua"/>
    <hyperlink ref="L24" r:id="rId105" display="https://www.taburetka.ua/gostinye-600/gostinaya-kvatro-2834"/>
    <hyperlink ref="M24" r:id="rId106" display="https://www.taburetka.ua/komody-i-tumby-35/komod-kom1w2d2s-vusher-2974"/>
    <hyperlink ref="A25" r:id="rId107" display="http://www.maxidom.com.ua/"/>
    <hyperlink ref="B25" r:id="rId108" display="http://www.maxidom.com.ua/tumba-rtv-atsteka-2d2s415.html?search_string=%D2%F3%EC%E1%E0+%D0%D2%C2+%C0%F6%F2%E5%EA%E0+2D2S%2F4%2F15"/>
    <hyperlink ref="C25" r:id="rId109" display="http://www.maxidom.com.ua/komod-atsteka-kom4s811.html?search_string=%CA%EE%EC%EE%E4+%C0%F6%F2%E5%EA%E0+KOM4S%2F8%2F11"/>
    <hyperlink ref="D25" r:id="rId110" display="http://www.maxidom.com.ua/komod_indiana_jkom4s80.html?search_string=%CA%EE%EC%EE%E4+%C8%ED%E4%E8%E0%ED%E0+JKOM4s%2F80"/>
    <hyperlink ref="E25" r:id="rId111" display="http://www.maxidom.com.ua/stol_pismenniy_indiana_jbiu2d2s.html?search_string=%D1%F2%EE%EB+%EF%E8%F1%FC%EC%E5%ED%ED%FB%E9+%C8%ED%E4%E8%E0%ED%E0+JBIU2d2s"/>
    <hyperlink ref="F25" r:id="rId112" display="http://www.maxidom.com.ua/komod-kom4s90-dzhuli.html?search_string=%CA%EE%EC%EE%E4+KOM4S%2F90+%C4%E6%F3%EB%E8"/>
    <hyperlink ref="A26" r:id="rId113" display="https://mebel-online.com.ua"/>
    <hyperlink ref="B26" r:id="rId114" display="https://mebel-online.com.ua/tymba-rtv2d2s-4-15-azteca?filter_name=azteca"/>
    <hyperlink ref="C26" r:id="rId115" display="https://mebel-online.com.ua/komod-kom4s-8-11-azteca?filter_name=azteca"/>
    <hyperlink ref="D26" r:id="rId116" display="https://mebel-online.com.ua/p5228-komod_jkom_4s_80_indiana_brw?filter_name=%D0%B8%D0%BD%D0%B4%D0%B8%D0%B0%D0%BD%D0%B0"/>
    <hyperlink ref="E26" r:id="rId117" display="https://mebel-online.com.ua/p5223-stol_pismenniy_jbiu_2d2s_140_indiana_brw?filter_name=%D0%B8%D0%BD%D0%B4%D0%B8%D0%B0%D0%BD%D0%B0"/>
    <hyperlink ref="F26" r:id="rId118" display="https://mebel-online.com.ua/komod-kom4s-90-july?filter_name=july"/>
    <hyperlink ref="A27" r:id="rId119" display="https://mebelnuy.com.ua/"/>
    <hyperlink ref="B27" r:id="rId120" display="https://mebelnuy.com.ua/tumba-pod-tv-rtv2d2s-4-15-acteka-brv?search=%D0%A2%D0%92%20%D0%90%D1%86%D1%82%D0%B5%D0%BA%D0%B0%20RTV2D2S&amp;description=true"/>
    <hyperlink ref="C27" r:id="rId121" display="https://mebelnuy.com.ua/komod-kom4s-8-11-acteka-brv?search=%D0%90%D1%86%D1%82%D0%B5%D0%BA%D0%B0%20KOM4S%2F8%2F11&amp;description=true"/>
    <hyperlink ref="D27" r:id="rId122" display="https://mebelnuy.com.ua/komod-jkom-4s-80-indiana-brv?search=%D0%98%D0%BD%D0%B4%D0%B8%D0%B0%D0%BD%D0%B0%20JKOM_4s&amp;description=true"/>
    <hyperlink ref="F27" r:id="rId123" display="https://mebelnuy.com.ua/komod-kom4s-90-dzhuli-brv?search=%D0%94%D0%96%D0%A3%D0%9B%D0%98%20KOM4S%2F90&amp;description=true"/>
    <hyperlink ref="L27" r:id="rId124" display="https://mebelnuy.com.ua/gostinaya-gerbor-kvatro-venge-magiya?search=%D0%BA%D0%B2%D0%B0%D1%82%D1%80%D0%BE&amp;description=true"/>
    <hyperlink ref="M27" r:id="rId125" display="https://mebelnuy.com.ua/komod-gerbor-vusher-kom-1w2d2s?search=%D0%92%D1%83%D1%88%D0%B5%D1%80%20KOM%201W2D2S&amp;description=true"/>
    <hyperlink ref="N27" r:id="rId126" display="https://mebelnuy.com.ua/komod-german-115-brv?search=%D0%93%D0%95%D0%A0%D0%9C%D0%90%D0%9D&amp;description=true"/>
    <hyperlink ref="O27" r:id="rId127" display="https://mebelnuy.com.ua/tumba-gerbor-alisa-rtv2s2k?search=%D0%B0%D0%BB%D0%B8%D1%81%D0%B0&amp;description=true"/>
    <hyperlink ref="P27" r:id="rId128" display="https://mebelnuy.com.ua/komod-gerbor-koen-kom4s-mdf?search=%D0%BA%D0%BE%D0%B5%D0%BD%20%D0%BC%D0%B4%D1%84&amp;description=true"/>
    <hyperlink ref="A28" r:id="rId129" display="https://amado.com.ua"/>
    <hyperlink ref="B28" r:id="rId130" display="https://amado.com.ua/gostinaya/komody-i-tumby-v-gostinuyu/acteka-tumba-rtv2d2s-4-15-brw"/>
    <hyperlink ref="C28" r:id="rId131" display="https://amado.com.ua/gostinaya/komody-i-tumby-v-gostinuyu/acteka-komod-kom4s-8-11-brw"/>
    <hyperlink ref="D28" r:id="rId132" display="https://amado.com.ua/detskaya/komody-i-tumby-dlya-detskoj/indiana-komod-jkom-4s-80-sosna-kanon-brw"/>
    <hyperlink ref="E28" r:id="rId133" display="https://amado.com.ua/detskaya/stoly-i-nadstrojki/indiana-stol-pismennyj-jbiu-2d2s-140-sosna-kanon-brw"/>
    <hyperlink ref="F28" r:id="rId134" display="https://amado.com.ua/gostinaya/komody-i-tumby-v-gostinuyu/dzhuli-komod-kom4s-90-brw"/>
    <hyperlink ref="A31" r:id="rId135" display="https://epicentrk.ua/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21" t="s">
        <v>1</v>
      </c>
      <c r="C1" s="121" t="s">
        <v>2</v>
      </c>
      <c r="D1" s="121" t="s">
        <v>3</v>
      </c>
      <c r="E1" s="121" t="s">
        <v>4</v>
      </c>
      <c r="F1" s="121" t="s">
        <v>5</v>
      </c>
      <c r="G1" s="2" t="s">
        <v>6</v>
      </c>
      <c r="H1" s="2" t="s">
        <v>7</v>
      </c>
      <c r="I1" s="2" t="s">
        <v>8</v>
      </c>
      <c r="J1" s="122" t="s">
        <v>9</v>
      </c>
      <c r="K1" s="122" t="s">
        <v>15</v>
      </c>
      <c r="L1" s="123" t="s">
        <v>10</v>
      </c>
      <c r="M1" s="124" t="s">
        <v>11</v>
      </c>
      <c r="N1" s="124" t="s">
        <v>12</v>
      </c>
      <c r="O1" s="124" t="s">
        <v>13</v>
      </c>
      <c r="P1" s="124" t="s">
        <v>14</v>
      </c>
    </row>
    <row r="2" customFormat="false" ht="40.5" hidden="false" customHeight="true" outlineLevel="0" collapsed="false">
      <c r="A2" s="5" t="s">
        <v>16</v>
      </c>
      <c r="B2" s="6" t="n">
        <v>3970</v>
      </c>
      <c r="C2" s="7" t="n">
        <v>4840</v>
      </c>
      <c r="D2" s="9" t="n">
        <v>3890</v>
      </c>
      <c r="E2" s="9" t="n">
        <v>5910</v>
      </c>
      <c r="F2" s="9" t="n">
        <v>2370</v>
      </c>
      <c r="G2" s="9" t="n">
        <v>5666</v>
      </c>
      <c r="H2" s="7" t="n">
        <v>7060</v>
      </c>
      <c r="I2" s="9" t="n">
        <v>3530</v>
      </c>
      <c r="J2" s="10" t="n">
        <v>2330</v>
      </c>
      <c r="K2" s="10" t="n">
        <v>9080</v>
      </c>
      <c r="L2" s="10" t="n">
        <v>3810</v>
      </c>
      <c r="M2" s="10" t="n">
        <v>5100</v>
      </c>
      <c r="N2" s="77" t="n">
        <v>4680</v>
      </c>
      <c r="O2" s="10" t="n">
        <v>5550</v>
      </c>
      <c r="P2" s="10" t="n">
        <v>4480</v>
      </c>
    </row>
    <row r="3" customFormat="false" ht="48" hidden="false" customHeight="true" outlineLevel="0" collapsed="false">
      <c r="A3" s="78" t="s">
        <v>28</v>
      </c>
      <c r="B3" s="79" t="str">
        <f aca="false">HYPERLINK("https://brwmania.com.ua/gostinaja/modulnye-gostinye/sistema-azteka/tumba-pod-tv-acteka-rtv2d2s415/","3970")</f>
        <v>3970</v>
      </c>
      <c r="C3" s="80" t="str">
        <f aca="false">HYPERLINK("https://brwmania.com.ua/gostinaja/modulnye-gostinye/sistema-azteka/komod-acteka-kom4s811/","4840")</f>
        <v>4840</v>
      </c>
      <c r="D3" s="80" t="str">
        <f aca="false">HYPERLINK("https://brwmania.com.ua/gostinaja/modulnye-gostinye/sistema-indiana-indiana---dub-shuter/indiana-dub-shuter-laminat-j-011-komod-jkom-4s-80/","3890")</f>
        <v>3890</v>
      </c>
      <c r="E3" s="80" t="str">
        <f aca="false">HYPERLINK("https://brwmania.com.ua/gostinaja/modulnye-gostinye/sistema-indiana-indiana---dub-shuter/indiana-dub-shuter-laminat-j-007-stol-pismennyy-jbiu-2d2s-140/","5910")</f>
        <v>5910</v>
      </c>
      <c r="F3" s="80" t="str">
        <f aca="false">HYPERLINK("https://brwmania.com.ua/gostinaja/modulnye-gostinye/sistema_dzhuli/komod-dzhuli-july-kom4s-90/","2370")</f>
        <v>2370</v>
      </c>
      <c r="G3" s="80" t="str">
        <f aca="false">HYPERLINK("https://brwmania.com.ua/gostinaja/modulnye-gostinye/tovar-novij/shkaf-platjanoj-porto-szf3d2s/","5666")</f>
        <v>5666</v>
      </c>
      <c r="H3" s="80" t="str">
        <f aca="false">HYPERLINK("https://brwmania.com.ua/gostinaja/modulnye-gostinye/sistema-sonata-sonata/s-015-sonata-komod-8-s/","7060")</f>
        <v>7060</v>
      </c>
      <c r="I3" s="80" t="str">
        <f aca="false">HYPERLINK("https://brwmania.com.ua/gostinaja/modulnye-gostinye/sistema_kaspian_dub_sonoma/kaspian-dub-sonoma-jm-007-stol-pismennyy-biu-1d1s/","3530")</f>
        <v>3530</v>
      </c>
      <c r="J3" s="19" t="str">
        <f aca="false">HYPERLINK("http://redlight.com.ua/prihozhie/item-nepo-prihozhaya-rrk-","2330")</f>
        <v>2330</v>
      </c>
      <c r="K3" s="80" t="str">
        <f aca="false">HYPERLINK("https://brwmania.com.ua/gostinaja/komplekty-gostinyh/aljaska-alaska-gostinaja/","9080")</f>
        <v>9080</v>
      </c>
      <c r="L3" s="128" t="str">
        <f aca="false">HYPERLINK("https://brwmania.com.ua/gostinaja/komplekty-gostinyh/stinka-kvatro-venge-magia/","3810")</f>
        <v>3810</v>
      </c>
      <c r="M3" s="128" t="str">
        <f aca="false">HYPERLINK("https://brwmania.com.ua/gostinaja/modulnye-gostinye/sistema-vusher-vusher/010-vusher-komod-kom-1w2d2s/","5100")</f>
        <v>5100</v>
      </c>
      <c r="N3" s="80" t="str">
        <f aca="false">HYPERLINK("https://brwmania.com.ua/gostinaja/modulnye-gostinye/sistema-german/komod-brw-german-kom3s-9-12-dub-stirling/","4680")</f>
        <v>4680</v>
      </c>
      <c r="O3" s="128" t="str">
        <f aca="false">HYPERLINK("https://brwmania.com.ua/gostinaja/modulnye-gostinye/sistema-alisa-alisa-gerbor/gerbor-gerbor-tumba-pod-televizor-alisa-rtv2s2k/","5550")</f>
        <v>5550</v>
      </c>
      <c r="P3" s="80" t="str">
        <f aca="false">HYPERLINK("https://brwmania.com.ua/gostinaja/modulnye-gostinye/sistema_koen_mdf/008-koen-mdf-komod-kom4s/","4480")</f>
        <v>4480</v>
      </c>
    </row>
    <row r="4" customFormat="false" ht="60.75" hidden="false" customHeight="true" outlineLevel="0" collapsed="false">
      <c r="A4" s="78" t="s">
        <v>29</v>
      </c>
      <c r="B4" s="29" t="str">
        <f aca="false">HYPERLINK("https://redlight.com.ua/tv-stands/item-tumba-tv-rtv2d2s-4-15-atsteka","3970")</f>
        <v>3970</v>
      </c>
      <c r="C4" s="30" t="str">
        <f aca="false">HYPERLINK("https://redlight.com.ua/komod/item-komod-kom4s-8-11-atsteka","4840")</f>
        <v>4840</v>
      </c>
      <c r="D4" s="30" t="str">
        <f aca="false">HYPERLINK("https://redlight.com.ua/komod/item-komod-jkom-4s-80-indiana","3890")</f>
        <v>3890</v>
      </c>
      <c r="E4" s="30" t="str">
        <f aca="false">HYPERLINK("https://redlight.com.ua/stoly/item-stol-pismenniy-jbiu-2d2s-indiana","5910")</f>
        <v>5910</v>
      </c>
      <c r="F4" s="30" t="str">
        <f aca="false">HYPERLINK("https://redlight.com.ua/komod/item-komod-kom4s-90-dzhuli","2370")</f>
        <v>2370</v>
      </c>
      <c r="G4" s="32" t="str">
        <f aca="false">HYPERLINK("http://redlight.com.ua/raspashnyye-shkafy/item-porto-shkaf-szf3d2s","5666")</f>
        <v>5666</v>
      </c>
      <c r="H4" s="32" t="str">
        <f aca="false">HYPERLINK("http://redlight.com.ua/komod/item-komod-8s-sonata-","7060")</f>
        <v>7060</v>
      </c>
      <c r="I4" s="22" t="str">
        <f aca="false">HYPERLINK("http://redlight.com.ua/stoly/item-kaspian-pismenniy-stol-biu-1d1s-120-kaspian","3530")</f>
        <v>3530</v>
      </c>
      <c r="J4" s="30" t="str">
        <f aca="false">HYPERLINK("https://redlight.com.ua/prihozhie/item-nepo-prihozhaya-rrk-","2330")</f>
        <v>2330</v>
      </c>
      <c r="K4" s="36" t="str">
        <f aca="false">HYPERLINK("http://redlight.com.ua/stenki/item-stenka-alyaska","7644")</f>
        <v>7644</v>
      </c>
      <c r="L4" s="32" t="str">
        <f aca="false">HYPERLINK("http://redlight.com.ua/stenki/item-stenka-kvatro","3810")</f>
        <v>3810</v>
      </c>
      <c r="M4" s="32" t="str">
        <f aca="false">HYPERLINK("https://redlight.com.ua/komod/item-tumba-kom-1w2d2s-9-15-vusher","5100")</f>
        <v>5100</v>
      </c>
      <c r="N4" s="32" t="str">
        <f aca="false">HYPERLINK("https://redlight.com.ua/komod/item-german-komod-kom-3s-9-12","4680")</f>
        <v>4680</v>
      </c>
      <c r="O4" s="32" t="str">
        <f aca="false">HYPERLINK("https://redlight.com.ua/tv-stands/item-alisa-tumba-rtv2s2k","5550")</f>
        <v>5550</v>
      </c>
      <c r="P4" s="32" t="str">
        <f aca="false">HYPERLINK("https://redlight.com.ua/komod/item-komod-kom4s-koen-(mdf)-","4480")</f>
        <v>4480</v>
      </c>
    </row>
    <row r="5" customFormat="false" ht="63" hidden="false" customHeight="true" outlineLevel="0" collapsed="false">
      <c r="A5" s="78" t="s">
        <v>30</v>
      </c>
      <c r="B5" s="35" t="str">
        <f aca="false">HYPERLINK("https://mebli-bristol.com.ua/acteka-tumba-rtv-2d2s-4-15-brv-ukraina.html","3970")</f>
        <v>3970</v>
      </c>
      <c r="C5" s="32" t="str">
        <f aca="false">HYPERLINK("https://mebli-bristol.com.ua/acteka-komod-kom-4s-8-11-brv-ukraina.html","4840")</f>
        <v>4840</v>
      </c>
      <c r="D5" s="32" t="str">
        <f aca="false">HYPERLINK("https://mebli-bristol.com.ua/indiana-komod-jkom-4s-80-sosna-kan-jon-brv-ukraina.html","3890")</f>
        <v>3890</v>
      </c>
      <c r="E5" s="32" t="str">
        <f aca="false">HYPERLINK("https://mebli-bristol.com.ua/indiana-stil-pis-movij-jbiu-2d2s-140-sosna-kan-jon-brv-ukraina.html","5910")</f>
        <v>5910</v>
      </c>
      <c r="F5" s="32" t="str">
        <f aca="false">HYPERLINK("https://mebli-bristol.com.ua/dzhuli-komod-kom-4s-90-brv-ukraina.html","2370")</f>
        <v>2370</v>
      </c>
      <c r="G5" s="32" t="str">
        <f aca="false">HYPERLINK("https://mebli-bristol.com.ua/porto-shafa-szf-3d2s-brv-ukraina.html","5666")</f>
        <v>5666</v>
      </c>
      <c r="H5" s="32" t="str">
        <f aca="false">HYPERLINK("https://mebli-bristol.com.ua/sonata-komod-8s-gerbor.html","7060")</f>
        <v>7060</v>
      </c>
      <c r="I5" s="32" t="str">
        <f aca="false">HYPERLINK("https://mebli-bristol.com.ua/kaspian-stil-pis-movij-biu-1d1s-120-dub-sonoma-brv-ukraina.html","3530")</f>
        <v>3530</v>
      </c>
      <c r="J5" s="36" t="str">
        <f aca="false">HYPERLINK("https://mebli-bristol.com.ua/nepo-peredpokij-ppk-gerbor-9728.html","1971")</f>
        <v>1971</v>
      </c>
      <c r="K5" s="32" t="str">
        <f aca="false">HYPERLINK("https://mebli-bristol.com.ua/aljaska-brv-ukraina.html","9080")</f>
        <v>9080</v>
      </c>
      <c r="L5" s="32" t="str">
        <f aca="false">HYPERLINK("https://mebli-bristol.com.ua/kvatro-gerbor.html","3810")</f>
        <v>3810</v>
      </c>
      <c r="M5" s="32" t="str">
        <f aca="false">HYPERLINK("https://mebli-bristol.com.ua/vusher-komod-kom-1w-2d2s-gerbor.html","5100")</f>
        <v>5100</v>
      </c>
      <c r="N5" s="32" t="str">
        <f aca="false">HYPERLINK("https://mebli-bristol.com.ua/german-komod-kom-3s-9-12-brv-ukraina.html","4680")</f>
        <v>4680</v>
      </c>
      <c r="O5" s="30" t="str">
        <f aca="false">HYPERLINK("https://mebli-bristol.com.ua/alisa-tumba-rtv-2s2k-gerbor.html","5550")</f>
        <v>5550</v>
      </c>
      <c r="P5" s="32" t="str">
        <f aca="false">HYPERLINK("https://mebli-bristol.com.ua/koen-komod-kom-4s-mdf-gerbor.html","4480")</f>
        <v>4480</v>
      </c>
    </row>
    <row r="6" customFormat="false" ht="60" hidden="false" customHeight="true" outlineLevel="0" collapsed="false">
      <c r="A6" s="78" t="s">
        <v>17</v>
      </c>
      <c r="B6" s="29" t="str">
        <f aca="false">HYPERLINK("https://gerbor.kiev.ua/mebel-brv-ukraina/mebel-brw-azteca/azteca-tumba-tv-rtv2d2s-brv/","3970")</f>
        <v>3970</v>
      </c>
      <c r="C6" s="30" t="str">
        <f aca="false">HYPERLINK("https://gerbor.kiev.ua/mebel-brv-ukraina/mebel-brw-azteca/azteca-komod-kom4s-brv/","4840")</f>
        <v>4840</v>
      </c>
      <c r="D6" s="30" t="str">
        <f aca="false">HYPERLINK("https://gerbor.kiev.ua/mebel-brv-ukraina/mebel-indiana-brw/indiana-komod-jkom4s80-brv/","3890")</f>
        <v>3890</v>
      </c>
      <c r="E6" s="30" t="str">
        <f aca="false">HYPERLINK("https://gerbor.kiev.ua/mebel-brv-ukraina/mebel-indiana-brw/indiana-stol-pismennyy-jbiu2d2s140-brv/","5910")</f>
        <v>5910</v>
      </c>
      <c r="F6" s="30" t="str">
        <f aca="false">HYPERLINK("https://gerbor.kiev.ua/mebel-brv-ukraina/mebel-july-brw/july-komod-kom4s90-brv/","2370")</f>
        <v>2370</v>
      </c>
      <c r="G6" s="32" t="str">
        <f aca="false">HYPERLINK("https://gerbor.kiev.ua/mebelnye-sistemy/mebel-porto-brv/porto-shkaf-szf3d2s-brv/","5666")</f>
        <v>5666</v>
      </c>
      <c r="H6" s="32" t="str">
        <f aca="false">HYPERLINK("https://gerbor.kiev.ua/mebelnye-sistemy/mebel-sonata-gerbor/sonata-komod-8s-gerbor/","7060")</f>
        <v>7060</v>
      </c>
      <c r="I6" s="19" t="str">
        <f aca="false">HYPERLINK("https://gerbor.kiev.ua/mebelnye-sistemy/mebel-kaspian-sonoma-brw/kaspian-sonoma-stol-pismennyy-biu1d1s-brv/","3530")</f>
        <v>3530</v>
      </c>
      <c r="J6" s="32" t="str">
        <f aca="false">HYPERLINK("https://gerbor.kiev.ua/mebelnye-sistemy/mebel-nepo-gerbor/nepo-prikhozhaya-ppk-gerbor/","2330")</f>
        <v>2330</v>
      </c>
      <c r="K6" s="19" t="str">
        <f aca="false">HYPERLINK("https://gerbor.kiev.ua/mebelnye-sistemy/mebel-alaska-brw/alaska-gostinaya-brw/","9080")</f>
        <v>9080</v>
      </c>
      <c r="L6" s="83"/>
      <c r="M6" s="32" t="str">
        <f aca="false">HYPERLINK("https://gerbor.kiev.ua/mebelnye-sistemy/mebel-vusher-gerbor/vusher-komod-kom1w2d2s-gerbor/","5100")</f>
        <v>5100</v>
      </c>
      <c r="N6" s="19" t="str">
        <f aca="false">HYPERLINK("https://gerbor.kiev.ua/mebel-brv-ukraina/mebel-german-brw/german-komod-kom3s-brv/","4680")</f>
        <v>4680</v>
      </c>
      <c r="O6" s="30" t="str">
        <f aca="false">HYPERLINK("https://gerbor.kiev.ua/mebelnye-sistemy/mebel-alisa-gerbor/alisa-tumba-tv-rtv2s2k-gerbor/","5550")</f>
        <v>5550</v>
      </c>
      <c r="P6" s="82" t="n">
        <v>4480</v>
      </c>
      <c r="Q6" s="84"/>
    </row>
    <row r="7" customFormat="false" ht="63" hidden="false" customHeight="true" outlineLevel="0" collapsed="false">
      <c r="A7" s="78" t="s">
        <v>18</v>
      </c>
      <c r="B7" s="29" t="str">
        <f aca="false">HYPERLINK("https://brwland.com.ua/product/azteca-tumba-tv-rtv2d2s415-brv-ukraina/","3970")</f>
        <v>3970</v>
      </c>
      <c r="C7" s="30" t="str">
        <f aca="false">HYPERLINK("https://brwland.com.ua/product/azteca-komod-kom4s811-brv-ukraina/","4840")</f>
        <v>4840</v>
      </c>
      <c r="D7" s="30" t="str">
        <f aca="false">HYPERLINK("https://brwland.com.ua/product/mebel-indiana-komod-jkom-4s-80-gerbor/","3890")</f>
        <v>3890</v>
      </c>
      <c r="E7" s="30" t="str">
        <f aca="false">HYPERLINK("https://brwland.com.ua/product/mebel-indiana-stol-pismennyj-jbiu-2d2s-140-gerbor/","5910")</f>
        <v>5910</v>
      </c>
      <c r="F7" s="30" t="str">
        <f aca="false">HYPERLINK("https://brwland.com.ua/product/dzhuli-komod-kom4s90-brv-ukraina/","2370")</f>
        <v>2370</v>
      </c>
      <c r="G7" s="32" t="str">
        <f aca="false">HYPERLINK("http://www.brwland.com.ua/product/porto-shkaf-szf3d2s-brv-ukraina/","5666")</f>
        <v>5666</v>
      </c>
      <c r="H7" s="32" t="str">
        <f aca="false">HYPERLINK("http://www.brwland.com.ua/product/komod-8s-sonata-gerbor/","7060")</f>
        <v>7060</v>
      </c>
      <c r="I7" s="19" t="str">
        <f aca="false">HYPERLINK("http://www.brwland.com.ua/product/kaspian-sonoma-stol-pismennyj-biu1d1s-brv-ukraina/","3530")</f>
        <v>3530</v>
      </c>
      <c r="J7" s="32" t="str">
        <f aca="false">HYPERLINK("http://www.brwland.com.ua/product/nepo-prihozhaja-ppk-gerbor/","2330")</f>
        <v>2330</v>
      </c>
      <c r="K7" s="19" t="str">
        <f aca="false">HYPERLINK("http://www.brwland.com.ua/product/gostinaja-aljaska-brv-ukraina/","9080")</f>
        <v>9080</v>
      </c>
      <c r="L7" s="36" t="str">
        <f aca="false">HYPERLINK("http://www.brwland.com.ua/product/komplekt-quatro/","3151")</f>
        <v>3151</v>
      </c>
      <c r="M7" s="32" t="str">
        <f aca="false">HYPERLINK("http://www.brwland.com.ua/product/vusher-bufet-kom1w2d2s915-gerbor/","5100")</f>
        <v>5100</v>
      </c>
      <c r="N7" s="32" t="str">
        <f aca="false">HYPERLINK("https://brwland.com.ua/product/german-komod-kom3s912-brv-ukraina/","4680")</f>
        <v>4680</v>
      </c>
      <c r="O7" s="30" t="str">
        <f aca="false">HYPERLINK("https://brwland.com.ua/product/alisa-tumba-tv-rtv2s2k-gerbor/","5550")</f>
        <v>5550</v>
      </c>
      <c r="P7" s="32" t="str">
        <f aca="false">HYPERLINK("https://brwland.com.ua/product/koen-kom4s-komod-gerbor/","4480")</f>
        <v>4480</v>
      </c>
      <c r="Q7" s="84"/>
    </row>
    <row r="8" customFormat="false" ht="60" hidden="false" customHeight="true" outlineLevel="0" collapsed="false">
      <c r="A8" s="78" t="s">
        <v>31</v>
      </c>
      <c r="B8" s="85" t="str">
        <f aca="false">HYPERLINK("http://gerbor.dp.ua/index.php?route=product/product&amp;product_id=3138","0")</f>
        <v>0</v>
      </c>
      <c r="C8" s="86" t="str">
        <f aca="false">HYPERLINK("http://gerbor.dp.ua/index.php?route=product/product&amp;product_id=3131","0")</f>
        <v>0</v>
      </c>
      <c r="D8" s="86" t="str">
        <f aca="false">HYPERLINK("http://gerbor.dp.ua/index.php?route=product/product&amp;product_id=1730","0")</f>
        <v>0</v>
      </c>
      <c r="E8" s="86" t="str">
        <f aca="false">HYPERLINK("http://gerbor.dp.ua/index.php?route=product/product&amp;product_id=1725","0")</f>
        <v>0</v>
      </c>
      <c r="F8" s="86" t="str">
        <f aca="false">HYPERLINK("http://gerbor.dp.ua/index.php?route=product/product&amp;product_id=1755","0")</f>
        <v>0</v>
      </c>
      <c r="G8" s="27" t="str">
        <f aca="false">HYPERLINK("http://gerbor.dp.ua/index.php?route=product/product&amp;product_id=3905","5377")</f>
        <v>5377</v>
      </c>
      <c r="H8" s="86" t="str">
        <f aca="false">HYPERLINK("http://gerbor.dp.ua/index.php?route=product/product&amp;product_id=2156","0")</f>
        <v>0</v>
      </c>
      <c r="I8" s="86" t="str">
        <f aca="false">HYPERLINK("http://gerbor.dp.ua/index.php?route=product/product&amp;product_id=2819","0")</f>
        <v>0</v>
      </c>
      <c r="J8" s="86" t="str">
        <f aca="false">HYPERLINK("http://gerbor.dp.ua/index.php?route=product/product&amp;product_id=3473&amp;search=%D0%BD%D0%B5%D0%BF%D0%BE","0")</f>
        <v>0</v>
      </c>
      <c r="K8" s="86" t="str">
        <f aca="false">HYPERLINK("http://gerbor.dp.ua/index.php?route=product/product&amp;product_id=3031","0")</f>
        <v>0</v>
      </c>
      <c r="L8" s="86" t="str">
        <f aca="false">HYPERLINK("http://gerbor.dp.ua/index.php?route=product/product&amp;product_id=2040","0")</f>
        <v>0</v>
      </c>
      <c r="M8" s="27" t="str">
        <f aca="false">HYPERLINK("http://gerbor.dp.ua/index.php?route=product/product&amp;product_id=2775","4195")</f>
        <v>4195</v>
      </c>
      <c r="N8" s="86" t="str">
        <f aca="false">HYPERLINK("http://gerbor.dp.ua/index.php?route=product/product&amp;product_id=4118","0")</f>
        <v>0</v>
      </c>
      <c r="O8" s="86" t="str">
        <f aca="false">HYPERLINK("http://gerbor.dp.ua/index.php?route=product/product&amp;product_id=4257","0")</f>
        <v>0</v>
      </c>
      <c r="P8" s="86" t="str">
        <f aca="false">HYPERLINK("http://gerbor.dp.ua/index.php?route=product/product&amp;product_id=3797&amp;search=%D0%BA%D0%BE%D0%B5%D0%BD+%D0%BC%D0%B4%D1%84&amp;description=true","0")</f>
        <v>0</v>
      </c>
    </row>
    <row r="9" customFormat="false" ht="56.25" hidden="false" customHeight="true" outlineLevel="0" collapsed="false">
      <c r="A9" s="88" t="s">
        <v>32</v>
      </c>
      <c r="B9" s="29" t="str">
        <f aca="false">HYPERLINK("https://www.dybok.com.ua/ru/product/detail/35816","3973")</f>
        <v>3973</v>
      </c>
      <c r="C9" s="30" t="str">
        <f aca="false">HYPERLINK("https://www.dybok.com.ua/ru/product/detail/35870","4840")</f>
        <v>4840</v>
      </c>
      <c r="D9" s="89" t="n">
        <v>3229</v>
      </c>
      <c r="E9" s="30" t="str">
        <f aca="false">HYPERLINK("https://www.dybok.com.ua/ru/product/detail/4291","5915")</f>
        <v>5915</v>
      </c>
      <c r="F9" s="30" t="str">
        <f aca="false">HYPERLINK("https://www.dybok.com.ua/ru/product/detail/9798","2380")</f>
        <v>2380</v>
      </c>
      <c r="G9" s="30" t="str">
        <f aca="false">HYPERLINK("https://www.dybok.com.ua/ru/product/detail/35840","5675")</f>
        <v>5675</v>
      </c>
      <c r="H9" s="30" t="str">
        <f aca="false">HYPERLINK("https://www.dybok.com.ua/ru/product/detail/261","7070")</f>
        <v>7070</v>
      </c>
      <c r="I9" s="36" t="str">
        <f aca="false">HYPERLINK("https://www.dybok.com.ua/","3006")</f>
        <v>3006</v>
      </c>
      <c r="J9" s="89" t="n">
        <v>1931</v>
      </c>
      <c r="K9" s="30" t="str">
        <f aca="false">HYPERLINK("https://www.dybok.com.ua/ru/product/detail/50410","9095")</f>
        <v>9095</v>
      </c>
      <c r="L9" s="32" t="str">
        <f aca="false">HYPERLINK("https://www.dybok.com.ua/ru/product/detail/6077","3814")</f>
        <v>3814</v>
      </c>
      <c r="M9" s="32" t="str">
        <f aca="false">HYPERLINK("https://www.dybok.com.ua/ru/product/detail/7086","5118")</f>
        <v>5118</v>
      </c>
      <c r="N9" s="32" t="str">
        <f aca="false">HYPERLINK("https://www.dybok.com.ua/ru/product/detail/54996","4690")</f>
        <v>4690</v>
      </c>
      <c r="O9" s="30" t="str">
        <f aca="false">HYPERLINK("https://www.dybok.com.ua/ua/product/detail/80992","5565")</f>
        <v>5565</v>
      </c>
      <c r="P9" s="32" t="str">
        <f aca="false">HYPERLINK("https://www.dybok.com.ua/ua/product/detail/76092","4498")</f>
        <v>4498</v>
      </c>
    </row>
    <row r="10" customFormat="false" ht="61.5" hidden="false" customHeight="true" outlineLevel="0" collapsed="false">
      <c r="A10" s="78" t="s">
        <v>19</v>
      </c>
      <c r="B10" s="29" t="str">
        <f aca="false">HYPERLINK("https://vashamebel.in.ua/tumba-tv-brv-atsteka-rtv2d2s415/p12722","3970")</f>
        <v>3970</v>
      </c>
      <c r="C10" s="30" t="str">
        <f aca="false">HYPERLINK("https://vashamebel.in.ua/komod-brv-atsteka-kom4s811/p12731","4840")</f>
        <v>4840</v>
      </c>
      <c r="D10" s="30" t="str">
        <f aca="false">HYPERLINK("https://vashamebel.in.ua/komod-brv-indiana-jkom4s80/p921","3890")</f>
        <v>3890</v>
      </c>
      <c r="E10" s="30" t="str">
        <f aca="false">HYPERLINK("https://vashamebel.in.ua/stol-pismennyij-brv-indiana-jbiu-2d2s/p916","5910")</f>
        <v>5910</v>
      </c>
      <c r="F10" s="30" t="str">
        <f aca="false">HYPERLINK("https://vashamebel.in.ua/komod-brv-dzhuli-kom4s90/p7958","2370")</f>
        <v>2370</v>
      </c>
      <c r="G10" s="32" t="str">
        <f aca="false">HYPERLINK("https://vashamebel.in.ua/shkaf-brv-porto-szf3d2s/p12560","5666")</f>
        <v>5666</v>
      </c>
      <c r="H10" s="22" t="str">
        <f aca="false">HYPERLINK("https://vashamebel.in.ua/komod-gerbor-sonata-8s/p845","7060")</f>
        <v>7060</v>
      </c>
      <c r="I10" s="87" t="s">
        <v>33</v>
      </c>
      <c r="J10" s="22" t="str">
        <f aca="false">HYPERLINK("https://vashamebel.in.ua/prihozhaya-gerbor-nepo-ppk/p12249","2330")</f>
        <v>2330</v>
      </c>
      <c r="K10" s="34" t="str">
        <f aca="false">HYPERLINK("https://vashamebel.in.ua/gostinaya-brv-alyaska/p4420","7644")</f>
        <v>7644</v>
      </c>
      <c r="L10" s="82" t="n">
        <v>3810</v>
      </c>
      <c r="M10" s="82" t="n">
        <v>5100</v>
      </c>
      <c r="N10" s="32" t="str">
        <f aca="false">HYPERLINK("https://vashamebel.in.ua/komod-brv-german-kom3s912/p16187","4680")</f>
        <v>4680</v>
      </c>
      <c r="O10" s="82" t="n">
        <v>5550</v>
      </c>
      <c r="P10" s="90" t="n">
        <v>4456</v>
      </c>
    </row>
    <row r="11" customFormat="false" ht="70.5" hidden="false" customHeight="true" outlineLevel="0" collapsed="false">
      <c r="A11" s="78" t="s">
        <v>20</v>
      </c>
      <c r="B11" s="29" t="str">
        <f aca="false">HYPERLINK("https://mebel-mebel.com.ua/eshop/dom-tumby-dlia-tv/tumba_rtv2d2s_4_15_atsteka-id461.html","3970")</f>
        <v>3970</v>
      </c>
      <c r="C11" s="30" t="str">
        <f aca="false">HYPERLINK("https://mebel-mebel.com.ua/eshop/dom-komody/komod_kom4s_8_11_atsteka-id496.html","4840")</f>
        <v>4840</v>
      </c>
      <c r="D11" s="30" t="str">
        <f aca="false">HYPERLINK("https://mebel-mebel.com.ua/eshop/dom-komody/komod_jkom_4s80_indiana-id663.html","3890")</f>
        <v>3890</v>
      </c>
      <c r="E11" s="30" t="str">
        <f aca="false">HYPERLINK("https://mebel-mebel.com.ua/eshop/dom-stoly-kompiuternye/stol_pismenniy_jbiu_2d2s_140_indiana-id659.html","5910")</f>
        <v>5910</v>
      </c>
      <c r="F11" s="30" t="str">
        <f aca="false">HYPERLINK("https://mebel-mebel.com.ua/eshop/dom-komody/komod_kom_4s_90_dzhuli-id569.html","2370")</f>
        <v>2370</v>
      </c>
      <c r="G11" s="30" t="str">
        <f aca="false">HYPERLINK("https://mebel-mebel.com.ua/eshop/detskie-shkafy/shkaf_szf3d2s_porto-id35136.html","5666")</f>
        <v>5666</v>
      </c>
      <c r="H11" s="32" t="str">
        <f aca="false">HYPERLINK("https://mebel-mebel.com.ua/eshop/dom-komody/komod_8s_s_015_sonata-id1567.html","7060")</f>
        <v>7060</v>
      </c>
      <c r="I11" s="19" t="str">
        <f aca="false">HYPERLINK("https://mebel-mebel.com.ua/eshop/dom-stoly-kompiuternye/stol_pismenniy_biu_1d1s_120_kaspian-id797.html","3530")</f>
        <v>3530</v>
      </c>
      <c r="J11" s="32" t="str">
        <f aca="false">HYPERLINK("https://mebel-mebel.com.ua/eshop/dom-prihozhie/prihozhaya_ppk_nepo-id28028.html","2330")</f>
        <v>2330</v>
      </c>
      <c r="K11" s="30" t="str">
        <f aca="false">HYPERLINK("https://mebel-mebel.com.ua/eshop/dom-stenki-dlia-gostinoi/gostinaya_arktika-id50834.html","9080")</f>
        <v>9080</v>
      </c>
      <c r="L11" s="32" t="str">
        <f aca="false">HYPERLINK("https://mebel-mebel.com.ua/eshop/dom-stenki-dlia-gostinoi/gostinaya_kvatro-id152.html","3810")</f>
        <v>3810</v>
      </c>
      <c r="M11" s="32" t="str">
        <f aca="false">HYPERLINK("https://mebel-mebel.com.ua/eshop/dom-komody/komod_kom_1w2d2s_vusher-id560.html","5100")</f>
        <v>5100</v>
      </c>
      <c r="N11" s="19" t="str">
        <f aca="false">HYPERLINK("https://mebel-mebel.com.ua/eshop/dom-komody/komod_kom3s_9_12_german_brv_ukraina-id60297.html","4680")</f>
        <v>4680</v>
      </c>
      <c r="O11" s="32" t="str">
        <f aca="false">HYPERLINK("https://mebel-mebel.com.ua/eshop/dom-tumby-dlia-tv/tumba_rtv_2s2k_alisa_gerbor-id60350.html","5550")</f>
        <v>5550</v>
      </c>
      <c r="P11" s="32" t="str">
        <f aca="false">HYPERLINK("https://mebel-mebel.com.ua/eshop/dom-komody/komod_kom_4s_mdf_8_koen-id921.html","4480")</f>
        <v>4480</v>
      </c>
    </row>
    <row r="12" customFormat="false" ht="75.75" hidden="false" customHeight="true" outlineLevel="0" collapsed="false">
      <c r="A12" s="78" t="s">
        <v>21</v>
      </c>
      <c r="B12" s="29" t="str">
        <f aca="false">HYPERLINK("https://abcmebli.com.ua/p14992-tumba_tv_rtv2d2s-4-15_atsteka","3970")</f>
        <v>3970</v>
      </c>
      <c r="C12" s="30" t="str">
        <f aca="false">HYPERLINK("https://abcmebli.com.ua/p15683-atsteka_komod_kom4s-8-11_brv","4840")</f>
        <v>4840</v>
      </c>
      <c r="D12" s="32" t="str">
        <f aca="false">HYPERLINK("https://abcmebli.com.ua/p1896-komod_jkom4s_80_indiana","3890")</f>
        <v>3890</v>
      </c>
      <c r="E12" s="32" t="str">
        <f aca="false">HYPERLINK("https://abcmebli.com.ua/p1892-stol_pismenniy_jbiu2d2s_140_indiana","5910")</f>
        <v>5910</v>
      </c>
      <c r="F12" s="30" t="str">
        <f aca="false">HYPERLINK("https://abcmebli.com.ua/p8553-komod_kom4s-90_july","2370")</f>
        <v>2370</v>
      </c>
      <c r="G12" s="32" t="str">
        <f aca="false">HYPERLINK("https://abcmebli.com.ua/p15039-shkaf_platyanoy_szf3d2s_porto","5666")</f>
        <v>5666</v>
      </c>
      <c r="H12" s="32" t="str">
        <f aca="false">HYPERLINK("https://abcmebli.com.ua/p2225-komod_8-s_sonata","7060")</f>
        <v>7060</v>
      </c>
      <c r="I12" s="32" t="str">
        <f aca="false">HYPERLINK("https://abcmebli.com.ua/p14308-stol_pismenniy_biu_1d1s_120_kaspian","3671")</f>
        <v>3671</v>
      </c>
      <c r="J12" s="34" t="str">
        <f aca="false">HYPERLINK("https://abcmebli.com.ua/p15897-nepo_prihozhaya_ppk_gerbor","2160")</f>
        <v>2160</v>
      </c>
      <c r="K12" s="19" t="str">
        <f aca="false">HYPERLINK("https://abcmebli.com.ua/p15950-gostinaya_alyaska_brv-ukraina","9256")</f>
        <v>9256</v>
      </c>
      <c r="L12" s="19" t="str">
        <f aca="false">HYPERLINK("https://abcmebli.com.ua/p2515-stenka_kvatro_gerbor","3810")</f>
        <v>3810</v>
      </c>
      <c r="M12" s="32" t="str">
        <f aca="false">HYPERLINK("https://abcmebli.com.ua/p4993-komod_kom1w2d2s_9_15_vusher","5100")</f>
        <v>5100</v>
      </c>
      <c r="N12" s="32" t="str">
        <f aca="false">HYPERLINK("https://abcmebli.com.ua/p15847-german_komod_kom3s-9-12_brv","4867")</f>
        <v>4867</v>
      </c>
      <c r="O12" s="32" t="str">
        <f aca="false">HYPERLINK("https://abcmebli.com.ua/p16267-alisa_tumba_tv_rtv2s2k_gerbor","5550")</f>
        <v>5550</v>
      </c>
      <c r="P12" s="32" t="str">
        <f aca="false">HYPERLINK("https://abcmebli.com.ua/p15137-koen_mdf_komod_kom4s","4480")</f>
        <v>4480</v>
      </c>
    </row>
    <row r="13" customFormat="false" ht="56.25" hidden="false" customHeight="true" outlineLevel="0" collapsed="false">
      <c r="A13" s="78" t="s">
        <v>22</v>
      </c>
      <c r="B13" s="35" t="str">
        <f aca="false">HYPERLINK("https://www.mebelok.com/tymba-tv-rtv2d2s415-acteka/","3970")</f>
        <v>3970</v>
      </c>
      <c r="C13" s="30" t="str">
        <f aca="false">HYPERLINK("https://www.mebelok.com/komod-kom4s811-acteka/","4840")</f>
        <v>4840</v>
      </c>
      <c r="D13" s="30" t="str">
        <f aca="false">HYPERLINK("https://www.mebelok.com/komod-jkom-4s-80/","3891")</f>
        <v>3891</v>
      </c>
      <c r="E13" s="32" t="str">
        <f aca="false">HYPERLINK("https://www.mebelok.com/stol-pismennyy-jbiu-2d2s-140/","5911")</f>
        <v>5911</v>
      </c>
      <c r="F13" s="30" t="str">
        <f aca="false">HYPERLINK("https://www.mebelok.com/komod-kom-4s-90-juli/","2370")</f>
        <v>2370</v>
      </c>
      <c r="G13" s="30" t="str">
        <f aca="false">HYPERLINK("https://www.mebelok.com/shkaf-szf3d2s-porto/","5671")</f>
        <v>5671</v>
      </c>
      <c r="H13" s="32" t="str">
        <f aca="false">HYPERLINK("https://www.mebelok.com/komod-8s-sonata/","7060")</f>
        <v>7060</v>
      </c>
      <c r="I13" s="32" t="str">
        <f aca="false">HYPERLINK("https://www.mebelok.com/stol-pismennyy-biu1d1s-120-kaspian/","3530")</f>
        <v>3530</v>
      </c>
      <c r="J13" s="19" t="str">
        <f aca="false">HYPERLINK("https://www.mebelok.com/prihojaya-ppk-nepo/","2330")</f>
        <v>2330</v>
      </c>
      <c r="K13" s="36" t="str">
        <f aca="false">HYPERLINK("https://www.mebelok.com/gostinaya-alyaska/","7655")</f>
        <v>7655</v>
      </c>
      <c r="L13" s="30" t="str">
        <f aca="false">HYPERLINK("https://www.mebelok.com/gostinaya-kvatro","3810")</f>
        <v>3810</v>
      </c>
      <c r="M13" s="30" t="str">
        <f aca="false">HYPERLINK("https://www.mebelok.com/komod-kom-1w2d2s-vusher/","5100")</f>
        <v>5100</v>
      </c>
      <c r="N13" s="32" t="str">
        <f aca="false">HYPERLINK("https://www.mebelok.com/komod-kom3s-9-12/","4681")</f>
        <v>4681</v>
      </c>
      <c r="O13" s="30" t="str">
        <f aca="false">HYPERLINK("https://www.mebelok.com/tumba-tv-rtv2s2k-alisa/","5550")</f>
        <v>5550</v>
      </c>
      <c r="P13" s="32" t="str">
        <f aca="false">HYPERLINK("https://www.mebelok.com/koen-komod-kom4s-mdf/","4480")</f>
        <v>4480</v>
      </c>
    </row>
    <row r="14" customFormat="false" ht="48" hidden="false" customHeight="true" outlineLevel="0" collapsed="false">
      <c r="A14" s="78" t="s">
        <v>23</v>
      </c>
      <c r="B14" s="35" t="str">
        <f aca="false">HYPERLINK("https://maxmebel.com.ua/atsteka_tumba_rtv2d2s","3970")</f>
        <v>3970</v>
      </c>
      <c r="C14" s="32" t="str">
        <f aca="false">HYPERLINK("https://maxmebel.com.ua/atsteka_komod_kom4s-8-11","4840")</f>
        <v>4840</v>
      </c>
      <c r="D14" s="32" t="str">
        <f aca="false">HYPERLINK("https://maxmebel.com.ua/indiana_komod_jkom_4s_80","3890")</f>
        <v>3890</v>
      </c>
      <c r="E14" s="32" t="str">
        <f aca="false">HYPERLINK("https://maxmebel.com.ua/indiana_pismenniy_stol_jbiu_2d2s","5910")</f>
        <v>5910</v>
      </c>
      <c r="F14" s="32" t="str">
        <f aca="false">HYPERLINK("https://maxmebel.com.ua/dzhuli_komod_kom4s-90","2370")</f>
        <v>2370</v>
      </c>
      <c r="G14" s="32" t="str">
        <f aca="false">HYPERLINK("https://maxmebel.com.ua/porto_shkaf_platyanoy_szf3d2s","5666")</f>
        <v>5666</v>
      </c>
      <c r="H14" s="32" t="str">
        <f aca="false">HYPERLINK("https://maxmebel.com.ua/sonata_komod_8-s","6980")</f>
        <v>6980</v>
      </c>
      <c r="I14" s="32" t="str">
        <f aca="false">HYPERLINK("https://maxmebel.com.ua/kaspian_stol_pismenniy_biu_1d1s","3530")</f>
        <v>3530</v>
      </c>
      <c r="J14" s="19" t="str">
        <f aca="false">HYPERLINK("https://maxmebel.com.ua/nepo_prihozhaya_rrk","2330")</f>
        <v>2330</v>
      </c>
      <c r="K14" s="27" t="str">
        <f aca="false">HYPERLINK("https://maxmebel.com.ua/stenka_alyaska","7964")</f>
        <v>7964</v>
      </c>
      <c r="L14" s="82" t="n">
        <v>3810</v>
      </c>
      <c r="M14" s="82" t="n">
        <v>5100</v>
      </c>
      <c r="N14" s="32" t="str">
        <f aca="false">HYPERLINK("https://maxmebel.com.ua/german_komod_kon3s-9-12","4680")</f>
        <v>4680</v>
      </c>
      <c r="O14" s="92" t="s">
        <v>34</v>
      </c>
      <c r="P14" s="82" t="n">
        <v>4480</v>
      </c>
    </row>
    <row r="15" customFormat="false" ht="39" hidden="false" customHeight="true" outlineLevel="0" collapsed="false">
      <c r="A15" s="78" t="s">
        <v>24</v>
      </c>
      <c r="B15" s="35" t="str">
        <f aca="false">HYPERLINK("https://moyamebel.com.ua/ua/products/tumba-rtv-atsteka","3970")</f>
        <v>3970</v>
      </c>
      <c r="C15" s="32" t="str">
        <f aca="false">HYPERLINK("https://moyamebel.com.ua/ua/products/komod-atsteka","4840")</f>
        <v>4840</v>
      </c>
      <c r="D15" s="32" t="str">
        <f aca="false">HYPERLINK("https://moyamebel.com.ua/ua/products/komod-4s-80-indiana","3890")</f>
        <v>3890</v>
      </c>
      <c r="E15" s="32" t="str">
        <f aca="false">HYPERLINK("https://moyamebel.com.ua/ua/products/stol-pismennyj-2d2s-indiana","5910")</f>
        <v>5910</v>
      </c>
      <c r="F15" s="32" t="str">
        <f aca="false">HYPERLINK("https://moyamebel.com.ua/ua/products/komod-dzhuli-90","2370")</f>
        <v>2370</v>
      </c>
      <c r="G15" s="32" t="str">
        <f aca="false">HYPERLINK("https://moyamebel.com.ua/ua/products/shkaf-3d2sporto","5666")</f>
        <v>5666</v>
      </c>
      <c r="H15" s="22" t="str">
        <f aca="false">HYPERLINK("https://moyamebel.com.ua/ua/products/komod-8s-sonata","7060")</f>
        <v>7060</v>
      </c>
      <c r="I15" s="19" t="str">
        <f aca="false">HYPERLINK("https://moyamebel.com.ua/ua/products/stol-pismennyj-120-kaspian","3530")</f>
        <v>3530</v>
      </c>
      <c r="J15" s="93"/>
      <c r="K15" s="27" t="str">
        <f aca="false">HYPERLINK("https://moyamebel.com.ua/ua/products/gostinaya-alyaska","7644")</f>
        <v>7644</v>
      </c>
      <c r="L15" s="30" t="str">
        <f aca="false">HYPERLINK("https://moyamebel.com.ua/ua/products/gostinaya-kvatro","3810")</f>
        <v>3810</v>
      </c>
      <c r="M15" s="32" t="str">
        <f aca="false">HYPERLINK("https://moyamebel.com.ua/ua/products/komod-1w2d2s-vusher","5100")</f>
        <v>5100</v>
      </c>
      <c r="N15" s="83" t="str">
        <f aca="false">HYPERLINK("","")</f>
        <v/>
      </c>
      <c r="O15" s="94" t="s">
        <v>34</v>
      </c>
      <c r="P15" s="94" t="s">
        <v>34</v>
      </c>
    </row>
    <row r="16" customFormat="false" ht="31.5" hidden="false" customHeight="true" outlineLevel="0" collapsed="false">
      <c r="A16" s="78" t="s">
        <v>35</v>
      </c>
      <c r="B16" s="35" t="str">
        <f aca="false">HYPERLINK("https://mebel-soyuz.com.ua/12896.html","3970")</f>
        <v>3970</v>
      </c>
      <c r="C16" s="32" t="str">
        <f aca="false">HYPERLINK("https://mebel-soyuz.com.ua/12903.html","4840")</f>
        <v>4840</v>
      </c>
      <c r="D16" s="32" t="str">
        <f aca="false">HYPERLINK("https://mebel-soyuz.com.ua/2266.html","3890")</f>
        <v>3890</v>
      </c>
      <c r="E16" s="32" t="str">
        <f aca="false">HYPERLINK("https://mebel-soyuz.com.ua/stol-pismennyj-jbiu-2d2s-140-indiana.html","5910")</f>
        <v>5910</v>
      </c>
      <c r="F16" s="32" t="str">
        <f aca="false">HYPERLINK("https://mebel-soyuz.com.ua/komod-kom-4s-90-dzhuli.html","2370")</f>
        <v>2370</v>
      </c>
      <c r="G16" s="32" t="str">
        <f aca="false">HYPERLINK("https://mebel-soyuz.com.ua/shkaf-szf3d2s-porto.html","5666")</f>
        <v>5666</v>
      </c>
      <c r="H16" s="32" t="str">
        <f aca="false">HYPERLINK("https://mebel-soyuz.com.ua/473.html","7060")</f>
        <v>7060</v>
      </c>
      <c r="I16" s="30" t="str">
        <f aca="false">HYPERLINK("https://mebel-soyuz.com.ua/8687.html","3530")</f>
        <v>3530</v>
      </c>
      <c r="J16" s="32" t="str">
        <f aca="false">HYPERLINK("https://mebel-soyuz.com.ua/8926.html","2330")</f>
        <v>2330</v>
      </c>
      <c r="K16" s="32" t="str">
        <f aca="false">HYPERLINK("https://mebel-soyuz.com.ua/10995.html","9080")</f>
        <v>9080</v>
      </c>
      <c r="L16" s="32" t="str">
        <f aca="false">HYPERLINK("https://mebel-soyuz.com.ua/gostinaya-kvatro.html","3810")</f>
        <v>3810</v>
      </c>
      <c r="M16" s="32" t="str">
        <f aca="false">HYPERLINK("https://mebel-soyuz.com.ua/3933.html","5100")</f>
        <v>5100</v>
      </c>
      <c r="N16" s="32" t="str">
        <f aca="false">HYPERLINK("https://mebel-soyuz.com.ua/komod-kom3s912-german.html","4680")</f>
        <v>4680</v>
      </c>
      <c r="O16" s="30" t="str">
        <f aca="false">HYPERLINK("https://mebel-soyuz.com.ua/komod-kom3s912-german.html","5550")</f>
        <v>5550</v>
      </c>
      <c r="P16" s="32" t="str">
        <f aca="false">HYPERLINK("https://mebel-soyuz.com.ua/komod-kom4s-koen-mdf.html","4480")</f>
        <v>4480</v>
      </c>
    </row>
    <row r="17" customFormat="false" ht="33.75" hidden="false" customHeight="true" outlineLevel="0" collapsed="false">
      <c r="A17" s="125" t="s">
        <v>36</v>
      </c>
      <c r="B17" s="97" t="str">
        <f aca="false">HYPERLINK("https://sofino.ua/brw-ukraina-tumba-rtv2d2s415-acteka/g-95393","3970")</f>
        <v>3970</v>
      </c>
      <c r="C17" s="22" t="str">
        <f aca="false">HYPERLINK("https://sofino.ua/brw-ukraina-komod-kom4s811-acteka/g-95386","4840")</f>
        <v>4840</v>
      </c>
      <c r="D17" s="22" t="str">
        <f aca="false">HYPERLINK("https://sofino.ua/brw-ukraina-komod-jkom4s80-indiana/g-40903","3890")</f>
        <v>3890</v>
      </c>
      <c r="E17" s="30" t="str">
        <f aca="false">HYPERLINK("https://sofino.ua/brw-ukraina-stol-pismennyjj-jbiu2d2s140-indiana/g-40899","5910")</f>
        <v>5910</v>
      </c>
      <c r="F17" s="30" t="str">
        <f aca="false">HYPERLINK("https://sofino.ua/brw-ukraina-komod-kom4s90-dzhuli-akacija-mali-bronz/g-40377","2370")</f>
        <v>2370</v>
      </c>
      <c r="G17" s="30" t="str">
        <f aca="false">HYPERLINK("https://sofino.ua/brw-ukraina-shkaf-platjanojj-szf3d2s-porto-dzhanni-sosna-lariko/g-264368","5666")</f>
        <v>5666</v>
      </c>
      <c r="H17" s="30" t="str">
        <f aca="false">HYPERLINK("https://sofino.ua/gerbor-komod-8s-sonata/g-19192","7060")</f>
        <v>7060</v>
      </c>
      <c r="I17" s="19" t="str">
        <f aca="false">HYPERLINK("https://sofino.ua/brw-ukraina-stol-pismennyjj-biu-1d1s-kaspian/g-264409","3530")</f>
        <v>3530</v>
      </c>
      <c r="J17" s="22" t="str">
        <f aca="false">HYPERLINK("https://sofino.ua/gerbor-prikhozhaja-ppk-nepo/g-287089","2330")</f>
        <v>2330</v>
      </c>
      <c r="K17" s="22" t="str">
        <f aca="false">HYPERLINK("https://sofino.ua/brw-ukraina-stenka-aljaska-belyjj-gljanec/g-454107","9080")</f>
        <v>9080</v>
      </c>
      <c r="L17" s="30" t="str">
        <f aca="false">HYPERLINK("https://sofino.ua/gerbor-stenka-s-podsvetkojj-kvatro/g-18955","3810")</f>
        <v>3810</v>
      </c>
      <c r="M17" s="30" t="str">
        <f aca="false">HYPERLINK("https://sofino.ua/gerbor-bufet-kom1w2d2s-s-podsvetkojj-vusher/g-176785","5100")</f>
        <v>5100</v>
      </c>
      <c r="N17" s="32" t="str">
        <f aca="false">HYPERLINK("https://sofino.ua/brw-ukraina-komod-kom3s912-german/g-599343","4680")</f>
        <v>4680</v>
      </c>
      <c r="O17" s="94" t="s">
        <v>34</v>
      </c>
      <c r="P17" s="32" t="str">
        <f aca="false">HYPERLINK("https://sofino.ua/gerbor-komod-kom4s-koen-mdf-venge-magija-shtroks-temnyjj/g-19366","4480")</f>
        <v>4480</v>
      </c>
    </row>
    <row r="18" customFormat="false" ht="54.75" hidden="false" customHeight="true" outlineLevel="0" collapsed="false">
      <c r="A18" s="78" t="s">
        <v>37</v>
      </c>
      <c r="B18" s="98" t="str">
        <f aca="false">HYPERLINK("","")</f>
        <v/>
      </c>
      <c r="C18" s="27" t="str">
        <f aca="false">HYPERLINK("https://www.brw-kiev.com.ua/catalog/mebel/azteca-komod-kom4s_8_11-000004816.html","4059")</f>
        <v>4059</v>
      </c>
      <c r="D18" s="32" t="str">
        <f aca="false">HYPERLINK("https://www.brw-kiev.com.ua/catalog/mebel/indiana-komod-jkom4s_80-000000261.html","3899")</f>
        <v>3899</v>
      </c>
      <c r="E18" s="27" t="str">
        <f aca="false">HYPERLINK("https://www.brw-kiev.com.ua/catalog/mebel/indiana-stil_pis_moviy-jbiu2d2s-000000254.html","5039")</f>
        <v>5039</v>
      </c>
      <c r="F18" s="32" t="str">
        <f aca="false">HYPERLINK("https://www.brw-kiev.com.ua/catalog/mebel/july-komod-kom4s_90-000005407.html","2379")</f>
        <v>2379</v>
      </c>
      <c r="G18" s="32" t="str">
        <f aca="false">HYPERLINK("https://www.brw-kiev.com.ua/catalog/mebel/porto-shafa-szf3d2s-000006440.html","5669")</f>
        <v>5669</v>
      </c>
      <c r="H18" s="99"/>
      <c r="I18" s="34" t="str">
        <f aca="false">HYPERLINK("https://www.brw-kiev.com.ua/catalog/mebel/kaspian-stil_pis_moviy-biu1d1s_120-000006188.html","2999")</f>
        <v>2999</v>
      </c>
      <c r="J18" s="34" t="str">
        <f aca="false">HYPERLINK("https://www.brw-kiev.com.ua/catalog/mebel/prihozhaya/nepo-peredpokiy-ppk-000006567.html?sphrase_id=84980","1959")</f>
        <v>1959</v>
      </c>
      <c r="K18" s="34" t="str">
        <f aca="false">HYPERLINK("https://www.brw-kiev.com.ua/catalog/mebel/gostinaya/stinki-vital_nya-alaska-000006901.html?sphrase_id=84981","7949")</f>
        <v>7949</v>
      </c>
      <c r="L18" s="83"/>
      <c r="M18" s="83"/>
      <c r="N18" s="83" t="str">
        <f aca="false">HYPERLINK("","")</f>
        <v/>
      </c>
      <c r="O18" s="94" t="s">
        <v>34</v>
      </c>
      <c r="P18" s="90" t="n">
        <v>4409</v>
      </c>
    </row>
    <row r="19" customFormat="false" ht="38.25" hidden="false" customHeight="true" outlineLevel="0" collapsed="false">
      <c r="A19" s="78" t="s">
        <v>25</v>
      </c>
      <c r="B19" s="100" t="n">
        <v>3970</v>
      </c>
      <c r="C19" s="82" t="n">
        <v>4840</v>
      </c>
      <c r="D19" s="82" t="n">
        <v>3890</v>
      </c>
      <c r="E19" s="82" t="n">
        <v>5910</v>
      </c>
      <c r="F19" s="82" t="n">
        <v>2370</v>
      </c>
      <c r="G19" s="19" t="str">
        <f aca="false">HYPERLINK("https://brw.kiev.ua/mebel-brw-ukraina/porto/shkaf-szf3d2s-porto-brv/","5666")</f>
        <v>5666</v>
      </c>
      <c r="H19" s="19" t="str">
        <f aca="false">HYPERLINK("https://brw.kiev.ua/mebel-gerbor/sonata/komod-8s-sonata-gerbor/","7060")</f>
        <v>7060</v>
      </c>
      <c r="I19" s="19" t="str">
        <f aca="false">HYPERLINK("https://brw.kiev.ua/mebel-brw-ukraina/kaspian-venge/stol-pismennyy-biu1d1s-kaspian-brv-venge/","3530")</f>
        <v>3530</v>
      </c>
      <c r="J19" s="19" t="str">
        <f aca="false">HYPERLINK("https://brw.kiev.ua/mebel-gerbor/nepo/prikhozhaya-ppk-nepo-gerbor/","2330")</f>
        <v>2330</v>
      </c>
      <c r="K19" s="19" t="str">
        <f aca="false">HYPERLINK("https://brw.kiev.ua/mebel-brw-ukraina/alaska/stenka-alaska-brv/","9080")</f>
        <v>9080</v>
      </c>
      <c r="L19" s="83"/>
      <c r="M19" s="19" t="str">
        <f aca="false">HYPERLINK("https://brw.kiev.ua/mebel-gerbor/vusher/komod-kom1w2d2s-vusher-gerbor/","5100")</f>
        <v>5100</v>
      </c>
      <c r="N19" s="19" t="str">
        <f aca="false">HYPERLINK("https://brw.kiev.ua/mebel-brw-ukraina/german/komod-kom3s-german-brv/","4680")</f>
        <v>4680</v>
      </c>
      <c r="O19" s="82" t="n">
        <v>5550</v>
      </c>
      <c r="P19" s="82" t="n">
        <v>4480</v>
      </c>
    </row>
    <row r="20" customFormat="false" ht="34.5" hidden="false" customHeight="true" outlineLevel="0" collapsed="false">
      <c r="A20" s="78" t="s">
        <v>38</v>
      </c>
      <c r="B20" s="37" t="str">
        <f aca="false">HYPERLINK("https://lvivmebli.com/13319/","3900")</f>
        <v>3900</v>
      </c>
      <c r="C20" s="27" t="str">
        <f aca="false">HYPERLINK("https://lvivmebli.com/13320/","4675")</f>
        <v>4675</v>
      </c>
      <c r="D20" s="32" t="str">
        <f aca="false">HYPERLINK("https://lvivmebli.com/5030/","4255")</f>
        <v>4255</v>
      </c>
      <c r="E20" s="32" t="str">
        <f aca="false">HYPERLINK("https://lvivmebli.com/5039/","5911")</f>
        <v>5911</v>
      </c>
      <c r="F20" s="36" t="str">
        <f aca="false">HYPERLINK("https://lvivmebli.com/11483/","2300")</f>
        <v>2300</v>
      </c>
      <c r="G20" s="32"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01" t="str">
        <f aca="false">HYPERLINK("http://centrmebliv.com.ua/modulni-mebli/brw-azteca/mebli-brw-brv-azteca-tumba-rtv2d2s?keyword=%D0%B0%D1%86%D1%82%D0%B5%D0%BA%D0%B0","3343")</f>
        <v>3343</v>
      </c>
      <c r="C21" s="36" t="str">
        <f aca="false">HYPERLINK("http://centrmebliv.com.ua/modulni-mebli/brw-azteca/mebli-brw-brv-azteca-komod-4s?keyword=%D0%B0%D1%86%D1%82%D0%B5%D0%BA%D0%B0","3924")</f>
        <v>3924</v>
      </c>
      <c r="D21" s="36" t="str">
        <f aca="false">HYPERLINK("http://centrmebliv.com.ua/mebli-dlya-spalni/komody/mebli-brw-brv-indiana-komod-jkom4s_80?keyword=%D1%96%D0%BD%D0%B4%D1%96%D0%B0%D0%BD%D0%B0","3562")</f>
        <v>3562</v>
      </c>
      <c r="E21" s="129" t="str">
        <f aca="false">HYPERLINK("http://centrmebliv.com.ua/modulni-mebli/brw-ukrayina-indiana/mebli-brw-brv-indiana-stil-pysmovyy-jbiu2d2s_140?keyword=%D1%96%D0%BD%D0%B4%D1%96%D0%B0%D0%BD%D0%B0","5158")</f>
        <v>5158</v>
      </c>
      <c r="F21" s="36" t="str">
        <f aca="false">HYPERLINK("http://centrmebliv.com.ua/spalni/komody/mebli-brw-brv-july-komod-kom4s/90?keyword=july","2098")</f>
        <v>2098</v>
      </c>
      <c r="G21" s="36" t="str">
        <f aca="false">HYPERLINK("http://centrmebliv.com.ua/modulni-mebli/brw-ukrayina-porto/mebli-brw-brv-porto-shafa-dlya-odyagu-sf3d2s?keyword=szf3d2s","5377")</f>
        <v>5377</v>
      </c>
      <c r="H21" s="36" t="str">
        <f aca="false">HYPERLINK("http://centrmebliv.com.ua/mebli-dlya-spalni/komody/mebli-gerbor-gerbor-s-015-sonata-_komod-8/s?keyword=%D1%81%D0%BE%D0%BD%D0%B0%D1%82%D0%B0","5683")</f>
        <v>5683</v>
      </c>
      <c r="I21" s="36" t="str">
        <f aca="false">HYPERLINK("http://centrmebliv.com.ua/ofisni-mebli/ofisni-stoly-vid-modulnyh-system/gerbor/brw-kaspian-stil-pysmovyy-biu-1d1s-120?keyword=%D0%BA%D0%B0%D1%81%D0%BF%D1%96%D0%B0%D0%BD","3002")</f>
        <v>3002</v>
      </c>
      <c r="J21" s="83"/>
      <c r="K21" s="83"/>
      <c r="L21" s="36" t="str">
        <f aca="false">HYPERLINK("http://centrmebliv.com.ua/mebli-dlya-vitalni/stinky/mebli-gerbor-gerbor-kvatro","3007")</f>
        <v>3007</v>
      </c>
      <c r="M21" s="36"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0" t="n">
        <v>3970</v>
      </c>
      <c r="C22" s="82" t="n">
        <v>4840</v>
      </c>
      <c r="D22" s="82" t="n">
        <v>3890</v>
      </c>
      <c r="E22" s="82" t="n">
        <v>5910</v>
      </c>
      <c r="F22" s="82" t="n">
        <v>2370</v>
      </c>
      <c r="G22" s="32" t="str">
        <f aca="false">HYPERLINK("https://letromebel.com.ua/p567177190-shkaf-szf3d2s-porto.html","5666")</f>
        <v>5666</v>
      </c>
      <c r="H22" s="83"/>
      <c r="I22" s="83"/>
      <c r="J22" s="104" t="str">
        <f aca="false">HYPERLINK("https://letromebel.com.ua/p441285622-prihozhaya-ppk-nepo.html","1963")</f>
        <v>1963</v>
      </c>
      <c r="K22" s="36" t="str">
        <f aca="false">HYPERLINK("https://letromebel.com.ua/p822866700-stenka-gostinuyu-alyaska.html","7644")</f>
        <v>7644</v>
      </c>
      <c r="L22" s="22" t="str">
        <f aca="false">HYPERLINK("https://letromebel.com.ua/p436378844-stenka-kvatro-venge.html","3810")</f>
        <v>3810</v>
      </c>
      <c r="M22" s="32" t="str">
        <f aca="false">HYPERLINK("https://letromebel.com.ua/p332640892-bufet-kom1w2d2s-vusher.html","5100")</f>
        <v>5100</v>
      </c>
      <c r="N22" s="32" t="str">
        <f aca="false">HYPERLINK("https://letromebel.com.ua/ua/p920135181-komod-german-kom3s912.html","4680")</f>
        <v>4680</v>
      </c>
      <c r="O22" s="32" t="str">
        <f aca="false">HYPERLINK("https://letromebel.com.ua/ua/p1053586927-tumba-alisa-rtv2s2k.html","5550")</f>
        <v>5550</v>
      </c>
      <c r="P22" s="82" t="n">
        <v>4480</v>
      </c>
    </row>
    <row r="23" customFormat="false" ht="27" hidden="false" customHeight="true" outlineLevel="0" collapsed="false">
      <c r="A23" s="78" t="s">
        <v>26</v>
      </c>
      <c r="B23" s="103" t="n">
        <v>3890</v>
      </c>
      <c r="C23" s="90" t="n">
        <v>4760</v>
      </c>
      <c r="D23" s="82" t="n">
        <v>3890</v>
      </c>
      <c r="E23" s="82" t="n">
        <v>5910</v>
      </c>
      <c r="F23" s="82" t="n">
        <v>2370</v>
      </c>
      <c r="G23" s="32" t="str">
        <f aca="false">HYPERLINK("https://shurup.net.ua/shkaf-szf3d2s-porto.p24169","5666")</f>
        <v>5666</v>
      </c>
      <c r="H23" s="27" t="str">
        <f aca="false">HYPERLINK("https://shurup.net.ua/komod-8s-sonata.p1034","6980")</f>
        <v>6980</v>
      </c>
      <c r="I23" s="22" t="str">
        <f aca="false">HYPERLINK("https://shurup.net.ua/stol-pismennyj-biu-1d1s-120-kaspian-dub-sonoma.p6492","3530")</f>
        <v>3530</v>
      </c>
      <c r="J23" s="27" t="str">
        <f aca="false">HYPERLINK("https://shurup.net.ua/prihozhaya-rrk-nepo.p13611","2290")</f>
        <v>2290</v>
      </c>
      <c r="K23" s="27" t="str">
        <f aca="false">HYPERLINK("https://shurup.net.ua/gostinaja-aljaska.p28551","8900")</f>
        <v>8900</v>
      </c>
      <c r="L23" s="32" t="str">
        <f aca="false">HYPERLINK("https://shurup.net.ua/gostinaya-kvatro-venge-magiya.p836","3810")</f>
        <v>3810</v>
      </c>
      <c r="M23" s="82" t="n">
        <v>5655</v>
      </c>
      <c r="N23" s="19" t="str">
        <f aca="false">HYPERLINK("https://shurup.net.ua/komod-kon3s64-german.p32275","4680")</f>
        <v>4680</v>
      </c>
      <c r="O23" s="94" t="s">
        <v>34</v>
      </c>
      <c r="P23" s="27" t="str">
        <f aca="false">HYPERLINK("https://shurup.net.ua/komod-kom4s-koen-mdf.p1194","4400")</f>
        <v>4400</v>
      </c>
      <c r="S23" s="42"/>
    </row>
    <row r="24" customFormat="false" ht="36.75" hidden="false" customHeight="true" outlineLevel="0" collapsed="false">
      <c r="A24" s="105" t="s">
        <v>41</v>
      </c>
      <c r="B24" s="98" t="str">
        <f aca="false">HYPERLINK("","")</f>
        <v/>
      </c>
      <c r="C24" s="47"/>
      <c r="D24" s="47"/>
      <c r="E24" s="47"/>
      <c r="F24" s="47"/>
      <c r="G24" s="83"/>
      <c r="H24" s="83"/>
      <c r="I24" s="83"/>
      <c r="J24" s="65" t="str">
        <f aca="false">HYPERLINK("https://www.taburetka.ua/prihozhie-40/prihozhaya-ppk-nepo-2914","2440")</f>
        <v>2440</v>
      </c>
      <c r="K24" s="83"/>
      <c r="L24" s="82" t="n">
        <v>3920</v>
      </c>
      <c r="M24" s="27" t="str">
        <f aca="false">HYPERLINK("https://www.taburetka.ua/komody-i-tumby-35/komod-kom1w2d2s-vusher-2974","4857")</f>
        <v>4857</v>
      </c>
      <c r="N24" s="83" t="str">
        <f aca="false">HYPERLINK("","")</f>
        <v/>
      </c>
      <c r="O24" s="94" t="s">
        <v>34</v>
      </c>
      <c r="P24" s="36" t="str">
        <f aca="false">HYPERLINK("https://www.taburetka.ua/gostinye-600/modulnaya-sistema-koen-1347","4560")</f>
        <v>4560</v>
      </c>
    </row>
    <row r="25" customFormat="false" ht="37.5" hidden="false" customHeight="true" outlineLevel="0" collapsed="false">
      <c r="A25" s="106" t="s">
        <v>42</v>
      </c>
      <c r="B25" s="100" t="n">
        <v>3970</v>
      </c>
      <c r="C25" s="110" t="n">
        <v>4840</v>
      </c>
      <c r="D25" s="110" t="n">
        <v>3890</v>
      </c>
      <c r="E25" s="110" t="n">
        <v>5910</v>
      </c>
      <c r="F25" s="110" t="n">
        <v>2370</v>
      </c>
      <c r="G25" s="39" t="str">
        <f aca="false">HYPERLINK("http://www.maxidom.com.ua/shkaf-porto-porto-szf3d2s.html?search_string=%D8%EA%E0%F4+%CF%EE%F0%F2%EE+%28Porto%29+SZF3D2S","5666")</f>
        <v>5666</v>
      </c>
      <c r="H25" s="65" t="str">
        <f aca="false">HYPERLINK("http://www.maxidom.com.ua/komod-sonata-8s.html?search_string=%CA%EE%EC%EE%E4+%D1%EE%ED%E0%F2%E0+8s","7060")</f>
        <v>7060</v>
      </c>
      <c r="I25" s="39" t="str">
        <f aca="false">HYPERLINK("http://www.maxidom.com.ua/stol-pismenniy-biu-1d1s-kaspian-kaspian.html?search_string=%D1%F2%EE%EB+%EF%E8%F1%FC%EC%E5%ED%ED%FB%E9+BIU+1D1S+%CA%E0%F1%EF%E8%E0%ED+%28Kaspian%29","3530")</f>
        <v>3530</v>
      </c>
      <c r="J25" s="109" t="str">
        <f aca="false">HYPERLINK("http://www.maxidom.com.ua/prihozhaya-nepo-ppk.html?search_string=%CF%F0%E8%F5%EE%E6%E0%FF+%CD%E5%EF%EE+PPK","2290")</f>
        <v>2290</v>
      </c>
      <c r="K25" s="109" t="str">
        <f aca="false">HYPERLINK("http://www.maxidom.com.ua/stenka-alyaska.html?search_string=%D1%F2%E5%ED%EA%E0+%C0%EB%FF%F1%EA%E0","7644")</f>
        <v>7644</v>
      </c>
      <c r="L25" s="36" t="str">
        <f aca="false">HYPERLINK("http://www.maxidom.com.ua/stenka-kvatro.html?search_string=%D1%F2%E5%ED%EA%E0+%CA%E2%E0%F2%F0%EE","3730")</f>
        <v>3730</v>
      </c>
      <c r="M25" s="36" t="str">
        <f aca="false">HYPERLINK("http://www.maxidom.com.ua/komod-kom-1w2d2s-vusher.html?search_string=%CA%EE%EC%EE%E4+KOM+1W2D2S+%C2%F3%F8%E5%F0","5020")</f>
        <v>5020</v>
      </c>
      <c r="N25" s="19" t="str">
        <f aca="false">HYPERLINK("https://www.maxidom.com.ua/komod-german-kom3s912/","4680")</f>
        <v>4680</v>
      </c>
      <c r="O25" s="94" t="s">
        <v>34</v>
      </c>
      <c r="P25" s="19" t="str">
        <f aca="false">HYPERLINK("https://www.maxidom.com.ua/komod-kom4s-koen-mdf/","4480")</f>
        <v>4480</v>
      </c>
    </row>
    <row r="26" customFormat="false" ht="42" hidden="false" customHeight="true" outlineLevel="0" collapsed="false">
      <c r="A26" s="106" t="s">
        <v>27</v>
      </c>
      <c r="B26" s="103" t="n">
        <v>3890</v>
      </c>
      <c r="C26" s="115" t="n">
        <v>4760</v>
      </c>
      <c r="D26" s="82" t="n">
        <v>3890</v>
      </c>
      <c r="E26" s="110" t="n">
        <v>5910</v>
      </c>
      <c r="F26" s="110" t="n">
        <v>2370</v>
      </c>
      <c r="G26" s="39" t="str">
        <f aca="false">HYPERLINK("https://mebel-online.com.ua/shkaf-szf3d2s-porto?filter_name=SZF3D2S","5666")</f>
        <v>5666</v>
      </c>
      <c r="H26" s="65" t="str">
        <f aca="false">HYPERLINK("https://mebel-online.com.ua/p1728-gerbor_sonata_komod_8-s?filter_name=%D1%81%D0%BE%D0%BD%D0%B0%D1%82%D0%B0","6980")</f>
        <v>6980</v>
      </c>
      <c r="I26" s="111"/>
      <c r="J26" s="27" t="str">
        <f aca="false">HYPERLINK("https://mebel-online.com.ua/prihozhaya-gerbor-ppk-nepo?filter_name=%D0%BD%D0%B5%D0%BF%D0%BE","2290")</f>
        <v>2290</v>
      </c>
      <c r="K26" s="45" t="str">
        <f aca="false">HYPERLINK("https://mebel-online.com.ua/stenka-aliaska-brw%20?filter_name=%D0%B0%D0%BB%D1%8F%D1%81%D0%BA%D0%B0","7644")</f>
        <v>7644</v>
      </c>
      <c r="L26" s="19" t="str">
        <f aca="false">HYPERLINK("https://mebel-online.com.ua/stenka-kvatro-gerbor?filter_name=%D0%BA%D0%B2%D0%B0%D1%82%D1%80%D0%BE","3810")</f>
        <v>3810</v>
      </c>
      <c r="M26" s="27" t="str">
        <f aca="false">HYPERLINK("https://mebel-online.com.ua/komod-kom-1w2d2s-vusher-gerbor?filter_name=%D0%B2%D1%83%D1%88%D0%B5%D1%80","5020")</f>
        <v>5020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27" t="str">
        <f aca="false">HYPERLINK("https://mebelnuy.com.ua/tumba-pod-tv-rtv2d2s-4-15-acteka-brv?search=%D0%A2%D0%92%20%D0%90%D1%86%D1%82%D0%B5%D0%BA%D0%B0%20RTV2D2S&amp;description=true","3749")</f>
        <v>3749</v>
      </c>
      <c r="C27" s="27" t="str">
        <f aca="false">HYPERLINK("https://mebelnuy.com.ua/komod-kom4s-8-11-acteka-brv?search=%D0%90%D1%86%D1%82%D0%B5%D0%BA%D0%B0%20KOM4S%2F8%2F11&amp;description=true","4546")</f>
        <v>4546</v>
      </c>
      <c r="D27" s="27" t="str">
        <f aca="false">HYPERLINK("https://mebelnuy.com.ua/komod-jkom-4s-80-indiana-brv?search=%D0%98%D0%BD%D0%B4%D0%B8%D0%B0%D0%BD%D0%B0%20JKOM_4s&amp;description=true","3805")</f>
        <v>3805</v>
      </c>
      <c r="E27" s="27" t="str">
        <f aca="false">HYPERLINK("https://mebelnuy.com.ua/stol-pismennyj-jbiu-2d2s-140-indiana-brv?search=%D0%98%D0%BD%D0%B4%D0%B8%D0%B0%D0%BD%D0%B0%20JBIU_2d2s_140&amp;description=true","5523")</f>
        <v>5523</v>
      </c>
      <c r="F27" s="90" t="n">
        <v>2275</v>
      </c>
      <c r="G27" s="32" t="str">
        <f aca="false">HYPERLINK("https://mebelnuy.com.ua/shkaf-szf3d2s-porto-brv?search=%D0%9F%D0%BE%D1%80%D1%82%D0%BE%20SZF3D2S&amp;description=true","5666")</f>
        <v>5666</v>
      </c>
      <c r="H27" s="19" t="str">
        <f aca="false">HYPERLINK("https://mebelnuy.com.ua/komod-gerbor-sonata-8-s?search=%D0%A1%D0%BE%D0%BD%D0%B0%D1%82%D0%B0%208%2Fs&amp;description=true","7329")</f>
        <v>7329</v>
      </c>
      <c r="I27" s="83" t="str">
        <f aca="false">HYPERLINK("","")</f>
        <v/>
      </c>
      <c r="J27" s="19" t="str">
        <f aca="false">HYPERLINK("https://mebelnuy.com.ua/prihozhaya-gerbor-nepo-ppk","2404")</f>
        <v>2404</v>
      </c>
      <c r="K27" s="27" t="str">
        <f aca="false">HYPERLINK("https://mebelnuy.com.ua/gostinaya-alyaska-brv?search=%D0%90%D0%BB%D1%8F%D1%81%D0%BA%D0%B0%20%D0%B3%D0%BE%D1%81%D1%82%D0%B8%D0%BD%D0%B0%D1%8F&amp;description=true","8014")</f>
        <v>8014</v>
      </c>
      <c r="L27" s="19" t="str">
        <f aca="false">HYPERLINK("https://mebelnuy.com.ua/gostinaya-gerbor-kvatro-venge-magiya?search=%D0%BA%D0%B2%D0%B0%D1%82%D1%80%D0%BE&amp;description=true","3916")</f>
        <v>3916</v>
      </c>
      <c r="M27" s="19" t="str">
        <f aca="false">HYPERLINK("https://mebelnuy.com.ua/komod-gerbor-vusher-kom-1w2d2s?search=%D0%92%D1%83%D1%88%D0%B5%D1%80%20KOM%201W2D2S&amp;description=true","5271")</f>
        <v>5271</v>
      </c>
      <c r="N27" s="27" t="str">
        <f aca="false">HYPERLINK("https://mebelnuy.com.ua/komod-german-115-brv?search=%D0%93%D0%95%D0%A0%D0%9C%D0%90%D0%9D&amp;description=true","4233")</f>
        <v>4233</v>
      </c>
      <c r="O27" s="19" t="str">
        <f aca="false">HYPERLINK("https://mebelnuy.com.ua/tumba-gerbor-alisa-rtv2s2k?search=%D0%B0%D0%BB%D0%B8%D1%81%D0%B0&amp;description=true","5785")</f>
        <v>5785</v>
      </c>
      <c r="P27" s="19" t="str">
        <f aca="false">HYPERLINK("https://mebelnuy.com.ua/komod-gerbor-koen-kom4s-mdf?search=%D0%BA%D0%BE%D0%B5%D0%BD%20%D0%BC%D0%B4%D1%84&amp;description=true","4620")</f>
        <v>4620</v>
      </c>
    </row>
    <row r="28" customFormat="false" ht="36.75" hidden="false" customHeight="true" outlineLevel="0" collapsed="false">
      <c r="A28" s="91" t="s">
        <v>44</v>
      </c>
      <c r="B28" s="90" t="n">
        <v>3890</v>
      </c>
      <c r="C28" s="90" t="n">
        <v>4760</v>
      </c>
      <c r="D28" s="82" t="n">
        <v>3890</v>
      </c>
      <c r="E28" s="82" t="n">
        <v>5910</v>
      </c>
      <c r="F28" s="82" t="n">
        <v>2370</v>
      </c>
      <c r="G28" s="32" t="str">
        <f aca="false">HYPERLINK("https://amado.com.ua/detskaya/shkafy-i-penaly-dlya-detskoj/porto-shkaf-platyanoj-szf3d2s-brw","5666")</f>
        <v>5666</v>
      </c>
      <c r="H28" s="27" t="str">
        <f aca="false">HYPERLINK("https://amado.com.ua/gostinaya/komody-i-tumby-v-gostinuyu/sonata-komod-8-s-gerbor","6980")</f>
        <v>6980</v>
      </c>
      <c r="I28" s="32" t="str">
        <f aca="false">HYPERLINK("https://amado.com.ua/gostinaya/kaspian-sonoma-stol-pismennyj-biu-1d1s-brw","3530")</f>
        <v>3530</v>
      </c>
      <c r="J28" s="27" t="str">
        <f aca="false">HYPERLINK("https://amado.com.ua/prihozhaya/prihozhie-celnye/nepo-prihozhaya-ppk-gerbor","2290")</f>
        <v>2290</v>
      </c>
      <c r="K28" s="27" t="str">
        <f aca="false">HYPERLINK("https://amado.com.ua/gostinaya/modulnye-gostinye/gostinaya-alyaska-gerbor","8900")</f>
        <v>8900</v>
      </c>
      <c r="L28" s="27" t="str">
        <f aca="false">HYPERLINK("https://amado.com.ua/gostinaya/modulnye-gostinye/gostinaya-kvatro-gerbor","3730")</f>
        <v>3730</v>
      </c>
      <c r="M28" s="27" t="str">
        <f aca="false">HYPERLINK("https://amado.com.ua/gostinaya/komody-i-tumby-v-gostinuyu/vusher-komod-kom-1w2d2s-gerbor","5020")</f>
        <v>5020</v>
      </c>
      <c r="N28" s="19"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116"/>
      <c r="B30" s="117" t="s">
        <v>45</v>
      </c>
      <c r="C30" s="117" t="s">
        <v>46</v>
      </c>
      <c r="D30" s="117" t="s">
        <v>47</v>
      </c>
      <c r="E30" s="117" t="s">
        <v>48</v>
      </c>
      <c r="F30" s="117" t="s">
        <v>49</v>
      </c>
      <c r="G30" s="117" t="s">
        <v>50</v>
      </c>
      <c r="H30" s="117" t="s">
        <v>51</v>
      </c>
      <c r="I30" s="117" t="s">
        <v>52</v>
      </c>
      <c r="J30" s="117" t="s">
        <v>53</v>
      </c>
      <c r="K30" s="117" t="s">
        <v>54</v>
      </c>
      <c r="L30" s="117" t="s">
        <v>55</v>
      </c>
      <c r="M30" s="117" t="s">
        <v>56</v>
      </c>
      <c r="N30" s="117" t="s">
        <v>57</v>
      </c>
      <c r="O30" s="117" t="s">
        <v>58</v>
      </c>
      <c r="P30" s="117" t="s">
        <v>59</v>
      </c>
      <c r="T30" s="118"/>
      <c r="U30" s="118"/>
      <c r="V30" s="118"/>
      <c r="W30" s="118"/>
      <c r="X30" s="118"/>
      <c r="Y30" s="118"/>
    </row>
    <row r="31" customFormat="false" ht="15.75" hidden="false" customHeight="true" outlineLevel="0" collapsed="false">
      <c r="A31" s="91" t="s">
        <v>60</v>
      </c>
      <c r="B31" s="119" t="str">
        <f aca="false">HYPERLINK("https://epicentrk.ua/ua/shop/hubr-tumba-prikrovatnaya-brw-atsteka-kom2s-4-5-belyy-glyanets-8003916.html","1967")</f>
        <v>1967</v>
      </c>
      <c r="C31" s="119" t="str">
        <f aca="false">HYPERLINK("https://epicentrk.ua/ua/shop/hubr-komod-home-ua-brw-black-red-white-zlata-kom2d3s-86kh41kh135-sm-dub-takho-belyy-glyanets-8004551.html","3090")</f>
        <v>3090</v>
      </c>
      <c r="D31" s="120" t="str">
        <f aca="false">HYPERLINK("https://epicentrk.ua/ua/shop/hubr-tumba-prikrovatnaya-brw-indiana-jkom-1s-50-sosna-kanon-8004034.html","1510")</f>
        <v>1510</v>
      </c>
      <c r="E31" s="120" t="str">
        <f aca="false">HYPERLINK("https://epicentrk.ua/ua/shop/hubr-veshalka-home-ua-brw-black-red-white-kristina-wie-60-152kh24kh66-sm-belyy-glyanets-8004512.html","1234")</f>
        <v>1234</v>
      </c>
      <c r="F31" s="120" t="str">
        <f aca="false">HYPERLINK("https://epicentrk.ua/ua/shop/hubr-prikhozhaya-home-ua-brw-black-red-white-porto-ppk-189kh95-5kh39-5-sm-dzhanni-sosna-larik-8003795.html","3823")</f>
        <v>3823</v>
      </c>
      <c r="G31" s="119" t="str">
        <f aca="false">HYPERLINK("https://epicentrk.ua/ua/shop/hubr-komod-brw-kaspian-kom-1d1sp-dub-sonoma-8004075.html","1572")</f>
        <v>1572</v>
      </c>
      <c r="H31" s="119" t="str">
        <f aca="false">HYPERLINK("https://epicentrk.ua/ua/shop/hubr-stol-pismennyy-home-ua-brw-black-red-white-markus-biu-1d1s-1200kh755kh560-mm-dzhanni-8005038.html","2528")</f>
        <v>2528</v>
      </c>
      <c r="I31" s="120" t="str">
        <f aca="false">HYPERLINK("https://epicentrk.ua/ua/shop/hubr-komod-gerbor-tina-sosna-kanon-dub-sonoma-tryufel-kom4s1d.html","4230")</f>
        <v>4230</v>
      </c>
      <c r="J31" s="120" t="str">
        <f aca="false">HYPERLINK("https://epicentrk.ua/ua/shop/hubr-komod-home-ua-brw-black-red-white-markus-kom-4s-11-91kh38kh106-5-sm-dzhanni-8004912.html","3960")</f>
        <v>3960</v>
      </c>
      <c r="K31" s="120" t="str">
        <f aca="false">HYPERLINK("https://epicentrk.ua/ua/shop/hubr-tumba-prikrovatnaya-brw-loren-kom-1s-akatsiya-mali-bronza-8004104.html","1197")</f>
        <v>1197</v>
      </c>
      <c r="L31" s="120" t="str">
        <f aca="false">HYPERLINK("https://epicentrk.ua/ua/shop/hubr-komod-gerbor-vusher-belyy-glyanets-kom1d4sl-p.html","3620")</f>
        <v>3620</v>
      </c>
      <c r="M31" s="120" t="str">
        <f aca="false">HYPERLINK("https://epicentrk.ua/ua/shop/hubr-komod-gerbor-marsel-yasen-snezhnyy-kom4s.html","6230")</f>
        <v>6230</v>
      </c>
      <c r="N31" s="120" t="str">
        <f aca="false">HYPERLINK("https://epicentrk.ua/ua/shop/vitrina-venge.html","4439")</f>
        <v>4439</v>
      </c>
      <c r="O31" s="120" t="str">
        <f aca="false">HYPERLINK("https://epicentrk.ua/ua/shop/hubr-komod-gerbor-open-orekh-kaliforniyskiy-kom4s.html","2330")</f>
        <v>2330</v>
      </c>
      <c r="P31" s="120" t="str">
        <f aca="false">HYPERLINK("https://epicentrk.ua/ua/shop/hubr-komod-gerbor-graf-orekh-kom3d3s.html","5790")</f>
        <v>5790</v>
      </c>
    </row>
    <row r="32" customFormat="false" ht="15.75" hidden="false" customHeight="true" outlineLevel="0" collapsed="false">
      <c r="A32" s="112"/>
      <c r="B32" s="113"/>
      <c r="C32" s="114"/>
      <c r="D32" s="114"/>
      <c r="E32" s="114"/>
      <c r="F32" s="114"/>
      <c r="G32" s="114"/>
      <c r="H32" s="114"/>
      <c r="I32" s="114"/>
      <c r="J32" s="114"/>
      <c r="K32" s="114"/>
      <c r="L32" s="114"/>
      <c r="M32" s="114"/>
      <c r="N32" s="114"/>
      <c r="O32" s="114"/>
      <c r="P32" s="114"/>
      <c r="Q32" s="112"/>
      <c r="R32" s="112"/>
      <c r="S32" s="112"/>
      <c r="T32" s="112"/>
      <c r="U32" s="112"/>
      <c r="V32" s="112"/>
      <c r="W32" s="112"/>
      <c r="X32" s="112"/>
      <c r="Y32" s="112"/>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A4" r:id="rId7" display="http://redlight.com.ua/"/>
    <hyperlink ref="A5" r:id="rId8" display="https://mebli-bristol.com.ua/"/>
    <hyperlink ref="A6" r:id="rId9" display="http://gerbor.kiev.ua/"/>
    <hyperlink ref="P6" r:id="rId10" display="https://gerbor.kiev.ua/mebelnye-sistemy/mebel-koen-gerbor/koen-komod-kom4s-gerbor/"/>
    <hyperlink ref="A7" r:id="rId11" display="http://www.brwland.com.ua/"/>
    <hyperlink ref="A8" r:id="rId12" display="http://gerbor.dp.ua/"/>
    <hyperlink ref="A9" r:id="rId13" display="https://www.dybok.com.ua/"/>
    <hyperlink ref="D9" r:id="rId14" display="https://www.dybok.com.ua/ru/product/detail/55516"/>
    <hyperlink ref="J9" r:id="rId15" display="https://www.dybok.com.ua/ru/product/detail/18085"/>
    <hyperlink ref="A10" r:id="rId16" display="https://vashamebel.in.ua/"/>
    <hyperlink ref="I10" r:id="rId17" display="0 грн"/>
    <hyperlink ref="L10" r:id="rId18" display="https://vashamebel.in.ua/stenka-gerbor-kvatro/p2359"/>
    <hyperlink ref="M10" r:id="rId19" display="https://vashamebel.in.ua/komod-gerbor-vusher-kom1w2d2s/p4762"/>
    <hyperlink ref="O10" r:id="rId20" display="https://vashamebel.in.ua/tumba-tv-gerbor-alisa-rtv2s2k/p16540"/>
    <hyperlink ref="P10" r:id="rId21" display="https://vashamebel.in.ua/komod-gerbor-koen-kom4s/p2171"/>
    <hyperlink ref="A11" r:id="rId22" display="http://mebel-mebel.com.ua/"/>
    <hyperlink ref="A12" r:id="rId23" display="http://abcmebli.com.ua"/>
    <hyperlink ref="A13" r:id="rId24" display="https://gerbor.mebelok.com/"/>
    <hyperlink ref="A14" r:id="rId25" display="http://maxmebel.com.ua/"/>
    <hyperlink ref="L14" r:id="rId26" display="https://maxmebel.com.ua/stenka_kvatro"/>
    <hyperlink ref="M14" r:id="rId27" display="https://maxmebel.com.ua/vusher_komod_kom_1w2d2s"/>
    <hyperlink ref="P14" r:id="rId28" display="https://maxmebel.com.ua/koen_komod_kom4s-mdf"/>
    <hyperlink ref="A15" r:id="rId29" display="https://moyamebel.com.ua/ua"/>
    <hyperlink ref="A16" r:id="rId30" display="https://mebel-soyuz.com.ua/"/>
    <hyperlink ref="A17" r:id="rId31" display="https://sofino.ua/"/>
    <hyperlink ref="A18" r:id="rId32" display="https://www.brw-kiev.com.ua/"/>
    <hyperlink ref="P18" r:id="rId33" display="https://www.brw-kiev.com.ua/catalog/mebel/gostinaya/koen-komod-kom4s-000003956.html"/>
    <hyperlink ref="A19" r:id="rId34" display="https://brw.kiev.ua/"/>
    <hyperlink ref="B19" r:id="rId35" display="https://brw.kiev.ua/mebel-brw-ukraina/azteca/tumba-tv-rtv2d2s-azteca-brv/"/>
    <hyperlink ref="C19" r:id="rId36" display="https://brw.kiev.ua/mebel-brw-ukraina/azteca/komod-kom4s-azteca-brv/"/>
    <hyperlink ref="D19" r:id="rId37" display="https://brw.kiev.ua/mebel-brw-ukraina/indiana-kanjon/komod-jkom4s80-indiana-brv-kanjon/"/>
    <hyperlink ref="E19" r:id="rId38" display="https://brw.kiev.ua/mebel-brw-ukraina/indiana-shutter/stol-pismennyy-jbiu2d2s140-indiana-brv-shutter/"/>
    <hyperlink ref="F19" r:id="rId39" display="https://brw.kiev.ua/mebel-brw-ukraina/july/komod-kom4s90-july-brv/"/>
    <hyperlink ref="O19" r:id="rId40" display="https://brw.kiev.ua/mebel-gerbor/alisa/tumba-tv-rtv2s2k-alisa-gerbor/"/>
    <hyperlink ref="P19" r:id="rId41" display="https://brw.kiev.ua/mebel-gerbor/koen/komod-kom4s-koen-gerbor/"/>
    <hyperlink ref="A20" r:id="rId42" display="https://lvivmebli.com/"/>
    <hyperlink ref="A21" r:id="rId43" display="http://centrmebliv.com.ua/"/>
    <hyperlink ref="A22" r:id="rId44" display="https://letromebel.com.ua/"/>
    <hyperlink ref="B22" r:id="rId45" display="https://letromebel.com.ua/p566111870-tumba-rtv2d2s415-atsteka.html"/>
    <hyperlink ref="C22" r:id="rId46" display="https://letromebel.com.ua/p566126810-komod-kom4s811-atsteka.html"/>
    <hyperlink ref="D22" r:id="rId47" display="https://letromebel.com.ua/p566921861-komod-jkom4s80-indiana.html"/>
    <hyperlink ref="E22" r:id="rId48" display="https://letromebel.com.ua/p566921329-stol-pismennyj-jbiu2d2s140.html"/>
    <hyperlink ref="F22" r:id="rId49" display="https://letromebel.com.ua/p445989920-komod-kom-dzhuli.html"/>
    <hyperlink ref="P22" r:id="rId50" display="https://letromebel.com.ua/site_search/page_2?search_term=%D0%BA%D0%BE%D0%B5%D0%BD+%D0%BC%D0%B4%D1%84"/>
    <hyperlink ref="A23" r:id="rId51" display="https://shurup.net.ua/"/>
    <hyperlink ref="B23" r:id="rId52" display="https://shurup.net.ua/azteca-acteka-tumba-rtv2d2s415.p17205"/>
    <hyperlink ref="C23" r:id="rId53" display="https://shurup.net.ua/azteca-acteka-komod-kom4s811.p17200"/>
    <hyperlink ref="D23" r:id="rId54" display="https://shurup.net.ua/komod-jkom-4s80-indiana-sosna-kanon.p9412"/>
    <hyperlink ref="E23" r:id="rId55" display="https://shurup.net.ua/stol-pismennyj-jbiu-2d2s-140-indiana-dub-shutter.p5488"/>
    <hyperlink ref="F23" r:id="rId56" display="https://shurup.net.ua/komod-kom-4s-90-dzhuli.p7011"/>
    <hyperlink ref="M23" r:id="rId57" display="https://shurup.net.ua/komod-kom1w2d2s-9-15-vusher.p1953"/>
    <hyperlink ref="A24" r:id="rId58" display="https://www.taburetka.ua"/>
    <hyperlink ref="L24" r:id="rId59" display="https://www.taburetka.ua/gostinye-600/gostinaya-kvatro-2834"/>
    <hyperlink ref="A25" r:id="rId60" display="http://www.maxidom.com.ua/"/>
    <hyperlink ref="B25" r:id="rId61" display="http://www.maxidom.com.ua/tumba-rtv-atsteka-2d2s415.html?search_string=%D2%F3%EC%E1%E0+%D0%D2%C2+%C0%F6%F2%E5%EA%E0+2D2S%2F4%2F15"/>
    <hyperlink ref="C25" r:id="rId62" display="http://www.maxidom.com.ua/komod-atsteka-kom4s811.html?search_string=%CA%EE%EC%EE%E4+%C0%F6%F2%E5%EA%E0+KOM4S%2F8%2F11"/>
    <hyperlink ref="D25" r:id="rId63" display="http://www.maxidom.com.ua/komod_indiana_jkom4s80.html?search_string=%CA%EE%EC%EE%E4+%C8%ED%E4%E8%E0%ED%E0+JKOM4s%2F80"/>
    <hyperlink ref="E25" r:id="rId64" display="http://www.maxidom.com.ua/stol_pismenniy_indiana_jbiu2d2s.html?search_string=%D1%F2%EE%EB+%EF%E8%F1%FC%EC%E5%ED%ED%FB%E9+%C8%ED%E4%E8%E0%ED%E0+JBIU2d2s"/>
    <hyperlink ref="F25" r:id="rId65" display="http://www.maxidom.com.ua/komod-kom4s90-dzhuli.html?search_string=%CA%EE%EC%EE%E4+KOM4S%2F90+%C4%E6%F3%EB%E8"/>
    <hyperlink ref="A26" r:id="rId66" display="https://mebel-online.com.ua"/>
    <hyperlink ref="B26" r:id="rId67" display="https://mebel-online.com.ua/tymba-rtv2d2s-4-15-azteca?filter_name=azteca"/>
    <hyperlink ref="C26" r:id="rId68" display="https://mebel-online.com.ua/komod-kom4s-8-11-azteca?filter_name=azteca"/>
    <hyperlink ref="D26" r:id="rId69" display="https://mebel-online.com.ua/p5228-komod_jkom_4s_80_indiana_brw?filter_name=%D0%B8%D0%BD%D0%B4%D0%B8%D0%B0%D0%BD%D0%B0"/>
    <hyperlink ref="E26" r:id="rId70" display="https://mebel-online.com.ua/p5223-stol_pismenniy_jbiu_2d2s_140_indiana_brw?filter_name=%D0%B8%D0%BD%D0%B4%D0%B8%D0%B0%D0%BD%D0%B0"/>
    <hyperlink ref="F26" r:id="rId71" display="https://mebel-online.com.ua/komod-kom4s-90-july?filter_name=july"/>
    <hyperlink ref="A27" r:id="rId72" display="https://mebelnuy.com.ua/"/>
    <hyperlink ref="F27" r:id="rId73" display="https://mebelnuy.com.ua/komod-kom4s-90-dzhuli-brv?search=%D0%94%D0%96%D0%A3%D0%9B%D0%98%20KOM4S%2F90&amp;description=true"/>
    <hyperlink ref="A28" r:id="rId74" display="https://amado.com.ua"/>
    <hyperlink ref="B28" r:id="rId75" display="https://amado.com.ua/gostinaya/komody-i-tumby-v-gostinuyu/acteka-tumba-rtv2d2s-4-15-brw"/>
    <hyperlink ref="C28" r:id="rId76" display="https://amado.com.ua/gostinaya/komody-i-tumby-v-gostinuyu/acteka-komod-kom4s-8-11-brw"/>
    <hyperlink ref="D28" r:id="rId77" display="https://amado.com.ua/detskaya/komody-i-tumby-dlya-detskoj/indiana-komod-jkom-4s-80-sosna-kanon-brw"/>
    <hyperlink ref="E28" r:id="rId78" display="https://amado.com.ua/detskaya/stoly-i-nadstrojki/indiana-stol-pismennyj-jbiu-2d2s-140-sosna-kanon-brw"/>
    <hyperlink ref="F28" r:id="rId79" display="https://amado.com.ua/gostinaya/komody-i-tumby-v-gostinuyu/dzhuli-komod-kom4s-90-brw"/>
    <hyperlink ref="A31" r:id="rId80" display="https://epicentrk.ua/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30" t="s">
        <v>1</v>
      </c>
      <c r="C1" s="130" t="s">
        <v>2</v>
      </c>
      <c r="D1" s="130" t="s">
        <v>3</v>
      </c>
      <c r="E1" s="130" t="s">
        <v>4</v>
      </c>
      <c r="F1" s="131" t="s">
        <v>5</v>
      </c>
      <c r="G1" s="131" t="s">
        <v>6</v>
      </c>
      <c r="H1" s="131" t="s">
        <v>7</v>
      </c>
      <c r="I1" s="131" t="s">
        <v>8</v>
      </c>
      <c r="J1" s="124" t="s">
        <v>9</v>
      </c>
      <c r="K1" s="124" t="s">
        <v>15</v>
      </c>
      <c r="L1" s="123" t="s">
        <v>10</v>
      </c>
      <c r="M1" s="124" t="s">
        <v>11</v>
      </c>
      <c r="N1" s="124" t="s">
        <v>12</v>
      </c>
      <c r="O1" s="124" t="s">
        <v>13</v>
      </c>
      <c r="P1" s="124" t="s">
        <v>14</v>
      </c>
    </row>
    <row r="2" customFormat="false" ht="40.5" hidden="false" customHeight="true" outlineLevel="0" collapsed="false">
      <c r="A2" s="5" t="s">
        <v>16</v>
      </c>
      <c r="B2" s="6" t="n">
        <v>3970</v>
      </c>
      <c r="C2" s="7" t="n">
        <v>4840</v>
      </c>
      <c r="D2" s="9" t="n">
        <v>3890</v>
      </c>
      <c r="E2" s="9" t="n">
        <v>5910</v>
      </c>
      <c r="F2" s="9" t="n">
        <v>2370</v>
      </c>
      <c r="G2" s="9" t="n">
        <v>5666</v>
      </c>
      <c r="H2" s="7" t="n">
        <v>7060</v>
      </c>
      <c r="I2" s="9" t="n">
        <v>3530</v>
      </c>
      <c r="J2" s="10" t="n">
        <v>2330</v>
      </c>
      <c r="K2" s="10" t="n">
        <v>9080</v>
      </c>
      <c r="L2" s="10" t="n">
        <v>3810</v>
      </c>
      <c r="M2" s="10" t="n">
        <v>5100</v>
      </c>
      <c r="N2" s="77" t="n">
        <v>4680</v>
      </c>
      <c r="O2" s="10" t="n">
        <v>5550</v>
      </c>
      <c r="P2" s="10" t="n">
        <v>4480</v>
      </c>
    </row>
    <row r="3" customFormat="false" ht="48" hidden="false" customHeight="true" outlineLevel="0" collapsed="false">
      <c r="A3" s="78" t="s">
        <v>28</v>
      </c>
      <c r="B3" s="79" t="str">
        <f aca="false">HYPERLINK("https://brwmania.com.ua/gostinaja/modulnye-gostinye/sistema-azteka/tumba-pod-tv-acteka-rtv2d2s415/","3970")</f>
        <v>3970</v>
      </c>
      <c r="C3" s="80" t="str">
        <f aca="false">HYPERLINK("https://brwmania.com.ua/gostinaja/modulnye-gostinye/sistema-azteka/komod-acteka-kom4s811/","4840")</f>
        <v>4840</v>
      </c>
      <c r="D3" s="80" t="str">
        <f aca="false">HYPERLINK("https://brwmania.com.ua/gostinaja/modulnye-gostinye/sistema-indiana-indiana---dub-shuter/indiana-dub-shuter-laminat-j-011-komod-jkom-4s-80/","3890")</f>
        <v>3890</v>
      </c>
      <c r="E3" s="80" t="str">
        <f aca="false">HYPERLINK("https://brwmania.com.ua/gostinaja/modulnye-gostinye/sistema-indiana-indiana---dub-shuter/indiana-dub-shuter-laminat-j-007-stol-pismennyy-jbiu-2d2s-140/","5910")</f>
        <v>5910</v>
      </c>
      <c r="F3" s="80" t="str">
        <f aca="false">HYPERLINK("https://brwmania.com.ua/gostinaja/modulnye-gostinye/sistema_dzhuli/komod-dzhuli-july-kom4s-90/","2370")</f>
        <v>2370</v>
      </c>
      <c r="G3" s="80" t="str">
        <f aca="false">HYPERLINK("https://brwmania.com.ua/gostinaja/modulnye-gostinye/tovar-novij/shkaf-platjanoj-porto-szf3d2s/","5666")</f>
        <v>5666</v>
      </c>
      <c r="H3" s="80" t="str">
        <f aca="false">HYPERLINK("https://brwmania.com.ua/gostinaja/modulnye-gostinye/sistema-sonata-sonata/s-015-sonata-komod-8-s/","7060")</f>
        <v>7060</v>
      </c>
      <c r="I3" s="80" t="str">
        <f aca="false">HYPERLINK("https://brwmania.com.ua/gostinaja/modulnye-gostinye/sistema_kaspian_dub_sonoma/kaspian-dub-sonoma-jm-007-stol-pismennyy-biu-1d1s/","3530")</f>
        <v>3530</v>
      </c>
      <c r="J3" s="19" t="str">
        <f aca="false">HYPERLINK("http://redlight.com.ua/prihozhie/item-nepo-prihozhaya-rrk-","2330")</f>
        <v>2330</v>
      </c>
      <c r="K3" s="80" t="str">
        <f aca="false">HYPERLINK("https://brwmania.com.ua/gostinaja/komplekty-gostinyh/aljaska-alaska-gostinaja/","9080")</f>
        <v>9080</v>
      </c>
      <c r="L3" s="128" t="str">
        <f aca="false">HYPERLINK("https://brwmania.com.ua/gostinaja/komplekty-gostinyh/stinka-kvatro-venge-magia/","3810")</f>
        <v>3810</v>
      </c>
      <c r="M3" s="128" t="str">
        <f aca="false">HYPERLINK("https://brwmania.com.ua/gostinaja/modulnye-gostinye/sistema-vusher-vusher/010-vusher-komod-kom-1w2d2s/","5100")</f>
        <v>5100</v>
      </c>
      <c r="N3" s="80" t="str">
        <f aca="false">HYPERLINK("https://brwmania.com.ua/gostinaja/modulnye-gostinye/sistema-german/komod-brw-german-kom3s-9-12-dub-stirling/","4680")</f>
        <v>4680</v>
      </c>
      <c r="O3" s="128" t="str">
        <f aca="false">HYPERLINK("https://brwmania.com.ua/gostinaja/modulnye-gostinye/sistema-alisa-alisa-gerbor/gerbor-gerbor-tumba-pod-televizor-alisa-rtv2s2k/","5550")</f>
        <v>5550</v>
      </c>
      <c r="P3" s="80" t="str">
        <f aca="false">HYPERLINK("https://brwmania.com.ua/gostinaja/modulnye-gostinye/sistema_koen_mdf/008-koen-mdf-komod-kom4s/","4480")</f>
        <v>4480</v>
      </c>
    </row>
    <row r="4" customFormat="false" ht="60.75" hidden="false" customHeight="true" outlineLevel="0" collapsed="false">
      <c r="A4" s="78" t="s">
        <v>29</v>
      </c>
      <c r="B4" s="29" t="str">
        <f aca="false">HYPERLINK("https://redlight.com.ua/tv-stands/item-tumba-tv-rtv2d2s-4-15-atsteka","3970")</f>
        <v>3970</v>
      </c>
      <c r="C4" s="30" t="str">
        <f aca="false">HYPERLINK("https://redlight.com.ua/komod/item-komod-kom4s-8-11-atsteka","4840")</f>
        <v>4840</v>
      </c>
      <c r="D4" s="30" t="str">
        <f aca="false">HYPERLINK("https://redlight.com.ua/komod/item-komod-jkom-4s-80-indiana","3890")</f>
        <v>3890</v>
      </c>
      <c r="E4" s="30" t="str">
        <f aca="false">HYPERLINK("https://redlight.com.ua/stoly/item-stol-pismenniy-jbiu-2d2s-indiana","5910")</f>
        <v>5910</v>
      </c>
      <c r="F4" s="30" t="str">
        <f aca="false">HYPERLINK("https://redlight.com.ua/komod/item-komod-kom4s-90-dzhuli","2370")</f>
        <v>2370</v>
      </c>
      <c r="G4" s="32" t="str">
        <f aca="false">HYPERLINK("http://redlight.com.ua/raspashnyye-shkafy/item-porto-shkaf-szf3d2s","5666")</f>
        <v>5666</v>
      </c>
      <c r="H4" s="32" t="str">
        <f aca="false">HYPERLINK("http://redlight.com.ua/komod/item-komod-8s-sonata-","7060")</f>
        <v>7060</v>
      </c>
      <c r="I4" s="22" t="str">
        <f aca="false">HYPERLINK("http://redlight.com.ua/stoly/item-kaspian-pismenniy-stol-biu-1d1s-120-kaspian","3530")</f>
        <v>3530</v>
      </c>
      <c r="J4" s="30" t="str">
        <f aca="false">HYPERLINK("https://redlight.com.ua/prihozhie/item-nepo-prihozhaya-rrk-","2330")</f>
        <v>2330</v>
      </c>
      <c r="K4" s="36" t="str">
        <f aca="false">HYPERLINK("http://redlight.com.ua/stenki/item-stenka-alyaska","7644")</f>
        <v>7644</v>
      </c>
      <c r="L4" s="32" t="str">
        <f aca="false">HYPERLINK("http://redlight.com.ua/stenki/item-stenka-kvatro","3810")</f>
        <v>3810</v>
      </c>
      <c r="M4" s="32" t="str">
        <f aca="false">HYPERLINK("https://redlight.com.ua/komod/item-tumba-kom-1w2d2s-9-15-vusher","5100")</f>
        <v>5100</v>
      </c>
      <c r="N4" s="32" t="str">
        <f aca="false">HYPERLINK("https://redlight.com.ua/komod/item-german-komod-kom-3s-9-12","4680")</f>
        <v>4680</v>
      </c>
      <c r="O4" s="32" t="str">
        <f aca="false">HYPERLINK("https://redlight.com.ua/tv-stands/item-alisa-tumba-rtv2s2k","5550")</f>
        <v>5550</v>
      </c>
      <c r="P4" s="32" t="str">
        <f aca="false">HYPERLINK("https://redlight.com.ua/komod/item-komod-kom4s-koen-(mdf)-","4480")</f>
        <v>4480</v>
      </c>
    </row>
    <row r="5" customFormat="false" ht="63" hidden="false" customHeight="true" outlineLevel="0" collapsed="false">
      <c r="A5" s="78" t="s">
        <v>30</v>
      </c>
      <c r="B5" s="35" t="str">
        <f aca="false">HYPERLINK("https://mebli-bristol.com.ua/acteka-tumba-rtv-2d2s-4-15-brv-ukraina.html","3970")</f>
        <v>3970</v>
      </c>
      <c r="C5" s="32" t="str">
        <f aca="false">HYPERLINK("https://mebli-bristol.com.ua/acteka-komod-kom-4s-8-11-brv-ukraina.html","4840")</f>
        <v>4840</v>
      </c>
      <c r="D5" s="32" t="str">
        <f aca="false">HYPERLINK("https://mebli-bristol.com.ua/indiana-komod-jkom-4s-80-sosna-kan-jon-brv-ukraina.html","3890")</f>
        <v>3890</v>
      </c>
      <c r="E5" s="32" t="str">
        <f aca="false">HYPERLINK("https://mebli-bristol.com.ua/indiana-stil-pis-movij-jbiu-2d2s-140-sosna-kan-jon-brv-ukraina.html","5910")</f>
        <v>5910</v>
      </c>
      <c r="F5" s="32" t="str">
        <f aca="false">HYPERLINK("https://mebli-bristol.com.ua/dzhuli-komod-kom-4s-90-brv-ukraina.html","2370")</f>
        <v>2370</v>
      </c>
      <c r="G5" s="32" t="str">
        <f aca="false">HYPERLINK("https://mebli-bristol.com.ua/porto-shafa-szf-3d2s-brv-ukraina.html","5666")</f>
        <v>5666</v>
      </c>
      <c r="H5" s="32" t="str">
        <f aca="false">HYPERLINK("https://mebli-bristol.com.ua/sonata-komod-8s-gerbor.html","7060")</f>
        <v>7060</v>
      </c>
      <c r="I5" s="32" t="str">
        <f aca="false">HYPERLINK("https://mebli-bristol.com.ua/kaspian-stil-pis-movij-biu-1d1s-120-dub-sonoma-brv-ukraina.html","3530")</f>
        <v>3530</v>
      </c>
      <c r="J5" s="36" t="str">
        <f aca="false">HYPERLINK("https://mebli-bristol.com.ua/nepo-peredpokij-ppk-gerbor-9728.html","1971")</f>
        <v>1971</v>
      </c>
      <c r="K5" s="32" t="str">
        <f aca="false">HYPERLINK("https://mebli-bristol.com.ua/aljaska-brv-ukraina.html","9080")</f>
        <v>9080</v>
      </c>
      <c r="L5" s="32" t="str">
        <f aca="false">HYPERLINK("https://mebli-bristol.com.ua/kvatro-gerbor.html","3810")</f>
        <v>3810</v>
      </c>
      <c r="M5" s="32" t="str">
        <f aca="false">HYPERLINK("https://mebli-bristol.com.ua/vusher-komod-kom-1w-2d2s-gerbor.html","5100")</f>
        <v>5100</v>
      </c>
      <c r="N5" s="32" t="str">
        <f aca="false">HYPERLINK("https://mebli-bristol.com.ua/german-komod-kom-3s-9-12-brv-ukraina.html","4680")</f>
        <v>4680</v>
      </c>
      <c r="O5" s="30" t="str">
        <f aca="false">HYPERLINK("https://mebli-bristol.com.ua/alisa-tumba-rtv-2s2k-gerbor.html","5550")</f>
        <v>5550</v>
      </c>
      <c r="P5" s="32" t="str">
        <f aca="false">HYPERLINK("https://mebli-bristol.com.ua/koen-komod-kom-4s-mdf-gerbor.html","4480")</f>
        <v>4480</v>
      </c>
    </row>
    <row r="6" customFormat="false" ht="60" hidden="false" customHeight="true" outlineLevel="0" collapsed="false">
      <c r="A6" s="78" t="s">
        <v>17</v>
      </c>
      <c r="B6" s="29" t="str">
        <f aca="false">HYPERLINK("https://gerbor.kiev.ua/mebel-brv-ukraina/mebel-brw-azteca/azteca-tumba-tv-rtv2d2s-brv/","3970")</f>
        <v>3970</v>
      </c>
      <c r="C6" s="30" t="str">
        <f aca="false">HYPERLINK("https://gerbor.kiev.ua/mebel-brv-ukraina/mebel-brw-azteca/azteca-komod-kom4s-brv/","4840")</f>
        <v>4840</v>
      </c>
      <c r="D6" s="30" t="str">
        <f aca="false">HYPERLINK("https://gerbor.kiev.ua/mebel-brv-ukraina/mebel-indiana-brw/indiana-komod-jkom4s80-brv/","3890")</f>
        <v>3890</v>
      </c>
      <c r="E6" s="30" t="str">
        <f aca="false">HYPERLINK("https://gerbor.kiev.ua/mebel-brv-ukraina/mebel-indiana-brw/indiana-stol-pismennyy-jbiu2d2s140-brv/","5910")</f>
        <v>5910</v>
      </c>
      <c r="F6" s="30" t="str">
        <f aca="false">HYPERLINK("https://gerbor.kiev.ua/mebel-brv-ukraina/mebel-july-brw/july-komod-kom4s90-brv/","2370")</f>
        <v>2370</v>
      </c>
      <c r="G6" s="32" t="str">
        <f aca="false">HYPERLINK("https://gerbor.kiev.ua/mebelnye-sistemy/mebel-porto-brv/porto-shkaf-szf3d2s-brv/","5666")</f>
        <v>5666</v>
      </c>
      <c r="H6" s="32" t="str">
        <f aca="false">HYPERLINK("https://gerbor.kiev.ua/mebelnye-sistemy/mebel-sonata-gerbor/sonata-komod-8s-gerbor/","7060")</f>
        <v>7060</v>
      </c>
      <c r="I6" s="19" t="str">
        <f aca="false">HYPERLINK("https://gerbor.kiev.ua/mebelnye-sistemy/mebel-kaspian-sonoma-brw/kaspian-sonoma-stol-pismennyy-biu1d1s-brv/","3530")</f>
        <v>3530</v>
      </c>
      <c r="J6" s="32" t="str">
        <f aca="false">HYPERLINK("https://gerbor.kiev.ua/mebelnye-sistemy/mebel-nepo-gerbor/nepo-prikhozhaya-ppk-gerbor/","2330")</f>
        <v>2330</v>
      </c>
      <c r="K6" s="19" t="str">
        <f aca="false">HYPERLINK("https://gerbor.kiev.ua/mebelnye-sistemy/mebel-alaska-brw/alaska-gostinaya-brw/","9080")</f>
        <v>9080</v>
      </c>
      <c r="L6" s="83"/>
      <c r="M6" s="32" t="str">
        <f aca="false">HYPERLINK("https://gerbor.kiev.ua/mebelnye-sistemy/mebel-vusher-gerbor/vusher-komod-kom1w2d2s-gerbor/","5100")</f>
        <v>5100</v>
      </c>
      <c r="N6" s="19" t="str">
        <f aca="false">HYPERLINK("https://gerbor.kiev.ua/mebel-brv-ukraina/mebel-german-brw/german-komod-kom3s-brv/","4680")</f>
        <v>4680</v>
      </c>
      <c r="O6" s="30" t="str">
        <f aca="false">HYPERLINK("https://gerbor.kiev.ua/mebelnye-sistemy/mebel-alisa-gerbor/alisa-tumba-tv-rtv2s2k-gerbor/","5550")</f>
        <v>5550</v>
      </c>
      <c r="P6" s="27" t="str">
        <f aca="false">HYPERLINK("https://gerbor.kiev.ua/mebelnye-sistemy/mebel-koen-gerbor/koen-komod-kom4s-gerbor/","3970")</f>
        <v>3970</v>
      </c>
      <c r="Q6" s="84"/>
    </row>
    <row r="7" customFormat="false" ht="63" hidden="false" customHeight="true" outlineLevel="0" collapsed="false">
      <c r="A7" s="78" t="s">
        <v>18</v>
      </c>
      <c r="B7" s="29" t="str">
        <f aca="false">HYPERLINK("https://brwland.com.ua/product/azteca-tumba-tv-rtv2d2s415-brv-ukraina/","3970")</f>
        <v>3970</v>
      </c>
      <c r="C7" s="30" t="str">
        <f aca="false">HYPERLINK("https://brwland.com.ua/product/azteca-komod-kom4s811-brv-ukraina/","4840")</f>
        <v>4840</v>
      </c>
      <c r="D7" s="30" t="str">
        <f aca="false">HYPERLINK("https://brwland.com.ua/product/mebel-indiana-komod-jkom-4s-80-gerbor/","3890")</f>
        <v>3890</v>
      </c>
      <c r="E7" s="30" t="str">
        <f aca="false">HYPERLINK("https://brwland.com.ua/product/mebel-indiana-stol-pismennyj-jbiu-2d2s-140-gerbor/","5910")</f>
        <v>5910</v>
      </c>
      <c r="F7" s="30" t="str">
        <f aca="false">HYPERLINK("https://brwland.com.ua/product/dzhuli-komod-kom4s90-brv-ukraina/","2370")</f>
        <v>2370</v>
      </c>
      <c r="G7" s="32" t="str">
        <f aca="false">HYPERLINK("http://www.brwland.com.ua/product/porto-shkaf-szf3d2s-brv-ukraina/","5666")</f>
        <v>5666</v>
      </c>
      <c r="H7" s="32" t="str">
        <f aca="false">HYPERLINK("http://www.brwland.com.ua/product/komod-8s-sonata-gerbor/","7060")</f>
        <v>7060</v>
      </c>
      <c r="I7" s="19" t="str">
        <f aca="false">HYPERLINK("http://www.brwland.com.ua/product/kaspian-sonoma-stol-pismennyj-biu1d1s-brv-ukraina/","3530")</f>
        <v>3530</v>
      </c>
      <c r="J7" s="32" t="str">
        <f aca="false">HYPERLINK("http://www.brwland.com.ua/product/nepo-prihozhaja-ppk-gerbor/","2330")</f>
        <v>2330</v>
      </c>
      <c r="K7" s="19" t="str">
        <f aca="false">HYPERLINK("http://www.brwland.com.ua/product/gostinaja-aljaska-brv-ukraina/","9080")</f>
        <v>9080</v>
      </c>
      <c r="L7" s="36" t="str">
        <f aca="false">HYPERLINK("http://www.brwland.com.ua/product/komplekt-quatro/","3151")</f>
        <v>3151</v>
      </c>
      <c r="M7" s="32" t="str">
        <f aca="false">HYPERLINK("http://www.brwland.com.ua/product/vusher-bufet-kom1w2d2s915-gerbor/","5100")</f>
        <v>5100</v>
      </c>
      <c r="N7" s="32" t="str">
        <f aca="false">HYPERLINK("https://brwland.com.ua/product/german-komod-kom3s912-brv-ukraina/","4680")</f>
        <v>4680</v>
      </c>
      <c r="O7" s="30" t="str">
        <f aca="false">HYPERLINK("https://brwland.com.ua/product/alisa-tumba-tv-rtv2s2k-gerbor/","5550")</f>
        <v>5550</v>
      </c>
      <c r="P7" s="32" t="str">
        <f aca="false">HYPERLINK("https://brwland.com.ua/product/koen-kom4s-komod-gerbor/","4480")</f>
        <v>4480</v>
      </c>
      <c r="Q7" s="84"/>
    </row>
    <row r="8" customFormat="false" ht="60" hidden="false" customHeight="true" outlineLevel="0" collapsed="false">
      <c r="A8" s="78" t="s">
        <v>31</v>
      </c>
      <c r="B8" s="85" t="str">
        <f aca="false">HYPERLINK("http://gerbor.dp.ua/index.php?route=product/product&amp;product_id=3138","0")</f>
        <v>0</v>
      </c>
      <c r="C8" s="86" t="str">
        <f aca="false">HYPERLINK("http://gerbor.dp.ua/index.php?route=product/product&amp;product_id=3131","0")</f>
        <v>0</v>
      </c>
      <c r="D8" s="86" t="str">
        <f aca="false">HYPERLINK("http://gerbor.dp.ua/index.php?route=product/product&amp;product_id=1730","0")</f>
        <v>0</v>
      </c>
      <c r="E8" s="86" t="str">
        <f aca="false">HYPERLINK("http://gerbor.dp.ua/index.php?route=product/product&amp;product_id=1725","0")</f>
        <v>0</v>
      </c>
      <c r="F8" s="86" t="str">
        <f aca="false">HYPERLINK("http://gerbor.dp.ua/index.php?route=product/product&amp;product_id=1755","0")</f>
        <v>0</v>
      </c>
      <c r="G8" s="27" t="str">
        <f aca="false">HYPERLINK("http://gerbor.dp.ua/index.php?route=product/product&amp;product_id=3905","5377")</f>
        <v>5377</v>
      </c>
      <c r="H8" s="86" t="str">
        <f aca="false">HYPERLINK("http://gerbor.dp.ua/index.php?route=product/product&amp;product_id=2156","0")</f>
        <v>0</v>
      </c>
      <c r="I8" s="86" t="str">
        <f aca="false">HYPERLINK("http://gerbor.dp.ua/index.php?route=product/product&amp;product_id=2819","0")</f>
        <v>0</v>
      </c>
      <c r="J8" s="86" t="str">
        <f aca="false">HYPERLINK("http://gerbor.dp.ua/index.php?route=product/product&amp;product_id=3473&amp;search=%D0%BD%D0%B5%D0%BF%D0%BE","0")</f>
        <v>0</v>
      </c>
      <c r="K8" s="86" t="str">
        <f aca="false">HYPERLINK("http://gerbor.dp.ua/index.php?route=product/product&amp;product_id=3031","0")</f>
        <v>0</v>
      </c>
      <c r="L8" s="86" t="str">
        <f aca="false">HYPERLINK("http://gerbor.dp.ua/index.php?route=product/product&amp;product_id=2040","0")</f>
        <v>0</v>
      </c>
      <c r="M8" s="27" t="str">
        <f aca="false">HYPERLINK("http://gerbor.dp.ua/index.php?route=product/product&amp;product_id=2775","4195")</f>
        <v>4195</v>
      </c>
      <c r="N8" s="86" t="str">
        <f aca="false">HYPERLINK("http://gerbor.dp.ua/index.php?route=product/product&amp;product_id=4118","0")</f>
        <v>0</v>
      </c>
      <c r="O8" s="86" t="str">
        <f aca="false">HYPERLINK("http://gerbor.dp.ua/index.php?route=product/product&amp;product_id=4257","0")</f>
        <v>0</v>
      </c>
      <c r="P8" s="86" t="str">
        <f aca="false">HYPERLINK("http://gerbor.dp.ua/index.php?route=product/product&amp;product_id=3797&amp;search=%D0%BA%D0%BE%D0%B5%D0%BD+%D0%BC%D0%B4%D1%84&amp;description=true","0")</f>
        <v>0</v>
      </c>
    </row>
    <row r="9" customFormat="false" ht="56.25" hidden="false" customHeight="true" outlineLevel="0" collapsed="false">
      <c r="A9" s="88" t="s">
        <v>32</v>
      </c>
      <c r="B9" s="29" t="str">
        <f aca="false">HYPERLINK("https://www.dybok.com.ua/ru/product/detail/35816","3973")</f>
        <v>3973</v>
      </c>
      <c r="C9" s="30" t="str">
        <f aca="false">HYPERLINK("https://www.dybok.com.ua/ru/product/detail/35870","4840")</f>
        <v>4840</v>
      </c>
      <c r="D9" s="89" t="n">
        <v>3229</v>
      </c>
      <c r="E9" s="30" t="str">
        <f aca="false">HYPERLINK("https://www.dybok.com.ua/ru/product/detail/4291","5915")</f>
        <v>5915</v>
      </c>
      <c r="F9" s="30" t="str">
        <f aca="false">HYPERLINK("https://www.dybok.com.ua/ru/product/detail/9798","2380")</f>
        <v>2380</v>
      </c>
      <c r="G9" s="30" t="str">
        <f aca="false">HYPERLINK("https://www.dybok.com.ua/ru/product/detail/35840","5675")</f>
        <v>5675</v>
      </c>
      <c r="H9" s="30" t="str">
        <f aca="false">HYPERLINK("https://www.dybok.com.ua/ru/product/detail/261","7070")</f>
        <v>7070</v>
      </c>
      <c r="I9" s="36" t="str">
        <f aca="false">HYPERLINK("https://www.dybok.com.ua/","3006")</f>
        <v>3006</v>
      </c>
      <c r="J9" s="89" t="n">
        <v>1931</v>
      </c>
      <c r="K9" s="30" t="str">
        <f aca="false">HYPERLINK("https://www.dybok.com.ua/ru/product/detail/50410","9095")</f>
        <v>9095</v>
      </c>
      <c r="L9" s="32" t="str">
        <f aca="false">HYPERLINK("https://www.dybok.com.ua/ru/product/detail/6077","3814")</f>
        <v>3814</v>
      </c>
      <c r="M9" s="32" t="str">
        <f aca="false">HYPERLINK("https://www.dybok.com.ua/ru/product/detail/7086","5118")</f>
        <v>5118</v>
      </c>
      <c r="N9" s="32" t="str">
        <f aca="false">HYPERLINK("https://www.dybok.com.ua/ru/product/detail/54996","4690")</f>
        <v>4690</v>
      </c>
      <c r="O9" s="30" t="str">
        <f aca="false">HYPERLINK("https://www.dybok.com.ua/ua/product/detail/80992","5565")</f>
        <v>5565</v>
      </c>
      <c r="P9" s="32" t="str">
        <f aca="false">HYPERLINK("https://www.dybok.com.ua/ua/product/detail/76092","4498")</f>
        <v>4498</v>
      </c>
    </row>
    <row r="10" customFormat="false" ht="61.5" hidden="false" customHeight="true" outlineLevel="0" collapsed="false">
      <c r="A10" s="78" t="s">
        <v>19</v>
      </c>
      <c r="B10" s="29" t="str">
        <f aca="false">HYPERLINK("https://vashamebel.in.ua/tumba-tv-brv-atsteka-rtv2d2s415/p12722","3970")</f>
        <v>3970</v>
      </c>
      <c r="C10" s="30" t="str">
        <f aca="false">HYPERLINK("https://vashamebel.in.ua/komod-brv-atsteka-kom4s811/p12731","4840")</f>
        <v>4840</v>
      </c>
      <c r="D10" s="30" t="str">
        <f aca="false">HYPERLINK("https://vashamebel.in.ua/komod-brv-indiana-jkom4s80/p921","3890")</f>
        <v>3890</v>
      </c>
      <c r="E10" s="30" t="str">
        <f aca="false">HYPERLINK("https://vashamebel.in.ua/stol-pismennyij-brv-indiana-jbiu-2d2s/p916","5910")</f>
        <v>5910</v>
      </c>
      <c r="F10" s="30" t="str">
        <f aca="false">HYPERLINK("https://vashamebel.in.ua/komod-brv-dzhuli-kom4s90/p7958","2370")</f>
        <v>2370</v>
      </c>
      <c r="G10" s="32" t="str">
        <f aca="false">HYPERLINK("https://vashamebel.in.ua/shkaf-brv-porto-szf3d2s/p12560","5666")</f>
        <v>5666</v>
      </c>
      <c r="H10" s="34" t="str">
        <f aca="false">HYPERLINK("https://vashamebel.in.ua/komod-gerbor-sonata-8s/p845","6343")</f>
        <v>6343</v>
      </c>
      <c r="I10" s="87" t="s">
        <v>33</v>
      </c>
      <c r="J10" s="34" t="str">
        <f aca="false">HYPERLINK("https://vashamebel.in.ua/prihozhaya-gerbor-nepo-ppk/p12249","2290")</f>
        <v>2290</v>
      </c>
      <c r="K10" s="34" t="str">
        <f aca="false">HYPERLINK("https://vashamebel.in.ua/gostinaya-brv-alyaska/p4420","7644")</f>
        <v>7644</v>
      </c>
      <c r="L10" s="34" t="str">
        <f aca="false">HYPERLINK("https://vashamebel.in.ua/stenka-gerbor-kvatro/p2359","3730")</f>
        <v>3730</v>
      </c>
      <c r="M10" s="27" t="str">
        <f aca="false">HYPERLINK("https://vashamebel.in.ua/komod-gerbor-vusher-kom1w2d2s/p4762","5020")</f>
        <v>5020</v>
      </c>
      <c r="N10" s="19" t="str">
        <f aca="false">HYPERLINK("https://vashamebel.in.ua/komod-brv-german-kom3s912/p16187","4680")</f>
        <v>4680</v>
      </c>
      <c r="O10" s="27" t="str">
        <f aca="false">HYPERLINK("https://vashamebel.in.ua/tumba-tv-gerbor-alisa-rtv2s2k/p16540","5087")</f>
        <v>5087</v>
      </c>
      <c r="P10" s="27" t="str">
        <f aca="false">HYPERLINK("https://vashamebel.in.ua/komod-gerbor-koen-kom4s/p2171","3891")</f>
        <v>3891</v>
      </c>
    </row>
    <row r="11" customFormat="false" ht="70.5" hidden="false" customHeight="true" outlineLevel="0" collapsed="false">
      <c r="A11" s="78" t="s">
        <v>20</v>
      </c>
      <c r="B11" s="29" t="str">
        <f aca="false">HYPERLINK("https://mebel-mebel.com.ua/eshop/dom-tumby-dlia-tv/tumba_rtv2d2s_4_15_atsteka-id461.html","3970")</f>
        <v>3970</v>
      </c>
      <c r="C11" s="30" t="str">
        <f aca="false">HYPERLINK("https://mebel-mebel.com.ua/eshop/dom-komody/komod_kom4s_8_11_atsteka-id496.html","4840")</f>
        <v>4840</v>
      </c>
      <c r="D11" s="30" t="str">
        <f aca="false">HYPERLINK("https://mebel-mebel.com.ua/eshop/dom-komody/komod_jkom_4s80_indiana-id663.html","3890")</f>
        <v>3890</v>
      </c>
      <c r="E11" s="30" t="str">
        <f aca="false">HYPERLINK("https://mebel-mebel.com.ua/eshop/dom-stoly-kompiuternye/stol_pismenniy_jbiu_2d2s_140_indiana-id659.html","5910")</f>
        <v>5910</v>
      </c>
      <c r="F11" s="30" t="str">
        <f aca="false">HYPERLINK("https://mebel-mebel.com.ua/eshop/dom-komody/komod_kom_4s_90_dzhuli-id569.html","2370")</f>
        <v>2370</v>
      </c>
      <c r="G11" s="30" t="str">
        <f aca="false">HYPERLINK("https://mebel-mebel.com.ua/eshop/detskie-shkafy/shkaf_szf3d2s_porto-id35136.html","5666")</f>
        <v>5666</v>
      </c>
      <c r="H11" s="32" t="str">
        <f aca="false">HYPERLINK("https://mebel-mebel.com.ua/eshop/dom-komody/komod_8s_s_015_sonata-id1567.html","7060")</f>
        <v>7060</v>
      </c>
      <c r="I11" s="19" t="str">
        <f aca="false">HYPERLINK("https://mebel-mebel.com.ua/eshop/dom-stoly-kompiuternye/stol_pismenniy_biu_1d1s_120_kaspian-id797.html","3530")</f>
        <v>3530</v>
      </c>
      <c r="J11" s="32" t="str">
        <f aca="false">HYPERLINK("https://mebel-mebel.com.ua/eshop/dom-prihozhie/prihozhaya_ppk_nepo-id28028.html","2330")</f>
        <v>2330</v>
      </c>
      <c r="K11" s="30" t="str">
        <f aca="false">HYPERLINK("https://mebel-mebel.com.ua/eshop/dom-stenki-dlia-gostinoi/gostinaya_arktika-id50834.html","9080")</f>
        <v>9080</v>
      </c>
      <c r="L11" s="32" t="str">
        <f aca="false">HYPERLINK("https://mebel-mebel.com.ua/eshop/dom-stenki-dlia-gostinoi/gostinaya_kvatro-id152.html","3810")</f>
        <v>3810</v>
      </c>
      <c r="M11" s="32" t="str">
        <f aca="false">HYPERLINK("https://mebel-mebel.com.ua/eshop/dom-komody/komod_kom_1w2d2s_vusher-id560.html","5100")</f>
        <v>5100</v>
      </c>
      <c r="N11" s="19" t="str">
        <f aca="false">HYPERLINK("https://mebel-mebel.com.ua/eshop/dom-komody/komod_kom3s_9_12_german_brv_ukraina-id60297.html","4680")</f>
        <v>4680</v>
      </c>
      <c r="O11" s="32" t="str">
        <f aca="false">HYPERLINK("https://mebel-mebel.com.ua/eshop/dom-tumby-dlia-tv/tumba_rtv_2s2k_alisa_gerbor-id60350.html","5550")</f>
        <v>5550</v>
      </c>
      <c r="P11" s="32" t="str">
        <f aca="false">HYPERLINK("https://mebel-mebel.com.ua/eshop/dom-komody/komod_kom_4s_mdf_8_koen-id921.html","4480")</f>
        <v>4480</v>
      </c>
    </row>
    <row r="12" customFormat="false" ht="75.75" hidden="false" customHeight="true" outlineLevel="0" collapsed="false">
      <c r="A12" s="78" t="s">
        <v>21</v>
      </c>
      <c r="B12" s="29" t="str">
        <f aca="false">HYPERLINK("https://abcmebli.com.ua/p14992-tumba_tv_rtv2d2s-4-15_atsteka","3970")</f>
        <v>3970</v>
      </c>
      <c r="C12" s="30" t="str">
        <f aca="false">HYPERLINK("https://abcmebli.com.ua/p15683-atsteka_komod_kom4s-8-11_brv","4840")</f>
        <v>4840</v>
      </c>
      <c r="D12" s="32" t="str">
        <f aca="false">HYPERLINK("https://abcmebli.com.ua/p1896-komod_jkom4s_80_indiana","3890")</f>
        <v>3890</v>
      </c>
      <c r="E12" s="32" t="str">
        <f aca="false">HYPERLINK("https://abcmebli.com.ua/p1892-stol_pismenniy_jbiu2d2s_140_indiana","5910")</f>
        <v>5910</v>
      </c>
      <c r="F12" s="30" t="str">
        <f aca="false">HYPERLINK("https://abcmebli.com.ua/p8553-komod_kom4s-90_july","2370")</f>
        <v>2370</v>
      </c>
      <c r="G12" s="32" t="str">
        <f aca="false">HYPERLINK("https://abcmebli.com.ua/p15039-shkaf_platyanoy_szf3d2s_porto","5666")</f>
        <v>5666</v>
      </c>
      <c r="H12" s="32" t="str">
        <f aca="false">HYPERLINK("https://abcmebli.com.ua/p2225-komod_8-s_sonata","7060")</f>
        <v>7060</v>
      </c>
      <c r="I12" s="32" t="str">
        <f aca="false">HYPERLINK("https://abcmebli.com.ua/p14308-stol_pismenniy_biu_1d1s_120_kaspian","3671")</f>
        <v>3671</v>
      </c>
      <c r="J12" s="34" t="str">
        <f aca="false">HYPERLINK("https://abcmebli.com.ua/p15897-nepo_prihozhaya_ppk_gerbor","2160")</f>
        <v>2160</v>
      </c>
      <c r="K12" s="19" t="str">
        <f aca="false">HYPERLINK("https://abcmebli.com.ua/p15950-gostinaya_alyaska_brv-ukraina","9256")</f>
        <v>9256</v>
      </c>
      <c r="L12" s="19" t="str">
        <f aca="false">HYPERLINK("https://abcmebli.com.ua/p2515-stenka_kvatro_gerbor","3810")</f>
        <v>3810</v>
      </c>
      <c r="M12" s="32" t="str">
        <f aca="false">HYPERLINK("https://abcmebli.com.ua/p4993-komod_kom1w2d2s_9_15_vusher","5100")</f>
        <v>5100</v>
      </c>
      <c r="N12" s="32" t="str">
        <f aca="false">HYPERLINK("https://abcmebli.com.ua/p15847-german_komod_kom3s-9-12_brv","4867")</f>
        <v>4867</v>
      </c>
      <c r="O12" s="32" t="str">
        <f aca="false">HYPERLINK("https://abcmebli.com.ua/p16267-alisa_tumba_tv_rtv2s2k_gerbor","5550")</f>
        <v>5550</v>
      </c>
      <c r="P12" s="32" t="str">
        <f aca="false">HYPERLINK("https://abcmebli.com.ua/p15137-koen_mdf_komod_kom4s","4480")</f>
        <v>4480</v>
      </c>
    </row>
    <row r="13" customFormat="false" ht="56.25" hidden="false" customHeight="true" outlineLevel="0" collapsed="false">
      <c r="A13" s="78" t="s">
        <v>22</v>
      </c>
      <c r="B13" s="35" t="str">
        <f aca="false">HYPERLINK("https://www.mebelok.com/tymba-tv-rtv2d2s415-acteka/","3970")</f>
        <v>3970</v>
      </c>
      <c r="C13" s="30" t="str">
        <f aca="false">HYPERLINK("https://www.mebelok.com/komod-kom4s811-acteka/","4840")</f>
        <v>4840</v>
      </c>
      <c r="D13" s="30" t="str">
        <f aca="false">HYPERLINK("https://www.mebelok.com/komod-jkom-4s-80/","3891")</f>
        <v>3891</v>
      </c>
      <c r="E13" s="32" t="str">
        <f aca="false">HYPERLINK("https://www.mebelok.com/stol-pismennyy-jbiu-2d2s-140/","5911")</f>
        <v>5911</v>
      </c>
      <c r="F13" s="30" t="str">
        <f aca="false">HYPERLINK("https://www.mebelok.com/komod-kom-4s-90-juli/","2370")</f>
        <v>2370</v>
      </c>
      <c r="G13" s="30" t="str">
        <f aca="false">HYPERLINK("https://www.mebelok.com/shkaf-szf3d2s-porto/","5671")</f>
        <v>5671</v>
      </c>
      <c r="H13" s="32" t="str">
        <f aca="false">HYPERLINK("https://www.mebelok.com/komod-8s-sonata/","7060")</f>
        <v>7060</v>
      </c>
      <c r="I13" s="32" t="str">
        <f aca="false">HYPERLINK("https://www.mebelok.com/stol-pismennyy-biu1d1s-120-kaspian/","3530")</f>
        <v>3530</v>
      </c>
      <c r="J13" s="19" t="str">
        <f aca="false">HYPERLINK("https://www.mebelok.com/prihojaya-ppk-nepo/","2330")</f>
        <v>2330</v>
      </c>
      <c r="K13" s="36" t="str">
        <f aca="false">HYPERLINK("https://www.mebelok.com/gostinaya-alyaska/","7655")</f>
        <v>7655</v>
      </c>
      <c r="L13" s="30" t="str">
        <f aca="false">HYPERLINK("https://www.mebelok.com/gostinaya-kvatro","3810")</f>
        <v>3810</v>
      </c>
      <c r="M13" s="30" t="str">
        <f aca="false">HYPERLINK("https://www.mebelok.com/komod-kom-1w2d2s-vusher/","5100")</f>
        <v>5100</v>
      </c>
      <c r="N13" s="32" t="str">
        <f aca="false">HYPERLINK("https://www.mebelok.com/komod-kom3s-9-12/","4681")</f>
        <v>4681</v>
      </c>
      <c r="O13" s="30" t="str">
        <f aca="false">HYPERLINK("https://www.mebelok.com/tumba-tv-rtv2s2k-alisa/","5550")</f>
        <v>5550</v>
      </c>
      <c r="P13" s="32" t="str">
        <f aca="false">HYPERLINK("https://www.mebelok.com/koen-komod-kom4s-mdf/","4480")</f>
        <v>4480</v>
      </c>
    </row>
    <row r="14" customFormat="false" ht="48" hidden="false" customHeight="true" outlineLevel="0" collapsed="false">
      <c r="A14" s="78" t="s">
        <v>23</v>
      </c>
      <c r="B14" s="37" t="str">
        <f aca="false">HYPERLINK("https://maxmebel.com.ua/atsteka_tumba_rtv2d2s","3890")</f>
        <v>3890</v>
      </c>
      <c r="C14" s="27" t="str">
        <f aca="false">HYPERLINK("https://maxmebel.com.ua/atsteka_komod_kom4s-8-11","4760")</f>
        <v>4760</v>
      </c>
      <c r="D14" s="32" t="str">
        <f aca="false">HYPERLINK("https://maxmebel.com.ua/indiana_komod_jkom_4s_80","3890")</f>
        <v>3890</v>
      </c>
      <c r="E14" s="32" t="str">
        <f aca="false">HYPERLINK("https://maxmebel.com.ua/indiana_pismenniy_stol_jbiu_2d2s","5910")</f>
        <v>5910</v>
      </c>
      <c r="F14" s="32" t="str">
        <f aca="false">HYPERLINK("https://maxmebel.com.ua/dzhuli_komod_kom4s-90","2370")</f>
        <v>2370</v>
      </c>
      <c r="G14" s="32" t="str">
        <f aca="false">HYPERLINK("https://maxmebel.com.ua/porto_shkaf_platyanoy_szf3d2s","5666")</f>
        <v>5666</v>
      </c>
      <c r="H14" s="32" t="str">
        <f aca="false">HYPERLINK("https://maxmebel.com.ua/sonata_komod_8-s","6980")</f>
        <v>6980</v>
      </c>
      <c r="I14" s="32" t="str">
        <f aca="false">HYPERLINK("https://maxmebel.com.ua/kaspian_stol_pismenniy_biu_1d1s","3530")</f>
        <v>3530</v>
      </c>
      <c r="J14" s="27" t="str">
        <f aca="false">HYPERLINK("https://maxmebel.com.ua/nepo_prihozhaya_rrk","2290")</f>
        <v>2290</v>
      </c>
      <c r="K14" s="27" t="str">
        <f aca="false">HYPERLINK("https://maxmebel.com.ua/stenka_alyaska","7964")</f>
        <v>7964</v>
      </c>
      <c r="L14" s="34" t="str">
        <f aca="false">HYPERLINK("https://maxmebel.com.ua/stenka_kvatro","3730")</f>
        <v>3730</v>
      </c>
      <c r="M14" s="27" t="str">
        <f aca="false">HYPERLINK("https://maxmebel.com.ua/vusher_komod_kom_1w2d2s","5020")</f>
        <v>5020</v>
      </c>
      <c r="N14" s="32" t="str">
        <f aca="false">HYPERLINK("https://maxmebel.com.ua/german_komod_kon3s-9-12","4680")</f>
        <v>4680</v>
      </c>
      <c r="O14" s="92" t="s">
        <v>34</v>
      </c>
      <c r="P14" s="27" t="str">
        <f aca="false">HYPERLINK("https://maxmebel.com.ua/koen_komod_kom4s-mdf","4400")</f>
        <v>4400</v>
      </c>
    </row>
    <row r="15" customFormat="false" ht="39" hidden="false" customHeight="true" outlineLevel="0" collapsed="false">
      <c r="A15" s="78" t="s">
        <v>24</v>
      </c>
      <c r="B15" s="35" t="str">
        <f aca="false">HYPERLINK("https://moyamebel.com.ua/ua/products/tumba-rtv-atsteka","3970")</f>
        <v>3970</v>
      </c>
      <c r="C15" s="32" t="str">
        <f aca="false">HYPERLINK("https://moyamebel.com.ua/ua/products/komod-atsteka","4840")</f>
        <v>4840</v>
      </c>
      <c r="D15" s="32" t="str">
        <f aca="false">HYPERLINK("https://moyamebel.com.ua/ua/products/komod-4s-80-indiana","3890")</f>
        <v>3890</v>
      </c>
      <c r="E15" s="32" t="str">
        <f aca="false">HYPERLINK("https://moyamebel.com.ua/ua/products/stol-pismennyj-2d2s-indiana","5910")</f>
        <v>5910</v>
      </c>
      <c r="F15" s="32" t="str">
        <f aca="false">HYPERLINK("https://moyamebel.com.ua/ua/products/komod-dzhuli-90","2370")</f>
        <v>2370</v>
      </c>
      <c r="G15" s="32" t="str">
        <f aca="false">HYPERLINK("https://moyamebel.com.ua/ua/products/shkaf-3d2sporto","5666")</f>
        <v>5666</v>
      </c>
      <c r="H15" s="22" t="str">
        <f aca="false">HYPERLINK("https://moyamebel.com.ua/ua/products/komod-8s-sonata","7060")</f>
        <v>7060</v>
      </c>
      <c r="I15" s="19" t="str">
        <f aca="false">HYPERLINK("https://moyamebel.com.ua/ua/products/stol-pismennyj-120-kaspian","3530")</f>
        <v>3530</v>
      </c>
      <c r="J15" s="93"/>
      <c r="K15" s="27" t="str">
        <f aca="false">HYPERLINK("https://moyamebel.com.ua/ua/products/gostinaya-alyaska","7644")</f>
        <v>7644</v>
      </c>
      <c r="L15" s="30" t="str">
        <f aca="false">HYPERLINK("https://moyamebel.com.ua/ua/products/gostinaya-kvatro","3810")</f>
        <v>3810</v>
      </c>
      <c r="M15" s="32" t="str">
        <f aca="false">HYPERLINK("https://moyamebel.com.ua/ua/products/komod-1w2d2s-vusher","5100")</f>
        <v>5100</v>
      </c>
      <c r="N15" s="83" t="str">
        <f aca="false">HYPERLINK("","")</f>
        <v/>
      </c>
      <c r="O15" s="94" t="s">
        <v>34</v>
      </c>
      <c r="P15" s="94" t="s">
        <v>34</v>
      </c>
    </row>
    <row r="16" customFormat="false" ht="31.5" hidden="false" customHeight="true" outlineLevel="0" collapsed="false">
      <c r="A16" s="78" t="s">
        <v>35</v>
      </c>
      <c r="B16" s="35" t="str">
        <f aca="false">HYPERLINK("https://mebel-soyuz.com.ua/12896.html","3970")</f>
        <v>3970</v>
      </c>
      <c r="C16" s="32" t="str">
        <f aca="false">HYPERLINK("https://mebel-soyuz.com.ua/12903.html","4840")</f>
        <v>4840</v>
      </c>
      <c r="D16" s="32" t="str">
        <f aca="false">HYPERLINK("https://mebel-soyuz.com.ua/2266.html","3890")</f>
        <v>3890</v>
      </c>
      <c r="E16" s="32" t="str">
        <f aca="false">HYPERLINK("https://mebel-soyuz.com.ua/stol-pismennyj-jbiu-2d2s-140-indiana.html","5910")</f>
        <v>5910</v>
      </c>
      <c r="F16" s="32" t="str">
        <f aca="false">HYPERLINK("https://mebel-soyuz.com.ua/komod-kom-4s-90-dzhuli.html","2370")</f>
        <v>2370</v>
      </c>
      <c r="G16" s="32" t="str">
        <f aca="false">HYPERLINK("https://mebel-soyuz.com.ua/shkaf-szf3d2s-porto.html","5666")</f>
        <v>5666</v>
      </c>
      <c r="H16" s="32" t="str">
        <f aca="false">HYPERLINK("https://mebel-soyuz.com.ua/473.html","7060")</f>
        <v>7060</v>
      </c>
      <c r="I16" s="30" t="str">
        <f aca="false">HYPERLINK("https://mebel-soyuz.com.ua/8687.html","3530")</f>
        <v>3530</v>
      </c>
      <c r="J16" s="32" t="str">
        <f aca="false">HYPERLINK("https://mebel-soyuz.com.ua/8926.html","2330")</f>
        <v>2330</v>
      </c>
      <c r="K16" s="32" t="str">
        <f aca="false">HYPERLINK("https://mebel-soyuz.com.ua/10995.html","9080")</f>
        <v>9080</v>
      </c>
      <c r="L16" s="32" t="str">
        <f aca="false">HYPERLINK("https://mebel-soyuz.com.ua/gostinaya-kvatro.html","3810")</f>
        <v>3810</v>
      </c>
      <c r="M16" s="32" t="str">
        <f aca="false">HYPERLINK("https://mebel-soyuz.com.ua/3933.html","5100")</f>
        <v>5100</v>
      </c>
      <c r="N16" s="32" t="str">
        <f aca="false">HYPERLINK("https://mebel-soyuz.com.ua/komod-kom3s912-german.html","4680")</f>
        <v>4680</v>
      </c>
      <c r="O16" s="30" t="str">
        <f aca="false">HYPERLINK("https://mebel-soyuz.com.ua/komod-kom3s912-german.html","5550")</f>
        <v>5550</v>
      </c>
      <c r="P16" s="32" t="str">
        <f aca="false">HYPERLINK("https://mebel-soyuz.com.ua/komod-kom4s-koen-mdf.html","4480")</f>
        <v>4480</v>
      </c>
    </row>
    <row r="17" customFormat="false" ht="33.75" hidden="false" customHeight="true" outlineLevel="0" collapsed="false">
      <c r="A17" s="125" t="s">
        <v>36</v>
      </c>
      <c r="B17" s="97" t="str">
        <f aca="false">HYPERLINK("https://sofino.ua/brw-ukraina-tumba-rtv2d2s415-acteka/g-95393","3970")</f>
        <v>3970</v>
      </c>
      <c r="C17" s="22" t="str">
        <f aca="false">HYPERLINK("https://sofino.ua/brw-ukraina-komod-kom4s811-acteka/g-95386","4840")</f>
        <v>4840</v>
      </c>
      <c r="D17" s="22" t="str">
        <f aca="false">HYPERLINK("https://sofino.ua/brw-ukraina-komod-jkom4s80-indiana/g-40903","3890")</f>
        <v>3890</v>
      </c>
      <c r="E17" s="30" t="str">
        <f aca="false">HYPERLINK("https://sofino.ua/brw-ukraina-stol-pismennyjj-jbiu2d2s140-indiana/g-40899","5910")</f>
        <v>5910</v>
      </c>
      <c r="F17" s="30" t="str">
        <f aca="false">HYPERLINK("https://sofino.ua/brw-ukraina-komod-kom4s90-dzhuli-akacija-mali-bronz/g-40377","2370")</f>
        <v>2370</v>
      </c>
      <c r="G17" s="30" t="str">
        <f aca="false">HYPERLINK("https://sofino.ua/brw-ukraina-shkaf-platjanojj-szf3d2s-porto-dzhanni-sosna-lariko/g-264368","5666")</f>
        <v>5666</v>
      </c>
      <c r="H17" s="30" t="str">
        <f aca="false">HYPERLINK("https://sofino.ua/gerbor-komod-8s-sonata/g-19192","7060")</f>
        <v>7060</v>
      </c>
      <c r="I17" s="19" t="str">
        <f aca="false">HYPERLINK("https://sofino.ua/brw-ukraina-stol-pismennyjj-biu-1d1s-kaspian/g-264409","3530")</f>
        <v>3530</v>
      </c>
      <c r="J17" s="22" t="str">
        <f aca="false">HYPERLINK("https://sofino.ua/gerbor-prikhozhaja-ppk-nepo/g-287089","2330")</f>
        <v>2330</v>
      </c>
      <c r="K17" s="22" t="str">
        <f aca="false">HYPERLINK("https://sofino.ua/brw-ukraina-stenka-aljaska-belyjj-gljanec/g-454107","9080")</f>
        <v>9080</v>
      </c>
      <c r="L17" s="30" t="str">
        <f aca="false">HYPERLINK("https://sofino.ua/gerbor-stenka-s-podsvetkojj-kvatro/g-18955","3810")</f>
        <v>3810</v>
      </c>
      <c r="M17" s="30" t="str">
        <f aca="false">HYPERLINK("https://sofino.ua/gerbor-bufet-kom1w2d2s-s-podsvetkojj-vusher/g-176785","5100")</f>
        <v>5100</v>
      </c>
      <c r="N17" s="32" t="str">
        <f aca="false">HYPERLINK("https://sofino.ua/brw-ukraina-komod-kom3s912-german/g-599343","4680")</f>
        <v>4680</v>
      </c>
      <c r="O17" s="94" t="s">
        <v>34</v>
      </c>
      <c r="P17" s="32" t="str">
        <f aca="false">HYPERLINK("https://sofino.ua/gerbor-komod-kom4s-koen-mdf-venge-magija-shtroks-temnyjj/g-19366","4480")</f>
        <v>4480</v>
      </c>
    </row>
    <row r="18" customFormat="false" ht="54.75" hidden="false" customHeight="true" outlineLevel="0" collapsed="false">
      <c r="A18" s="78" t="s">
        <v>37</v>
      </c>
      <c r="B18" s="98" t="str">
        <f aca="false">HYPERLINK("","")</f>
        <v/>
      </c>
      <c r="C18" s="27" t="str">
        <f aca="false">HYPERLINK("https://www.brw-kiev.com.ua/catalog/mebel/azteca-komod-kom4s_8_11-000004816.html","4549")</f>
        <v>4549</v>
      </c>
      <c r="D18" s="27" t="str">
        <f aca="false">HYPERLINK("https://www.brw-kiev.com.ua/catalog/mebel/indiana-komod-jkom4s_80-000000261.html","3759")</f>
        <v>3759</v>
      </c>
      <c r="E18" s="27" t="str">
        <f aca="false">HYPERLINK("https://www.brw-kiev.com.ua/catalog/mebel/indiana-stil_pis_moviy-jbiu2d2s-000000254.html","5479")</f>
        <v>5479</v>
      </c>
      <c r="F18" s="27" t="str">
        <f aca="false">HYPERLINK("https://www.brw-kiev.com.ua/catalog/mebel/july-komod-kom4s_90-000005407.html","2229")</f>
        <v>2229</v>
      </c>
      <c r="G18" s="32" t="str">
        <f aca="false">HYPERLINK("https://www.brw-kiev.com.ua/catalog/mebel/porto-shafa-szf3d2s-000006440.html","5669")</f>
        <v>5669</v>
      </c>
      <c r="H18" s="99"/>
      <c r="I18" s="34" t="str">
        <f aca="false">HYPERLINK("https://www.brw-kiev.com.ua/catalog/mebel/kaspian-stil_pis_moviy-biu1d1s_120-000006188.html","3169")</f>
        <v>3169</v>
      </c>
      <c r="J18" s="34" t="str">
        <f aca="false">HYPERLINK("https://www.brw-kiev.com.ua/catalog/mebel/prihozhaya/nepo-peredpokiy-ppk-000006567.html?sphrase_id=84980","1959")</f>
        <v>1959</v>
      </c>
      <c r="K18" s="34" t="str">
        <f aca="false">HYPERLINK("https://www.brw-kiev.com.ua/catalog/mebel/gostinaya/stinki-vital_nya-alaska-000006901.html?sphrase_id=84981","7949")</f>
        <v>7949</v>
      </c>
      <c r="L18" s="83"/>
      <c r="M18" s="83"/>
      <c r="N18" s="83" t="str">
        <f aca="false">HYPERLINK("","")</f>
        <v/>
      </c>
      <c r="O18" s="94" t="s">
        <v>34</v>
      </c>
      <c r="P18" s="27" t="str">
        <f aca="false">HYPERLINK("https://www.brw-kiev.com.ua/catalog/mebel/gostinaya/koen-komod-kom4s-000003956.html","3939")</f>
        <v>3939</v>
      </c>
    </row>
    <row r="19" customFormat="false" ht="38.25" hidden="false" customHeight="true" outlineLevel="0" collapsed="false">
      <c r="A19" s="78" t="s">
        <v>25</v>
      </c>
      <c r="B19" s="100" t="n">
        <v>3970</v>
      </c>
      <c r="C19" s="82" t="n">
        <v>4840</v>
      </c>
      <c r="D19" s="82" t="n">
        <v>3890</v>
      </c>
      <c r="E19" s="82" t="n">
        <v>5910</v>
      </c>
      <c r="F19" s="82" t="n">
        <v>2370</v>
      </c>
      <c r="G19" s="19" t="str">
        <f aca="false">HYPERLINK("https://brw.kiev.ua/mebel-brw-ukraina/porto/shkaf-szf3d2s-porto-brv/","5666")</f>
        <v>5666</v>
      </c>
      <c r="H19" s="19" t="str">
        <f aca="false">HYPERLINK("https://brw.kiev.ua/mebel-gerbor/sonata/komod-8s-sonata-gerbor/","7060")</f>
        <v>7060</v>
      </c>
      <c r="I19" s="19" t="str">
        <f aca="false">HYPERLINK("https://brw.kiev.ua/mebel-brw-ukraina/kaspian-venge/stol-pismennyy-biu1d1s-kaspian-brv-venge/","3530")</f>
        <v>3530</v>
      </c>
      <c r="J19" s="19" t="str">
        <f aca="false">HYPERLINK("https://brw.kiev.ua/mebel-gerbor/nepo/prikhozhaya-ppk-nepo-gerbor/","2330")</f>
        <v>2330</v>
      </c>
      <c r="K19" s="19" t="str">
        <f aca="false">HYPERLINK("https://brw.kiev.ua/mebel-brw-ukraina/alaska/stenka-alaska-brv/","9080")</f>
        <v>9080</v>
      </c>
      <c r="L19" s="83"/>
      <c r="M19" s="19" t="str">
        <f aca="false">HYPERLINK("https://brw.kiev.ua/mebel-gerbor/vusher/komod-kom1w2d2s-vusher-gerbor/","5100")</f>
        <v>5100</v>
      </c>
      <c r="N19" s="19" t="str">
        <f aca="false">HYPERLINK("https://brw.kiev.ua/mebel-brw-ukraina/german/komod-kom3s-german-brv/","4680")</f>
        <v>4680</v>
      </c>
      <c r="O19" s="16" t="n">
        <v>5550</v>
      </c>
      <c r="P19" s="27" t="str">
        <f aca="false">HYPERLINK("https://brw.kiev.ua/mebel-gerbor/koen/komod-kom4s-koen-gerbor/","3890")</f>
        <v>3890</v>
      </c>
    </row>
    <row r="20" customFormat="false" ht="34.5" hidden="false" customHeight="true" outlineLevel="0" collapsed="false">
      <c r="A20" s="78" t="s">
        <v>38</v>
      </c>
      <c r="B20" s="37" t="str">
        <f aca="false">HYPERLINK("https://lvivmebli.com/13319/","3900")</f>
        <v>3900</v>
      </c>
      <c r="C20" s="27" t="str">
        <f aca="false">HYPERLINK("https://lvivmebli.com/13320/","4675")</f>
        <v>4675</v>
      </c>
      <c r="D20" s="32" t="str">
        <f aca="false">HYPERLINK("https://lvivmebli.com/5030/","4255")</f>
        <v>4255</v>
      </c>
      <c r="E20" s="32" t="str">
        <f aca="false">HYPERLINK("https://lvivmebli.com/5039/","5911")</f>
        <v>5911</v>
      </c>
      <c r="F20" s="36" t="str">
        <f aca="false">HYPERLINK("https://lvivmebli.com/11483/","2300")</f>
        <v>2300</v>
      </c>
      <c r="G20" s="32"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01" t="str">
        <f aca="false">HYPERLINK("http://centrmebliv.com.ua/modulni-mebli/brw-azteca/mebli-brw-brv-azteca-tumba-rtv2d2s?keyword=%D0%B0%D1%86%D1%82%D0%B5%D0%BA%D0%B0","3343")</f>
        <v>3343</v>
      </c>
      <c r="C21" s="36" t="str">
        <f aca="false">HYPERLINK("http://centrmebliv.com.ua/modulni-mebli/brw-azteca/mebli-brw-brv-azteca-komod-4s?keyword=%D0%B0%D1%86%D1%82%D0%B5%D0%BA%D0%B0","3924")</f>
        <v>3924</v>
      </c>
      <c r="D21" s="36" t="str">
        <f aca="false">HYPERLINK("http://centrmebliv.com.ua/mebli-dlya-spalni/komody/mebli-brw-brv-indiana-komod-jkom4s_80?keyword=%D1%96%D0%BD%D0%B4%D1%96%D0%B0%D0%BD%D0%B0","3562")</f>
        <v>3562</v>
      </c>
      <c r="E21" s="129" t="str">
        <f aca="false">HYPERLINK("http://centrmebliv.com.ua/modulni-mebli/brw-ukrayina-indiana/mebli-brw-brv-indiana-stil-pysmovyy-jbiu2d2s_140?keyword=%D1%96%D0%BD%D0%B4%D1%96%D0%B0%D0%BD%D0%B0","5158")</f>
        <v>5158</v>
      </c>
      <c r="F21" s="36" t="str">
        <f aca="false">HYPERLINK("http://centrmebliv.com.ua/spalni/komody/mebli-brw-brv-july-komod-kom4s/90?keyword=july","2098")</f>
        <v>2098</v>
      </c>
      <c r="G21" s="36" t="str">
        <f aca="false">HYPERLINK("http://centrmebliv.com.ua/modulni-mebli/brw-ukrayina-porto/mebli-brw-brv-porto-shafa-dlya-odyagu-sf3d2s?keyword=szf3d2s","5377")</f>
        <v>5377</v>
      </c>
      <c r="H21" s="36" t="str">
        <f aca="false">HYPERLINK("http://centrmebliv.com.ua/mebli-dlya-spalni/komody/mebli-gerbor-gerbor-s-015-sonata-_komod-8/s?keyword=%D1%81%D0%BE%D0%BD%D0%B0%D1%82%D0%B0","5683")</f>
        <v>5683</v>
      </c>
      <c r="I21" s="36" t="str">
        <f aca="false">HYPERLINK("http://centrmebliv.com.ua/ofisni-mebli/ofisni-stoly-vid-modulnyh-system/gerbor/brw-kaspian-stil-pysmovyy-biu-1d1s-120?keyword=%D0%BA%D0%B0%D1%81%D0%BF%D1%96%D0%B0%D0%BD","3002")</f>
        <v>3002</v>
      </c>
      <c r="J21" s="83"/>
      <c r="K21" s="83"/>
      <c r="L21" s="36" t="str">
        <f aca="false">HYPERLINK("http://centrmebliv.com.ua/mebli-dlya-vitalni/stinky/mebli-gerbor-gerbor-kvatro","3007")</f>
        <v>3007</v>
      </c>
      <c r="M21" s="36"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0" t="n">
        <v>3970</v>
      </c>
      <c r="C22" s="82" t="n">
        <v>4840</v>
      </c>
      <c r="D22" s="82" t="n">
        <v>3890</v>
      </c>
      <c r="E22" s="82" t="n">
        <v>5910</v>
      </c>
      <c r="F22" s="82" t="n">
        <v>2370</v>
      </c>
      <c r="G22" s="32" t="str">
        <f aca="false">HYPERLINK("https://letromebel.com.ua/p567177190-shkaf-szf3d2s-porto.html","5666")</f>
        <v>5666</v>
      </c>
      <c r="H22" s="83"/>
      <c r="I22" s="83"/>
      <c r="J22" s="104" t="str">
        <f aca="false">HYPERLINK("https://letromebel.com.ua/p441285622-prihozhaya-ppk-nepo.html","1963")</f>
        <v>1963</v>
      </c>
      <c r="K22" s="36" t="str">
        <f aca="false">HYPERLINK("https://letromebel.com.ua/p822866700-stenka-gostinuyu-alyaska.html","7644")</f>
        <v>7644</v>
      </c>
      <c r="L22" s="22" t="str">
        <f aca="false">HYPERLINK("https://letromebel.com.ua/p436378844-stenka-kvatro-venge.html","3810")</f>
        <v>3810</v>
      </c>
      <c r="M22" s="19" t="str">
        <f aca="false">HYPERLINK("https://letromebel.com.ua/p332640892-bufet-kom1w2d2s-vusher.html","5100")</f>
        <v>5100</v>
      </c>
      <c r="N22" s="32" t="str">
        <f aca="false">HYPERLINK("https://letromebel.com.ua/ua/p920135181-komod-german-kom3s912.html","4680")</f>
        <v>4680</v>
      </c>
      <c r="O22" s="19" t="str">
        <f aca="false">HYPERLINK("https://letromebel.com.ua/ua/p1053586927-tumba-alisa-rtv2s2k.html","5550")</f>
        <v>5550</v>
      </c>
      <c r="P22" s="36" t="str">
        <f aca="false">HYPERLINK("https://letromebel.com.ua/site_search/page_2?search_term=%D0%BA%D0%BE%D0%B5%D0%BD+%D0%BC%D0%B4%D1%84","4400")</f>
        <v>4400</v>
      </c>
    </row>
    <row r="23" customFormat="false" ht="27" hidden="false" customHeight="true" outlineLevel="0" collapsed="false">
      <c r="A23" s="78" t="s">
        <v>26</v>
      </c>
      <c r="B23" s="103" t="n">
        <v>3890</v>
      </c>
      <c r="C23" s="90" t="n">
        <v>4760</v>
      </c>
      <c r="D23" s="82" t="n">
        <v>3890</v>
      </c>
      <c r="E23" s="82" t="n">
        <v>5910</v>
      </c>
      <c r="F23" s="82" t="n">
        <v>2370</v>
      </c>
      <c r="G23" s="32" t="str">
        <f aca="false">HYPERLINK("https://shurup.net.ua/shkaf-szf3d2s-porto.p24169","5666")</f>
        <v>5666</v>
      </c>
      <c r="H23" s="27" t="str">
        <f aca="false">HYPERLINK("https://shurup.net.ua/komod-8s-sonata.p1034","6980")</f>
        <v>6980</v>
      </c>
      <c r="I23" s="34" t="str">
        <f aca="false">HYPERLINK("https://shurup.net.ua/stol-pismennyj-biu-1d1s-120-kaspian-dub-sonoma.p6492","3530")</f>
        <v>3530</v>
      </c>
      <c r="J23" s="27" t="str">
        <f aca="false">HYPERLINK("https://shurup.net.ua/prihozhaya-rrk-nepo.p13611","2290")</f>
        <v>2290</v>
      </c>
      <c r="K23" s="27" t="str">
        <f aca="false">HYPERLINK("https://shurup.net.ua/gostinaja-aljaska.p28551","8900")</f>
        <v>8900</v>
      </c>
      <c r="L23" s="32" t="str">
        <f aca="false">HYPERLINK("https://shurup.net.ua/gostinaya-kvatro-venge-magiya.p836","3810")</f>
        <v>3810</v>
      </c>
      <c r="M23" s="27" t="str">
        <f aca="false">HYPERLINK("https://shurup.net.ua/komod-kom1w2d2s-9-15-vusher.p1953","5020")</f>
        <v>5020</v>
      </c>
      <c r="N23" s="19" t="str">
        <f aca="false">HYPERLINK("https://shurup.net.ua/komod-kon3s64-german.p32275","4680")</f>
        <v>4680</v>
      </c>
      <c r="O23" s="94" t="s">
        <v>34</v>
      </c>
      <c r="P23" s="27" t="str">
        <f aca="false">HYPERLINK("https://shurup.net.ua/komod-kom4s-koen-mdf.p1194","4400")</f>
        <v>4400</v>
      </c>
      <c r="S23" s="42"/>
    </row>
    <row r="24" customFormat="false" ht="36.75" hidden="false" customHeight="true" outlineLevel="0" collapsed="false">
      <c r="A24" s="105" t="s">
        <v>41</v>
      </c>
      <c r="B24" s="98"/>
      <c r="C24" s="47"/>
      <c r="D24" s="47"/>
      <c r="E24" s="47"/>
      <c r="F24" s="47"/>
      <c r="G24" s="83"/>
      <c r="H24" s="83"/>
      <c r="I24" s="83"/>
      <c r="J24" s="44" t="str">
        <f aca="false">HYPERLINK("https://www.taburetka.ua/prihozhie-40/prihozhaya-ppk-nepo-2914","2230")</f>
        <v>2230</v>
      </c>
      <c r="K24" s="83"/>
      <c r="L24" s="27" t="str">
        <f aca="false">HYPERLINK("https://www.taburetka.ua/gostinye-600/gostinaya-kvatro-2834","3640")</f>
        <v>3640</v>
      </c>
      <c r="M24" s="27" t="str">
        <f aca="false">HYPERLINK("https://www.taburetka.ua/komody-i-tumby-35/komod-kom1w2d2s-vusher-2974","4857")</f>
        <v>4857</v>
      </c>
      <c r="N24" s="83" t="str">
        <f aca="false">HYPERLINK("","")</f>
        <v/>
      </c>
      <c r="O24" s="94" t="s">
        <v>34</v>
      </c>
      <c r="P24" s="36" t="str">
        <f aca="false">HYPERLINK("https://www.taburetka.ua/gostinye-600/modulnaya-sistema-koen-1347","4560")</f>
        <v>4560</v>
      </c>
    </row>
    <row r="25" customFormat="false" ht="37.5" hidden="false" customHeight="true" outlineLevel="0" collapsed="false">
      <c r="A25" s="106" t="s">
        <v>42</v>
      </c>
      <c r="B25" s="100" t="n">
        <v>3970</v>
      </c>
      <c r="C25" s="110" t="n">
        <v>4840</v>
      </c>
      <c r="D25" s="110" t="n">
        <v>3890</v>
      </c>
      <c r="E25" s="110" t="n">
        <v>5910</v>
      </c>
      <c r="F25" s="110" t="n">
        <v>2370</v>
      </c>
      <c r="G25" s="39" t="str">
        <f aca="false">HYPERLINK("http://www.maxidom.com.ua/shkaf-porto-porto-szf3d2s.html?search_string=%D8%EA%E0%F4+%CF%EE%F0%F2%EE+%28Porto%29+SZF3D2S","5666")</f>
        <v>5666</v>
      </c>
      <c r="H25" s="65" t="str">
        <f aca="false">HYPERLINK("http://www.maxidom.com.ua/komod-sonata-8s.html?search_string=%CA%EE%EC%EE%E4+%D1%EE%ED%E0%F2%E0+8s","7060")</f>
        <v>7060</v>
      </c>
      <c r="I25" s="39" t="str">
        <f aca="false">HYPERLINK("http://www.maxidom.com.ua/stol-pismenniy-biu-1d1s-kaspian-kaspian.html?search_string=%D1%F2%EE%EB+%EF%E8%F1%FC%EC%E5%ED%ED%FB%E9+BIU+1D1S+%CA%E0%F1%EF%E8%E0%ED+%28Kaspian%29","3530")</f>
        <v>3530</v>
      </c>
      <c r="J25" s="109" t="str">
        <f aca="false">HYPERLINK("http://www.maxidom.com.ua/prihozhaya-nepo-ppk.html?search_string=%CF%F0%E8%F5%EE%E6%E0%FF+%CD%E5%EF%EE+PPK","2290")</f>
        <v>2290</v>
      </c>
      <c r="K25" s="109" t="str">
        <f aca="false">HYPERLINK("http://www.maxidom.com.ua/stenka-alyaska.html?search_string=%D1%F2%E5%ED%EA%E0+%C0%EB%FF%F1%EA%E0","7644")</f>
        <v>7644</v>
      </c>
      <c r="L25" s="36" t="str">
        <f aca="false">HYPERLINK("http://www.maxidom.com.ua/stenka-kvatro.html?search_string=%D1%F2%E5%ED%EA%E0+%CA%E2%E0%F2%F0%EE","3730")</f>
        <v>3730</v>
      </c>
      <c r="M25" s="36" t="str">
        <f aca="false">HYPERLINK("http://www.maxidom.com.ua/komod-kom-1w2d2s-vusher.html?search_string=%CA%EE%EC%EE%E4+KOM+1W2D2S+%C2%F3%F8%E5%F0","5020")</f>
        <v>5020</v>
      </c>
      <c r="N25" s="19" t="str">
        <f aca="false">HYPERLINK("https://www.maxidom.com.ua/komod-german-kom3s912/","4680")</f>
        <v>4680</v>
      </c>
      <c r="O25" s="94" t="s">
        <v>34</v>
      </c>
      <c r="P25" s="19" t="str">
        <f aca="false">HYPERLINK("https://www.maxidom.com.ua/komod-kom4s-koen-mdf/","4480")</f>
        <v>4480</v>
      </c>
    </row>
    <row r="26" customFormat="false" ht="42" hidden="false" customHeight="true" outlineLevel="0" collapsed="false">
      <c r="A26" s="106" t="s">
        <v>27</v>
      </c>
      <c r="B26" s="103" t="n">
        <v>3890</v>
      </c>
      <c r="C26" s="115" t="n">
        <v>4760</v>
      </c>
      <c r="D26" s="82" t="n">
        <v>3890</v>
      </c>
      <c r="E26" s="110" t="n">
        <v>5910</v>
      </c>
      <c r="F26" s="110" t="n">
        <v>2370</v>
      </c>
      <c r="G26" s="39" t="str">
        <f aca="false">HYPERLINK("https://mebel-online.com.ua/shkaf-szf3d2s-porto?filter_name=SZF3D2S","5666")</f>
        <v>5666</v>
      </c>
      <c r="H26" s="65" t="str">
        <f aca="false">HYPERLINK("https://mebel-online.com.ua/p1728-gerbor_sonata_komod_8-s?filter_name=%D1%81%D0%BE%D0%BD%D0%B0%D1%82%D0%B0","6980")</f>
        <v>6980</v>
      </c>
      <c r="I26" s="111"/>
      <c r="J26" s="27" t="str">
        <f aca="false">HYPERLINK("https://mebel-online.com.ua/prihozhaya-gerbor-ppk-nepo?filter_name=%D0%BD%D0%B5%D0%BF%D0%BE","2290")</f>
        <v>2290</v>
      </c>
      <c r="K26" s="45" t="str">
        <f aca="false">HYPERLINK("https://mebel-online.com.ua/stenka-aliaska-brw%20?filter_name=%D0%B0%D0%BB%D1%8F%D1%81%D0%BA%D0%B0","7644")</f>
        <v>7644</v>
      </c>
      <c r="L26" s="19" t="str">
        <f aca="false">HYPERLINK("https://mebel-online.com.ua/stenka-kvatro-gerbor?filter_name=%D0%BA%D0%B2%D0%B0%D1%82%D1%80%D0%BE","3810")</f>
        <v>3810</v>
      </c>
      <c r="M26" s="27" t="str">
        <f aca="false">HYPERLINK("https://mebel-online.com.ua/komod-kom-1w2d2s-vusher-gerbor?filter_name=%D0%B2%D1%83%D1%88%D0%B5%D1%80","5020")</f>
        <v>5020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27" t="str">
        <f aca="false">HYPERLINK("https://mebelnuy.com.ua/tumba-pod-tv-rtv2d2s-4-15-acteka-brv?search=%D0%A2%D0%92%20%D0%90%D1%86%D1%82%D0%B5%D0%BA%D0%B0%20RTV2D2S&amp;description=true","3749")</f>
        <v>3749</v>
      </c>
      <c r="C27" s="27" t="str">
        <f aca="false">HYPERLINK("https://mebelnuy.com.ua/komod-kom4s-8-11-acteka-brv?search=%D0%90%D1%86%D1%82%D0%B5%D0%BA%D0%B0%20KOM4S%2F8%2F11&amp;description=true","4546")</f>
        <v>4546</v>
      </c>
      <c r="D27" s="27" t="str">
        <f aca="false">HYPERLINK("https://mebelnuy.com.ua/komod-jkom-4s-80-indiana-brv?search=%D0%98%D0%BD%D0%B4%D0%B8%D0%B0%D0%BD%D0%B0%20JKOM_4s&amp;description=true","3805")</f>
        <v>3805</v>
      </c>
      <c r="E27" s="27" t="str">
        <f aca="false">HYPERLINK("https://mebelnuy.com.ua/stol-pismennyj-jbiu-2d2s-140-indiana-brv?search=%D0%98%D0%BD%D0%B4%D0%B8%D0%B0%D0%BD%D0%B0%20JBIU_2d2s_140&amp;description=true","5473")</f>
        <v>5473</v>
      </c>
      <c r="F27" s="90" t="n">
        <v>2225</v>
      </c>
      <c r="G27" s="32" t="str">
        <f aca="false">HYPERLINK("https://mebelnuy.com.ua/shkaf-szf3d2s-porto-brv?search=%D0%9F%D0%BE%D1%80%D1%82%D0%BE%20SZF3D2S&amp;description=true","5666")</f>
        <v>5666</v>
      </c>
      <c r="H27" s="19" t="str">
        <f aca="false">HYPERLINK("https://mebelnuy.com.ua/komod-gerbor-sonata-8-s?search=%D0%A1%D0%BE%D0%BD%D0%B0%D1%82%D0%B0%208%2Fs&amp;description=true","7329")</f>
        <v>7329</v>
      </c>
      <c r="I27" s="83" t="str">
        <f aca="false">HYPERLINK("","")</f>
        <v/>
      </c>
      <c r="J27" s="19" t="str">
        <f aca="false">HYPERLINK("https://mebelnuy.com.ua/prihozhaya-gerbor-nepo-ppk","2404")</f>
        <v>2404</v>
      </c>
      <c r="K27" s="27" t="str">
        <f aca="false">HYPERLINK("https://mebelnuy.com.ua/gostinaya-alyaska-brv?search=%D0%90%D0%BB%D1%8F%D1%81%D0%BA%D0%B0%20%D0%B3%D0%BE%D1%81%D1%82%D0%B8%D0%BD%D0%B0%D1%8F&amp;description=true","8014")</f>
        <v>8014</v>
      </c>
      <c r="L27" s="19" t="str">
        <f aca="false">HYPERLINK("https://mebelnuy.com.ua/gostinaya-gerbor-kvatro-venge-magiya?search=%D0%BA%D0%B2%D0%B0%D1%82%D1%80%D0%BE&amp;description=true","3916")</f>
        <v>3916</v>
      </c>
      <c r="M27" s="19" t="str">
        <f aca="false">HYPERLINK("https://mebelnuy.com.ua/komod-gerbor-vusher-kom-1w2d2s?search=%D0%92%D1%83%D1%88%D0%B5%D1%80%20KOM%201W2D2S&amp;description=true","5271")</f>
        <v>5271</v>
      </c>
      <c r="N27" s="27" t="str">
        <f aca="false">HYPERLINK("https://mebelnuy.com.ua/komod-german-115-brv?search=%D0%93%D0%95%D0%A0%D0%9C%D0%90%D0%9D&amp;description=true","4233")</f>
        <v>4233</v>
      </c>
      <c r="O27" s="19" t="str">
        <f aca="false">HYPERLINK("https://mebelnuy.com.ua/tumba-gerbor-alisa-rtv2s2k?search=%D0%B0%D0%BB%D0%B8%D1%81%D0%B0&amp;description=true","5785")</f>
        <v>5785</v>
      </c>
      <c r="P27" s="19" t="str">
        <f aca="false">HYPERLINK("https://mebelnuy.com.ua/komod-gerbor-koen-kom4s-mdf?search=%D0%BA%D0%BE%D0%B5%D0%BD%20%D0%BC%D0%B4%D1%84&amp;description=true","4620")</f>
        <v>4620</v>
      </c>
    </row>
    <row r="28" customFormat="false" ht="36.75" hidden="false" customHeight="true" outlineLevel="0" collapsed="false">
      <c r="A28" s="91" t="s">
        <v>44</v>
      </c>
      <c r="B28" s="90" t="n">
        <v>3890</v>
      </c>
      <c r="C28" s="90" t="n">
        <v>4760</v>
      </c>
      <c r="D28" s="82" t="n">
        <v>3890</v>
      </c>
      <c r="E28" s="82" t="n">
        <v>5910</v>
      </c>
      <c r="F28" s="82" t="n">
        <v>2370</v>
      </c>
      <c r="G28" s="32" t="str">
        <f aca="false">HYPERLINK("https://amado.com.ua/detskaya/shkafy-i-penaly-dlya-detskoj/porto-shkaf-platyanoj-szf3d2s-brw","5666")</f>
        <v>5666</v>
      </c>
      <c r="H28" s="27" t="str">
        <f aca="false">HYPERLINK("https://amado.com.ua/gostinaya/komody-i-tumby-v-gostinuyu/sonata-komod-8-s-gerbor","6980")</f>
        <v>6980</v>
      </c>
      <c r="I28" s="32" t="str">
        <f aca="false">HYPERLINK("https://amado.com.ua/gostinaya/kaspian-sonoma-stol-pismennyj-biu-1d1s-brw","3530")</f>
        <v>3530</v>
      </c>
      <c r="J28" s="27" t="str">
        <f aca="false">HYPERLINK("https://amado.com.ua/prihozhaya/prihozhie-celnye/nepo-prihozhaya-ppk-gerbor","2290")</f>
        <v>2290</v>
      </c>
      <c r="K28" s="27" t="str">
        <f aca="false">HYPERLINK("https://amado.com.ua/gostinaya/modulnye-gostinye/gostinaya-alyaska-gerbor","8900")</f>
        <v>8900</v>
      </c>
      <c r="L28" s="27" t="str">
        <f aca="false">HYPERLINK("https://amado.com.ua/gostinaya/modulnye-gostinye/gostinaya-kvatro-gerbor","3730")</f>
        <v>3730</v>
      </c>
      <c r="M28" s="27" t="str">
        <f aca="false">HYPERLINK("https://amado.com.ua/gostinaya/komody-i-tumby-v-gostinuyu/vusher-komod-kom-1w2d2s-gerbor","5020")</f>
        <v>5020</v>
      </c>
      <c r="N28" s="19"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116"/>
      <c r="B30" s="117" t="s">
        <v>45</v>
      </c>
      <c r="C30" s="117" t="s">
        <v>46</v>
      </c>
      <c r="D30" s="117" t="s">
        <v>47</v>
      </c>
      <c r="E30" s="117" t="s">
        <v>48</v>
      </c>
      <c r="F30" s="117" t="s">
        <v>49</v>
      </c>
      <c r="G30" s="117" t="s">
        <v>50</v>
      </c>
      <c r="H30" s="117" t="s">
        <v>51</v>
      </c>
      <c r="I30" s="117" t="s">
        <v>52</v>
      </c>
      <c r="J30" s="117" t="s">
        <v>53</v>
      </c>
      <c r="K30" s="117" t="s">
        <v>54</v>
      </c>
      <c r="L30" s="117" t="s">
        <v>55</v>
      </c>
      <c r="M30" s="117" t="s">
        <v>56</v>
      </c>
      <c r="N30" s="117" t="s">
        <v>57</v>
      </c>
      <c r="O30" s="117" t="s">
        <v>58</v>
      </c>
      <c r="P30" s="117" t="s">
        <v>59</v>
      </c>
      <c r="T30" s="118"/>
      <c r="U30" s="118"/>
      <c r="V30" s="118"/>
      <c r="W30" s="118"/>
      <c r="X30" s="118"/>
      <c r="Y30" s="118"/>
    </row>
    <row r="31" customFormat="false" ht="15.75" hidden="false" customHeight="true" outlineLevel="0" collapsed="false">
      <c r="A31" s="91" t="s">
        <v>60</v>
      </c>
      <c r="B31" s="119" t="str">
        <f aca="false">HYPERLINK("https://epicentrk.ua/ua/shop/hubr-tumba-prikrovatnaya-brw-atsteka-kom2s-4-5-belyy-glyanets-8003916.html","1967")</f>
        <v>1967</v>
      </c>
      <c r="C31" s="119" t="str">
        <f aca="false">HYPERLINK("https://epicentrk.ua/ua/shop/hubr-komod-home-ua-brw-black-red-white-zlata-kom2d3s-86kh41kh135-sm-dub-takho-belyy-glyanets-8004551.html","3090")</f>
        <v>3090</v>
      </c>
      <c r="D31" s="120" t="str">
        <f aca="false">HYPERLINK("https://epicentrk.ua/ua/shop/hubr-tumba-prikrovatnaya-brw-indiana-jkom-1s-50-sosna-kanon-8004034.html","1510")</f>
        <v>1510</v>
      </c>
      <c r="E31" s="120" t="str">
        <f aca="false">HYPERLINK("https://epicentrk.ua/ua/shop/hubr-veshalka-home-ua-brw-black-red-white-kristina-wie-60-152kh24kh66-sm-belyy-glyanets-8004512.html","1234")</f>
        <v>1234</v>
      </c>
      <c r="F31" s="120" t="str">
        <f aca="false">HYPERLINK("https://epicentrk.ua/ua/shop/hubr-prikhozhaya-home-ua-brw-black-red-white-porto-ppk-189kh95-5kh39-5-sm-dzhanni-sosna-larik-8003795.html","3823")</f>
        <v>3823</v>
      </c>
      <c r="G31" s="119" t="str">
        <f aca="false">HYPERLINK("https://epicentrk.ua/ua/shop/hubr-komod-brw-kaspian-kom-1d1sp-dub-sonoma-8004075.html","1572")</f>
        <v>1572</v>
      </c>
      <c r="H31" s="119" t="str">
        <f aca="false">HYPERLINK("https://epicentrk.ua/ua/shop/hubr-stol-pismennyy-home-ua-brw-black-red-white-markus-biu-1d1s-1200kh755kh560-mm-dzhanni-8005038.html","2528")</f>
        <v>2528</v>
      </c>
      <c r="I31" s="120" t="str">
        <f aca="false">HYPERLINK("https://epicentrk.ua/ua/shop/hubr-komod-gerbor-tina-sosna-kanon-dub-sonoma-tryufel-kom4s1d.html","4230")</f>
        <v>4230</v>
      </c>
      <c r="J31" s="120" t="str">
        <f aca="false">HYPERLINK("https://epicentrk.ua/ua/shop/hubr-komod-home-ua-brw-black-red-white-markus-kom-4s-11-91kh38kh106-5-sm-dzhanni-8004912.html","3960")</f>
        <v>3960</v>
      </c>
      <c r="K31" s="120" t="str">
        <f aca="false">HYPERLINK("https://epicentrk.ua/ua/shop/hubr-tumba-prikrovatnaya-brw-loren-kom-1s-akatsiya-mali-bronza-8004104.html","1197")</f>
        <v>1197</v>
      </c>
      <c r="L31" s="120" t="str">
        <f aca="false">HYPERLINK("https://epicentrk.ua/ua/shop/hubr-komod-gerbor-vusher-belyy-glyanets-kom1d4sl-p.html","3620")</f>
        <v>3620</v>
      </c>
      <c r="M31" s="120" t="str">
        <f aca="false">HYPERLINK("https://epicentrk.ua/ua/shop/hubr-komod-gerbor-marsel-yasen-snezhnyy-kom4s.html","6230")</f>
        <v>6230</v>
      </c>
      <c r="N31" s="120" t="str">
        <f aca="false">HYPERLINK("https://epicentrk.ua/ua/shop/vitrina-venge.html","4439")</f>
        <v>4439</v>
      </c>
      <c r="O31" s="120" t="str">
        <f aca="false">HYPERLINK("https://epicentrk.ua/ua/shop/hubr-komod-gerbor-open-orekh-kaliforniyskiy-kom4s.html","2330")</f>
        <v>2330</v>
      </c>
      <c r="P31" s="120" t="str">
        <f aca="false">HYPERLINK("https://epicentrk.ua/ua/shop/hubr-komod-gerbor-graf-orekh-kom3d3s.html","5790")</f>
        <v>5790</v>
      </c>
    </row>
    <row r="32" customFormat="false" ht="15.75" hidden="false" customHeight="true" outlineLevel="0" collapsed="false">
      <c r="A32" s="112"/>
      <c r="B32" s="113"/>
      <c r="C32" s="114"/>
      <c r="D32" s="114"/>
      <c r="E32" s="114"/>
      <c r="F32" s="114"/>
      <c r="G32" s="114"/>
      <c r="H32" s="114"/>
      <c r="I32" s="114"/>
      <c r="J32" s="114"/>
      <c r="K32" s="114"/>
      <c r="L32" s="114"/>
      <c r="M32" s="114"/>
      <c r="N32" s="114"/>
      <c r="O32" s="114"/>
      <c r="P32" s="114"/>
      <c r="Q32" s="112"/>
      <c r="R32" s="112"/>
      <c r="S32" s="112"/>
      <c r="T32" s="112"/>
      <c r="U32" s="112"/>
      <c r="V32" s="112"/>
      <c r="W32" s="112"/>
      <c r="X32" s="112"/>
      <c r="Y32" s="112"/>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74"/>
      <c r="B35" s="75"/>
      <c r="C35" s="76"/>
      <c r="D35" s="76"/>
      <c r="E35" s="76"/>
      <c r="F35" s="76"/>
      <c r="G35" s="76"/>
      <c r="H35" s="76"/>
      <c r="I35" s="76"/>
      <c r="J35" s="76"/>
      <c r="K35" s="76"/>
      <c r="L35" s="76"/>
      <c r="M35" s="76"/>
      <c r="N35" s="76"/>
      <c r="O35" s="76"/>
      <c r="P35" s="76"/>
    </row>
    <row r="36" customFormat="false" ht="15.75" hidden="false" customHeight="true" outlineLevel="0" collapsed="false">
      <c r="A36" s="74"/>
      <c r="B36" s="75"/>
      <c r="C36" s="76"/>
      <c r="D36" s="76"/>
      <c r="E36" s="76"/>
      <c r="F36" s="76"/>
      <c r="G36" s="76"/>
      <c r="H36" s="76"/>
      <c r="I36" s="76"/>
      <c r="J36" s="76"/>
      <c r="K36" s="76"/>
      <c r="L36" s="76"/>
      <c r="M36" s="76"/>
      <c r="N36" s="76"/>
      <c r="O36" s="76"/>
      <c r="P36" s="76"/>
    </row>
    <row r="37" customFormat="false" ht="15.75" hidden="false" customHeight="true" outlineLevel="0" collapsed="false">
      <c r="A37" s="74"/>
      <c r="B37" s="75"/>
      <c r="C37" s="76"/>
      <c r="D37" s="76"/>
      <c r="E37" s="76"/>
      <c r="F37" s="76"/>
      <c r="G37" s="76"/>
      <c r="H37" s="76"/>
      <c r="I37" s="76"/>
      <c r="J37" s="76"/>
      <c r="K37" s="76"/>
      <c r="L37" s="76"/>
      <c r="M37" s="76"/>
      <c r="N37" s="76"/>
      <c r="O37" s="76"/>
      <c r="P37" s="76"/>
    </row>
    <row r="38" customFormat="false" ht="15.75" hidden="false" customHeight="true" outlineLevel="0" collapsed="false">
      <c r="A38" s="74"/>
      <c r="B38" s="75"/>
      <c r="C38" s="76"/>
      <c r="D38" s="76"/>
      <c r="E38" s="76"/>
      <c r="F38" s="76"/>
      <c r="G38" s="76"/>
      <c r="H38" s="76"/>
      <c r="I38" s="76"/>
      <c r="J38" s="76"/>
      <c r="K38" s="76"/>
      <c r="L38" s="76"/>
      <c r="M38" s="76"/>
      <c r="N38" s="76"/>
      <c r="O38" s="76"/>
      <c r="P38" s="76"/>
    </row>
    <row r="39" customFormat="false" ht="15.75" hidden="false" customHeight="true" outlineLevel="0" collapsed="false">
      <c r="A39" s="74"/>
      <c r="B39" s="75"/>
      <c r="C39" s="76"/>
      <c r="D39" s="76"/>
      <c r="E39" s="76"/>
      <c r="F39" s="76"/>
      <c r="G39" s="76"/>
      <c r="H39" s="76"/>
      <c r="I39" s="76"/>
      <c r="J39" s="76"/>
      <c r="K39" s="76"/>
      <c r="L39" s="76"/>
      <c r="M39" s="76"/>
      <c r="N39" s="76"/>
      <c r="O39" s="76"/>
      <c r="P39" s="76"/>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A4" r:id="rId7" display="http://redlight.com.ua/"/>
    <hyperlink ref="A5" r:id="rId8" display="https://mebli-bristol.com.ua/"/>
    <hyperlink ref="A6" r:id="rId9" display="http://gerbor.kiev.ua/"/>
    <hyperlink ref="A7" r:id="rId10" display="http://www.brwland.com.ua/"/>
    <hyperlink ref="A8" r:id="rId11" display="http://gerbor.dp.ua/"/>
    <hyperlink ref="A9" r:id="rId12" display="https://www.dybok.com.ua/"/>
    <hyperlink ref="D9" r:id="rId13" display="https://www.dybok.com.ua/ru/product/detail/55516"/>
    <hyperlink ref="J9" r:id="rId14" display="https://www.dybok.com.ua/ru/product/detail/18085"/>
    <hyperlink ref="A10" r:id="rId15" display="https://vashamebel.in.ua/"/>
    <hyperlink ref="I10" r:id="rId16" display="0 грн"/>
    <hyperlink ref="A11" r:id="rId17" display="http://mebel-mebel.com.ua/"/>
    <hyperlink ref="A12" r:id="rId18" display="http://abcmebli.com.ua"/>
    <hyperlink ref="A13" r:id="rId19" display="https://gerbor.mebelok.com/"/>
    <hyperlink ref="A14" r:id="rId20" display="http://maxmebel.com.ua/"/>
    <hyperlink ref="A15" r:id="rId21" display="https://moyamebel.com.ua/ua"/>
    <hyperlink ref="A16" r:id="rId22" display="https://mebel-soyuz.com.ua/"/>
    <hyperlink ref="A17" r:id="rId23" display="https://sofino.ua/"/>
    <hyperlink ref="A18" r:id="rId24" display="https://www.brw-kiev.com.ua/"/>
    <hyperlink ref="A19" r:id="rId25" display="https://brw.kiev.ua/"/>
    <hyperlink ref="B19" r:id="rId26" display="https://brw.kiev.ua/mebel-brw-ukraina/azteca/tumba-tv-rtv2d2s-azteca-brv/"/>
    <hyperlink ref="C19" r:id="rId27" display="https://brw.kiev.ua/mebel-brw-ukraina/azteca/komod-kom4s-azteca-brv/"/>
    <hyperlink ref="D19" r:id="rId28" display="https://brw.kiev.ua/mebel-brw-ukraina/indiana-kanjon/komod-jkom4s80-indiana-brv-kanjon/"/>
    <hyperlink ref="E19" r:id="rId29" display="https://brw.kiev.ua/mebel-brw-ukraina/indiana-shutter/stol-pismennyy-jbiu2d2s140-indiana-brv-shutter/"/>
    <hyperlink ref="F19" r:id="rId30" display="https://brw.kiev.ua/mebel-brw-ukraina/july/komod-kom4s90-july-brv/"/>
    <hyperlink ref="O19" r:id="rId31" display="https://brw.kiev.ua/mebel-gerbor/alisa/tumba-tv-rtv2s2k-alisa-gerbor/"/>
    <hyperlink ref="A20" r:id="rId32" display="https://lvivmebli.com/"/>
    <hyperlink ref="A21" r:id="rId33" display="http://centrmebliv.com.ua/"/>
    <hyperlink ref="A22" r:id="rId34" display="https://letromebel.com.ua/"/>
    <hyperlink ref="B22" r:id="rId35" display="https://letromebel.com.ua/p566111870-tumba-rtv2d2s415-atsteka.html"/>
    <hyperlink ref="C22" r:id="rId36" display="https://letromebel.com.ua/p566126810-komod-kom4s811-atsteka.html"/>
    <hyperlink ref="D22" r:id="rId37" display="https://letromebel.com.ua/p566921861-komod-jkom4s80-indiana.html"/>
    <hyperlink ref="E22" r:id="rId38" display="https://letromebel.com.ua/p566921329-stol-pismennyj-jbiu2d2s140.html"/>
    <hyperlink ref="F22" r:id="rId39" display="https://letromebel.com.ua/p445989920-komod-kom-dzhuli.html"/>
    <hyperlink ref="A23" r:id="rId40" display="https://shurup.net.ua/"/>
    <hyperlink ref="B23" r:id="rId41" display="https://shurup.net.ua/azteca-acteka-tumba-rtv2d2s415.p17205"/>
    <hyperlink ref="C23" r:id="rId42" display="https://shurup.net.ua/azteca-acteka-komod-kom4s811.p17200"/>
    <hyperlink ref="D23" r:id="rId43" display="https://shurup.net.ua/komod-jkom-4s80-indiana-sosna-kanon.p9412"/>
    <hyperlink ref="E23" r:id="rId44" display="https://shurup.net.ua/stol-pismennyj-jbiu-2d2s-140-indiana-dub-shutter.p5488"/>
    <hyperlink ref="F23" r:id="rId45" display="https://shurup.net.ua/komod-kom-4s-90-dzhuli.p7011"/>
    <hyperlink ref="A24" r:id="rId46" display="https://www.taburetka.ua"/>
    <hyperlink ref="A25" r:id="rId47" display="http://www.maxidom.com.ua/"/>
    <hyperlink ref="B25" r:id="rId48" display="http://www.maxidom.com.ua/tumba-rtv-atsteka-2d2s415.html?search_string=%D2%F3%EC%E1%E0+%D0%D2%C2+%C0%F6%F2%E5%EA%E0+2D2S%2F4%2F15"/>
    <hyperlink ref="C25" r:id="rId49" display="http://www.maxidom.com.ua/komod-atsteka-kom4s811.html?search_string=%CA%EE%EC%EE%E4+%C0%F6%F2%E5%EA%E0+KOM4S%2F8%2F11"/>
    <hyperlink ref="D25" r:id="rId50" display="http://www.maxidom.com.ua/komod_indiana_jkom4s80.html?search_string=%CA%EE%EC%EE%E4+%C8%ED%E4%E8%E0%ED%E0+JKOM4s%2F80"/>
    <hyperlink ref="E25" r:id="rId51" display="http://www.maxidom.com.ua/stol_pismenniy_indiana_jbiu2d2s.html?search_string=%D1%F2%EE%EB+%EF%E8%F1%FC%EC%E5%ED%ED%FB%E9+%C8%ED%E4%E8%E0%ED%E0+JBIU2d2s"/>
    <hyperlink ref="F25" r:id="rId52" display="http://www.maxidom.com.ua/komod-kom4s90-dzhuli.html?search_string=%CA%EE%EC%EE%E4+KOM4S%2F90+%C4%E6%F3%EB%E8"/>
    <hyperlink ref="A26" r:id="rId53" display="https://mebel-online.com.ua"/>
    <hyperlink ref="B26" r:id="rId54" display="https://mebel-online.com.ua/tymba-rtv2d2s-4-15-azteca?filter_name=azteca"/>
    <hyperlink ref="C26" r:id="rId55" display="https://mebel-online.com.ua/komod-kom4s-8-11-azteca?filter_name=azteca"/>
    <hyperlink ref="D26" r:id="rId56" display="https://mebel-online.com.ua/p5228-komod_jkom_4s_80_indiana_brw?filter_name=%D0%B8%D0%BD%D0%B4%D0%B8%D0%B0%D0%BD%D0%B0"/>
    <hyperlink ref="E26" r:id="rId57" display="https://mebel-online.com.ua/p5223-stol_pismenniy_jbiu_2d2s_140_indiana_brw?filter_name=%D0%B8%D0%BD%D0%B4%D0%B8%D0%B0%D0%BD%D0%B0"/>
    <hyperlink ref="F26" r:id="rId58" display="https://mebel-online.com.ua/komod-kom4s-90-july?filter_name=july"/>
    <hyperlink ref="A27" r:id="rId59" display="https://mebelnuy.com.ua/"/>
    <hyperlink ref="F27" r:id="rId60" display="https://mebelnuy.com.ua/komod-kom4s-90-dzhuli-brv?search=%D0%94%D0%96%D0%A3%D0%9B%D0%98%20KOM4S%2F90&amp;description=true"/>
    <hyperlink ref="A28" r:id="rId61" display="https://amado.com.ua"/>
    <hyperlink ref="B28" r:id="rId62" display="https://amado.com.ua/gostinaya/komody-i-tumby-v-gostinuyu/acteka-tumba-rtv2d2s-4-15-brw"/>
    <hyperlink ref="C28" r:id="rId63" display="https://amado.com.ua/gostinaya/komody-i-tumby-v-gostinuyu/acteka-komod-kom4s-8-11-brw"/>
    <hyperlink ref="D28" r:id="rId64" display="https://amado.com.ua/detskaya/komody-i-tumby-dlya-detskoj/indiana-komod-jkom-4s-80-sosna-kanon-brw"/>
    <hyperlink ref="E28" r:id="rId65" display="https://amado.com.ua/detskaya/stoly-i-nadstrojki/indiana-stol-pismennyj-jbiu-2d2s-140-sosna-kanon-brw"/>
    <hyperlink ref="F28" r:id="rId66" display="https://amado.com.ua/gostinaya/komody-i-tumby-v-gostinuyu/dzhuli-komod-kom4s-90-brw"/>
    <hyperlink ref="A31" r:id="rId67" display="https://epicentrk.ua/u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30" t="s">
        <v>1</v>
      </c>
      <c r="C1" s="130" t="s">
        <v>2</v>
      </c>
      <c r="D1" s="130" t="s">
        <v>3</v>
      </c>
      <c r="E1" s="130" t="s">
        <v>4</v>
      </c>
      <c r="F1" s="131" t="s">
        <v>5</v>
      </c>
      <c r="G1" s="131" t="s">
        <v>6</v>
      </c>
      <c r="H1" s="131" t="s">
        <v>7</v>
      </c>
      <c r="I1" s="131" t="s">
        <v>8</v>
      </c>
      <c r="J1" s="124" t="s">
        <v>9</v>
      </c>
      <c r="K1" s="124" t="s">
        <v>15</v>
      </c>
      <c r="L1" s="123" t="s">
        <v>10</v>
      </c>
      <c r="M1" s="124" t="s">
        <v>11</v>
      </c>
      <c r="N1" s="124" t="s">
        <v>12</v>
      </c>
      <c r="O1" s="124" t="s">
        <v>13</v>
      </c>
      <c r="P1" s="124" t="s">
        <v>14</v>
      </c>
    </row>
    <row r="2" customFormat="false" ht="40.5" hidden="false" customHeight="true" outlineLevel="0" collapsed="false">
      <c r="A2" s="5" t="s">
        <v>16</v>
      </c>
      <c r="B2" s="6" t="n">
        <v>3890</v>
      </c>
      <c r="C2" s="7" t="n">
        <v>4760</v>
      </c>
      <c r="D2" s="7" t="n">
        <v>3890</v>
      </c>
      <c r="E2" s="7" t="n">
        <v>5910</v>
      </c>
      <c r="F2" s="8" t="n">
        <v>2370</v>
      </c>
      <c r="G2" s="8" t="n">
        <v>5666</v>
      </c>
      <c r="H2" s="8" t="n">
        <v>6980</v>
      </c>
      <c r="I2" s="8" t="n">
        <v>3530</v>
      </c>
      <c r="J2" s="10" t="n">
        <v>2290</v>
      </c>
      <c r="K2" s="10" t="n">
        <v>8900</v>
      </c>
      <c r="L2" s="10" t="n">
        <v>3730</v>
      </c>
      <c r="M2" s="10" t="n">
        <v>5020</v>
      </c>
      <c r="N2" s="10" t="n">
        <v>4680</v>
      </c>
      <c r="O2" s="10" t="n">
        <v>5510</v>
      </c>
      <c r="P2" s="10" t="n">
        <v>4400</v>
      </c>
    </row>
    <row r="3" customFormat="false" ht="48" hidden="false" customHeight="true" outlineLevel="0" collapsed="false">
      <c r="A3" s="78" t="s">
        <v>28</v>
      </c>
      <c r="B3" s="79" t="str">
        <f aca="false">HYPERLINK("https://brwmania.com.ua/gostinaja/modulnye-gostinye/sistema-azteka/tumba-pod-tv-acteka-rtv2d2s415/","3890")</f>
        <v>3890</v>
      </c>
      <c r="C3" s="80" t="str">
        <f aca="false">HYPERLINK("https://brwmania.com.ua/gostinaja/modulnye-gostinye/sistema-azteka/komod-acteka-kom4s811/","4760")</f>
        <v>4760</v>
      </c>
      <c r="D3" s="80" t="str">
        <f aca="false">HYPERLINK("https://brwmania.com.ua/gostinaja/modulnye-gostinye/sistema-indiana-indiana---dub-shuter/indiana-dub-shuter-laminat-j-011-komod-jkom-4s-80/","3890")</f>
        <v>3890</v>
      </c>
      <c r="E3" s="80" t="str">
        <f aca="false">HYPERLINK("https://brwmania.com.ua/gostinaja/modulnye-gostinye/sistema-indiana-indiana---dub-shuter/indiana-dub-shuter-laminat-j-007-stol-pismennyy-jbiu-2d2s-140/","5910")</f>
        <v>5910</v>
      </c>
      <c r="F3" s="80" t="str">
        <f aca="false">HYPERLINK("https://brwmania.com.ua/gostinaja/modulnye-gostinye/sistema_dzhuli/komod-dzhuli-july-kom4s-90/","2370")</f>
        <v>2370</v>
      </c>
      <c r="G3" s="80" t="str">
        <f aca="false">HYPERLINK("https://brwmania.com.ua/gostinaja/modulnye-gostinye/tovar-novij/shkaf-platjanoj-porto-szf3d2s/","5666")</f>
        <v>5666</v>
      </c>
      <c r="H3" s="80" t="str">
        <f aca="false">HYPERLINK("https://brwmania.com.ua/gostinaja/modulnye-gostinye/sistema-sonata-sonata/s-015-sonata-komod-8-s/","6980")</f>
        <v>6980</v>
      </c>
      <c r="I3" s="80" t="str">
        <f aca="false">HYPERLINK("https://brwmania.com.ua/gostinaja/modulnye-gostinye/sistema_kaspian_dub_sonoma/kaspian-dub-sonoma-jm-007-stol-pismennyy-biu-1d1s/","3530")</f>
        <v>3530</v>
      </c>
      <c r="J3" s="15" t="n">
        <v>2290</v>
      </c>
      <c r="K3" s="80" t="str">
        <f aca="false">HYPERLINK("https://brwmania.com.ua/gostinaja/komplekty-gostinyh/aljaska-alaska-gostinaja/","8900")</f>
        <v>8900</v>
      </c>
      <c r="L3" s="81" t="n">
        <v>3730</v>
      </c>
      <c r="M3" s="81" t="n">
        <v>5020</v>
      </c>
      <c r="N3" s="80" t="str">
        <f aca="false">HYPERLINK("https://brwmania.com.ua/gostinaja/modulnye-gostinye/sistema-german/komod-brw-german-kom3s-9-12-dub-stirling/","4680")</f>
        <v>4680</v>
      </c>
      <c r="O3" s="81" t="n">
        <v>5510</v>
      </c>
      <c r="P3" s="80" t="str">
        <f aca="false">HYPERLINK("https://brwmania.com.ua/gostinaja/modulnye-gostinye/sistema_koen_mdf/008-koen-mdf-komod-kom4s/","4400")</f>
        <v>4400</v>
      </c>
    </row>
    <row r="4" customFormat="false" ht="60.75" hidden="false" customHeight="true" outlineLevel="0" collapsed="false">
      <c r="A4" s="78" t="s">
        <v>29</v>
      </c>
      <c r="B4" s="100" t="n">
        <v>3890</v>
      </c>
      <c r="C4" s="82" t="n">
        <v>4760</v>
      </c>
      <c r="D4" s="82" t="n">
        <v>3890</v>
      </c>
      <c r="E4" s="82" t="n">
        <v>5910</v>
      </c>
      <c r="F4" s="82" t="n">
        <v>2370</v>
      </c>
      <c r="G4" s="32" t="str">
        <f aca="false">HYPERLINK("http://redlight.com.ua/raspashnyye-shkafy/item-porto-shkaf-szf3d2s","5666")</f>
        <v>5666</v>
      </c>
      <c r="H4" s="19" t="str">
        <f aca="false">HYPERLINK("http://redlight.com.ua/komod/item-komod-8s-sonata-","6980")</f>
        <v>6980</v>
      </c>
      <c r="I4" s="22" t="str">
        <f aca="false">HYPERLINK("http://redlight.com.ua/stoly/item-kaspian-pismenniy-stol-biu-1d1s-120-kaspian","3530")</f>
        <v>3530</v>
      </c>
      <c r="J4" s="19" t="str">
        <f aca="false">HYPERLINK("http://redlight.com.ua/prihozhie/item-nepo-prihozhaya-rrk-","2290")</f>
        <v>2290</v>
      </c>
      <c r="K4" s="132" t="str">
        <f aca="false">HYPERLINK("http://redlight.com.ua/stenki/item-stenka-alyaska","7644")</f>
        <v>7644</v>
      </c>
      <c r="L4" s="19" t="str">
        <f aca="false">HYPERLINK("http://redlight.com.ua/stenki/item-stenka-kvatro","3730")</f>
        <v>3730</v>
      </c>
      <c r="M4" s="19" t="str">
        <f aca="false">HYPERLINK("https://redlight.com.ua/komod/item-tumba-kom-1w2d2s-9-15-vusher","5020")</f>
        <v>5020</v>
      </c>
      <c r="N4" s="19" t="str">
        <f aca="false">HYPERLINK("https://redlight.com.ua/komod/item-german-komod-kom-3s-9-12","4680")</f>
        <v>4680</v>
      </c>
      <c r="O4" s="32" t="str">
        <f aca="false">HYPERLINK("https://redlight.com.ua/tv-stands/item-alisa-tumba-rtv2s2k","5510")</f>
        <v>5510</v>
      </c>
      <c r="P4" s="32" t="str">
        <f aca="false">HYPERLINK("https://redlight.com.ua/komod/item-komod-kom4s-koen-(mdf)-","4400")</f>
        <v>4400</v>
      </c>
    </row>
    <row r="5" customFormat="false" ht="63" hidden="false" customHeight="true" outlineLevel="0" collapsed="false">
      <c r="A5" s="78" t="s">
        <v>30</v>
      </c>
      <c r="B5" s="35" t="str">
        <f aca="false">HYPERLINK("https://mebli-bristol.com.ua/acteka-tumba-rtv-2d2s-4-15-brv-ukraina.html","3890")</f>
        <v>3890</v>
      </c>
      <c r="C5" s="32" t="str">
        <f aca="false">HYPERLINK("https://mebli-bristol.com.ua/acteka-komod-kom-4s-8-11-brv-ukraina.html","4760")</f>
        <v>4760</v>
      </c>
      <c r="D5" s="32" t="str">
        <f aca="false">HYPERLINK("https://mebli-bristol.com.ua/indiana-komod-jkom-4s-80-sosna-kan-jon-brv-ukraina.html","3890")</f>
        <v>3890</v>
      </c>
      <c r="E5" s="32" t="str">
        <f aca="false">HYPERLINK("https://mebli-bristol.com.ua/indiana-stil-pis-movij-jbiu-2d2s-140-sosna-kan-jon-brv-ukraina.html","5910")</f>
        <v>5910</v>
      </c>
      <c r="F5" s="32" t="str">
        <f aca="false">HYPERLINK("https://mebli-bristol.com.ua/dzhuli-komod-kom-4s-90-brv-ukraina.html","2370")</f>
        <v>2370</v>
      </c>
      <c r="G5" s="32" t="str">
        <f aca="false">HYPERLINK("https://mebli-bristol.com.ua/porto-shafa-szf-3d2s-brv-ukraina.html","5666")</f>
        <v>5666</v>
      </c>
      <c r="H5" s="32" t="str">
        <f aca="false">HYPERLINK("https://mebli-bristol.com.ua/sonata-komod-8s-gerbor.html","6980")</f>
        <v>6980</v>
      </c>
      <c r="I5" s="32" t="str">
        <f aca="false">HYPERLINK("https://mebli-bristol.com.ua/kaspian-stil-pis-movij-biu-1d1s-120-dub-sonoma-brv-ukraina.html","3530")</f>
        <v>3530</v>
      </c>
      <c r="J5" s="95" t="str">
        <f aca="false">HYPERLINK("https://mebli-bristol.com.ua/nepo-peredpokij-ppk-gerbor-9728.html","1971")</f>
        <v>1971</v>
      </c>
      <c r="K5" s="27" t="str">
        <f aca="false">HYPERLINK("https://mebli-bristol.com.ua/aljaska-brv-ukraina.html","7964")</f>
        <v>7964</v>
      </c>
      <c r="L5" s="32" t="str">
        <f aca="false">HYPERLINK("https://mebli-bristol.com.ua/kvatro-gerbor.html","3730")</f>
        <v>3730</v>
      </c>
      <c r="M5" s="32" t="str">
        <f aca="false">HYPERLINK("https://mebli-bristol.com.ua/vusher-komod-kom-1w-2d2s-gerbor.html","5020")</f>
        <v>5020</v>
      </c>
      <c r="N5" s="32" t="str">
        <f aca="false">HYPERLINK("https://mebli-bristol.com.ua/german-komod-kom-3s-9-12-brv-ukraina.html","4680")</f>
        <v>4680</v>
      </c>
      <c r="O5" s="82" t="n">
        <v>5510</v>
      </c>
      <c r="P5" s="32" t="str">
        <f aca="false">HYPERLINK("https://mebli-bristol.com.ua/koen-komod-kom-4s-mdf-gerbor.html","4400")</f>
        <v>4400</v>
      </c>
    </row>
    <row r="6" customFormat="false" ht="60" hidden="false" customHeight="true" outlineLevel="0" collapsed="false">
      <c r="A6" s="78" t="s">
        <v>17</v>
      </c>
      <c r="B6" s="100" t="n">
        <v>3890</v>
      </c>
      <c r="C6" s="82" t="n">
        <v>4760</v>
      </c>
      <c r="D6" s="82" t="n">
        <v>3890</v>
      </c>
      <c r="E6" s="82" t="n">
        <v>5910</v>
      </c>
      <c r="F6" s="82" t="n">
        <v>2370</v>
      </c>
      <c r="G6" s="32" t="str">
        <f aca="false">HYPERLINK("https://gerbor.kiev.ua/mebelnye-sistemy/mebel-porto-brv/porto-shkaf-szf3d2s-brv/","5666")</f>
        <v>5666</v>
      </c>
      <c r="H6" s="32" t="str">
        <f aca="false">HYPERLINK("https://gerbor.kiev.ua/mebelnye-sistemy/mebel-sonata-gerbor/sonata-komod-8s-gerbor/","6980")</f>
        <v>6980</v>
      </c>
      <c r="I6" s="19" t="str">
        <f aca="false">HYPERLINK("https://gerbor.kiev.ua/mebelnye-sistemy/mebel-kaspian-sonoma-brw/kaspian-sonoma-stol-pismennyy-biu1d1s-brv/","3530")</f>
        <v>3530</v>
      </c>
      <c r="J6" s="32" t="str">
        <f aca="false">HYPERLINK("https://gerbor.kiev.ua/mebelnye-sistemy/mebel-nepo-gerbor/nepo-prikhozhaya-ppk-gerbor/","2290")</f>
        <v>2290</v>
      </c>
      <c r="K6" s="19" t="str">
        <f aca="false">HYPERLINK("https://gerbor.kiev.ua/mebelnye-sistemy/mebel-alaska-brw/alaska-gostinaya-brw/","8900")</f>
        <v>8900</v>
      </c>
      <c r="L6" s="83"/>
      <c r="M6" s="32" t="str">
        <f aca="false">HYPERLINK("https://gerbor.kiev.ua/mebelnye-sistemy/mebel-vusher-gerbor/vusher-komod-kom1w2d2s-gerbor/","5020")</f>
        <v>5020</v>
      </c>
      <c r="N6" s="19" t="str">
        <f aca="false">HYPERLINK("https://gerbor.kiev.ua/mebel-brv-ukraina/mebel-german-brw/german-komod-kom3s-brv/","4680")</f>
        <v>4680</v>
      </c>
      <c r="O6" s="82" t="n">
        <v>5510</v>
      </c>
      <c r="P6" s="19" t="str">
        <f aca="false">HYPERLINK("https://gerbor.kiev.ua/mebelnye-sistemy/mebel-koen-gerbor/koen-komod-kom4s-gerbor/","4400")</f>
        <v>4400</v>
      </c>
      <c r="Q6" s="84"/>
    </row>
    <row r="7" customFormat="false" ht="63" hidden="false" customHeight="true" outlineLevel="0" collapsed="false">
      <c r="A7" s="78" t="s">
        <v>18</v>
      </c>
      <c r="B7" s="100" t="n">
        <v>3890</v>
      </c>
      <c r="C7" s="82" t="n">
        <v>4760</v>
      </c>
      <c r="D7" s="82" t="n">
        <v>3890</v>
      </c>
      <c r="E7" s="82" t="n">
        <v>5910</v>
      </c>
      <c r="F7" s="82" t="n">
        <v>2370</v>
      </c>
      <c r="G7" s="32" t="str">
        <f aca="false">HYPERLINK("http://www.brwland.com.ua/product/porto-shkaf-szf3d2s-brv-ukraina/","5666")</f>
        <v>5666</v>
      </c>
      <c r="H7" s="32" t="str">
        <f aca="false">HYPERLINK("http://www.brwland.com.ua/product/komod-8s-sonata-gerbor/","6980")</f>
        <v>6980</v>
      </c>
      <c r="I7" s="19" t="str">
        <f aca="false">HYPERLINK("http://www.brwland.com.ua/product/kaspian-sonoma-stol-pismennyj-biu1d1s-brv-ukraina/","3530")</f>
        <v>3530</v>
      </c>
      <c r="J7" s="32" t="str">
        <f aca="false">HYPERLINK("http://www.brwland.com.ua/product/nepo-prihozhaja-ppk-gerbor/","2290")</f>
        <v>2290</v>
      </c>
      <c r="K7" s="19" t="str">
        <f aca="false">HYPERLINK("http://www.brwland.com.ua/product/gostinaja-aljaska-brv-ukraina/","8900")</f>
        <v>8900</v>
      </c>
      <c r="L7" s="95" t="str">
        <f aca="false">HYPERLINK("http://www.brwland.com.ua/product/komplekt-quatro/","3151")</f>
        <v>3151</v>
      </c>
      <c r="M7" s="32" t="str">
        <f aca="false">HYPERLINK("http://www.brwland.com.ua/product/vusher-bufet-kom1w2d2s915-gerbor/","5020")</f>
        <v>5020</v>
      </c>
      <c r="N7" s="32" t="str">
        <f aca="false">HYPERLINK("https://brwland.com.ua/product/german-komod-kom3s912-brv-ukraina/","4233")</f>
        <v>4233</v>
      </c>
      <c r="O7" s="82" t="n">
        <v>5510</v>
      </c>
      <c r="P7" s="19" t="str">
        <f aca="false">HYPERLINK("https://brwland.com.ua/product/koen-kom4s-komod-gerbor/","4400")</f>
        <v>4400</v>
      </c>
      <c r="Q7" s="84"/>
    </row>
    <row r="8" customFormat="false" ht="60" hidden="false" customHeight="true" outlineLevel="0" collapsed="false">
      <c r="A8" s="78" t="s">
        <v>31</v>
      </c>
      <c r="B8" s="35" t="str">
        <f aca="false">HYPERLINK("http://gerbor.dp.ua/index.php?route=product/product&amp;product_id=3138","0")</f>
        <v>0</v>
      </c>
      <c r="C8" s="32" t="str">
        <f aca="false">HYPERLINK("http://gerbor.dp.ua/index.php?route=product/product&amp;product_id=3131","0")</f>
        <v>0</v>
      </c>
      <c r="D8" s="32" t="str">
        <f aca="false">HYPERLINK("http://gerbor.dp.ua/index.php?route=product/product&amp;product_id=1730","0")</f>
        <v>0</v>
      </c>
      <c r="E8" s="32" t="str">
        <f aca="false">HYPERLINK("http://gerbor.dp.ua/index.php?route=product/product&amp;product_id=1725","0")</f>
        <v>0</v>
      </c>
      <c r="F8" s="32" t="str">
        <f aca="false">HYPERLINK("http://gerbor.dp.ua/index.php?route=product/product&amp;product_id=1755","0")</f>
        <v>0</v>
      </c>
      <c r="G8" s="27" t="str">
        <f aca="false">HYPERLINK("http://gerbor.dp.ua/index.php?route=product/product&amp;product_id=3905","5377")</f>
        <v>5377</v>
      </c>
      <c r="H8" s="32" t="str">
        <f aca="false">HYPERLINK("http://gerbor.dp.ua/index.php?route=product/product&amp;product_id=2156","0")</f>
        <v>0</v>
      </c>
      <c r="I8" s="32" t="str">
        <f aca="false">HYPERLINK("http://gerbor.dp.ua/index.php?route=product/product&amp;product_id=2819","0")</f>
        <v>0</v>
      </c>
      <c r="J8" s="32" t="str">
        <f aca="false">HYPERLINK("http://gerbor.dp.ua/index.php?route=product/product&amp;product_id=3473&amp;search=%D0%BD%D0%B5%D0%BF%D0%BE","0")</f>
        <v>0</v>
      </c>
      <c r="K8" s="32" t="str">
        <f aca="false">HYPERLINK("http://gerbor.dp.ua/index.php?route=product/product&amp;product_id=3031","0")</f>
        <v>0</v>
      </c>
      <c r="L8" s="32" t="str">
        <f aca="false">HYPERLINK("http://gerbor.dp.ua/index.php?route=product/product&amp;product_id=2040","0")</f>
        <v>0</v>
      </c>
      <c r="M8" s="27" t="str">
        <f aca="false">HYPERLINK("http://gerbor.dp.ua/index.php?route=product/product&amp;product_id=2775","4195")</f>
        <v>4195</v>
      </c>
      <c r="N8" s="32" t="str">
        <f aca="false">HYPERLINK("http://gerbor.dp.ua/index.php?route=product/product&amp;product_id=4118","0")</f>
        <v>0</v>
      </c>
      <c r="O8" s="32" t="str">
        <f aca="false">HYPERLINK("http://gerbor.dp.ua/index.php?route=product/product&amp;product_id=4257","0")</f>
        <v>0</v>
      </c>
      <c r="P8" s="32" t="str">
        <f aca="false">HYPERLINK("http://gerbor.dp.ua/index.php?route=product/product&amp;product_id=3797&amp;search=%D0%BA%D0%BE%D0%B5%D0%BD+%D0%BC%D0%B4%D1%84&amp;description=true","0")</f>
        <v>0</v>
      </c>
    </row>
    <row r="9" customFormat="false" ht="56.25" hidden="false" customHeight="true" outlineLevel="0" collapsed="false">
      <c r="A9" s="88" t="s">
        <v>32</v>
      </c>
      <c r="B9" s="100" t="n">
        <v>3903</v>
      </c>
      <c r="C9" s="82" t="n">
        <v>4778</v>
      </c>
      <c r="D9" s="133" t="n">
        <v>3229</v>
      </c>
      <c r="E9" s="90" t="n">
        <v>5481</v>
      </c>
      <c r="F9" s="90" t="n">
        <v>2230</v>
      </c>
      <c r="G9" s="82" t="n">
        <v>5675</v>
      </c>
      <c r="H9" s="82" t="n">
        <v>7000</v>
      </c>
      <c r="I9" s="95" t="str">
        <f aca="false">HYPERLINK("https://www.dybok.com.ua/","3006")</f>
        <v>3006</v>
      </c>
      <c r="J9" s="133" t="n">
        <v>1931</v>
      </c>
      <c r="K9" s="90" t="n">
        <v>7980</v>
      </c>
      <c r="L9" s="32" t="str">
        <f aca="false">HYPERLINK("https://www.dybok.com.ua/ru/product/detail/6077","3749")</f>
        <v>3749</v>
      </c>
      <c r="M9" s="32" t="str">
        <f aca="false">HYPERLINK("https://www.dybok.com.ua/ru/product/detail/7086","5037")</f>
        <v>5037</v>
      </c>
      <c r="N9" s="27" t="str">
        <f aca="false">HYPERLINK("https://www.dybok.com.ua/ru/product/detail/54996","4240")</f>
        <v>4240</v>
      </c>
      <c r="O9" s="82" t="n">
        <v>5530</v>
      </c>
      <c r="P9" s="32" t="str">
        <f aca="false">HYPERLINK("https://www.dybok.com.ua/ua/product/detail/76092","4410")</f>
        <v>4410</v>
      </c>
    </row>
    <row r="10" customFormat="false" ht="61.5" hidden="false" customHeight="true" outlineLevel="0" collapsed="false">
      <c r="A10" s="78" t="s">
        <v>19</v>
      </c>
      <c r="B10" s="100" t="n">
        <v>3890</v>
      </c>
      <c r="C10" s="82" t="n">
        <v>4760</v>
      </c>
      <c r="D10" s="82" t="n">
        <v>3890</v>
      </c>
      <c r="E10" s="82" t="n">
        <v>5910</v>
      </c>
      <c r="F10" s="82" t="n">
        <v>2370</v>
      </c>
      <c r="G10" s="32" t="str">
        <f aca="false">HYPERLINK("https://vashamebel.in.ua/shkaf-brv-porto-szf3d2s/p12560","5666")</f>
        <v>5666</v>
      </c>
      <c r="H10" s="34" t="str">
        <f aca="false">HYPERLINK("https://vashamebel.in.ua/komod-gerbor-sonata-8s/p845","6343")</f>
        <v>6343</v>
      </c>
      <c r="I10" s="30" t="s">
        <v>33</v>
      </c>
      <c r="J10" s="22" t="str">
        <f aca="false">HYPERLINK("https://vashamebel.in.ua/prihozhaya-gerbor-nepo-ppk/p12249","2290")</f>
        <v>2290</v>
      </c>
      <c r="K10" s="34" t="str">
        <f aca="false">HYPERLINK("https://vashamebel.in.ua/gostinaya-brv-alyaska/p4420","7644")</f>
        <v>7644</v>
      </c>
      <c r="L10" s="22" t="str">
        <f aca="false">HYPERLINK("https://vashamebel.in.ua/stenka-gerbor-kvatro/p2359","3730")</f>
        <v>3730</v>
      </c>
      <c r="M10" s="19" t="str">
        <f aca="false">HYPERLINK("https://vashamebel.in.ua/komod-gerbor-vusher-kom1w2d2s/p4762","5020")</f>
        <v>5020</v>
      </c>
      <c r="N10" s="19" t="str">
        <f aca="false">HYPERLINK("https://vashamebel.in.ua/komod-brv-german-kom3s912/p16187","4680")</f>
        <v>4680</v>
      </c>
      <c r="O10" s="27" t="str">
        <f aca="false">HYPERLINK("https://vashamebel.in.ua/tumba-tv-gerbor-alisa-rtv2s2k/p16540","5087")</f>
        <v>5087</v>
      </c>
      <c r="P10" s="27" t="str">
        <f aca="false">HYPERLINK("https://vashamebel.in.ua/komod-gerbor-koen-kom4s/p2171","3891")</f>
        <v>3891</v>
      </c>
    </row>
    <row r="11" customFormat="false" ht="70.5" hidden="false" customHeight="true" outlineLevel="0" collapsed="false">
      <c r="A11" s="78" t="s">
        <v>20</v>
      </c>
      <c r="B11" s="100" t="n">
        <v>3890</v>
      </c>
      <c r="C11" s="82" t="n">
        <v>4760</v>
      </c>
      <c r="D11" s="82" t="n">
        <v>3890</v>
      </c>
      <c r="E11" s="82" t="n">
        <v>5910</v>
      </c>
      <c r="F11" s="82" t="n">
        <v>2370</v>
      </c>
      <c r="G11" s="30" t="str">
        <f aca="false">HYPERLINK("https://mebel-mebel.com.ua/eshop/detskie-shkafy/shkaf_szf3d2s_porto-id35136.html","5666")</f>
        <v>5666</v>
      </c>
      <c r="H11" s="32" t="str">
        <f aca="false">HYPERLINK("https://mebel-mebel.com.ua/eshop/dom-komody/komod_8s_s_015_sonata-id1567.html","6980")</f>
        <v>6980</v>
      </c>
      <c r="I11" s="19" t="str">
        <f aca="false">HYPERLINK("https://mebel-mebel.com.ua/eshop/dom-stoly-kompiuternye/stol_pismenniy_biu_1d1s_120_kaspian-id797.html","3530")</f>
        <v>3530</v>
      </c>
      <c r="J11" s="32" t="str">
        <f aca="false">HYPERLINK("https://mebel-mebel.com.ua/eshop/dom-prihozhie/prihozhaya_ppk_nepo-id28028.html","2290")</f>
        <v>2290</v>
      </c>
      <c r="K11" s="16" t="n">
        <v>8900</v>
      </c>
      <c r="L11" s="32" t="str">
        <f aca="false">HYPERLINK("https://mebel-mebel.com.ua/eshop/dom-stenki-dlia-gostinoi/gostinaya_kvatro-id152.html","3730")</f>
        <v>3730</v>
      </c>
      <c r="M11" s="32" t="str">
        <f aca="false">HYPERLINK("https://mebel-mebel.com.ua/eshop/dom-komody/komod_kom_1w2d2s_vusher-id560.html","5020")</f>
        <v>5020</v>
      </c>
      <c r="N11" s="19" t="str">
        <f aca="false">HYPERLINK("https://mebel-mebel.com.ua/eshop/dom-komody/komod_kom3s_9_12_german_brv_ukraina-id60297.html","4680")</f>
        <v>4680</v>
      </c>
      <c r="O11" s="32" t="str">
        <f aca="false">HYPERLINK("https://mebel-mebel.com.ua/eshop/dom-tumby-dlia-tv/tumba_rtv_2s2k_alisa_gerbor-id60350.html","5510")</f>
        <v>5510</v>
      </c>
      <c r="P11" s="32" t="str">
        <f aca="false">HYPERLINK("https://mebel-mebel.com.ua/eshop/dom-komody/komod_kom_4s_mdf_8_koen-id921.html","4400")</f>
        <v>4400</v>
      </c>
    </row>
    <row r="12" customFormat="false" ht="75.75" hidden="false" customHeight="true" outlineLevel="0" collapsed="false">
      <c r="A12" s="78" t="s">
        <v>21</v>
      </c>
      <c r="B12" s="100" t="n">
        <v>3890</v>
      </c>
      <c r="C12" s="82" t="n">
        <v>4760</v>
      </c>
      <c r="D12" s="32" t="str">
        <f aca="false">HYPERLINK("https://abcmebli.com.ua/p1896-komod_jkom4s_80_indiana","3890")</f>
        <v>3890</v>
      </c>
      <c r="E12" s="32" t="str">
        <f aca="false">HYPERLINK("https://abcmebli.com.ua/p1892-stol_pismenniy_jbiu2d2s_140_indiana","5910")</f>
        <v>5910</v>
      </c>
      <c r="F12" s="82" t="n">
        <v>2370</v>
      </c>
      <c r="G12" s="32" t="str">
        <f aca="false">HYPERLINK("https://abcmebli.com.ua/p15039-shkaf_platyanoy_szf3d2s_porto","5666")</f>
        <v>5666</v>
      </c>
      <c r="H12" s="32" t="str">
        <f aca="false">HYPERLINK("https://abcmebli.com.ua/p2225-komod_8-s_sonata","6980")</f>
        <v>6980</v>
      </c>
      <c r="I12" s="32" t="str">
        <f aca="false">HYPERLINK("https://abcmebli.com.ua/p14308-stol_pismenniy_biu_1d1s_120_kaspian","3530")</f>
        <v>3530</v>
      </c>
      <c r="J12" s="30" t="str">
        <f aca="false">HYPERLINK("https://abcmebli.com.ua/p15897-nepo_prihozhaya_ppk_gerbor","2290")</f>
        <v>2290</v>
      </c>
      <c r="K12" s="19" t="str">
        <f aca="false">HYPERLINK("https://abcmebli.com.ua/p15950-gostinaya_alyaska_brv-ukraina","8900")</f>
        <v>8900</v>
      </c>
      <c r="L12" s="19" t="str">
        <f aca="false">HYPERLINK("https://abcmebli.com.ua/p2515-stenka_kvatro_gerbor","3730")</f>
        <v>3730</v>
      </c>
      <c r="M12" s="32" t="str">
        <f aca="false">HYPERLINK("https://abcmebli.com.ua/p4993-komod_kom1w2d2s_9_15_vusher","5020")</f>
        <v>5020</v>
      </c>
      <c r="N12" s="134" t="str">
        <f aca="false">HYPERLINK("https://abcmebli.com.ua/p15847-german_komod_kom3s-9-12_brv","4680")</f>
        <v>4680</v>
      </c>
      <c r="O12" s="32" t="str">
        <f aca="false">HYPERLINK("https://abcmebli.com.ua/p16267-alisa_tumba_tv_rtv2s2k_gerbor","5510")</f>
        <v>5510</v>
      </c>
      <c r="P12" s="32" t="str">
        <f aca="false">HYPERLINK("https://abcmebli.com.ua/p15137-koen_mdf_komod_kom4s","4400")</f>
        <v>4400</v>
      </c>
    </row>
    <row r="13" customFormat="false" ht="56.25" hidden="false" customHeight="true" outlineLevel="0" collapsed="false">
      <c r="A13" s="78" t="s">
        <v>22</v>
      </c>
      <c r="B13" s="35" t="str">
        <f aca="false">HYPERLINK("https://www.mebelok.com/tymba-tv-rtv2d2s415-acteka/","3891")</f>
        <v>3891</v>
      </c>
      <c r="C13" s="30" t="str">
        <f aca="false">HYPERLINK("https://www.mebelok.com/komod-kom4s811-acteka/","4761")</f>
        <v>4761</v>
      </c>
      <c r="D13" s="30" t="str">
        <f aca="false">HYPERLINK("https://www.mebelok.com/komod-jkom-4s-80/","3891")</f>
        <v>3891</v>
      </c>
      <c r="E13" s="32" t="str">
        <f aca="false">HYPERLINK("https://www.mebelok.com/stol-pismennyy-jbiu-2d2s-140/","5911")</f>
        <v>5911</v>
      </c>
      <c r="F13" s="30" t="str">
        <f aca="false">HYPERLINK("https://www.mebelok.com/komod-kom-4s-90-juli/","2370")</f>
        <v>2370</v>
      </c>
      <c r="G13" s="30" t="str">
        <f aca="false">HYPERLINK("https://www.mebelok.com/shkaf-szf3d2s-porto/","5671")</f>
        <v>5671</v>
      </c>
      <c r="H13" s="32" t="str">
        <f aca="false">HYPERLINK("https://www.mebelok.com/komod-8s-sonata/","6981")</f>
        <v>6981</v>
      </c>
      <c r="I13" s="32" t="str">
        <f aca="false">HYPERLINK("https://www.mebelok.com/stol-pismennyy-biu1d1s-120-kaspian/","3530")</f>
        <v>3530</v>
      </c>
      <c r="J13" s="19" t="str">
        <f aca="false">HYPERLINK("https://www.mebelok.com/prihojaya-ppk-nepo/","2290")</f>
        <v>2290</v>
      </c>
      <c r="K13" s="95" t="str">
        <f aca="false">HYPERLINK("https://www.mebelok.com/gostinaya-alyaska/","7655")</f>
        <v>7655</v>
      </c>
      <c r="L13" s="30" t="str">
        <f aca="false">HYPERLINK("https://www.mebelok.com/gostinaya-kvatro","3730")</f>
        <v>3730</v>
      </c>
      <c r="M13" s="30" t="str">
        <f aca="false">HYPERLINK("https://www.mebelok.com/komod-kom-1w2d2s-vusher/","5020")</f>
        <v>5020</v>
      </c>
      <c r="N13" s="32" t="str">
        <f aca="false">HYPERLINK("https://www.mebelok.com/komod-kom3s-9-12/","4681")</f>
        <v>4681</v>
      </c>
      <c r="O13" s="82" t="n">
        <v>5511</v>
      </c>
      <c r="P13" s="32" t="str">
        <f aca="false">HYPERLINK("https://www.mebelok.com/koen-komod-kom4s-mdf/","4401")</f>
        <v>4401</v>
      </c>
    </row>
    <row r="14" customFormat="false" ht="48" hidden="false" customHeight="true" outlineLevel="0" collapsed="false">
      <c r="A14" s="78" t="s">
        <v>23</v>
      </c>
      <c r="B14" s="35" t="str">
        <f aca="false">HYPERLINK("https://maxmebel.com.ua/atsteka_tumba_rtv2d2s","3890")</f>
        <v>3890</v>
      </c>
      <c r="C14" s="32" t="str">
        <f aca="false">HYPERLINK("https://maxmebel.com.ua/atsteka_komod_kom4s-8-11","4760")</f>
        <v>4760</v>
      </c>
      <c r="D14" s="32" t="str">
        <f aca="false">HYPERLINK("https://maxmebel.com.ua/indiana_komod_jkom_4s_80","3890")</f>
        <v>3890</v>
      </c>
      <c r="E14" s="32" t="str">
        <f aca="false">HYPERLINK("https://maxmebel.com.ua/indiana_pismenniy_stol_jbiu_2d2s","5910")</f>
        <v>5910</v>
      </c>
      <c r="F14" s="32" t="str">
        <f aca="false">HYPERLINK("https://maxmebel.com.ua/dzhuli_komod_kom4s-90","2370")</f>
        <v>2370</v>
      </c>
      <c r="G14" s="32" t="str">
        <f aca="false">HYPERLINK("https://maxmebel.com.ua/porto_shkaf_platyanoy_szf3d2s","5666")</f>
        <v>5666</v>
      </c>
      <c r="H14" s="32" t="str">
        <f aca="false">HYPERLINK("https://maxmebel.com.ua/sonata_komod_8-s","6980")</f>
        <v>6980</v>
      </c>
      <c r="I14" s="32" t="str">
        <f aca="false">HYPERLINK("https://maxmebel.com.ua/kaspian_stol_pismenniy_biu_1d1s","3530")</f>
        <v>3530</v>
      </c>
      <c r="J14" s="32" t="str">
        <f aca="false">HYPERLINK("https://maxmebel.com.ua/nepo_prihozhaya_rrk","2290")</f>
        <v>2290</v>
      </c>
      <c r="K14" s="27" t="str">
        <f aca="false">HYPERLINK("https://maxmebel.com.ua/stenka_alyaska","7964")</f>
        <v>7964</v>
      </c>
      <c r="L14" s="30" t="str">
        <f aca="false">HYPERLINK("https://maxmebel.com.ua/stenka_kvatro","3730")</f>
        <v>3730</v>
      </c>
      <c r="M14" s="32" t="str">
        <f aca="false">HYPERLINK("https://maxmebel.com.ua/vusher_komod_kom_1w2d2s","5020")</f>
        <v>5020</v>
      </c>
      <c r="N14" s="32" t="str">
        <f aca="false">HYPERLINK("https://maxmebel.com.ua/german_komod_kon3s-9-12","4680")</f>
        <v>4680</v>
      </c>
      <c r="O14" s="92" t="s">
        <v>34</v>
      </c>
      <c r="P14" s="32" t="str">
        <f aca="false">HYPERLINK("https://maxmebel.com.ua/koen_komod_kom4s-mdf","4400")</f>
        <v>4400</v>
      </c>
    </row>
    <row r="15" customFormat="false" ht="39" hidden="false" customHeight="true" outlineLevel="0" collapsed="false">
      <c r="A15" s="78" t="s">
        <v>24</v>
      </c>
      <c r="B15" s="35" t="str">
        <f aca="false">HYPERLINK("https://moyamebel.com.ua/ua/products/tumba-rtv-atsteka","3890")</f>
        <v>3890</v>
      </c>
      <c r="C15" s="32" t="str">
        <f aca="false">HYPERLINK("https://moyamebel.com.ua/ua/products/komod-atsteka","4760")</f>
        <v>4760</v>
      </c>
      <c r="D15" s="32" t="str">
        <f aca="false">HYPERLINK("https://moyamebel.com.ua/ua/products/komod-4s-80-indiana","3890")</f>
        <v>3890</v>
      </c>
      <c r="E15" s="32" t="str">
        <f aca="false">HYPERLINK("https://moyamebel.com.ua/ua/products/stol-pismennyj-2d2s-indiana","5910")</f>
        <v>5910</v>
      </c>
      <c r="F15" s="32" t="str">
        <f aca="false">HYPERLINK("https://moyamebel.com.ua/ua/products/komod-dzhuli-90","2370")</f>
        <v>2370</v>
      </c>
      <c r="G15" s="32" t="str">
        <f aca="false">HYPERLINK("https://moyamebel.com.ua/ua/products/shkaf-3d2sporto","5666")</f>
        <v>5666</v>
      </c>
      <c r="H15" s="22" t="str">
        <f aca="false">HYPERLINK("https://moyamebel.com.ua/ua/products/komod-8s-sonata","6980")</f>
        <v>6980</v>
      </c>
      <c r="I15" s="19" t="str">
        <f aca="false">HYPERLINK("https://moyamebel.com.ua/ua/products/stol-pismennyj-120-kaspian","3530")</f>
        <v>3530</v>
      </c>
      <c r="J15" s="93"/>
      <c r="K15" s="27" t="str">
        <f aca="false">HYPERLINK("https://moyamebel.com.ua/ua/products/gostinaya-alyaska","7644")</f>
        <v>7644</v>
      </c>
      <c r="L15" s="30" t="str">
        <f aca="false">HYPERLINK("https://moyamebel.com.ua/ua/products/gostinaya-kvatro","3730")</f>
        <v>3730</v>
      </c>
      <c r="M15" s="32" t="str">
        <f aca="false">HYPERLINK("https://moyamebel.com.ua/ua/products/komod-1w2d2s-vusher","5020")</f>
        <v>5020</v>
      </c>
      <c r="N15" s="83" t="str">
        <f aca="false">HYPERLINK("","")</f>
        <v/>
      </c>
      <c r="O15" s="94" t="s">
        <v>34</v>
      </c>
      <c r="P15" s="94" t="s">
        <v>34</v>
      </c>
    </row>
    <row r="16" customFormat="false" ht="31.5" hidden="false" customHeight="true" outlineLevel="0" collapsed="false">
      <c r="A16" s="78" t="s">
        <v>35</v>
      </c>
      <c r="B16" s="35" t="str">
        <f aca="false">HYPERLINK("https://mebel-soyuz.com.ua/12896.html","3890")</f>
        <v>3890</v>
      </c>
      <c r="C16" s="32" t="str">
        <f aca="false">HYPERLINK("https://mebel-soyuz.com.ua/12903.html","4760")</f>
        <v>4760</v>
      </c>
      <c r="D16" s="32" t="str">
        <f aca="false">HYPERLINK("https://mebel-soyuz.com.ua/2266.html","3890")</f>
        <v>3890</v>
      </c>
      <c r="E16" s="32" t="str">
        <f aca="false">HYPERLINK("https://mebel-soyuz.com.ua/stol-pismennyj-jbiu-2d2s-140-indiana.html","5910")</f>
        <v>5910</v>
      </c>
      <c r="F16" s="32" t="str">
        <f aca="false">HYPERLINK("https://mebel-soyuz.com.ua/komod-kom-4s-90-dzhuli.html","2370")</f>
        <v>2370</v>
      </c>
      <c r="G16" s="32" t="str">
        <f aca="false">HYPERLINK("https://mebel-soyuz.com.ua/shkaf-szf3d2s-porto.html","5666")</f>
        <v>5666</v>
      </c>
      <c r="H16" s="32" t="str">
        <f aca="false">HYPERLINK("https://mebel-soyuz.com.ua/473.html","6980")</f>
        <v>6980</v>
      </c>
      <c r="I16" s="30" t="str">
        <f aca="false">HYPERLINK("https://mebel-soyuz.com.ua/8687.html","3530")</f>
        <v>3530</v>
      </c>
      <c r="J16" s="32" t="str">
        <f aca="false">HYPERLINK("https://mebel-soyuz.com.ua/8926.html","2290")</f>
        <v>2290</v>
      </c>
      <c r="K16" s="32" t="str">
        <f aca="false">HYPERLINK("https://mebel-soyuz.com.ua/10995.html","8900")</f>
        <v>8900</v>
      </c>
      <c r="L16" s="32" t="str">
        <f aca="false">HYPERLINK("https://mebel-soyuz.com.ua/gostinaya-kvatro.html","3730")</f>
        <v>3730</v>
      </c>
      <c r="M16" s="32" t="str">
        <f aca="false">HYPERLINK("https://mebel-soyuz.com.ua/3933.html","5020")</f>
        <v>5020</v>
      </c>
      <c r="N16" s="32" t="str">
        <f aca="false">HYPERLINK("https://mebel-soyuz.com.ua/komod-kom3s912-german.html","4680")</f>
        <v>4680</v>
      </c>
      <c r="O16" s="82" t="n">
        <v>5510</v>
      </c>
      <c r="P16" s="32" t="str">
        <f aca="false">HYPERLINK("https://mebel-soyuz.com.ua/komod-kom4s-koen-mdf.html","4400")</f>
        <v>4400</v>
      </c>
    </row>
    <row r="17" customFormat="false" ht="33.75" hidden="false" customHeight="true" outlineLevel="0" collapsed="false">
      <c r="A17" s="78" t="s">
        <v>36</v>
      </c>
      <c r="B17" s="135" t="str">
        <f aca="false">HYPERLINK("https://sofino.ua/brw-ukraina-tumba-rtv2d2s415-acteka/g-95393","3699")</f>
        <v>3699</v>
      </c>
      <c r="C17" s="34" t="str">
        <f aca="false">HYPERLINK("https://sofino.ua/brw-ukraina-komod-kom4s811-acteka/g-95386","4546")</f>
        <v>4546</v>
      </c>
      <c r="D17" s="34" t="str">
        <f aca="false">HYPERLINK("https://sofino.ua/brw-ukraina-komod-jkom4s80-indiana/g-40903","3755")</f>
        <v>3755</v>
      </c>
      <c r="E17" s="34" t="str">
        <f aca="false">HYPERLINK("https://sofino.ua/brw-ukraina-stol-pismennyjj-jbiu2d2s140-indiana/g-40899","5473")</f>
        <v>5473</v>
      </c>
      <c r="F17" s="34" t="str">
        <f aca="false">HYPERLINK("https://sofino.ua/brw-ukraina-komod-kom4s90-dzhuli-akacija-mali-bronz/g-40377","2225")</f>
        <v>2225</v>
      </c>
      <c r="G17" s="30" t="str">
        <f aca="false">HYPERLINK("https://sofino.ua/brw-ukraina-shkaf-platjanojj-szf3d2s-porto-dzhanni-sosna-lariko/g-264368","5666")</f>
        <v>5666</v>
      </c>
      <c r="H17" s="30" t="str">
        <f aca="false">HYPERLINK("https://sofino.ua/gerbor-komod-8s-sonata/g-19192","6980")</f>
        <v>6980</v>
      </c>
      <c r="I17" s="27" t="str">
        <f aca="false">HYPERLINK("https://sofino.ua/brw-ukraina-stol-pismennyjj-biu-1d1s-kaspian/g-264409","3161")</f>
        <v>3161</v>
      </c>
      <c r="J17" s="30" t="str">
        <f aca="false">HYPERLINK("https://sofino.ua/gerbor-prikhozhaja-ppk-nepo/g-287089","2290")</f>
        <v>2290</v>
      </c>
      <c r="K17" s="34" t="str">
        <f aca="false">HYPERLINK("https://sofino.ua/brw-ukraina-stenka-aljaska-belyjj-gljanec/g-454107","7964")</f>
        <v>7964</v>
      </c>
      <c r="L17" s="30" t="str">
        <f aca="false">HYPERLINK("https://sofino.ua/gerbor-stenka-s-podsvetkojj-kvatro/g-18955","3730")</f>
        <v>3730</v>
      </c>
      <c r="M17" s="30" t="str">
        <f aca="false">HYPERLINK("https://sofino.ua/gerbor-bufet-kom1w2d2s-s-podsvetkojj-vusher/g-176785","5020")</f>
        <v>5020</v>
      </c>
      <c r="N17" s="32" t="str">
        <f aca="false">HYPERLINK("https://sofino.ua/brw-ukraina-komod-kom3s912-german/g-599343","4233")</f>
        <v>4233</v>
      </c>
      <c r="O17" s="94" t="s">
        <v>34</v>
      </c>
      <c r="P17" s="32" t="str">
        <f aca="false">HYPERLINK("https://sofino.ua/gerbor-komod-kom4s-koen-mdf-venge-magija-shtroks-temnyjj/g-19366","4400")</f>
        <v>4400</v>
      </c>
    </row>
    <row r="18" customFormat="false" ht="54.75" hidden="false" customHeight="true" outlineLevel="0" collapsed="false">
      <c r="A18" s="78" t="s">
        <v>37</v>
      </c>
      <c r="B18" s="98" t="str">
        <f aca="false">HYPERLINK("","")</f>
        <v/>
      </c>
      <c r="C18" s="27" t="str">
        <f aca="false">HYPERLINK("https://www.brw-kiev.com.ua/catalog/mebel/azteca-komod-kom4s_8_11-000004816.html","4549")</f>
        <v>4549</v>
      </c>
      <c r="D18" s="27" t="str">
        <f aca="false">HYPERLINK("https://www.brw-kiev.com.ua/catalog/mebel/indiana-komod-jkom4s_80-000000261.html","3759")</f>
        <v>3759</v>
      </c>
      <c r="E18" s="27" t="str">
        <f aca="false">HYPERLINK("https://www.brw-kiev.com.ua/catalog/mebel/indiana-stil_pis_moviy-jbiu2d2s-000000254.html","5479")</f>
        <v>5479</v>
      </c>
      <c r="F18" s="27" t="str">
        <f aca="false">HYPERLINK("https://www.brw-kiev.com.ua/catalog/mebel/july-komod-kom4s_90-000005407.html","2229")</f>
        <v>2229</v>
      </c>
      <c r="G18" s="32" t="str">
        <f aca="false">HYPERLINK("https://www.brw-kiev.com.ua/catalog/mebel/porto-shafa-szf3d2s-000006440.html","5669")</f>
        <v>5669</v>
      </c>
      <c r="H18" s="99"/>
      <c r="I18" s="34" t="str">
        <f aca="false">HYPERLINK("https://www.brw-kiev.com.ua/catalog/mebel/kaspian-stil_pis_moviy-biu1d1s_120-000006188.html","3169")</f>
        <v>3169</v>
      </c>
      <c r="J18" s="34" t="str">
        <f aca="false">HYPERLINK("https://www.brw-kiev.com.ua/catalog/mebel/prihozhaya/nepo-peredpokiy-ppk-000006567.html?sphrase_id=84980","2049")</f>
        <v>2049</v>
      </c>
      <c r="K18" s="34" t="str">
        <f aca="false">HYPERLINK("https://www.brw-kiev.com.ua/catalog/mebel/gostinaya/stinki-vital_nya-alaska-000006901.html?sphrase_id=84981","7949")</f>
        <v>7949</v>
      </c>
      <c r="L18" s="83"/>
      <c r="M18" s="83"/>
      <c r="N18" s="83" t="str">
        <f aca="false">HYPERLINK("","")</f>
        <v/>
      </c>
      <c r="O18" s="94" t="s">
        <v>34</v>
      </c>
      <c r="P18" s="27" t="str">
        <f aca="false">HYPERLINK("https://www.brw-kiev.com.ua/catalog/mebel/gostinaya/koen-komod-kom4s-000003956.html","3939")</f>
        <v>3939</v>
      </c>
    </row>
    <row r="19" customFormat="false" ht="38.25" hidden="false" customHeight="true" outlineLevel="0" collapsed="false">
      <c r="A19" s="78" t="s">
        <v>25</v>
      </c>
      <c r="B19" s="100" t="n">
        <v>3890</v>
      </c>
      <c r="C19" s="82" t="n">
        <v>4760</v>
      </c>
      <c r="D19" s="82" t="n">
        <v>3890</v>
      </c>
      <c r="E19" s="82" t="n">
        <v>5910</v>
      </c>
      <c r="F19" s="82" t="n">
        <v>2370</v>
      </c>
      <c r="G19" s="19" t="str">
        <f aca="false">HYPERLINK("https://brw.kiev.ua/mebel-brw-ukraina/porto/shkaf-szf3d2s-porto-brv/","5666")</f>
        <v>5666</v>
      </c>
      <c r="H19" s="19" t="str">
        <f aca="false">HYPERLINK("https://brw.kiev.ua/mebel-gerbor/sonata/komod-8s-sonata-gerbor/","6980")</f>
        <v>6980</v>
      </c>
      <c r="I19" s="19" t="str">
        <f aca="false">HYPERLINK("https://brw.kiev.ua/mebel-brw-ukraina/kaspian-venge/stol-pismennyy-biu1d1s-kaspian-brv-venge/","3530")</f>
        <v>3530</v>
      </c>
      <c r="J19" s="19" t="str">
        <f aca="false">HYPERLINK("https://brw.kiev.ua/mebel-gerbor/nepo/prikhozhaya-ppk-nepo-gerbor/","2290")</f>
        <v>2290</v>
      </c>
      <c r="K19" s="19" t="str">
        <f aca="false">HYPERLINK("https://brw.kiev.ua/mebel-brw-ukraina/alaska/stenka-alaska-brv/","8900")</f>
        <v>8900</v>
      </c>
      <c r="L19" s="83"/>
      <c r="M19" s="19" t="str">
        <f aca="false">HYPERLINK("https://brw.kiev.ua/mebel-gerbor/vusher/komod-kom1w2d2s-vusher-gerbor/","5020")</f>
        <v>5020</v>
      </c>
      <c r="N19" s="19" t="str">
        <f aca="false">HYPERLINK("https://brw.kiev.ua/mebel-brw-ukraina/german/komod-kom3s-german-brv/","4680")</f>
        <v>4680</v>
      </c>
      <c r="O19" s="16" t="n">
        <v>5510</v>
      </c>
      <c r="P19" s="27" t="str">
        <f aca="false">HYPERLINK("https://brw.kiev.ua/mebel-gerbor/koen/komod-kom4s-koen-gerbor/","3890")</f>
        <v>3890</v>
      </c>
    </row>
    <row r="20" customFormat="false" ht="34.5" hidden="false" customHeight="true" outlineLevel="0" collapsed="false">
      <c r="A20" s="78" t="s">
        <v>38</v>
      </c>
      <c r="B20" s="35" t="str">
        <f aca="false">HYPERLINK("https://lvivmebli.com/13319/","3900")</f>
        <v>3900</v>
      </c>
      <c r="C20" s="27" t="str">
        <f aca="false">HYPERLINK("https://lvivmebli.com/13320/","4675")</f>
        <v>4675</v>
      </c>
      <c r="D20" s="32" t="str">
        <f aca="false">HYPERLINK("https://lvivmebli.com/5030/","4255")</f>
        <v>4255</v>
      </c>
      <c r="E20" s="32" t="str">
        <f aca="false">HYPERLINK("https://lvivmebli.com/5039/","5911")</f>
        <v>5911</v>
      </c>
      <c r="F20" s="95" t="str">
        <f aca="false">HYPERLINK("https://lvivmebli.com/11483/","2300")</f>
        <v>2300</v>
      </c>
      <c r="G20" s="32" t="str">
        <f aca="false">HYPERLINK("https://lvivmebli.com/18473/","6800")</f>
        <v>6800</v>
      </c>
      <c r="H20" s="83"/>
      <c r="I20" s="99"/>
      <c r="J20" s="83"/>
      <c r="K20" s="83"/>
      <c r="L20" s="83"/>
      <c r="M20" s="83"/>
      <c r="N20" s="83" t="str">
        <f aca="false">HYPERLINK("","")</f>
        <v/>
      </c>
      <c r="O20" s="94" t="s">
        <v>34</v>
      </c>
      <c r="P20" s="94" t="s">
        <v>34</v>
      </c>
      <c r="R20" s="73"/>
    </row>
    <row r="21" customFormat="false" ht="36.75" hidden="false" customHeight="true" outlineLevel="0" collapsed="false">
      <c r="A21" s="78" t="s">
        <v>39</v>
      </c>
      <c r="B21" s="136" t="str">
        <f aca="false">HYPERLINK("http://centrmebliv.com.ua/modulni-mebli/brw-azteca/mebli-brw-brv-azteca-tumba-rtv2d2s?keyword=%D0%B0%D1%86%D1%82%D0%B5%D0%BA%D0%B0","3343")</f>
        <v>3343</v>
      </c>
      <c r="C21" s="95" t="str">
        <f aca="false">HYPERLINK("http://centrmebliv.com.ua/modulni-mebli/brw-azteca/mebli-brw-brv-azteca-komod-4s?keyword=%D0%B0%D1%86%D1%82%D0%B5%D0%BA%D0%B0","3924")</f>
        <v>3924</v>
      </c>
      <c r="D21" s="95" t="str">
        <f aca="false">HYPERLINK("http://centrmebliv.com.ua/mebli-dlya-spalni/komody/mebli-brw-brv-indiana-komod-jkom4s_80?keyword=%D1%96%D0%BD%D0%B4%D1%96%D0%B0%D0%BD%D0%B0","3562")</f>
        <v>3562</v>
      </c>
      <c r="E21" s="129" t="str">
        <f aca="false">HYPERLINK("http://centrmebliv.com.ua/modulni-mebli/brw-ukrayina-indiana/mebli-brw-brv-indiana-stil-pysmovyy-jbiu2d2s_140?keyword=%D1%96%D0%BD%D0%B4%D1%96%D0%B0%D0%BD%D0%B0","5158")</f>
        <v>5158</v>
      </c>
      <c r="F21" s="95" t="str">
        <f aca="false">HYPERLINK("http://centrmebliv.com.ua/spalni/komody/mebli-brw-brv-july-komod-kom4s/90?keyword=july","2098")</f>
        <v>2098</v>
      </c>
      <c r="G21" s="95" t="str">
        <f aca="false">HYPERLINK("http://centrmebliv.com.ua/modulni-mebli/brw-ukrayina-porto/mebli-brw-brv-porto-shafa-dlya-odyagu-sf3d2s?keyword=szf3d2s","5377")</f>
        <v>5377</v>
      </c>
      <c r="H21" s="95" t="str">
        <f aca="false">HYPERLINK("http://centrmebliv.com.ua/mebli-dlya-spalni/komody/mebli-gerbor-gerbor-s-015-sonata-_komod-8/s?keyword=%D1%81%D0%BE%D0%BD%D0%B0%D1%82%D0%B0","5683")</f>
        <v>5683</v>
      </c>
      <c r="I21" s="95" t="str">
        <f aca="false">HYPERLINK("http://centrmebliv.com.ua/ofisni-mebli/ofisni-stoly-vid-modulnyh-system/gerbor/brw-kaspian-stil-pysmovyy-biu-1d1s-120?keyword=%D0%BA%D0%B0%D1%81%D0%BF%D1%96%D0%B0%D0%BD","3002")</f>
        <v>3002</v>
      </c>
      <c r="J21" s="83"/>
      <c r="K21" s="83"/>
      <c r="L21" s="95" t="str">
        <f aca="false">HYPERLINK("http://centrmebliv.com.ua/mebli-dlya-vitalni/stinky/mebli-gerbor-gerbor-kvatro","3007")</f>
        <v>3007</v>
      </c>
      <c r="M21" s="95" t="str">
        <f aca="false">HYPERLINK("http://centrmebliv.com.ua/spalni/komody/mebli-gerbor-gerbor-voucher-komod-kom1w2d2s?keyword=%D0%B2%D1%83%D1%88%D0%B5%D1%80","4195")</f>
        <v>4195</v>
      </c>
      <c r="N21" s="83" t="str">
        <f aca="false">HYPERLINK("","")</f>
        <v/>
      </c>
      <c r="O21" s="94" t="s">
        <v>34</v>
      </c>
      <c r="P21" s="83" t="str">
        <f aca="false">HYPERLINK("","")</f>
        <v/>
      </c>
    </row>
    <row r="22" customFormat="false" ht="27" hidden="false" customHeight="true" outlineLevel="0" collapsed="false">
      <c r="A22" s="78" t="s">
        <v>40</v>
      </c>
      <c r="B22" s="100" t="n">
        <v>3890</v>
      </c>
      <c r="C22" s="82" t="n">
        <v>4760</v>
      </c>
      <c r="D22" s="82" t="n">
        <v>3890</v>
      </c>
      <c r="E22" s="82" t="n">
        <v>5910</v>
      </c>
      <c r="F22" s="82" t="n">
        <v>2370</v>
      </c>
      <c r="G22" s="32" t="str">
        <f aca="false">HYPERLINK("https://letromebel.com.ua/p567177190-shkaf-szf3d2s-porto.html","5666")</f>
        <v>5666</v>
      </c>
      <c r="H22" s="83"/>
      <c r="I22" s="83"/>
      <c r="J22" s="96" t="str">
        <f aca="false">HYPERLINK("https://letromebel.com.ua/p441285622-prihozhaya-ppk-nepo.html","1963")</f>
        <v>1963</v>
      </c>
      <c r="K22" s="95" t="str">
        <f aca="false">HYPERLINK("https://letromebel.com.ua/p822866700-stenka-gostinuyu-alyaska.html","7644")</f>
        <v>7644</v>
      </c>
      <c r="L22" s="22" t="str">
        <f aca="false">HYPERLINK("https://letromebel.com.ua/p436378844-stenka-kvatro-venge.html","3730")</f>
        <v>3730</v>
      </c>
      <c r="M22" s="19" t="str">
        <f aca="false">HYPERLINK("https://letromebel.com.ua/p332640892-bufet-kom1w2d2s-vusher.html","5020")</f>
        <v>5020</v>
      </c>
      <c r="N22" s="32" t="str">
        <f aca="false">HYPERLINK("https://letromebel.com.ua/ua/p920135181-komod-german-kom3s912.html","4680")</f>
        <v>4680</v>
      </c>
      <c r="O22" s="19" t="str">
        <f aca="false">HYPERLINK("https://letromebel.com.ua/ua/p1053586927-tumba-alisa-rtv2s2k.html","5510")</f>
        <v>5510</v>
      </c>
      <c r="P22" s="27" t="str">
        <f aca="false">HYPERLINK("https://letromebel.com.ua/site_search/page_2?search_term=%D0%BA%D0%BE%D0%B5%D0%BD+%D0%BC%D0%B4%D1%84","4400")</f>
        <v>4400</v>
      </c>
    </row>
    <row r="23" customFormat="false" ht="27" hidden="false" customHeight="true" outlineLevel="0" collapsed="false">
      <c r="A23" s="78" t="s">
        <v>26</v>
      </c>
      <c r="B23" s="100" t="n">
        <v>3890</v>
      </c>
      <c r="C23" s="82" t="n">
        <v>4760</v>
      </c>
      <c r="D23" s="82" t="n">
        <v>3890</v>
      </c>
      <c r="E23" s="82" t="n">
        <v>5910</v>
      </c>
      <c r="F23" s="82" t="n">
        <v>2370</v>
      </c>
      <c r="G23" s="32" t="str">
        <f aca="false">HYPERLINK("https://shurup.net.ua/shkaf-szf3d2s-porto.p24169","5666")</f>
        <v>5666</v>
      </c>
      <c r="H23" s="32" t="str">
        <f aca="false">HYPERLINK("https://shurup.net.ua/komod-8s-sonata.p1034","6980")</f>
        <v>6980</v>
      </c>
      <c r="I23" s="34" t="str">
        <f aca="false">HYPERLINK("https://shurup.net.ua/stol-pismennyj-biu-1d1s-120-kaspian-dub-sonoma.p6492","3141")</f>
        <v>3141</v>
      </c>
      <c r="J23" s="32" t="str">
        <f aca="false">HYPERLINK("https://shurup.net.ua/prihozhaya-rrk-nepo.p13611","2290")</f>
        <v>2290</v>
      </c>
      <c r="K23" s="19" t="str">
        <f aca="false">HYPERLINK("https://shurup.net.ua/gostinaja-aljaska.p28551","8900")</f>
        <v>8900</v>
      </c>
      <c r="L23" s="32" t="str">
        <f aca="false">HYPERLINK("https://shurup.net.ua/gostinaya-kvatro-venge-magiya.p836","3730")</f>
        <v>3730</v>
      </c>
      <c r="M23" s="32" t="str">
        <f aca="false">HYPERLINK("https://shurup.net.ua/komod-kom1w2d2s-9-15-vusher.p1953","5020")</f>
        <v>5020</v>
      </c>
      <c r="N23" s="19" t="str">
        <f aca="false">HYPERLINK("https://shurup.net.ua/komod-kon3s64-german.p32275","4680")</f>
        <v>4680</v>
      </c>
      <c r="O23" s="94" t="s">
        <v>34</v>
      </c>
      <c r="P23" s="32" t="str">
        <f aca="false">HYPERLINK("https://shurup.net.ua/komod-kom4s-koen-mdf.p1194","4400")</f>
        <v>4400</v>
      </c>
      <c r="S23" s="42"/>
    </row>
    <row r="24" customFormat="false" ht="36.75" hidden="false" customHeight="true" outlineLevel="0" collapsed="false">
      <c r="A24" s="105" t="s">
        <v>41</v>
      </c>
      <c r="B24" s="98"/>
      <c r="C24" s="47"/>
      <c r="D24" s="47"/>
      <c r="E24" s="47"/>
      <c r="F24" s="47"/>
      <c r="G24" s="83"/>
      <c r="H24" s="83"/>
      <c r="I24" s="83"/>
      <c r="J24" s="39" t="str">
        <f aca="false">HYPERLINK("https://www.taburetka.ua/prihozhie-40/prihozhaya-ppk-nepo-2914","2315")</f>
        <v>2315</v>
      </c>
      <c r="K24" s="83"/>
      <c r="L24" s="32" t="str">
        <f aca="false">HYPERLINK("https://www.taburetka.ua/gostinye-600/gostinaya-kvatro-2834","4200")</f>
        <v>4200</v>
      </c>
      <c r="M24" s="32" t="str">
        <f aca="false">HYPERLINK("https://www.taburetka.ua/komody-i-tumby-35/komod-kom1w2d2s-vusher-2974","5630")</f>
        <v>5630</v>
      </c>
      <c r="N24" s="83" t="str">
        <f aca="false">HYPERLINK("","")</f>
        <v/>
      </c>
      <c r="O24" s="94" t="s">
        <v>34</v>
      </c>
      <c r="P24" s="32" t="str">
        <f aca="false">HYPERLINK("https://www.taburetka.ua/gostinye-600/modulnaya-sistema-koen-1347","4560")</f>
        <v>4560</v>
      </c>
    </row>
    <row r="25" customFormat="false" ht="37.5" hidden="false" customHeight="true" outlineLevel="0" collapsed="false">
      <c r="A25" s="106" t="s">
        <v>42</v>
      </c>
      <c r="B25" s="100" t="n">
        <v>3890</v>
      </c>
      <c r="C25" s="110" t="n">
        <v>4760</v>
      </c>
      <c r="D25" s="110" t="n">
        <v>3890</v>
      </c>
      <c r="E25" s="110" t="n">
        <v>5910</v>
      </c>
      <c r="F25" s="110" t="n">
        <v>2370</v>
      </c>
      <c r="G25" s="39" t="str">
        <f aca="false">HYPERLINK("http://www.maxidom.com.ua/shkaf-porto-porto-szf3d2s.html?search_string=%D8%EA%E0%F4+%CF%EE%F0%F2%EE+%28Porto%29+SZF3D2S","5666")</f>
        <v>5666</v>
      </c>
      <c r="H25" s="65" t="str">
        <f aca="false">HYPERLINK("http://www.maxidom.com.ua/komod-sonata-8s.html?search_string=%CA%EE%EC%EE%E4+%D1%EE%ED%E0%F2%E0+8s","6980")</f>
        <v>6980</v>
      </c>
      <c r="I25" s="39" t="str">
        <f aca="false">HYPERLINK("http://www.maxidom.com.ua/stol-pismenniy-biu-1d1s-kaspian-kaspian.html?search_string=%D1%F2%EE%EB+%EF%E8%F1%FC%EC%E5%ED%ED%FB%E9+BIU+1D1S+%CA%E0%F1%EF%E8%E0%ED+%28Kaspian%29","3530")</f>
        <v>3530</v>
      </c>
      <c r="J25" s="65" t="str">
        <f aca="false">HYPERLINK("http://www.maxidom.com.ua/prihozhaya-nepo-ppk.html?search_string=%CF%F0%E8%F5%EE%E6%E0%FF+%CD%E5%EF%EE+PPK","2290")</f>
        <v>2290</v>
      </c>
      <c r="K25" s="44" t="str">
        <f aca="false">HYPERLINK("http://www.maxidom.com.ua/stenka-alyaska.html?search_string=%D1%F2%E5%ED%EA%E0+%C0%EB%FF%F1%EA%E0","7644")</f>
        <v>7644</v>
      </c>
      <c r="L25" s="19" t="str">
        <f aca="false">HYPERLINK("http://www.maxidom.com.ua/stenka-kvatro.html?search_string=%D1%F2%E5%ED%EA%E0+%CA%E2%E0%F2%F0%EE","3730")</f>
        <v>3730</v>
      </c>
      <c r="M25" s="19" t="str">
        <f aca="false">HYPERLINK("http://www.maxidom.com.ua/komod-kom-1w2d2s-vusher.html?search_string=%CA%EE%EC%EE%E4+KOM+1W2D2S+%C2%F3%F8%E5%F0","5020")</f>
        <v>5020</v>
      </c>
      <c r="N25" s="19" t="str">
        <f aca="false">HYPERLINK("https://www.maxidom.com.ua/komod-german-kom3s912/","4680")</f>
        <v>4680</v>
      </c>
      <c r="O25" s="94" t="s">
        <v>34</v>
      </c>
      <c r="P25" s="19" t="str">
        <f aca="false">HYPERLINK("https://www.maxidom.com.ua/komod-kom4s-koen-mdf/","4400")</f>
        <v>4400</v>
      </c>
    </row>
    <row r="26" customFormat="false" ht="42" hidden="false" customHeight="true" outlineLevel="0" collapsed="false">
      <c r="A26" s="106" t="s">
        <v>27</v>
      </c>
      <c r="B26" s="100" t="n">
        <v>3890</v>
      </c>
      <c r="C26" s="110" t="n">
        <v>4760</v>
      </c>
      <c r="D26" s="82" t="n">
        <v>3890</v>
      </c>
      <c r="E26" s="110" t="n">
        <v>5910</v>
      </c>
      <c r="F26" s="110" t="n">
        <v>2370</v>
      </c>
      <c r="G26" s="39" t="str">
        <f aca="false">HYPERLINK("https://mebel-online.com.ua/shkaf-szf3d2s-porto?filter_name=SZF3D2S","5666")</f>
        <v>5666</v>
      </c>
      <c r="H26" s="65" t="str">
        <f aca="false">HYPERLINK("https://mebel-online.com.ua/p1728-gerbor_sonata_komod_8-s?filter_name=%D1%81%D0%BE%D0%BD%D0%B0%D1%82%D0%B0","6980")</f>
        <v>6980</v>
      </c>
      <c r="I26" s="111"/>
      <c r="J26" s="19" t="str">
        <f aca="false">HYPERLINK("https://mebel-online.com.ua/prihozhaya-gerbor-ppk-nepo?filter_name=%D0%BD%D0%B5%D0%BF%D0%BE","2290")</f>
        <v>2290</v>
      </c>
      <c r="K26" s="45" t="str">
        <f aca="false">HYPERLINK("https://mebel-online.com.ua/stenka-aliaska-brw%20?filter_name=%D0%B0%D0%BB%D1%8F%D1%81%D0%BA%D0%B0","7644")</f>
        <v>7644</v>
      </c>
      <c r="L26" s="19" t="str">
        <f aca="false">HYPERLINK("https://mebel-online.com.ua/stenka-kvatro-gerbor?filter_name=%D0%BA%D0%B2%D0%B0%D1%82%D1%80%D0%BE","3730")</f>
        <v>3730</v>
      </c>
      <c r="M26" s="19" t="str">
        <f aca="false">HYPERLINK("https://mebel-online.com.ua/komod-kom-1w2d2s-vusher-gerbor?filter_name=%D0%B2%D1%83%D1%88%D0%B5%D1%80","5020")</f>
        <v>5020</v>
      </c>
      <c r="N26" s="83" t="str">
        <f aca="false">HYPERLINK("","")</f>
        <v/>
      </c>
      <c r="O26" s="94" t="s">
        <v>34</v>
      </c>
      <c r="P26" s="27" t="str">
        <f aca="false">HYPERLINK("https://mebel-online.com.ua/p2493-komod_kom4s_koen?filter_name=%D0%BA%D0%BE%D0%B5%D0%BD","3890")</f>
        <v>3890</v>
      </c>
    </row>
    <row r="27" customFormat="false" ht="34.5" hidden="false" customHeight="true" outlineLevel="0" collapsed="false">
      <c r="A27" s="91" t="s">
        <v>43</v>
      </c>
      <c r="B27" s="27" t="str">
        <f aca="false">HYPERLINK("https://mebelnuy.com.ua/tumba-pod-tv-rtv2d2s-4-15-acteka-brv?search=%D0%A2%D0%92%20%D0%90%D1%86%D1%82%D0%B5%D0%BA%D0%B0%20RTV2D2S&amp;description=true","3699")</f>
        <v>3699</v>
      </c>
      <c r="C27" s="27" t="str">
        <f aca="false">HYPERLINK("https://mebelnuy.com.ua/komod-kom4s-8-11-acteka-brv?search=%D0%90%D1%86%D1%82%D0%B5%D0%BA%D0%B0%20KOM4S%2F8%2F11&amp;description=true","4546")</f>
        <v>4546</v>
      </c>
      <c r="D27" s="27" t="str">
        <f aca="false">HYPERLINK("https://mebelnuy.com.ua/komod-jkom-4s-80-indiana-brv?search=%D0%98%D0%BD%D0%B4%D0%B8%D0%B0%D0%BD%D0%B0%20JKOM_4s&amp;description=true","3755")</f>
        <v>3755</v>
      </c>
      <c r="E27" s="27" t="str">
        <f aca="false">HYPERLINK("https://mebelnuy.com.ua/stol-pismennyj-jbiu-2d2s-140-indiana-brv?search=%D0%98%D0%BD%D0%B4%D0%B8%D0%B0%D0%BD%D0%B0%20JBIU_2d2s_140&amp;description=true","5473")</f>
        <v>5473</v>
      </c>
      <c r="F27" s="90" t="n">
        <v>2225</v>
      </c>
      <c r="G27" s="32" t="str">
        <f aca="false">HYPERLINK("https://mebelnuy.com.ua/shkaf-szf3d2s-porto-brv?search=%D0%9F%D0%BE%D1%80%D1%82%D0%BE%20SZF3D2S&amp;description=true","5666")</f>
        <v>5666</v>
      </c>
      <c r="H27" s="19" t="str">
        <f aca="false">HYPERLINK("https://mebelnuy.com.ua/komod-gerbor-sonata-8-s?search=%D0%A1%D0%BE%D0%BD%D0%B0%D1%82%D0%B0%208%2Fs&amp;description=true","6980")</f>
        <v>6980</v>
      </c>
      <c r="I27" s="83" t="str">
        <f aca="false">HYPERLINK("","")</f>
        <v/>
      </c>
      <c r="J27" s="19" t="str">
        <f aca="false">HYPERLINK("https://mebelnuy.com.ua/prihozhaya-gerbor-nepo-ppk","2290")</f>
        <v>2290</v>
      </c>
      <c r="K27" s="27" t="str">
        <f aca="false">HYPERLINK("https://mebelnuy.com.ua/gostinaya-alyaska-brv?search=%D0%90%D0%BB%D1%8F%D1%81%D0%BA%D0%B0%20%D0%B3%D0%BE%D1%81%D1%82%D0%B8%D0%BD%D0%B0%D1%8F&amp;description=true","7964")</f>
        <v>7964</v>
      </c>
      <c r="L27" s="19" t="str">
        <f aca="false">HYPERLINK("https://mebelnuy.com.ua/gostinaya-gerbor-kvatro-venge-magiya?search=%D0%BA%D0%B2%D0%B0%D1%82%D1%80%D0%BE&amp;description=true","3730")</f>
        <v>3730</v>
      </c>
      <c r="M27" s="19" t="str">
        <f aca="false">HYPERLINK("https://mebelnuy.com.ua/komod-gerbor-vusher-kom-1w2d2s?search=%D0%92%D1%83%D1%88%D0%B5%D1%80%20KOM%201W2D2S&amp;description=true","5020")</f>
        <v>5020</v>
      </c>
      <c r="N27" s="27" t="str">
        <f aca="false">HYPERLINK("https://mebelnuy.com.ua/komod-german-115-brv?search=%D0%93%D0%95%D0%A0%D0%9C%D0%90%D0%9D&amp;description=true","4233")</f>
        <v>4233</v>
      </c>
      <c r="O27" s="19" t="str">
        <f aca="false">HYPERLINK("https://mebelnuy.com.ua/tumba-gerbor-alisa-rtv2s2k?search=%D0%B0%D0%BB%D0%B8%D1%81%D0%B0&amp;description=true","5510")</f>
        <v>5510</v>
      </c>
      <c r="P27" s="19" t="str">
        <f aca="false">HYPERLINK("https://mebelnuy.com.ua/komod-gerbor-koen-kom4s-mdf?search=%D0%BA%D0%BE%D0%B5%D0%BD%20%D0%BC%D0%B4%D1%84&amp;description=true","4400")</f>
        <v>4400</v>
      </c>
    </row>
    <row r="28" customFormat="false" ht="36.75" hidden="false" customHeight="true" outlineLevel="0" collapsed="false">
      <c r="A28" s="91" t="s">
        <v>44</v>
      </c>
      <c r="B28" s="82" t="n">
        <v>3890</v>
      </c>
      <c r="C28" s="82" t="n">
        <v>4760</v>
      </c>
      <c r="D28" s="82" t="n">
        <v>3890</v>
      </c>
      <c r="E28" s="82" t="n">
        <v>5910</v>
      </c>
      <c r="F28" s="82" t="n">
        <v>2370</v>
      </c>
      <c r="G28" s="32" t="str">
        <f aca="false">HYPERLINK("https://amado.com.ua/detskaya/shkafy-i-penaly-dlya-detskoj/porto-shkaf-platyanoj-szf3d2s-brw","5666")</f>
        <v>5666</v>
      </c>
      <c r="H28" s="19" t="str">
        <f aca="false">HYPERLINK("https://amado.com.ua/gostinaya/komody-i-tumby-v-gostinuyu/sonata-komod-8-s-gerbor","6980")</f>
        <v>6980</v>
      </c>
      <c r="I28" s="32" t="str">
        <f aca="false">HYPERLINK("https://amado.com.ua/gostinaya/kaspian-sonoma-stol-pismennyj-biu-1d1s-brw","3530")</f>
        <v>3530</v>
      </c>
      <c r="J28" s="19" t="str">
        <f aca="false">HYPERLINK("https://amado.com.ua/prihozhaya/prihozhie-celnye/nepo-prihozhaya-ppk-gerbor","2290")</f>
        <v>2290</v>
      </c>
      <c r="K28" s="19" t="str">
        <f aca="false">HYPERLINK("https://amado.com.ua/gostinaya/modulnye-gostinye/gostinaya-alyaska-gerbor","8900")</f>
        <v>8900</v>
      </c>
      <c r="L28" s="19" t="str">
        <f aca="false">HYPERLINK("https://amado.com.ua/gostinaya/modulnye-gostinye/gostinaya-kvatro-gerbor","3730")</f>
        <v>3730</v>
      </c>
      <c r="M28" s="19" t="str">
        <f aca="false">HYPERLINK("https://amado.com.ua/gostinaya/komody-i-tumby-v-gostinuyu/vusher-komod-kom-1w2d2s-gerbor","5020")</f>
        <v>5020</v>
      </c>
      <c r="N28" s="19" t="str">
        <f aca="false">HYPERLINK("https://amado.com.ua/gostinaya/komody-i-tumby-v-gostinuyu/german-komod-kom3s-9-12-gerbor","4680")</f>
        <v>4680</v>
      </c>
      <c r="O28" s="83" t="str">
        <f aca="false">HYPERLINK("","")</f>
        <v/>
      </c>
      <c r="P28" s="27" t="str">
        <f aca="false">HYPERLINK("https://amado.com.ua/gostinaya/komody-i-tumby-v-gostinuyu/koen-mdf-komod-kom4s-gerbor","3482")</f>
        <v>3482</v>
      </c>
    </row>
    <row r="29" customFormat="false" ht="15.75" hidden="false" customHeight="true" outlineLevel="0" collapsed="false">
      <c r="A29" s="112"/>
      <c r="B29" s="113"/>
      <c r="C29" s="114"/>
      <c r="D29" s="114"/>
      <c r="E29" s="114"/>
      <c r="F29" s="114"/>
      <c r="G29" s="114"/>
      <c r="H29" s="114"/>
      <c r="I29" s="114"/>
      <c r="J29" s="114"/>
      <c r="K29" s="114"/>
      <c r="L29" s="114"/>
      <c r="M29" s="114"/>
      <c r="N29" s="114"/>
      <c r="O29" s="114"/>
      <c r="P29" s="114"/>
      <c r="Q29" s="112"/>
      <c r="R29" s="112"/>
      <c r="S29" s="112"/>
      <c r="T29" s="112"/>
      <c r="U29" s="112"/>
      <c r="V29" s="112"/>
      <c r="W29" s="112"/>
      <c r="X29" s="112"/>
      <c r="Y29" s="112"/>
    </row>
    <row r="30" customFormat="false" ht="15.75" hidden="false" customHeight="true" outlineLevel="0" collapsed="false">
      <c r="A30" s="116"/>
      <c r="B30" s="117" t="s">
        <v>45</v>
      </c>
      <c r="C30" s="117" t="s">
        <v>46</v>
      </c>
      <c r="D30" s="117" t="s">
        <v>47</v>
      </c>
      <c r="E30" s="117" t="s">
        <v>48</v>
      </c>
      <c r="F30" s="117" t="s">
        <v>49</v>
      </c>
      <c r="G30" s="117" t="s">
        <v>50</v>
      </c>
      <c r="H30" s="117" t="s">
        <v>51</v>
      </c>
      <c r="I30" s="117" t="s">
        <v>52</v>
      </c>
      <c r="J30" s="117" t="s">
        <v>53</v>
      </c>
      <c r="K30" s="117" t="s">
        <v>54</v>
      </c>
      <c r="L30" s="117" t="s">
        <v>55</v>
      </c>
      <c r="M30" s="117" t="s">
        <v>56</v>
      </c>
      <c r="N30" s="117" t="s">
        <v>57</v>
      </c>
      <c r="O30" s="117" t="s">
        <v>58</v>
      </c>
      <c r="P30" s="117" t="s">
        <v>59</v>
      </c>
      <c r="T30" s="118"/>
      <c r="U30" s="118"/>
      <c r="V30" s="118"/>
      <c r="W30" s="118"/>
      <c r="X30" s="118"/>
      <c r="Y30" s="118"/>
    </row>
    <row r="31" customFormat="false" ht="15.75" hidden="false" customHeight="true" outlineLevel="0" collapsed="false">
      <c r="A31" s="91" t="s">
        <v>60</v>
      </c>
      <c r="B31" s="120" t="str">
        <f aca="false">HYPERLINK("https://epicentrk.ua/ua/shop/hubr-tumba-prikrovatnaya-brw-atsteka-kom2s-4-5-belyy-glyanets-8003916.html","1967")</f>
        <v>1967</v>
      </c>
      <c r="C31" s="120" t="str">
        <f aca="false">HYPERLINK("https://epicentrk.ua/ua/shop/hubr-komod-home-ua-brw-black-red-white-zlata-kom2d3s-86kh41kh135-sm-dub-takho-belyy-glyanets-8004551.html","3291")</f>
        <v>3291</v>
      </c>
      <c r="D31" s="120" t="str">
        <f aca="false">HYPERLINK("https://epicentrk.ua/ua/shop/hubr-tumba-prikrovatnaya-brw-indiana-jkom-1s-50-sosna-kanon-8004034.html","1510")</f>
        <v>1510</v>
      </c>
      <c r="E31" s="120" t="str">
        <f aca="false">HYPERLINK("https://epicentrk.ua/ua/shop/hubr-veshalka-home-ua-brw-black-red-white-kristina-wie-60-152kh24kh66-sm-belyy-glyanets-8004512.html","1234")</f>
        <v>1234</v>
      </c>
      <c r="F31" s="120" t="str">
        <f aca="false">HYPERLINK("https://epicentrk.ua/ua/shop/hubr-prikhozhaya-home-ua-brw-black-red-white-porto-ppk-189kh95-5kh39-5-sm-dzhanni-sosna-larik-8003795.html","3823")</f>
        <v>3823</v>
      </c>
      <c r="G31" s="120" t="str">
        <f aca="false">HYPERLINK("https://epicentrk.ua/ua/shop/hubr-komod-brw-kaspian-kom-1d1sp-dub-sonoma-8004075.html","1572")</f>
        <v>1572</v>
      </c>
      <c r="H31" s="120" t="str">
        <f aca="false">HYPERLINK("https://epicentrk.ua/ua/shop/hubr-stol-pismennyy-home-ua-brw-black-red-white-markus-biu-1d1s-1200kh755kh560-mm-dzhanni-8005038.html","2528")</f>
        <v>2528</v>
      </c>
      <c r="I31" s="120" t="str">
        <f aca="false">HYPERLINK("https://epicentrk.ua/ua/shop/hubr-komod-gerbor-tina-sosna-kanon-dub-sonoma-tryufel-kom4s1d.html","4230")</f>
        <v>4230</v>
      </c>
      <c r="J31" s="120" t="str">
        <f aca="false">HYPERLINK("https://epicentrk.ua/ua/shop/hubr-komod-home-ua-brw-black-red-white-markus-kom-4s-11-91kh38kh106-5-sm-dzhanni-8004912.html","3960")</f>
        <v>3960</v>
      </c>
      <c r="K31" s="120" t="str">
        <f aca="false">HYPERLINK("https://epicentrk.ua/ua/shop/hubr-tumba-prikrovatnaya-brw-loren-kom-1s-akatsiya-mali-bronza-8004104.html","1197")</f>
        <v>1197</v>
      </c>
      <c r="L31" s="120" t="str">
        <f aca="false">HYPERLINK("https://epicentrk.ua/ua/shop/hubr-komod-gerbor-vusher-belyy-glyanets-kom1d4sl-p.html","3620")</f>
        <v>3620</v>
      </c>
      <c r="M31" s="120" t="str">
        <f aca="false">HYPERLINK("https://epicentrk.ua/ua/shop/hubr-komod-gerbor-marsel-yasen-snezhnyy-kom4s.html","6230")</f>
        <v>6230</v>
      </c>
      <c r="N31" s="120" t="str">
        <f aca="false">HYPERLINK("https://epicentrk.ua/ua/shop/vitrina-venge.html","4439")</f>
        <v>4439</v>
      </c>
      <c r="O31" s="120" t="str">
        <f aca="false">HYPERLINK("https://epicentrk.ua/ua/shop/hubr-komod-gerbor-open-orekh-kaliforniyskiy-kom4s.html","2330")</f>
        <v>2330</v>
      </c>
      <c r="P31" s="120" t="str">
        <f aca="false">HYPERLINK("https://epicentrk.ua/ua/shop/hubr-komod-gerbor-graf-orekh-kom3d3s.html","5790")</f>
        <v>5790</v>
      </c>
    </row>
    <row r="32" customFormat="false" ht="15.75" hidden="false" customHeight="true" outlineLevel="0" collapsed="false">
      <c r="A32" s="112"/>
      <c r="B32" s="113"/>
      <c r="C32" s="114"/>
      <c r="D32" s="114"/>
      <c r="E32" s="114"/>
      <c r="F32" s="114"/>
      <c r="G32" s="114"/>
      <c r="H32" s="114"/>
      <c r="I32" s="114"/>
      <c r="J32" s="114"/>
      <c r="K32" s="114"/>
      <c r="L32" s="114"/>
      <c r="M32" s="114"/>
      <c r="N32" s="114"/>
      <c r="O32" s="114"/>
      <c r="P32" s="114"/>
      <c r="Q32" s="112"/>
      <c r="R32" s="112"/>
      <c r="S32" s="112"/>
      <c r="T32" s="112"/>
      <c r="U32" s="112"/>
      <c r="V32" s="112"/>
      <c r="W32" s="112"/>
      <c r="X32" s="112"/>
      <c r="Y32" s="112"/>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137" t="s">
        <v>61</v>
      </c>
      <c r="B34" s="138"/>
      <c r="C34" s="139"/>
      <c r="D34" s="139"/>
      <c r="E34" s="139"/>
      <c r="F34" s="139"/>
      <c r="G34" s="139"/>
      <c r="H34" s="139"/>
      <c r="I34" s="139"/>
      <c r="J34" s="139"/>
      <c r="K34" s="139"/>
      <c r="L34" s="139"/>
      <c r="M34" s="139"/>
      <c r="N34" s="139"/>
      <c r="O34" s="139"/>
      <c r="P34" s="139"/>
      <c r="Q34" s="140"/>
      <c r="R34" s="140"/>
      <c r="S34" s="140"/>
      <c r="T34" s="140"/>
      <c r="U34" s="140"/>
      <c r="V34" s="140"/>
      <c r="W34" s="140"/>
      <c r="X34" s="140"/>
      <c r="Y34" s="140"/>
    </row>
    <row r="35" customFormat="false" ht="15.75" hidden="false" customHeight="true" outlineLevel="0" collapsed="false">
      <c r="A35" s="74"/>
      <c r="B35" s="141" t="s">
        <v>62</v>
      </c>
      <c r="C35" s="141" t="s">
        <v>63</v>
      </c>
      <c r="D35" s="141" t="s">
        <v>64</v>
      </c>
      <c r="E35" s="141" t="s">
        <v>65</v>
      </c>
      <c r="F35" s="141" t="s">
        <v>66</v>
      </c>
      <c r="G35" s="142" t="s">
        <v>67</v>
      </c>
      <c r="H35" s="141" t="s">
        <v>68</v>
      </c>
      <c r="I35" s="141" t="s">
        <v>69</v>
      </c>
      <c r="J35" s="141" t="s">
        <v>70</v>
      </c>
      <c r="K35" s="141" t="s">
        <v>71</v>
      </c>
      <c r="L35" s="141" t="s">
        <v>72</v>
      </c>
      <c r="M35" s="141" t="s">
        <v>73</v>
      </c>
      <c r="N35" s="141" t="s">
        <v>74</v>
      </c>
      <c r="O35" s="141" t="s">
        <v>75</v>
      </c>
      <c r="P35" s="143"/>
    </row>
    <row r="36" customFormat="false" ht="15.75" hidden="false" customHeight="true" outlineLevel="0" collapsed="false">
      <c r="A36" s="74"/>
      <c r="B36" s="141" t="s">
        <v>76</v>
      </c>
      <c r="C36" s="141" t="s">
        <v>77</v>
      </c>
      <c r="D36" s="141" t="s">
        <v>78</v>
      </c>
      <c r="E36" s="141" t="s">
        <v>79</v>
      </c>
      <c r="F36" s="141" t="s">
        <v>80</v>
      </c>
      <c r="G36" s="142" t="s">
        <v>81</v>
      </c>
      <c r="H36" s="141" t="s">
        <v>82</v>
      </c>
      <c r="I36" s="141" t="s">
        <v>83</v>
      </c>
      <c r="J36" s="141" t="s">
        <v>84</v>
      </c>
      <c r="K36" s="143"/>
      <c r="L36" s="141" t="s">
        <v>85</v>
      </c>
      <c r="M36" s="141" t="s">
        <v>86</v>
      </c>
      <c r="N36" s="141" t="s">
        <v>87</v>
      </c>
      <c r="O36" s="141" t="s">
        <v>88</v>
      </c>
      <c r="P36" s="143"/>
    </row>
    <row r="37" customFormat="false" ht="15.75" hidden="false" customHeight="true" outlineLevel="0" collapsed="false">
      <c r="A37" s="74"/>
      <c r="B37" s="141" t="s">
        <v>89</v>
      </c>
      <c r="C37" s="141" t="s">
        <v>90</v>
      </c>
      <c r="D37" s="141" t="s">
        <v>91</v>
      </c>
      <c r="E37" s="141" t="s">
        <v>92</v>
      </c>
      <c r="F37" s="141" t="s">
        <v>93</v>
      </c>
      <c r="G37" s="142" t="s">
        <v>94</v>
      </c>
      <c r="H37" s="141" t="s">
        <v>95</v>
      </c>
      <c r="I37" s="143"/>
      <c r="J37" s="141" t="s">
        <v>96</v>
      </c>
      <c r="K37" s="143"/>
      <c r="L37" s="141" t="s">
        <v>97</v>
      </c>
      <c r="M37" s="141" t="s">
        <v>98</v>
      </c>
      <c r="N37" s="141" t="s">
        <v>99</v>
      </c>
      <c r="O37" s="141" t="s">
        <v>100</v>
      </c>
      <c r="P37" s="143"/>
    </row>
    <row r="38" customFormat="false" ht="15.75" hidden="false" customHeight="true" outlineLevel="0" collapsed="false">
      <c r="A38" s="74"/>
      <c r="B38" s="141" t="s">
        <v>101</v>
      </c>
      <c r="C38" s="141" t="s">
        <v>102</v>
      </c>
      <c r="D38" s="141" t="s">
        <v>103</v>
      </c>
      <c r="E38" s="141" t="s">
        <v>104</v>
      </c>
      <c r="F38" s="141" t="s">
        <v>105</v>
      </c>
      <c r="G38" s="142" t="s">
        <v>106</v>
      </c>
      <c r="H38" s="141" t="s">
        <v>107</v>
      </c>
      <c r="I38" s="143"/>
      <c r="J38" s="141" t="s">
        <v>108</v>
      </c>
      <c r="K38" s="143"/>
      <c r="L38" s="141" t="s">
        <v>109</v>
      </c>
      <c r="M38" s="141" t="s">
        <v>110</v>
      </c>
      <c r="N38" s="141" t="s">
        <v>111</v>
      </c>
      <c r="O38" s="141" t="s">
        <v>112</v>
      </c>
      <c r="P38" s="143"/>
    </row>
    <row r="39" customFormat="false" ht="15.75" hidden="false" customHeight="true" outlineLevel="0" collapsed="false">
      <c r="A39" s="74"/>
      <c r="B39" s="141" t="s">
        <v>113</v>
      </c>
      <c r="C39" s="141" t="s">
        <v>114</v>
      </c>
      <c r="D39" s="143"/>
      <c r="E39" s="141" t="s">
        <v>115</v>
      </c>
      <c r="F39" s="141" t="s">
        <v>116</v>
      </c>
      <c r="G39" s="142" t="s">
        <v>117</v>
      </c>
      <c r="H39" s="141" t="s">
        <v>118</v>
      </c>
      <c r="I39" s="143"/>
      <c r="J39" s="141" t="s">
        <v>119</v>
      </c>
      <c r="K39" s="143"/>
      <c r="L39" s="141" t="s">
        <v>120</v>
      </c>
      <c r="M39" s="143"/>
      <c r="N39" s="141" t="s">
        <v>121</v>
      </c>
      <c r="O39" s="141" t="s">
        <v>122</v>
      </c>
      <c r="P39" s="143"/>
    </row>
    <row r="40" customFormat="false" ht="15.75" hidden="false" customHeight="true" outlineLevel="0" collapsed="false">
      <c r="A40" s="74"/>
      <c r="B40" s="75"/>
      <c r="C40" s="76"/>
      <c r="D40" s="76"/>
      <c r="E40" s="76"/>
      <c r="F40" s="76"/>
      <c r="G40" s="76"/>
      <c r="H40" s="76"/>
      <c r="I40" s="76"/>
      <c r="J40" s="76"/>
      <c r="K40" s="76"/>
      <c r="L40" s="76"/>
      <c r="M40" s="76"/>
      <c r="N40" s="76"/>
      <c r="O40" s="76"/>
      <c r="P40" s="76"/>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c r="A232" s="74"/>
      <c r="B232" s="75"/>
      <c r="C232" s="76"/>
      <c r="D232" s="76"/>
      <c r="E232" s="76"/>
      <c r="F232" s="76"/>
      <c r="G232" s="76"/>
      <c r="H232" s="76"/>
      <c r="I232" s="76"/>
      <c r="J232" s="76"/>
      <c r="K232" s="76"/>
      <c r="L232" s="76"/>
      <c r="M232" s="76"/>
      <c r="N232" s="76"/>
      <c r="O232" s="76"/>
      <c r="P232" s="76"/>
    </row>
    <row r="233" customFormat="false" ht="15.75" hidden="false" customHeight="true" outlineLevel="0" collapsed="false">
      <c r="A233" s="74"/>
      <c r="B233" s="75"/>
      <c r="C233" s="76"/>
      <c r="D233" s="76"/>
      <c r="E233" s="76"/>
      <c r="F233" s="76"/>
      <c r="G233" s="76"/>
      <c r="H233" s="76"/>
      <c r="I233" s="76"/>
      <c r="J233" s="76"/>
      <c r="K233" s="76"/>
      <c r="L233" s="76"/>
      <c r="M233" s="76"/>
      <c r="N233" s="76"/>
      <c r="O233" s="76"/>
      <c r="P233" s="76"/>
    </row>
    <row r="234" customFormat="false" ht="15.75" hidden="false" customHeight="true" outlineLevel="0" collapsed="false">
      <c r="A234" s="74"/>
      <c r="B234" s="75"/>
      <c r="C234" s="76"/>
      <c r="D234" s="76"/>
      <c r="E234" s="76"/>
      <c r="F234" s="76"/>
      <c r="G234" s="76"/>
      <c r="H234" s="76"/>
      <c r="I234" s="76"/>
      <c r="J234" s="76"/>
      <c r="K234" s="76"/>
      <c r="L234" s="76"/>
      <c r="M234" s="76"/>
      <c r="N234" s="76"/>
      <c r="O234" s="76"/>
      <c r="P234" s="76"/>
    </row>
    <row r="235" customFormat="false" ht="15.75" hidden="false" customHeight="true" outlineLevel="0" collapsed="false">
      <c r="A235" s="74"/>
      <c r="B235" s="75"/>
      <c r="C235" s="76"/>
      <c r="D235" s="76"/>
      <c r="E235" s="76"/>
      <c r="F235" s="76"/>
      <c r="G235" s="76"/>
      <c r="H235" s="76"/>
      <c r="I235" s="76"/>
      <c r="J235" s="76"/>
      <c r="K235" s="76"/>
      <c r="L235" s="76"/>
      <c r="M235" s="76"/>
      <c r="N235" s="76"/>
      <c r="O235" s="76"/>
      <c r="P235" s="76"/>
    </row>
    <row r="236" customFormat="false" ht="15.75" hidden="false" customHeight="true" outlineLevel="0" collapsed="false">
      <c r="A236" s="74"/>
      <c r="B236" s="75"/>
      <c r="C236" s="76"/>
      <c r="D236" s="76"/>
      <c r="E236" s="76"/>
      <c r="F236" s="76"/>
      <c r="G236" s="76"/>
      <c r="H236" s="76"/>
      <c r="I236" s="76"/>
      <c r="J236" s="76"/>
      <c r="K236" s="76"/>
      <c r="L236" s="76"/>
      <c r="M236" s="76"/>
      <c r="N236" s="76"/>
      <c r="O236" s="76"/>
      <c r="P236" s="76"/>
    </row>
    <row r="237" customFormat="false" ht="15.75" hidden="false" customHeight="true" outlineLevel="0" collapsed="false">
      <c r="A237" s="74"/>
      <c r="B237" s="75"/>
      <c r="C237" s="76"/>
      <c r="D237" s="76"/>
      <c r="E237" s="76"/>
      <c r="F237" s="76"/>
      <c r="G237" s="76"/>
      <c r="H237" s="76"/>
      <c r="I237" s="76"/>
      <c r="J237" s="76"/>
      <c r="K237" s="76"/>
      <c r="L237" s="76"/>
      <c r="M237" s="76"/>
      <c r="N237" s="76"/>
      <c r="O237" s="76"/>
      <c r="P237" s="76"/>
    </row>
    <row r="238" customFormat="false" ht="15.75" hidden="false" customHeight="true" outlineLevel="0" collapsed="false">
      <c r="A238" s="74"/>
      <c r="B238" s="75"/>
      <c r="C238" s="76"/>
      <c r="D238" s="76"/>
      <c r="E238" s="76"/>
      <c r="F238" s="76"/>
      <c r="G238" s="76"/>
      <c r="H238" s="76"/>
      <c r="I238" s="76"/>
      <c r="J238" s="76"/>
      <c r="K238" s="76"/>
      <c r="L238" s="76"/>
      <c r="M238" s="76"/>
      <c r="N238" s="76"/>
      <c r="O238" s="76"/>
      <c r="P238" s="76"/>
    </row>
    <row r="239" customFormat="false" ht="15.75" hidden="false" customHeight="true" outlineLevel="0" collapsed="false">
      <c r="A239" s="74"/>
      <c r="B239" s="75"/>
      <c r="C239" s="76"/>
      <c r="D239" s="76"/>
      <c r="E239" s="76"/>
      <c r="F239" s="76"/>
      <c r="G239" s="76"/>
      <c r="H239" s="76"/>
      <c r="I239" s="76"/>
      <c r="J239" s="76"/>
      <c r="K239" s="76"/>
      <c r="L239" s="76"/>
      <c r="M239" s="76"/>
      <c r="N239" s="76"/>
      <c r="O239" s="76"/>
      <c r="P239" s="76"/>
    </row>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J3" r:id="rId7" display="https://brwmania.com.ua/gostinaja/modulnye-gostinye/sistema_nepo/gerbor-gerbor-prihozhaya-nepo-nepo-ppk-dub-sonoma/"/>
    <hyperlink ref="L3" r:id="rId8" display="https://brwmania.com.ua/gostinaja/komplekty-gostinyh/stinka-kvatro-venge-magia/"/>
    <hyperlink ref="M3" r:id="rId9" display="https://brwmania.com.ua/gostinaja/modulnye-gostinye/sistema-vusher-vusher/010-vusher-komod-kom-1w2d2s/"/>
    <hyperlink ref="O3" r:id="rId10" display="https://brwmania.com.ua/gostinaja/modulnye-gostinye/sistema-alisa-alisa-gerbor/gerbor-gerbor-tumba-pod-televizor-alisa-rtv2s2k/"/>
    <hyperlink ref="A4" r:id="rId11" display="http://redlight.com.ua/"/>
    <hyperlink ref="B4" r:id="rId12" display="http://redlight.com.ua/tv-stands/item-tumba-tv-rtv2d2s-4-15-atsteka"/>
    <hyperlink ref="C4" r:id="rId13" display="http://redlight.com.ua/komod/item-komod-kom4s-8-11-atsteka"/>
    <hyperlink ref="D4" r:id="rId14" display="http://redlight.com.ua/komod/item-komod-jkom-4s-80-indiana"/>
    <hyperlink ref="E4" r:id="rId15" display="http://redlight.com.ua/stoly/item-stol-pismenniy-jbiu-2d2s-indiana"/>
    <hyperlink ref="F4" r:id="rId16" display="http://redlight.com.ua/komod/item-komod-kom4s-90-dzhuli"/>
    <hyperlink ref="A5" r:id="rId17" display="https://mebli-bristol.com.ua/"/>
    <hyperlink ref="O5" r:id="rId18" display="https://mebli-bristol.com.ua/alisa-tumba-rtv-2s2k-gerbor.html"/>
    <hyperlink ref="A6" r:id="rId19" display="http://gerbor.kiev.ua/"/>
    <hyperlink ref="B6" r:id="rId20" display="https://gerbor.kiev.ua/mebelnye-sistemy/mebel-brw-azteca/azteca-tumba-tv-rtv2d2s-brv/"/>
    <hyperlink ref="C6" r:id="rId21" display="https://gerbor.kiev.ua/mebelnye-sistemy/mebel-brw-azteca/azteca-komod-kom4s-brv/"/>
    <hyperlink ref="D6" r:id="rId22" display="https://gerbor.kiev.ua/mebelnye-sistemy/mebel-indiana-brw/indiana-komod-jkom4s80-brv/"/>
    <hyperlink ref="E6" r:id="rId23" display="https://gerbor.kiev.ua/mebelnye-sistemy/mebel-indiana-brw/indiana-stol-pismennyy-jbiu2d2s140-brv/"/>
    <hyperlink ref="F6" r:id="rId24" display="https://gerbor.kiev.ua/mebelnye-sistemy/mebel-july-brw/july-komod-kom4s90-brv/"/>
    <hyperlink ref="O6" r:id="rId25" display="https://gerbor.kiev.ua/mebelnye-sistemy/mebel-alisa-gerbor/alisa-tumba-tv-rtv2s2k-gerbor/"/>
    <hyperlink ref="A7" r:id="rId26" display="http://www.brwland.com.ua/"/>
    <hyperlink ref="B7" r:id="rId27" display="http://www.brwland.com.ua/product/azteca-tumba-tv-rtv2d2s415-brv-ukraina/"/>
    <hyperlink ref="C7" r:id="rId28" display="http://www.brwland.com.ua/product/azteca-komod-kom4s811-brv-ukraina/"/>
    <hyperlink ref="D7" r:id="rId29" display="http://www.brwland.com.ua/product/mebel-indiana-komod-jkom-4s-80-gerbor/"/>
    <hyperlink ref="E7" r:id="rId30" display="http://www.brwland.com.ua/product/mebel-indiana-stol-pismennyj-jbiu-2d2s-140-gerbor/"/>
    <hyperlink ref="F7" r:id="rId31" display="http://www.brwland.com.ua/product/dzhuli-komod-kom4s90-brv-ukraina/"/>
    <hyperlink ref="O7" r:id="rId32" display="https://brwland.com.ua/product/alisa-tumba-tv-rtv2s2k-gerbor/"/>
    <hyperlink ref="A8" r:id="rId33" display="http://gerbor.dp.ua/"/>
    <hyperlink ref="A9" r:id="rId34" display="https://www.dybok.com.ua/"/>
    <hyperlink ref="B9" r:id="rId35" display="https://www.dybok.com.ua/ru/product/detail/35816"/>
    <hyperlink ref="C9" r:id="rId36" display="https://www.dybok.com.ua/ru/product/detail/35870"/>
    <hyperlink ref="D9" r:id="rId37" display="https://www.dybok.com.ua/ru/product/detail/55516"/>
    <hyperlink ref="E9" r:id="rId38" display="https://www.dybok.com.ua/ru/product/detail/4291"/>
    <hyperlink ref="F9" r:id="rId39" display="https://www.dybok.com.ua/ru/product/detail/9798"/>
    <hyperlink ref="G9" r:id="rId40" display="https://www.dybok.com.ua/ru/product/detail/35840"/>
    <hyperlink ref="H9" r:id="rId41" display="https://www.dybok.com.ua/ru/product/detail/261"/>
    <hyperlink ref="J9" r:id="rId42" display="https://www.dybok.com.ua/ru/product/detail/18085"/>
    <hyperlink ref="K9" r:id="rId43" display="https://www.dybok.com.ua/ru/product/detail/50410"/>
    <hyperlink ref="O9" r:id="rId44" display="https://www.dybok.com.ua/ua/product/detail/80992"/>
    <hyperlink ref="A10" r:id="rId45" display="https://vashamebel.in.ua/"/>
    <hyperlink ref="B10" r:id="rId46" display="https://vashamebel.in.ua/tumba-tv-brv-atsteka-rtv2d2s415/p12722"/>
    <hyperlink ref="C10" r:id="rId47" display="https://vashamebel.in.ua/komod-brv-atsteka-kom4s811/p12731"/>
    <hyperlink ref="D10" r:id="rId48" display="https://vashamebel.in.ua/komod-brv-indiana-jkom4s80/p921"/>
    <hyperlink ref="E10" r:id="rId49" display="https://vashamebel.in.ua/stol-pismennyij-brv-indiana-jbiu-2d2s/p916"/>
    <hyperlink ref="F10" r:id="rId50" display="https://vashamebel.in.ua/komod-brv-dzhuli-kom4s90/p7958"/>
    <hyperlink ref="I10" r:id="rId51" display="0 грн"/>
    <hyperlink ref="A11" r:id="rId52" display="http://mebel-mebel.com.ua/"/>
    <hyperlink ref="B11" r:id="rId53" display="https://mebel-mebel.com.ua/eshop/dom-tumby-dlia-tv/tumba_rtv2d2s_4_15_atsteka-id461.html"/>
    <hyperlink ref="C11" r:id="rId54" display="https://mebel-mebel.com.ua/eshop/dom-komody/komod_kom4s_8_11_atsteka-id496.html"/>
    <hyperlink ref="D11" r:id="rId55" display="https://mebel-mebel.com.ua/eshop/dom-komody/komod_jkom_4s80_indiana-id663.html"/>
    <hyperlink ref="E11" r:id="rId56" display="https://mebel-mebel.com.ua/eshop/dom-stoly-kompiuternye/stol_pismenniy_jbiu_2d2s_140_indiana-id659.html"/>
    <hyperlink ref="F11" r:id="rId57" display="https://mebel-mebel.com.ua/eshop/dom-komody/komod_kom_4s_90_dzhuli-id569.html"/>
    <hyperlink ref="K11" r:id="rId58" display="https://mebel-mebel.com.ua/eshop/dom-stenki-dlia-gostinoi/gostinaya_alyaska-id50834.html"/>
    <hyperlink ref="A12" r:id="rId59" display="http://abcmebli.com.ua"/>
    <hyperlink ref="B12" r:id="rId60" display="https://abcmebli.com.ua/p14992-tumba_tv_rtv2d2s-4-15_atsteka"/>
    <hyperlink ref="C12" r:id="rId61" display="https://abcmebli.com.ua/p15683-atsteka_komod_kom4s-8-11_brv"/>
    <hyperlink ref="F12" r:id="rId62" display="https://abcmebli.com.ua/p8553-komod_kom4s-90_july"/>
    <hyperlink ref="A13" r:id="rId63" display="https://gerbor.mebelok.com/"/>
    <hyperlink ref="O13" r:id="rId64" display="https://www.mebelok.com/tumba-tv-rtv2s2k-alisa/"/>
    <hyperlink ref="A14" r:id="rId65" display="http://maxmebel.com.ua/"/>
    <hyperlink ref="A15" r:id="rId66" display="https://moyamebel.com.ua/ua"/>
    <hyperlink ref="A16" r:id="rId67" display="https://mebel-soyuz.com.ua/"/>
    <hyperlink ref="O16" r:id="rId68" display="https://mebel-soyuz.com.ua/timba-RTV2S2K-alisa-gerbor.html"/>
    <hyperlink ref="A17" r:id="rId69" display="https://sofino.ua/"/>
    <hyperlink ref="A18" r:id="rId70" display="https://www.brw-kiev.com.ua/"/>
    <hyperlink ref="A19" r:id="rId71" display="https://brw.kiev.ua/"/>
    <hyperlink ref="B19" r:id="rId72" display="https://brw.kiev.ua/mebel-brw-ukraina/azteca/tumba-tv-rtv2d2s-azteca-brv/"/>
    <hyperlink ref="C19" r:id="rId73" display="https://brw.kiev.ua/mebel-brw-ukraina/azteca/komod-kom4s-azteca-brv/"/>
    <hyperlink ref="D19" r:id="rId74" display="https://brw.kiev.ua/mebel-brw-ukraina/indiana-kanjon/komod-jkom4s80-indiana-brv-kanjon/"/>
    <hyperlink ref="E19" r:id="rId75" display="https://brw.kiev.ua/mebel-brw-ukraina/indiana-shutter/stol-pismennyy-jbiu2d2s140-indiana-brv-shutter/"/>
    <hyperlink ref="F19" r:id="rId76" display="https://brw.kiev.ua/mebel-brw-ukraina/july/komod-kom4s90-july-brv/"/>
    <hyperlink ref="O19" r:id="rId77" display="https://brw.kiev.ua/mebel-gerbor/alisa/tumba-tv-rtv2s2k-alisa-gerbor/"/>
    <hyperlink ref="A20" r:id="rId78" display="https://lvivmebli.com/"/>
    <hyperlink ref="A21" r:id="rId79" display="http://centrmebliv.com.ua/"/>
    <hyperlink ref="A22" r:id="rId80" display="https://letromebel.com.ua/"/>
    <hyperlink ref="B22" r:id="rId81" display="https://letromebel.com.ua/p566111870-tumba-rtv2d2s415-atsteka.html"/>
    <hyperlink ref="C22" r:id="rId82" display="https://letromebel.com.ua/p566126810-komod-kom4s811-atsteka.html"/>
    <hyperlink ref="D22" r:id="rId83" display="https://letromebel.com.ua/p566921861-komod-jkom4s80-indiana.html"/>
    <hyperlink ref="E22" r:id="rId84" display="https://letromebel.com.ua/p566921329-stol-pismennyj-jbiu2d2s140.html"/>
    <hyperlink ref="F22" r:id="rId85" display="https://letromebel.com.ua/p445989920-komod-kom-dzhuli.html"/>
    <hyperlink ref="A23" r:id="rId86" display="https://shurup.net.ua/"/>
    <hyperlink ref="B23" r:id="rId87" display="https://shurup.net.ua/azteca-acteka-tumba-rtv2d2s415.p17205"/>
    <hyperlink ref="C23" r:id="rId88" display="https://shurup.net.ua/azteca-acteka-komod-kom4s811.p17200"/>
    <hyperlink ref="D23" r:id="rId89" display="https://shurup.net.ua/komod-jkom-4s80-indiana-sosna-kanon.p9412"/>
    <hyperlink ref="E23" r:id="rId90" display="https://shurup.net.ua/stol-pismennyj-jbiu-2d2s-140-indiana-dub-shutter.p5488"/>
    <hyperlink ref="F23" r:id="rId91" display="https://shurup.net.ua/komod-kom-4s-90-dzhuli.p7011"/>
    <hyperlink ref="A24" r:id="rId92" display="https://www.taburetka.ua"/>
    <hyperlink ref="A25" r:id="rId93" display="http://www.maxidom.com.ua/"/>
    <hyperlink ref="B25" r:id="rId94" display="http://www.maxidom.com.ua/tumba-rtv-atsteka-2d2s415.html?search_string=%D2%F3%EC%E1%E0+%D0%D2%C2+%C0%F6%F2%E5%EA%E0+2D2S%2F4%2F15"/>
    <hyperlink ref="C25" r:id="rId95" display="http://www.maxidom.com.ua/komod-atsteka-kom4s811.html?search_string=%CA%EE%EC%EE%E4+%C0%F6%F2%E5%EA%E0+KOM4S%2F8%2F11"/>
    <hyperlink ref="D25" r:id="rId96" display="http://www.maxidom.com.ua/komod_indiana_jkom4s80.html?search_string=%CA%EE%EC%EE%E4+%C8%ED%E4%E8%E0%ED%E0+JKOM4s%2F80"/>
    <hyperlink ref="E25" r:id="rId97" display="http://www.maxidom.com.ua/stol_pismenniy_indiana_jbiu2d2s.html?search_string=%D1%F2%EE%EB+%EF%E8%F1%FC%EC%E5%ED%ED%FB%E9+%C8%ED%E4%E8%E0%ED%E0+JBIU2d2s"/>
    <hyperlink ref="F25" r:id="rId98" display="http://www.maxidom.com.ua/komod-kom4s90-dzhuli.html?search_string=%CA%EE%EC%EE%E4+KOM4S%2F90+%C4%E6%F3%EB%E8"/>
    <hyperlink ref="A26" r:id="rId99" display="https://mebel-online.com.ua"/>
    <hyperlink ref="B26" r:id="rId100" display="https://mebel-online.com.ua/tymba-rtv2d2s-4-15-azteca?filter_name=azteca"/>
    <hyperlink ref="C26" r:id="rId101" display="https://mebel-online.com.ua/komod-kom4s-8-11-azteca?filter_name=azteca"/>
    <hyperlink ref="D26" r:id="rId102" display="https://mebel-online.com.ua/p5228-komod_jkom_4s_80_indiana_brw?filter_name=%D0%B8%D0%BD%D0%B4%D0%B8%D0%B0%D0%BD%D0%B0"/>
    <hyperlink ref="E26" r:id="rId103" display="https://mebel-online.com.ua/p5223-stol_pismenniy_jbiu_2d2s_140_indiana_brw?filter_name=%D0%B8%D0%BD%D0%B4%D0%B8%D0%B0%D0%BD%D0%B0"/>
    <hyperlink ref="F26" r:id="rId104" display="https://mebel-online.com.ua/komod-kom4s-90-july?filter_name=july"/>
    <hyperlink ref="A27" r:id="rId105" display="https://mebelnuy.com.ua/"/>
    <hyperlink ref="F27" r:id="rId106" display="https://mebelnuy.com.ua/komod-kom4s-90-dzhuli-brv?search=%D0%94%D0%96%D0%A3%D0%9B%D0%98%20KOM4S%2F90&amp;description=true"/>
    <hyperlink ref="A28" r:id="rId107" display="https://amado.com.ua"/>
    <hyperlink ref="B28" r:id="rId108" display="https://amado.com.ua/gostinaya/komody-i-tumby-v-gostinuyu/acteka-tumba-rtv2d2s-4-15-brw"/>
    <hyperlink ref="C28" r:id="rId109" display="https://amado.com.ua/gostinaya/komody-i-tumby-v-gostinuyu/acteka-komod-kom4s-8-11-brw"/>
    <hyperlink ref="D28" r:id="rId110" display="https://amado.com.ua/detskaya/komody-i-tumby-dlya-detskoj/indiana-komod-jkom-4s-80-sosna-kanon-brw"/>
    <hyperlink ref="E28" r:id="rId111" display="https://amado.com.ua/detskaya/stoly-i-nadstrojki/indiana-stol-pismennyj-jbiu-2d2s-140-sosna-kanon-brw"/>
    <hyperlink ref="F28" r:id="rId112" display="https://amado.com.ua/gostinaya/komody-i-tumby-v-gostinuyu/dzhuli-komod-kom4s-90-brw"/>
    <hyperlink ref="A31" r:id="rId113" display="https://epicentrk.ua/ua"/>
    <hyperlink ref="B35" r:id="rId114" display="https://prom.ua/p1167879150-tumba-pod-rtv.html?"/>
    <hyperlink ref="C35" r:id="rId115" display="https://prom.ua/p983011265-komod-kom-811.html?"/>
    <hyperlink ref="D35" r:id="rId116" display="https://prom.ua/p544656153-komod-jkom-4s80.html?"/>
    <hyperlink ref="E35" r:id="rId117" display="https://prom.ua/p781599812-indiana-kanon-stol.html?"/>
    <hyperlink ref="F35" r:id="rId118" display="https://prom.ua/p54713987-komod-kom-4s90.html?"/>
    <hyperlink ref="G35" r:id="rId119" display="https://prom.ua/p544657658-shkaf-platyanoj-szf3d2s.html?"/>
    <hyperlink ref="H35" r:id="rId120" display="https://prom.ua/p46283355-komod-sonata-sonata.html?"/>
    <hyperlink ref="I35" r:id="rId121" display="https://prom.ua/p54675546-stol-pismennyj-biu.html?"/>
    <hyperlink ref="J35" r:id="rId122" display="https://prom.ua/p239247927-prihozhaya-ppk-nepo.html?"/>
    <hyperlink ref="K35" r:id="rId123" display="https://prom.ua/p542591704-gostinaya-alyaska-alaska.html?&amp;primelead=MC43NA"/>
    <hyperlink ref="L35" r:id="rId124" display="https://prom.ua/p24569524-gostinaya-kvatro-gerbor.html?"/>
    <hyperlink ref="M35" r:id="rId125" display="https://prom.ua/p553476998-bufet-kom1w2d2s915-gerbor.html?"/>
    <hyperlink ref="N35" r:id="rId126" display="https://prom.ua/p1248775724-komod-brv-german.html?"/>
    <hyperlink ref="O35" r:id="rId127" display="https://prom.ua/p1274217210-tumba-rtv2s2k-alisa.html?"/>
    <hyperlink ref="B36" r:id="rId128" display="https://prom.ua/p181257399-tumba-pod-rtv.html?"/>
    <hyperlink ref="C36" r:id="rId129" display="https://prom.ua/p1280431425-komod-kom4s811-atsteka.html?"/>
    <hyperlink ref="D36" r:id="rId130" display="https://prom.ua/p781599816-indiana-kanon-komod.html?"/>
    <hyperlink ref="E36" r:id="rId131" display="https://prom.ua/p1046920683-stol-pismennyj-indiana.html?"/>
    <hyperlink ref="F36" r:id="rId132" display="https://prom.ua/p553477017-dzhuli-komod-kom4s90.html?"/>
    <hyperlink ref="G36" r:id="rId133" display="https://prom.ua/p664294628-shkaf-szf-3d2s.html?"/>
    <hyperlink ref="H36" r:id="rId134" display="https://prom.ua/p1211287637-komod-gerbor-sonata.html?"/>
    <hyperlink ref="I36" r:id="rId135" display="https://prom.ua/p360359972-stol-pismennyj-biu.html"/>
    <hyperlink ref="J36" r:id="rId136" display="https://prom.ua/p542943976-prihozhaya-ppk-nepo.html?"/>
    <hyperlink ref="L36" r:id="rId137" display="https://prom.ua/p1248753565-gostinaya-gerbor-kvatro.html?"/>
    <hyperlink ref="M36" r:id="rId138" display="https://prom.ua/p106094960-komod-vusher-kom.html?"/>
    <hyperlink ref="N36" r:id="rId139" display="https://prom.ua/p777526967-german-komod-kom3s912.html?"/>
    <hyperlink ref="O36" r:id="rId140" display="https://prom.ua/p1334713993-tumba-pod-rtv2s2k.html?"/>
    <hyperlink ref="B37" r:id="rId141" display="https://prom.ua/p886021256-tumba-pod-atsteka.html?"/>
    <hyperlink ref="C37" r:id="rId142" display="https://prom.ua/p1125567115-komod-azteca-kom4s811.html?"/>
    <hyperlink ref="D37" r:id="rId143" display="https://prom.ua/p1046925343-komod-indiana-jkom4s80.html?"/>
    <hyperlink ref="E37" r:id="rId144" display="https://prom.ua/p544656149-stol-pismennyj-jbiu.html?"/>
    <hyperlink ref="F37" r:id="rId145" display="https://prom.ua/p1248752651-komod-brv-dzhuli.html?"/>
    <hyperlink ref="G37" r:id="rId146" display="https://prom.ua/p644944451-porto-shkaf-szf3d2s.html?"/>
    <hyperlink ref="H37" r:id="rId147" display="https://prom.ua/p1288425504-komod-gerbor-sonata.html?"/>
    <hyperlink ref="J37" r:id="rId148" display="https://prom.ua/p553476454-nepo-prihozhaya-ppk.html?"/>
    <hyperlink ref="L37" r:id="rId149" display="https://prom.ua/p12120301-gostinaya-kvatro-venge.html"/>
    <hyperlink ref="M37" r:id="rId150" display="https://prom.ua/p83295231-komod-kom-1w2d2s.html"/>
    <hyperlink ref="N37" r:id="rId151" display="https://prom.ua/p847003898-german-komod-kom3s912.html?"/>
    <hyperlink ref="O37" r:id="rId152" display="https://prom.ua/p1248803640-tumba-gerbor-alisa.html?"/>
    <hyperlink ref="B38" r:id="rId153" display="https://prom.ua/p1214419043-tumba-pod-atsteka.html?"/>
    <hyperlink ref="C38" r:id="rId154" display="https://prom.ua/p1215683017-komod-atsteka-kom4s811.html?"/>
    <hyperlink ref="D38" r:id="rId155" display="https://prom.ua/p1183266470-komod-jkom-indiana.html"/>
    <hyperlink ref="E38" r:id="rId156" display="https://prom.ua/p1183292769-stol-pismennyj-jbiu.html"/>
    <hyperlink ref="F38" r:id="rId157" display="https://prom.ua/p1045568873-komod-dzhuli-kom4s90.html?"/>
    <hyperlink ref="G38" r:id="rId158" display="https://prom.ua/p1037803293-shkaf-platyanoj-szf.html"/>
    <hyperlink ref="H38" r:id="rId159" display="https://prom.ua/p1334931386-komod-gerbor-sonata.html?"/>
    <hyperlink ref="J38" r:id="rId160" display="https://prom.ua/p223321231-prihozhaya-ppk-nepo.html?"/>
    <hyperlink ref="L38" r:id="rId161" display="https://prom.ua/p18612661-gostinaya-kvatro.html"/>
    <hyperlink ref="M38" r:id="rId162" display="https://prom.ua/p1209395741-komod-vusher-kom1w2d2s.html"/>
    <hyperlink ref="N38" r:id="rId163" display="https://prom.ua/p1045115919-komod-german-kom3s912.html?"/>
    <hyperlink ref="O38" r:id="rId164" display="https://prom.ua/p1248803641-tumba-gerbor-alisa.html?"/>
    <hyperlink ref="B39" r:id="rId165" display="https://prom.ua/p1325973811-tumba-brv-atsteka.html?&amp;primelead=MC43OA"/>
    <hyperlink ref="C39" r:id="rId166" display="https://prom.ua/p1248752621-komod-brv-atsteka.html?"/>
    <hyperlink ref="E39" r:id="rId167" display="https://prom.ua/p372189619-stol-pismennyj-jbiu2d2s140.html"/>
    <hyperlink ref="F39" r:id="rId168" display="https://prom.ua/p1209396495-komod-kom4s90-dzhuli.html"/>
    <hyperlink ref="G39" r:id="rId169" display="https://prom.ua/p663109577-shkaf-platyanoj-szf3d2s.html"/>
    <hyperlink ref="H39" r:id="rId170" display="https://prom.ua/p553479263-komod-gerbor-sonata.html?"/>
    <hyperlink ref="J39" r:id="rId171" display="https://prom.ua/p890543855-prihozhaya-ppk-nepo.html?"/>
    <hyperlink ref="L39" r:id="rId172" display="https://prom.ua/p512224979-gostinaya-kvatro.html"/>
    <hyperlink ref="N39" r:id="rId173" display="https://prom.ua/p1206351035-komod-german-kom3s912.html?"/>
    <hyperlink ref="O39" r:id="rId174" display="https://prom.ua/p1220143520-tumba-pod-televizor.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30" t="s">
        <v>1</v>
      </c>
      <c r="C1" s="130" t="s">
        <v>2</v>
      </c>
      <c r="D1" s="130" t="s">
        <v>3</v>
      </c>
      <c r="E1" s="130" t="s">
        <v>4</v>
      </c>
      <c r="F1" s="131" t="s">
        <v>5</v>
      </c>
      <c r="G1" s="131" t="s">
        <v>6</v>
      </c>
      <c r="H1" s="131" t="s">
        <v>7</v>
      </c>
      <c r="I1" s="131" t="s">
        <v>8</v>
      </c>
      <c r="J1" s="124" t="s">
        <v>9</v>
      </c>
      <c r="K1" s="124" t="s">
        <v>15</v>
      </c>
      <c r="L1" s="123" t="s">
        <v>10</v>
      </c>
      <c r="M1" s="124" t="s">
        <v>11</v>
      </c>
      <c r="N1" s="124" t="s">
        <v>12</v>
      </c>
      <c r="O1" s="124" t="s">
        <v>13</v>
      </c>
      <c r="P1" s="124" t="s">
        <v>14</v>
      </c>
    </row>
    <row r="2" customFormat="false" ht="40.5" hidden="false" customHeight="true" outlineLevel="0" collapsed="false">
      <c r="A2" s="5" t="s">
        <v>16</v>
      </c>
      <c r="B2" s="6" t="n">
        <v>3890</v>
      </c>
      <c r="C2" s="7" t="n">
        <v>4760</v>
      </c>
      <c r="D2" s="7" t="n">
        <v>3890</v>
      </c>
      <c r="E2" s="7" t="n">
        <v>5910</v>
      </c>
      <c r="F2" s="8" t="n">
        <v>2370</v>
      </c>
      <c r="G2" s="8" t="n">
        <v>5666</v>
      </c>
      <c r="H2" s="8" t="n">
        <v>6980</v>
      </c>
      <c r="I2" s="8" t="n">
        <v>3530</v>
      </c>
      <c r="J2" s="10" t="n">
        <v>2290</v>
      </c>
      <c r="K2" s="10" t="n">
        <v>8900</v>
      </c>
      <c r="L2" s="10" t="n">
        <v>3730</v>
      </c>
      <c r="M2" s="10" t="n">
        <v>5020</v>
      </c>
      <c r="N2" s="10" t="n">
        <v>4680</v>
      </c>
      <c r="O2" s="10" t="n">
        <v>5510</v>
      </c>
      <c r="P2" s="10" t="n">
        <v>4400</v>
      </c>
    </row>
    <row r="3" customFormat="false" ht="48" hidden="false" customHeight="true" outlineLevel="0" collapsed="false">
      <c r="A3" s="78" t="s">
        <v>28</v>
      </c>
      <c r="B3" s="79" t="str">
        <f aca="false">HYPERLINK("https://brwmania.com.ua/gostinaja/modulnye-gostinye/sistema-azteka/tumba-pod-tv-acteka-rtv2d2s415/","3890")</f>
        <v>3890</v>
      </c>
      <c r="C3" s="80" t="str">
        <f aca="false">HYPERLINK("https://brwmania.com.ua/gostinaja/modulnye-gostinye/sistema-azteka/komod-acteka-kom4s811/","4760")</f>
        <v>4760</v>
      </c>
      <c r="D3" s="80" t="str">
        <f aca="false">HYPERLINK("https://brwmania.com.ua/gostinaja/modulnye-gostinye/sistema-indiana-indiana---dub-shuter/indiana-dub-shuter-laminat-j-011-komod-jkom-4s-80/","3890")</f>
        <v>3890</v>
      </c>
      <c r="E3" s="80" t="str">
        <f aca="false">HYPERLINK("https://brwmania.com.ua/gostinaja/modulnye-gostinye/sistema-indiana-indiana---dub-shuter/indiana-dub-shuter-laminat-j-007-stol-pismennyy-jbiu-2d2s-140/","5910")</f>
        <v>5910</v>
      </c>
      <c r="F3" s="80" t="str">
        <f aca="false">HYPERLINK("https://brwmania.com.ua/gostinaja/modulnye-gostinye/sistema_dzhuli/komod-dzhuli-july-kom4s-90/","2370")</f>
        <v>2370</v>
      </c>
      <c r="G3" s="80" t="str">
        <f aca="false">HYPERLINK("https://brwmania.com.ua/gostinaja/modulnye-gostinye/tovar-novij/shkaf-platjanoj-porto-szf3d2s/","5666")</f>
        <v>5666</v>
      </c>
      <c r="H3" s="80" t="str">
        <f aca="false">HYPERLINK("https://brwmania.com.ua/gostinaja/modulnye-gostinye/sistema-sonata-sonata/s-015-sonata-komod-8-s/","6980")</f>
        <v>6980</v>
      </c>
      <c r="I3" s="80" t="str">
        <f aca="false">HYPERLINK("https://brwmania.com.ua/gostinaja/modulnye-gostinye/sistema_kaspian_dub_sonoma/kaspian-dub-sonoma-jm-007-stol-pismennyy-biu-1d1s/","3530")</f>
        <v>3530</v>
      </c>
      <c r="J3" s="15" t="n">
        <v>2290</v>
      </c>
      <c r="K3" s="80" t="str">
        <f aca="false">HYPERLINK("https://brwmania.com.ua/gostinaja/komplekty-gostinyh/aljaska-alaska-gostinaja/","8900")</f>
        <v>8900</v>
      </c>
      <c r="L3" s="81" t="n">
        <v>3730</v>
      </c>
      <c r="M3" s="81" t="n">
        <v>5020</v>
      </c>
      <c r="N3" s="80" t="str">
        <f aca="false">HYPERLINK("https://brwmania.com.ua/gostinaja/modulnye-gostinye/sistema-german/komod-brw-german-kom3s-9-12-dub-stirling/","4680")</f>
        <v>4680</v>
      </c>
      <c r="O3" s="81" t="n">
        <v>5510</v>
      </c>
      <c r="P3" s="80" t="str">
        <f aca="false">HYPERLINK("https://brwmania.com.ua/gostinaja/modulnye-gostinye/sistema_koen_mdf/008-koen-mdf-komod-kom4s/","4400")</f>
        <v>4400</v>
      </c>
    </row>
    <row r="4" customFormat="false" ht="60.75" hidden="false" customHeight="true" outlineLevel="0" collapsed="false">
      <c r="A4" s="78" t="s">
        <v>29</v>
      </c>
      <c r="B4" s="35" t="str">
        <f aca="false">HYPERLINK("http://redlight.com.ua/tv-stands/item-tumba-tv-rtv2d2s-4-15-atsteka","3609")</f>
        <v>3609</v>
      </c>
      <c r="C4" s="32" t="str">
        <f aca="false">HYPERLINK("http://redlight.com.ua/komod/item-komod-kom4s-8-11-atsteka","4396")</f>
        <v>4396</v>
      </c>
      <c r="D4" s="32" t="str">
        <f aca="false">HYPERLINK("http://redlight.com.ua/komod/item-komod-jkom-4s-80-indiana","3605")</f>
        <v>3605</v>
      </c>
      <c r="E4" s="32" t="str">
        <f aca="false">HYPERLINK("http://redlight.com.ua/stoly/item-stol-pismenniy-jbiu-2d2s-indiana","5273")</f>
        <v>5273</v>
      </c>
      <c r="F4" s="27" t="str">
        <f aca="false">HYPERLINK("http://redlight.com.ua/komod/item-komod-kom4s-90-dzhuli","2225")</f>
        <v>2225</v>
      </c>
      <c r="G4" s="32" t="str">
        <f aca="false">HYPERLINK("http://redlight.com.ua/raspashnyye-shkafy/item-porto-shkaf-szf3d2s","5666")</f>
        <v>5666</v>
      </c>
      <c r="H4" s="27" t="str">
        <f aca="false">HYPERLINK("http://redlight.com.ua/komod/item-komod-8s-sonata-","6243")</f>
        <v>6243</v>
      </c>
      <c r="I4" s="34" t="str">
        <f aca="false">HYPERLINK("http://redlight.com.ua/stoly/item-kaspian-pismenniy-stol-biu-1d1s-120-kaspian","3011")</f>
        <v>3011</v>
      </c>
      <c r="J4" s="27" t="str">
        <f aca="false">HYPERLINK("http://redlight.com.ua/prihozhie/item-nepo-prihozhaya-rrk-","2046")</f>
        <v>2046</v>
      </c>
      <c r="K4" s="132" t="str">
        <f aca="false">HYPERLINK("http://redlight.com.ua/stenki/item-stenka-alyaska","7644")</f>
        <v>7644</v>
      </c>
      <c r="L4" s="27" t="str">
        <f aca="false">HYPERLINK("http://redlight.com.ua/stenki/item-stenka-kvatro","3373")</f>
        <v>3373</v>
      </c>
      <c r="M4" s="27" t="str">
        <f aca="false">HYPERLINK("https://redlight.com.ua/komod/item-tumba-kom-1w2d2s-9-15-vusher","4520")</f>
        <v>4520</v>
      </c>
      <c r="N4" s="27" t="str">
        <f aca="false">HYPERLINK("https://redlight.com.ua/komod/item-german-komod-kom-3s-9-12","4233")</f>
        <v>4233</v>
      </c>
      <c r="O4" s="27" t="str">
        <f aca="false">HYPERLINK("https://redlight.com.ua/tv-stands/item-alisa-tumba-rtv2s2k","5087")</f>
        <v>5087</v>
      </c>
      <c r="P4" s="27" t="str">
        <f aca="false">HYPERLINK("https://redlight.com.ua/komod/item-komod-kom4s-koen-(mdf)-","3931")</f>
        <v>3931</v>
      </c>
    </row>
    <row r="5" customFormat="false" ht="63" hidden="false" customHeight="true" outlineLevel="0" collapsed="false">
      <c r="A5" s="78" t="s">
        <v>30</v>
      </c>
      <c r="B5" s="35" t="str">
        <f aca="false">HYPERLINK("https://mebli-bristol.com.ua/acteka-tumba-rtv-2d2s-4-15-brv-ukraina.html","3890")</f>
        <v>3890</v>
      </c>
      <c r="C5" s="32" t="str">
        <f aca="false">HYPERLINK("https://mebli-bristol.com.ua/acteka-komod-kom-4s-8-11-brv-ukraina.html","4760")</f>
        <v>4760</v>
      </c>
      <c r="D5" s="32" t="str">
        <f aca="false">HYPERLINK("https://mebli-bristol.com.ua/indiana-komod-jkom-4s-80-sosna-kan-jon-brv-ukraina.html","3890")</f>
        <v>3890</v>
      </c>
      <c r="E5" s="32" t="str">
        <f aca="false">HYPERLINK("https://mebli-bristol.com.ua/indiana-stil-pis-movij-jbiu-2d2s-140-sosna-kan-jon-brv-ukraina.html","5910")</f>
        <v>5910</v>
      </c>
      <c r="F5" s="32" t="str">
        <f aca="false">HYPERLINK("https://mebli-bristol.com.ua/dzhuli-komod-kom-4s-90-brv-ukraina.html","2370")</f>
        <v>2370</v>
      </c>
      <c r="G5" s="32" t="str">
        <f aca="false">HYPERLINK("https://mebli-bristol.com.ua/porto-shafa-szf-3d2s-brv-ukraina.html","5666")</f>
        <v>5666</v>
      </c>
      <c r="H5" s="32" t="str">
        <f aca="false">HYPERLINK("https://mebli-bristol.com.ua/sonata-komod-8s-gerbor.html","6980")</f>
        <v>6980</v>
      </c>
      <c r="I5" s="32" t="str">
        <f aca="false">HYPERLINK("https://mebli-bristol.com.ua/kaspian-stil-pis-movij-biu-1d1s-120-dub-sonoma-brv-ukraina.html","3530")</f>
        <v>3530</v>
      </c>
      <c r="J5" s="95" t="str">
        <f aca="false">HYPERLINK("https://mebli-bristol.com.ua/nepo-peredpokij-ppk-gerbor-9728.html","1971")</f>
        <v>1971</v>
      </c>
      <c r="K5" s="27" t="str">
        <f aca="false">HYPERLINK("https://mebli-bristol.com.ua/aljaska-brv-ukraina.html","7964")</f>
        <v>7964</v>
      </c>
      <c r="L5" s="32" t="str">
        <f aca="false">HYPERLINK("https://mebli-bristol.com.ua/kvatro-gerbor.html","3730")</f>
        <v>3730</v>
      </c>
      <c r="M5" s="32" t="str">
        <f aca="false">HYPERLINK("https://mebli-bristol.com.ua/vusher-komod-kom-1w-2d2s-gerbor.html","5020")</f>
        <v>5020</v>
      </c>
      <c r="N5" s="32" t="str">
        <f aca="false">HYPERLINK("https://mebli-bristol.com.ua/german-komod-kom-3s-9-12-brv-ukraina.html","4680")</f>
        <v>4680</v>
      </c>
      <c r="O5" s="82" t="n">
        <v>5510</v>
      </c>
      <c r="P5" s="32" t="str">
        <f aca="false">HYPERLINK("https://mebli-bristol.com.ua/koen-komod-kom-4s-mdf-gerbor.html","4400")</f>
        <v>4400</v>
      </c>
    </row>
    <row r="6" customFormat="false" ht="60" hidden="false" customHeight="true" outlineLevel="0" collapsed="false">
      <c r="A6" s="78" t="s">
        <v>17</v>
      </c>
      <c r="B6" s="35" t="str">
        <f aca="false">HYPERLINK("https://gerbor.kiev.ua/mebelnye-sistemy/mebel-brw-azteca/azteca-tumba-tv-rtv2d2s-brv/","3699")</f>
        <v>3699</v>
      </c>
      <c r="C6" s="27" t="str">
        <f aca="false">HYPERLINK("https://gerbor.kiev.ua/mebelnye-sistemy/mebel-brw-azteca/azteca-komod-kom4s-brv/","4546")</f>
        <v>4546</v>
      </c>
      <c r="D6" s="27" t="str">
        <f aca="false">HYPERLINK("https://gerbor.kiev.ua/mebelnye-sistemy/mebel-indiana-brw/indiana-komod-jkom4s80-brv/","3755")</f>
        <v>3755</v>
      </c>
      <c r="E6" s="27" t="str">
        <f aca="false">HYPERLINK("https://gerbor.kiev.ua/mebelnye-sistemy/mebel-indiana-brw/indiana-stol-pismennyy-jbiu2d2s140-brv/","5473")</f>
        <v>5473</v>
      </c>
      <c r="F6" s="27" t="str">
        <f aca="false">HYPERLINK("https://gerbor.kiev.ua/mebelnye-sistemy/mebel-july-brw/july-komod-kom4s90-brv/","2225")</f>
        <v>2225</v>
      </c>
      <c r="G6" s="32" t="str">
        <f aca="false">HYPERLINK("https://gerbor.kiev.ua/mebelnye-sistemy/mebel-porto-brv/porto-shkaf-szf3d2s-brv/","5666")</f>
        <v>5666</v>
      </c>
      <c r="H6" s="32" t="str">
        <f aca="false">HYPERLINK("https://gerbor.kiev.ua/mebelnye-sistemy/mebel-sonata-gerbor/sonata-komod-8s-gerbor/","6980")</f>
        <v>6980</v>
      </c>
      <c r="I6" s="27" t="str">
        <f aca="false">HYPERLINK("https://gerbor.kiev.ua/mebelnye-sistemy/mebel-kaspian-sonoma-brw/kaspian-sonoma-stol-pismennyy-biu1d1s-brv/","3161")</f>
        <v>3161</v>
      </c>
      <c r="J6" s="32" t="str">
        <f aca="false">HYPERLINK("https://gerbor.kiev.ua/mebelnye-sistemy/mebel-nepo-gerbor/nepo-prikhozhaya-ppk-gerbor/","2290")</f>
        <v>2290</v>
      </c>
      <c r="K6" s="27" t="str">
        <f aca="false">HYPERLINK("https://gerbor.kiev.ua/mebelnye-sistemy/mebel-alaska-brw/alaska-gostinaya-brw/","7964")</f>
        <v>7964</v>
      </c>
      <c r="L6" s="83"/>
      <c r="M6" s="32" t="str">
        <f aca="false">HYPERLINK("https://gerbor.kiev.ua/mebelnye-sistemy/mebel-vusher-gerbor/vusher-komod-kom1w2d2s-gerbor/","5020")</f>
        <v>5020</v>
      </c>
      <c r="N6" s="27" t="str">
        <f aca="false">HYPERLINK("https://gerbor.kiev.ua/mebel-brv-ukraina/mebel-german-brw/german-komod-kom3s-brv/","4233")</f>
        <v>4233</v>
      </c>
      <c r="O6" s="82" t="n">
        <v>5510</v>
      </c>
      <c r="P6" s="27" t="str">
        <f aca="false">HYPERLINK("https://gerbor.kiev.ua/mebelnye-sistemy/mebel-koen-gerbor/koen-komod-kom4s-gerbor/","4400")</f>
        <v>4400</v>
      </c>
    </row>
    <row r="7" customFormat="false" ht="63" hidden="false" customHeight="true" outlineLevel="0" collapsed="false">
      <c r="A7" s="78" t="s">
        <v>18</v>
      </c>
      <c r="B7" s="35" t="str">
        <f aca="false">HYPERLINK("http://www.brwland.com.ua/product/azteca-tumba-tv-rtv2d2s415-brv-ukraina/","3699")</f>
        <v>3699</v>
      </c>
      <c r="C7" s="27" t="str">
        <f aca="false">HYPERLINK("http://www.brwland.com.ua/product/azteca-komod-kom4s811-brv-ukraina/","4546")</f>
        <v>4546</v>
      </c>
      <c r="D7" s="27" t="str">
        <f aca="false">HYPERLINK("http://www.brwland.com.ua/product/mebel-indiana-komod-jkom-4s-80-gerbor/","3755")</f>
        <v>3755</v>
      </c>
      <c r="E7" s="27" t="str">
        <f aca="false">HYPERLINK("http://www.brwland.com.ua/product/mebel-indiana-stol-pismennyj-jbiu-2d2s-140-gerbor/","5473")</f>
        <v>5473</v>
      </c>
      <c r="F7" s="27" t="str">
        <f aca="false">HYPERLINK("http://www.brwland.com.ua/product/dzhuli-komod-kom4s90-brv-ukraina/","2225")</f>
        <v>2225</v>
      </c>
      <c r="G7" s="32" t="str">
        <f aca="false">HYPERLINK("http://www.brwland.com.ua/product/porto-shkaf-szf3d2s-brv-ukraina/","5666")</f>
        <v>5666</v>
      </c>
      <c r="H7" s="32" t="str">
        <f aca="false">HYPERLINK("http://www.brwland.com.ua/product/komod-8s-sonata-gerbor/","6980")</f>
        <v>6980</v>
      </c>
      <c r="I7" s="27" t="str">
        <f aca="false">HYPERLINK("http://www.brwland.com.ua/product/kaspian-sonoma-stol-pismennyj-biu1d1s-brv-ukraina/","3161")</f>
        <v>3161</v>
      </c>
      <c r="J7" s="32" t="str">
        <f aca="false">HYPERLINK("http://www.brwland.com.ua/product/nepo-prihozhaja-ppk-gerbor/","2290")</f>
        <v>2290</v>
      </c>
      <c r="K7" s="27" t="str">
        <f aca="false">HYPERLINK("http://www.brwland.com.ua/product/gostinaja-aljaska-brv-ukraina/","7964")</f>
        <v>7964</v>
      </c>
      <c r="L7" s="95" t="str">
        <f aca="false">HYPERLINK("http://www.brwland.com.ua/product/komplekt-quatro/","3151")</f>
        <v>3151</v>
      </c>
      <c r="M7" s="32" t="str">
        <f aca="false">HYPERLINK("http://www.brwland.com.ua/product/vusher-bufet-kom1w2d2s915-gerbor/","5020")</f>
        <v>5020</v>
      </c>
      <c r="N7" s="32" t="str">
        <f aca="false">HYPERLINK("https://brwland.com.ua/product/german-komod-kom3s912-brv-ukraina/","4233")</f>
        <v>4233</v>
      </c>
      <c r="O7" s="82" t="n">
        <v>5510</v>
      </c>
      <c r="P7" s="32" t="str">
        <f aca="false">HYPERLINK("https://brwland.com.ua/product/koen-kom4s-komod-gerbor/","4400")</f>
        <v>4400</v>
      </c>
    </row>
    <row r="8" customFormat="false" ht="60" hidden="false" customHeight="true" outlineLevel="0" collapsed="false">
      <c r="A8" s="78" t="s">
        <v>31</v>
      </c>
      <c r="B8" s="35" t="str">
        <f aca="false">HYPERLINK("http://gerbor.dp.ua/index.php?route=product/product&amp;product_id=3138","0")</f>
        <v>0</v>
      </c>
      <c r="C8" s="32" t="str">
        <f aca="false">HYPERLINK("http://gerbor.dp.ua/index.php?route=product/product&amp;product_id=3131","0")</f>
        <v>0</v>
      </c>
      <c r="D8" s="32" t="str">
        <f aca="false">HYPERLINK("http://gerbor.dp.ua/index.php?route=product/product&amp;product_id=1730","0")</f>
        <v>0</v>
      </c>
      <c r="E8" s="32" t="str">
        <f aca="false">HYPERLINK("http://gerbor.dp.ua/index.php?route=product/product&amp;product_id=1725","0")</f>
        <v>0</v>
      </c>
      <c r="F8" s="32" t="str">
        <f aca="false">HYPERLINK("http://gerbor.dp.ua/index.php?route=product/product&amp;product_id=1755","0")</f>
        <v>0</v>
      </c>
      <c r="G8" s="32" t="str">
        <f aca="false">HYPERLINK("http://gerbor.dp.ua/index.php?route=product/product&amp;product_id=3905","5377")</f>
        <v>5377</v>
      </c>
      <c r="H8" s="32" t="str">
        <f aca="false">HYPERLINK("http://gerbor.dp.ua/index.php?route=product/product&amp;product_id=2156","0")</f>
        <v>0</v>
      </c>
      <c r="I8" s="32" t="str">
        <f aca="false">HYPERLINK("http://gerbor.dp.ua/index.php?route=product/product&amp;product_id=2819","0")</f>
        <v>0</v>
      </c>
      <c r="J8" s="32" t="str">
        <f aca="false">HYPERLINK("http://gerbor.dp.ua/index.php?route=product/product&amp;product_id=3473&amp;search=%D0%BD%D0%B5%D0%BF%D0%BE","0")</f>
        <v>0</v>
      </c>
      <c r="K8" s="32" t="str">
        <f aca="false">HYPERLINK("http://gerbor.dp.ua/index.php?route=product/product&amp;product_id=3031","0")</f>
        <v>0</v>
      </c>
      <c r="L8" s="32" t="str">
        <f aca="false">HYPERLINK("http://gerbor.dp.ua/index.php?route=product/product&amp;product_id=2040","0")</f>
        <v>0</v>
      </c>
      <c r="M8" s="27" t="str">
        <f aca="false">HYPERLINK("http://gerbor.dp.ua/index.php?route=product/product&amp;product_id=2775","4195")</f>
        <v>4195</v>
      </c>
      <c r="N8" s="32" t="str">
        <f aca="false">HYPERLINK("http://gerbor.dp.ua/index.php?route=product/product&amp;product_id=4118","0")</f>
        <v>0</v>
      </c>
      <c r="O8" s="32" t="str">
        <f aca="false">HYPERLINK("http://gerbor.dp.ua/index.php?route=product/product&amp;product_id=4257","0")</f>
        <v>0</v>
      </c>
      <c r="P8" s="32" t="str">
        <f aca="false">HYPERLINK("http://gerbor.dp.ua/index.php?route=product/product&amp;product_id=3797&amp;search=%D0%BA%D0%BE%D0%B5%D0%BD+%D0%BC%D0%B4%D1%84&amp;description=true","0")</f>
        <v>0</v>
      </c>
    </row>
    <row r="9" customFormat="false" ht="56.25" hidden="false" customHeight="true" outlineLevel="0" collapsed="false">
      <c r="A9" s="88" t="s">
        <v>32</v>
      </c>
      <c r="B9" s="33" t="str">
        <f aca="false">HYPERLINK("https://www.dybok.com.ua/ru/product/detail/35816","3705")</f>
        <v>3705</v>
      </c>
      <c r="C9" s="90" t="n">
        <v>4554</v>
      </c>
      <c r="D9" s="133" t="n">
        <v>3229</v>
      </c>
      <c r="E9" s="90" t="n">
        <v>5481</v>
      </c>
      <c r="F9" s="90" t="n">
        <v>2230</v>
      </c>
      <c r="G9" s="82" t="n">
        <v>5675</v>
      </c>
      <c r="H9" s="82" t="n">
        <v>7000</v>
      </c>
      <c r="I9" s="95" t="str">
        <f aca="false">HYPERLINK("https://www.dybok.com.ua/","3006")</f>
        <v>3006</v>
      </c>
      <c r="J9" s="133" t="n">
        <v>1931</v>
      </c>
      <c r="K9" s="90" t="n">
        <v>7980</v>
      </c>
      <c r="L9" s="32" t="str">
        <f aca="false">HYPERLINK("https://www.dybok.com.ua/ru/product/detail/6077","3749")</f>
        <v>3749</v>
      </c>
      <c r="M9" s="32" t="str">
        <f aca="false">HYPERLINK("https://www.dybok.com.ua/ru/product/detail/7086","5037")</f>
        <v>5037</v>
      </c>
      <c r="N9" s="27" t="str">
        <f aca="false">HYPERLINK("https://www.dybok.com.ua/ru/product/detail/54996","4240")</f>
        <v>4240</v>
      </c>
      <c r="O9" s="82" t="n">
        <v>5530</v>
      </c>
      <c r="P9" s="32" t="str">
        <f aca="false">HYPERLINK("https://www.dybok.com.ua/ua/product/detail/76092","4410")</f>
        <v>4410</v>
      </c>
    </row>
    <row r="10" customFormat="false" ht="61.5" hidden="false" customHeight="true" outlineLevel="0" collapsed="false">
      <c r="A10" s="78" t="s">
        <v>19</v>
      </c>
      <c r="B10" s="100" t="n">
        <v>3890</v>
      </c>
      <c r="C10" s="34" t="str">
        <f aca="false">HYPERLINK("https://vashamebel.in.ua/komod-brv-atsteka-kom4s811/p12731","4233")</f>
        <v>4233</v>
      </c>
      <c r="D10" s="34" t="str">
        <f aca="false">HYPERLINK("https://vashamebel.in.ua/komod-brv-indiana-jkom4s80/p921","3755")</f>
        <v>3755</v>
      </c>
      <c r="E10" s="34" t="str">
        <f aca="false">HYPERLINK("https://vashamebel.in.ua/stol-pismennyij-brv-indiana-jbiu-2d2s/p916","5473")</f>
        <v>5473</v>
      </c>
      <c r="F10" s="27" t="str">
        <f aca="false">HYPERLINK("https://vashamebel.in.ua/komod-brv-dzhuli-kom4s90/p7958","2225")</f>
        <v>2225</v>
      </c>
      <c r="G10" s="32" t="str">
        <f aca="false">HYPERLINK("https://vashamebel.in.ua/shkaf-brv-porto-szf3d2s/p12560","5666")</f>
        <v>5666</v>
      </c>
      <c r="H10" s="34" t="str">
        <f aca="false">HYPERLINK("https://vashamebel.in.ua/komod-gerbor-sonata-8s/p845","6343")</f>
        <v>6343</v>
      </c>
      <c r="I10" s="30" t="s">
        <v>33</v>
      </c>
      <c r="J10" s="34" t="str">
        <f aca="false">HYPERLINK("https://vashamebel.in.ua/prihozhaya-gerbor-nepo-ppk/p12249","2046")</f>
        <v>2046</v>
      </c>
      <c r="K10" s="34" t="str">
        <f aca="false">HYPERLINK("https://vashamebel.in.ua/gostinaya-brv-alyaska/p4420","7644")</f>
        <v>7644</v>
      </c>
      <c r="L10" s="34" t="str">
        <f aca="false">HYPERLINK("https://vashamebel.in.ua/stenka-gerbor-kvatro/p2359","3373")</f>
        <v>3373</v>
      </c>
      <c r="M10" s="27" t="str">
        <f aca="false">HYPERLINK("https://vashamebel.in.ua/komod-gerbor-vusher-kom1w2d2s/p4762","4520")</f>
        <v>4520</v>
      </c>
      <c r="N10" s="27" t="str">
        <f aca="false">HYPERLINK("https://vashamebel.in.ua/komod-brv-german-kom3s912/p16187","4233")</f>
        <v>4233</v>
      </c>
      <c r="O10" s="27" t="str">
        <f aca="false">HYPERLINK("https://vashamebel.in.ua/tumba-tv-gerbor-alisa-rtv2s2k/p16540","5087")</f>
        <v>5087</v>
      </c>
      <c r="P10" s="27" t="str">
        <f aca="false">HYPERLINK("https://vashamebel.in.ua/komod-gerbor-koen-kom4s/p2171","3891")</f>
        <v>3891</v>
      </c>
    </row>
    <row r="11" customFormat="false" ht="70.5" hidden="false" customHeight="true" outlineLevel="0" collapsed="false">
      <c r="A11" s="78" t="s">
        <v>20</v>
      </c>
      <c r="B11" s="100" t="n">
        <v>3890</v>
      </c>
      <c r="C11" s="27" t="str">
        <f aca="false">HYPERLINK("https://mebel-mebel.com.ua/eshop/dom-komody/komod_kom4s_8_11_atsteka-id496.html","4546")</f>
        <v>4546</v>
      </c>
      <c r="D11" s="27" t="str">
        <f aca="false">HYPERLINK("https://mebel-mebel.com.ua/eshop/dom-komody/komod_jkom_4s80_indiana-id663.html","3755")</f>
        <v>3755</v>
      </c>
      <c r="E11" s="27" t="str">
        <f aca="false">HYPERLINK("https://mebel-mebel.com.ua/eshop/dom-stoly-kompiuternye/stol_pismenniy_jbiu_2d2s_140_indiana-id659.html","5473")</f>
        <v>5473</v>
      </c>
      <c r="F11" s="27" t="str">
        <f aca="false">HYPERLINK("https://mebel-mebel.com.ua/eshop/dom-komody/komod_kom_4s_90_dzhuli-id569.html","2225")</f>
        <v>2225</v>
      </c>
      <c r="G11" s="30" t="str">
        <f aca="false">HYPERLINK("https://mebel-mebel.com.ua/eshop/detskie-shkafy/shkaf_szf3d2s_porto-id35136.html","5666")</f>
        <v>5666</v>
      </c>
      <c r="H11" s="32" t="str">
        <f aca="false">HYPERLINK("https://mebel-mebel.com.ua/eshop/dom-komody/komod_8s_s_015_sonata-id1567.html","6980")</f>
        <v>6980</v>
      </c>
      <c r="I11" s="27" t="str">
        <f aca="false">HYPERLINK("https://mebel-mebel.com.ua/eshop/dom-stoly-kompiuternye/stol_pismenniy_biu_1d1s_120_kaspian-id797.html","3161")</f>
        <v>3161</v>
      </c>
      <c r="J11" s="32" t="str">
        <f aca="false">HYPERLINK("https://mebel-mebel.com.ua/eshop/dom-prihozhie/prihozhaya_ppk_nepo-id28028.html","2290")</f>
        <v>2290</v>
      </c>
      <c r="K11" s="90" t="n">
        <v>7964</v>
      </c>
      <c r="L11" s="32" t="str">
        <f aca="false">HYPERLINK("https://mebel-mebel.com.ua/eshop/dom-stenki-dlia-gostinoi/gostinaya_kvatro-id152.html","3730")</f>
        <v>3730</v>
      </c>
      <c r="M11" s="32" t="str">
        <f aca="false">HYPERLINK("https://mebel-mebel.com.ua/eshop/dom-komody/komod_kom_1w2d2s_vusher-id560.html","5020")</f>
        <v>5020</v>
      </c>
      <c r="N11" s="27" t="str">
        <f aca="false">HYPERLINK("https://mebel-mebel.com.ua/eshop/dom-komody/komod_kom3s_9_12_german_brv_ukraina-id60297.html","4233")</f>
        <v>4233</v>
      </c>
      <c r="O11" s="32" t="str">
        <f aca="false">HYPERLINK("https://mebel-mebel.com.ua/eshop/dom-tumby-dlia-tv/tumba_rtv_2s2k_alisa_gerbor-id60350.html","5510")</f>
        <v>5510</v>
      </c>
      <c r="P11" s="32" t="str">
        <f aca="false">HYPERLINK("https://mebel-mebel.com.ua/eshop/dom-komody/komod_kom_4s_mdf_8_koen-id921.html","4400")</f>
        <v>4400</v>
      </c>
    </row>
    <row r="12" customFormat="false" ht="75.75" hidden="false" customHeight="true" outlineLevel="0" collapsed="false">
      <c r="A12" s="78" t="s">
        <v>21</v>
      </c>
      <c r="B12" s="100" t="n">
        <v>3890</v>
      </c>
      <c r="C12" s="27" t="str">
        <f aca="false">HYPERLINK("https://abcmebli.com.ua/p15683-atsteka_komod_kom4s-8-11_brv","4682")</f>
        <v>4682</v>
      </c>
      <c r="D12" s="32" t="str">
        <f aca="false">HYPERLINK("https://abcmebli.com.ua/p1896-komod_jkom4s_80_indiana","3890")</f>
        <v>3890</v>
      </c>
      <c r="E12" s="32" t="str">
        <f aca="false">HYPERLINK("https://abcmebli.com.ua/p1892-stol_pismenniy_jbiu2d2s_140_indiana","5910")</f>
        <v>5910</v>
      </c>
      <c r="F12" s="32" t="str">
        <f aca="false">HYPERLINK("https://abcmebli.com.ua/p8553-komod_kom4s-90_july","2370")</f>
        <v>2370</v>
      </c>
      <c r="G12" s="32" t="str">
        <f aca="false">HYPERLINK("https://abcmebli.com.ua/p15039-shkaf_platyanoy_szf3d2s_porto","5666")</f>
        <v>5666</v>
      </c>
      <c r="H12" s="32" t="str">
        <f aca="false">HYPERLINK("https://abcmebli.com.ua/p2225-komod_8-s_sonata","6980")</f>
        <v>6980</v>
      </c>
      <c r="I12" s="32" t="str">
        <f aca="false">HYPERLINK("https://abcmebli.com.ua/p14308-stol_pismenniy_biu_1d1s_120_kaspian","3530")</f>
        <v>3530</v>
      </c>
      <c r="J12" s="30" t="str">
        <f aca="false">HYPERLINK("https://abcmebli.com.ua/p15897-nepo_prihozhaya_ppk_gerbor","2290")</f>
        <v>2290</v>
      </c>
      <c r="K12" s="27" t="str">
        <f aca="false">HYPERLINK("https://abcmebli.com.ua/p15950-gostinaya_alyaska_brv-ukraina","7873")</f>
        <v>7873</v>
      </c>
      <c r="L12" s="27" t="str">
        <f aca="false">HYPERLINK("https://abcmebli.com.ua/p2515-stenka_kvatro_gerbor","3542")</f>
        <v>3542</v>
      </c>
      <c r="M12" s="32" t="str">
        <f aca="false">HYPERLINK("https://abcmebli.com.ua/p4993-komod_kom1w2d2s_9_15_vusher","5020")</f>
        <v>5020</v>
      </c>
      <c r="N12" s="27" t="str">
        <f aca="false">HYPERLINK("https://abcmebli.com.ua/p15847-german_komod_kom3s-9-12_brv","4360")</f>
        <v>4360</v>
      </c>
      <c r="O12" s="32" t="str">
        <f aca="false">HYPERLINK("https://abcmebli.com.ua/p16267-alisa_tumba_tv_rtv2s2k_gerbor","5510")</f>
        <v>5510</v>
      </c>
      <c r="P12" s="32" t="str">
        <f aca="false">HYPERLINK("https://abcmebli.com.ua/p15137-koen_mdf_komod_kom4s","4400")</f>
        <v>4400</v>
      </c>
    </row>
    <row r="13" customFormat="false" ht="56.25" hidden="false" customHeight="true" outlineLevel="0" collapsed="false">
      <c r="A13" s="78" t="s">
        <v>22</v>
      </c>
      <c r="B13" s="35" t="str">
        <f aca="false">HYPERLINK("https://www.mebelok.com/tymba-tv-rtv2d2s415-acteka/","3891")</f>
        <v>3891</v>
      </c>
      <c r="C13" s="30" t="str">
        <f aca="false">HYPERLINK("https://www.mebelok.com/komod-kom4s811-acteka/","4761")</f>
        <v>4761</v>
      </c>
      <c r="D13" s="30" t="str">
        <f aca="false">HYPERLINK("https://www.mebelok.com/komod-jkom-4s-80/","3891")</f>
        <v>3891</v>
      </c>
      <c r="E13" s="32" t="str">
        <f aca="false">HYPERLINK("https://www.mebelok.com/stol-pismennyy-jbiu-2d2s-140/","5911")</f>
        <v>5911</v>
      </c>
      <c r="F13" s="30" t="str">
        <f aca="false">HYPERLINK("https://www.mebelok.com/komod-kom-4s-90-juli/","2370")</f>
        <v>2370</v>
      </c>
      <c r="G13" s="30" t="str">
        <f aca="false">HYPERLINK("https://www.mebelok.com/shkaf-szf3d2s-porto/","5671")</f>
        <v>5671</v>
      </c>
      <c r="H13" s="32" t="str">
        <f aca="false">HYPERLINK("https://www.mebelok.com/komod-8s-sonata/","6981")</f>
        <v>6981</v>
      </c>
      <c r="I13" s="32" t="str">
        <f aca="false">HYPERLINK("https://www.mebelok.com/stol-pismennyy-biu1d1s-120-kaspian/","3530")</f>
        <v>3530</v>
      </c>
      <c r="J13" s="27" t="str">
        <f aca="false">HYPERLINK("https://www.mebelok.com/prihojaya-ppk-nepo/","2290")</f>
        <v>2290</v>
      </c>
      <c r="K13" s="95" t="str">
        <f aca="false">HYPERLINK("https://www.mebelok.com/gostinaya-alyaska/","7655")</f>
        <v>7655</v>
      </c>
      <c r="L13" s="30" t="str">
        <f aca="false">HYPERLINK("https://www.mebelok.com/gostinaya-kvatro","3730")</f>
        <v>3730</v>
      </c>
      <c r="M13" s="30" t="str">
        <f aca="false">HYPERLINK("https://www.mebelok.com/komod-kom-1w2d2s-vusher/","5020")</f>
        <v>5020</v>
      </c>
      <c r="N13" s="32" t="str">
        <f aca="false">HYPERLINK("https://www.mebelok.com/komod-kom3s-9-12/","4681")</f>
        <v>4681</v>
      </c>
      <c r="O13" s="82" t="n">
        <v>5511</v>
      </c>
      <c r="P13" s="32" t="str">
        <f aca="false">HYPERLINK("https://www.mebelok.com/koen-komod-kom4s-mdf/","4401")</f>
        <v>4401</v>
      </c>
    </row>
    <row r="14" customFormat="false" ht="48" hidden="false" customHeight="true" outlineLevel="0" collapsed="false">
      <c r="A14" s="78" t="s">
        <v>23</v>
      </c>
      <c r="B14" s="35" t="str">
        <f aca="false">HYPERLINK("https://maxmebel.com.ua/atsteka_tumba_rtv2d2s","3890")</f>
        <v>3890</v>
      </c>
      <c r="C14" s="32" t="str">
        <f aca="false">HYPERLINK("https://maxmebel.com.ua/atsteka_komod_kom4s-8-11","4760")</f>
        <v>4760</v>
      </c>
      <c r="D14" s="32" t="str">
        <f aca="false">HYPERLINK("https://maxmebel.com.ua/indiana_komod_jkom_4s_80","3890")</f>
        <v>3890</v>
      </c>
      <c r="E14" s="32" t="str">
        <f aca="false">HYPERLINK("https://maxmebel.com.ua/indiana_pismenniy_stol_jbiu_2d2s","5910")</f>
        <v>5910</v>
      </c>
      <c r="F14" s="32" t="str">
        <f aca="false">HYPERLINK("https://maxmebel.com.ua/dzhuli_komod_kom4s-90","2370")</f>
        <v>2370</v>
      </c>
      <c r="G14" s="32" t="str">
        <f aca="false">HYPERLINK("https://maxmebel.com.ua/porto_shkaf_platyanoy_szf3d2s","5666")</f>
        <v>5666</v>
      </c>
      <c r="H14" s="32" t="str">
        <f aca="false">HYPERLINK("https://maxmebel.com.ua/sonata_komod_8-s","6980")</f>
        <v>6980</v>
      </c>
      <c r="I14" s="32" t="str">
        <f aca="false">HYPERLINK("https://maxmebel.com.ua/kaspian_stol_pismenniy_biu_1d1s","3530")</f>
        <v>3530</v>
      </c>
      <c r="J14" s="32" t="str">
        <f aca="false">HYPERLINK("https://maxmebel.com.ua/nepo_prihozhaya_rrk","2290")</f>
        <v>2290</v>
      </c>
      <c r="K14" s="32" t="str">
        <f aca="false">HYPERLINK("https://maxmebel.com.ua/stenka_alyaska","7964")</f>
        <v>7964</v>
      </c>
      <c r="L14" s="30" t="str">
        <f aca="false">HYPERLINK("https://maxmebel.com.ua/stenka_kvatro","3730")</f>
        <v>3730</v>
      </c>
      <c r="M14" s="32" t="str">
        <f aca="false">HYPERLINK("https://maxmebel.com.ua/vusher_komod_kom_1w2d2s","5020")</f>
        <v>5020</v>
      </c>
      <c r="N14" s="32" t="str">
        <f aca="false">HYPERLINK("https://maxmebel.com.ua/german_komod_kon3s-9-12","4680")</f>
        <v>4680</v>
      </c>
      <c r="O14" s="92" t="s">
        <v>34</v>
      </c>
      <c r="P14" s="32" t="str">
        <f aca="false">HYPERLINK("https://maxmebel.com.ua/koen_komod_kom4s-mdf","4400")</f>
        <v>4400</v>
      </c>
    </row>
    <row r="15" customFormat="false" ht="39" hidden="false" customHeight="true" outlineLevel="0" collapsed="false">
      <c r="A15" s="78" t="s">
        <v>24</v>
      </c>
      <c r="B15" s="35" t="str">
        <f aca="false">HYPERLINK("https://moyamebel.com.ua/ua/products/tumba-rtv-atsteka","3890")</f>
        <v>3890</v>
      </c>
      <c r="C15" s="32" t="str">
        <f aca="false">HYPERLINK("https://moyamebel.com.ua/ua/products/komod-atsteka","4760")</f>
        <v>4760</v>
      </c>
      <c r="D15" s="32" t="str">
        <f aca="false">HYPERLINK("https://moyamebel.com.ua/ua/products/komod-4s-80-indiana","3890")</f>
        <v>3890</v>
      </c>
      <c r="E15" s="32" t="str">
        <f aca="false">HYPERLINK("https://moyamebel.com.ua/ua/products/stol-pismennyj-2d2s-indiana","5910")</f>
        <v>5910</v>
      </c>
      <c r="F15" s="32" t="str">
        <f aca="false">HYPERLINK("https://moyamebel.com.ua/ua/products/komod-dzhuli-90","2370")</f>
        <v>2370</v>
      </c>
      <c r="G15" s="32" t="str">
        <f aca="false">HYPERLINK("https://moyamebel.com.ua/ua/products/shkaf-3d2sporto","5666")</f>
        <v>5666</v>
      </c>
      <c r="H15" s="22" t="str">
        <f aca="false">HYPERLINK("https://moyamebel.com.ua/ua/products/komod-8s-sonata","6980")</f>
        <v>6980</v>
      </c>
      <c r="I15" s="27" t="str">
        <f aca="false">HYPERLINK("https://moyamebel.com.ua/ua/products/stol-pismennyj-120-kaspian","3161")</f>
        <v>3161</v>
      </c>
      <c r="J15" s="93"/>
      <c r="K15" s="27" t="str">
        <f aca="false">HYPERLINK("https://moyamebel.com.ua/ua/products/gostinaya-alyaska","7644")</f>
        <v>7644</v>
      </c>
      <c r="L15" s="30" t="str">
        <f aca="false">HYPERLINK("https://moyamebel.com.ua/ua/products/gostinaya-kvatro","3730")</f>
        <v>3730</v>
      </c>
      <c r="M15" s="32" t="str">
        <f aca="false">HYPERLINK("https://moyamebel.com.ua/ua/products/komod-1w2d2s-vusher","5020")</f>
        <v>5020</v>
      </c>
      <c r="N15" s="83" t="str">
        <f aca="false">HYPERLINK("","")</f>
        <v/>
      </c>
      <c r="O15" s="94" t="s">
        <v>34</v>
      </c>
      <c r="P15" s="94" t="s">
        <v>34</v>
      </c>
    </row>
    <row r="16" customFormat="false" ht="31.5" hidden="false" customHeight="true" outlineLevel="0" collapsed="false">
      <c r="A16" s="78" t="s">
        <v>35</v>
      </c>
      <c r="B16" s="35" t="str">
        <f aca="false">HYPERLINK("https://mebel-soyuz.com.ua/12896.html","3890")</f>
        <v>3890</v>
      </c>
      <c r="C16" s="32" t="str">
        <f aca="false">HYPERLINK("https://mebel-soyuz.com.ua/12903.html","4760")</f>
        <v>4760</v>
      </c>
      <c r="D16" s="32" t="str">
        <f aca="false">HYPERLINK("https://mebel-soyuz.com.ua/2266.html","3890")</f>
        <v>3890</v>
      </c>
      <c r="E16" s="32" t="str">
        <f aca="false">HYPERLINK("https://mebel-soyuz.com.ua/stol-pismennyj-jbiu-2d2s-140-indiana.html","5910")</f>
        <v>5910</v>
      </c>
      <c r="F16" s="32" t="str">
        <f aca="false">HYPERLINK("https://mebel-soyuz.com.ua/komod-kom-4s-90-dzhuli.html","2370")</f>
        <v>2370</v>
      </c>
      <c r="G16" s="32" t="str">
        <f aca="false">HYPERLINK("https://mebel-soyuz.com.ua/shkaf-szf3d2s-porto.html","5666")</f>
        <v>5666</v>
      </c>
      <c r="H16" s="32" t="str">
        <f aca="false">HYPERLINK("https://mebel-soyuz.com.ua/473.html","6980")</f>
        <v>6980</v>
      </c>
      <c r="I16" s="30" t="str">
        <f aca="false">HYPERLINK("https://mebel-soyuz.com.ua/8687.html","3530")</f>
        <v>3530</v>
      </c>
      <c r="J16" s="32" t="str">
        <f aca="false">HYPERLINK("https://mebel-soyuz.com.ua/8926.html","2290")</f>
        <v>2290</v>
      </c>
      <c r="K16" s="32" t="str">
        <f aca="false">HYPERLINK("https://mebel-soyuz.com.ua/10995.html","8900")</f>
        <v>8900</v>
      </c>
      <c r="L16" s="32" t="str">
        <f aca="false">HYPERLINK("https://mebel-soyuz.com.ua/gostinaya-kvatro.html","3730")</f>
        <v>3730</v>
      </c>
      <c r="M16" s="32" t="str">
        <f aca="false">HYPERLINK("https://mebel-soyuz.com.ua/3933.html","5020")</f>
        <v>5020</v>
      </c>
      <c r="N16" s="32" t="str">
        <f aca="false">HYPERLINK("https://mebel-soyuz.com.ua/komod-kom3s912-german.html","4680")</f>
        <v>4680</v>
      </c>
      <c r="O16" s="82" t="n">
        <v>5510</v>
      </c>
      <c r="P16" s="32" t="str">
        <f aca="false">HYPERLINK("https://mebel-soyuz.com.ua/komod-kom4s-koen-mdf.html","4400")</f>
        <v>4400</v>
      </c>
    </row>
    <row r="17" customFormat="false" ht="33.75" hidden="false" customHeight="true" outlineLevel="0" collapsed="false">
      <c r="A17" s="78" t="s">
        <v>36</v>
      </c>
      <c r="B17" s="135" t="str">
        <f aca="false">HYPERLINK("https://sofino.ua/brw-ukraina-tumba-rtv2d2s415-acteka/g-95393","3699")</f>
        <v>3699</v>
      </c>
      <c r="C17" s="30" t="str">
        <f aca="false">HYPERLINK("https://sofino.ua/brw-ukraina-komod-kom4s811-acteka/g-95386","4546")</f>
        <v>4546</v>
      </c>
      <c r="D17" s="30" t="str">
        <f aca="false">HYPERLINK("https://sofino.ua/brw-ukraina-komod-jkom4s80-indiana/g-40903","3755")</f>
        <v>3755</v>
      </c>
      <c r="E17" s="30" t="str">
        <f aca="false">HYPERLINK("https://sofino.ua/brw-ukraina-stol-pismennyjj-jbiu2d2s140-indiana/g-40899","5473")</f>
        <v>5473</v>
      </c>
      <c r="F17" s="30" t="str">
        <f aca="false">HYPERLINK("https://sofino.ua/brw-ukraina-komod-kom4s90-dzhuli-akacija-mali-bronz/g-40377","2225")</f>
        <v>2225</v>
      </c>
      <c r="G17" s="30" t="str">
        <f aca="false">HYPERLINK("https://sofino.ua/brw-ukraina-shkaf-platjanojj-szf3d2s-porto-dzhanni-sosna-lariko/g-264368","5666")</f>
        <v>5666</v>
      </c>
      <c r="H17" s="30" t="str">
        <f aca="false">HYPERLINK("https://sofino.ua/gerbor-komod-8s-sonata/g-19192","6980")</f>
        <v>6980</v>
      </c>
      <c r="I17" s="32" t="str">
        <f aca="false">HYPERLINK("https://sofino.ua/brw-ukraina-stol-pismennyjj-biu-1d1s-kaspian/g-264409","3161")</f>
        <v>3161</v>
      </c>
      <c r="J17" s="30" t="str">
        <f aca="false">HYPERLINK("https://sofino.ua/gerbor-prikhozhaja-ppk-nepo/g-287089","2290")</f>
        <v>2290</v>
      </c>
      <c r="K17" s="30" t="str">
        <f aca="false">HYPERLINK("https://sofino.ua/brw-ukraina-stenka-aljaska-belyjj-gljanec/g-454107","7964")</f>
        <v>7964</v>
      </c>
      <c r="L17" s="30" t="str">
        <f aca="false">HYPERLINK("https://sofino.ua/gerbor-stenka-s-podsvetkojj-kvatro/g-18955","3730")</f>
        <v>3730</v>
      </c>
      <c r="M17" s="30" t="str">
        <f aca="false">HYPERLINK("https://sofino.ua/gerbor-bufet-kom1w2d2s-s-podsvetkojj-vusher/g-176785","5020")</f>
        <v>5020</v>
      </c>
      <c r="N17" s="32" t="str">
        <f aca="false">HYPERLINK("https://sofino.ua/brw-ukraina-komod-kom3s912-german/g-599343","4233")</f>
        <v>4233</v>
      </c>
      <c r="O17" s="94" t="s">
        <v>34</v>
      </c>
      <c r="P17" s="32" t="str">
        <f aca="false">HYPERLINK("https://sofino.ua/gerbor-komod-kom4s-koen-mdf-venge-magija-shtroks-temnyjj/g-19366","4400")</f>
        <v>4400</v>
      </c>
    </row>
    <row r="18" customFormat="false" ht="54.75" hidden="false" customHeight="true" outlineLevel="0" collapsed="false">
      <c r="A18" s="78" t="s">
        <v>37</v>
      </c>
      <c r="B18" s="98" t="str">
        <f aca="false">HYPERLINK("","")</f>
        <v/>
      </c>
      <c r="C18" s="27" t="str">
        <f aca="false">HYPERLINK("https://www.brw-kiev.com.ua/catalog/mebel/azteca-komod-kom4s_8_11-000004816.html","4549")</f>
        <v>4549</v>
      </c>
      <c r="D18" s="27" t="str">
        <f aca="false">HYPERLINK("https://www.brw-kiev.com.ua/catalog/mebel/indiana-komod-jkom4s_80-000000261.html","3759")</f>
        <v>3759</v>
      </c>
      <c r="E18" s="27" t="str">
        <f aca="false">HYPERLINK("https://www.brw-kiev.com.ua/catalog/mebel/indiana-stil_pis_moviy-jbiu2d2s-000000254.html","5479")</f>
        <v>5479</v>
      </c>
      <c r="F18" s="27" t="str">
        <f aca="false">HYPERLINK("https://www.brw-kiev.com.ua/catalog/mebel/july-komod-kom4s_90-000005407.html","2229")</f>
        <v>2229</v>
      </c>
      <c r="G18" s="32" t="str">
        <f aca="false">HYPERLINK("https://www.brw-kiev.com.ua/catalog/mebel/porto-shafa-szf3d2s-000006440.html","5669")</f>
        <v>5669</v>
      </c>
      <c r="H18" s="99"/>
      <c r="I18" s="34" t="str">
        <f aca="false">HYPERLINK("https://www.brw-kiev.com.ua/catalog/mebel/kaspian-stil_pis_moviy-biu1d1s_120-000006188.html","3169")</f>
        <v>3169</v>
      </c>
      <c r="J18" s="34" t="str">
        <f aca="false">HYPERLINK("https://www.brw-kiev.com.ua/catalog/mebel/prihozhaya/nepo-peredpokiy-ppk-000006567.html?sphrase_id=84980","2049")</f>
        <v>2049</v>
      </c>
      <c r="K18" s="34" t="str">
        <f aca="false">HYPERLINK("https://www.brw-kiev.com.ua/catalog/mebel/gostinaya/stinki-vital_nya-alaska-000006901.html?sphrase_id=84981","7949")</f>
        <v>7949</v>
      </c>
      <c r="L18" s="83"/>
      <c r="M18" s="83"/>
      <c r="N18" s="83" t="str">
        <f aca="false">HYPERLINK("","")</f>
        <v/>
      </c>
      <c r="O18" s="94" t="s">
        <v>34</v>
      </c>
      <c r="P18" s="27" t="str">
        <f aca="false">HYPERLINK("https://www.brw-kiev.com.ua/catalog/mebel/gostinaya/koen-komod-kom4s-000003956.html","3939")</f>
        <v>3939</v>
      </c>
    </row>
    <row r="19" customFormat="false" ht="38.25" hidden="false" customHeight="true" outlineLevel="0" collapsed="false">
      <c r="A19" s="78" t="s">
        <v>25</v>
      </c>
      <c r="B19" s="35" t="str">
        <f aca="false">HYPERLINK("https://brw.kiev.ua/mebel-brw-ukraina/azteca/tumba-tv-rtv2d2s-azteca-brv/","3699")</f>
        <v>3699</v>
      </c>
      <c r="C19" s="27" t="str">
        <f aca="false">HYPERLINK("https://brw.kiev.ua/mebel-brw-ukraina/azteca/komod-kom4s-azteca-brv/","4546")</f>
        <v>4546</v>
      </c>
      <c r="D19" s="27" t="str">
        <f aca="false">HYPERLINK("https://brw.kiev.ua/mebel-brw-ukraina/indiana-kanjon/komod-jkom4s80-indiana-brv-kanjon/","3755")</f>
        <v>3755</v>
      </c>
      <c r="E19" s="27" t="str">
        <f aca="false">HYPERLINK("https://brw.kiev.ua/mebel-brw-ukraina/indiana-shutter/stol-pismennyy-jbiu2d2s140-indiana-brv-shutter/","5473")</f>
        <v>5473</v>
      </c>
      <c r="F19" s="27" t="str">
        <f aca="false">HYPERLINK("https://brw.kiev.ua/mebel-brw-ukraina/july/komod-kom4s90-july-brv/","2225")</f>
        <v>2225</v>
      </c>
      <c r="G19" s="19" t="str">
        <f aca="false">HYPERLINK("https://brw.kiev.ua/mebel-brw-ukraina/porto/shkaf-szf3d2s-porto-brv/","5666")</f>
        <v>5666</v>
      </c>
      <c r="H19" s="19" t="str">
        <f aca="false">HYPERLINK("https://brw.kiev.ua/mebel-gerbor/sonata/komod-8s-sonata-gerbor/","6980")</f>
        <v>6980</v>
      </c>
      <c r="I19" s="27" t="str">
        <f aca="false">HYPERLINK("https://brw.kiev.ua/mebel-brw-ukraina/kaspian-venge/stol-pismennyy-biu1d1s-kaspian-brv-venge/","3161")</f>
        <v>3161</v>
      </c>
      <c r="J19" s="19" t="str">
        <f aca="false">HYPERLINK("https://brw.kiev.ua/mebel-gerbor/nepo/prikhozhaya-ppk-nepo-gerbor/","2290")</f>
        <v>2290</v>
      </c>
      <c r="K19" s="27" t="str">
        <f aca="false">HYPERLINK("https://brw.kiev.ua/mebel-brw-ukraina/alaska/stenka-alaska-brv/","7964")</f>
        <v>7964</v>
      </c>
      <c r="L19" s="83"/>
      <c r="M19" s="19" t="str">
        <f aca="false">HYPERLINK("https://brw.kiev.ua/mebel-gerbor/vusher/komod-kom1w2d2s-vusher-gerbor/","5020")</f>
        <v>5020</v>
      </c>
      <c r="N19" s="27" t="str">
        <f aca="false">HYPERLINK("https://brw.kiev.ua/mebel-brw-ukraina/german/komod-kom3s-german-brv/","4233")</f>
        <v>4233</v>
      </c>
      <c r="O19" s="16" t="n">
        <v>5510</v>
      </c>
      <c r="P19" s="27" t="str">
        <f aca="false">HYPERLINK("https://brw.kiev.ua/mebel-gerbor/koen/komod-kom4s-koen-gerbor/","3890")</f>
        <v>3890</v>
      </c>
    </row>
    <row r="20" customFormat="false" ht="15.75" hidden="false" customHeight="true" outlineLevel="0" collapsed="false">
      <c r="A20" s="78" t="s">
        <v>123</v>
      </c>
      <c r="B20" s="98"/>
      <c r="C20" s="83"/>
      <c r="D20" s="83"/>
      <c r="E20" s="83"/>
      <c r="F20" s="83"/>
      <c r="G20" s="83"/>
      <c r="H20" s="83"/>
      <c r="I20" s="83"/>
      <c r="J20" s="83"/>
      <c r="K20" s="83"/>
      <c r="L20" s="83"/>
      <c r="M20" s="83"/>
      <c r="N20" s="83" t="str">
        <f aca="false">HYPERLINK("","")</f>
        <v/>
      </c>
      <c r="O20" s="94" t="s">
        <v>34</v>
      </c>
      <c r="P20" s="94" t="s">
        <v>34</v>
      </c>
    </row>
    <row r="21" customFormat="false" ht="25.5" hidden="false" customHeight="true" outlineLevel="0" collapsed="false">
      <c r="A21" s="78" t="s">
        <v>124</v>
      </c>
      <c r="B21" s="144" t="str">
        <f aca="false">HYPERLINK("https://mebelstyle.net/tumby-pod-tv/tumba-pod-tv-brw-ukraina-azteca-rtv2d2s415-82546.html","3294")</f>
        <v>3294</v>
      </c>
      <c r="C21" s="96" t="str">
        <f aca="false">HYPERLINK("https://mebelstyle.net/komody/komod-brw-ukraina-azteca-kom4s811-82553.html","3735")</f>
        <v>3735</v>
      </c>
      <c r="D21" s="96" t="str">
        <f aca="false">HYPERLINK("https://mebelstyle.net/komody/komod-brw-ukraina-indiana-011-jkom4s80-1274.html","3442")</f>
        <v>3442</v>
      </c>
      <c r="E21" s="96" t="str">
        <f aca="false">HYPERLINK("https://mebelstyle.net/ofisnye-stoly/pismennyj-stol-brw-ukraina-indiana-007-jbiu2d2s-1255.html","4979")</f>
        <v>4979</v>
      </c>
      <c r="F21" s="93"/>
      <c r="G21" s="93"/>
      <c r="H21" s="96" t="str">
        <f aca="false">HYPERLINK("https://mebelstyle.net/komody/komod-gerbor-sonata-s-015-8s-38625.html","5125")</f>
        <v>5125</v>
      </c>
      <c r="I21" s="96" t="str">
        <f aca="false">HYPERLINK("https://mebelstyle.net/ofisnye-stoly/ofisnyj-stol-brw-ukraina-kaspian-007-biu1d1s-58596.html","2783")</f>
        <v>2783</v>
      </c>
      <c r="J21" s="96" t="str">
        <f aca="false">HYPERLINK("https://mebelstyle.net/prikhozhie/prikhozhaja-gerbor-nepo-ppk-83649.html","1808")</f>
        <v>1808</v>
      </c>
      <c r="K21" s="93"/>
      <c r="L21" s="96" t="str">
        <f aca="false">HYPERLINK("https://mebelstyle.net/gostinye/gostinaja-gerbor-kvatro-venge-56219.html","2840")</f>
        <v>2840</v>
      </c>
      <c r="M21" s="96" t="str">
        <f aca="false">HYPERLINK("https://mebelstyle.net/komody/komod-gerbor-vusher-kom-1w2d2s-83553.html","4022")</f>
        <v>4022</v>
      </c>
      <c r="N21" s="83" t="str">
        <f aca="false">HYPERLINK("","")</f>
        <v/>
      </c>
      <c r="O21" s="94" t="s">
        <v>34</v>
      </c>
      <c r="P21" s="94" t="s">
        <v>34</v>
      </c>
    </row>
    <row r="22" customFormat="false" ht="34.5" hidden="false" customHeight="true" outlineLevel="0" collapsed="false">
      <c r="A22" s="78" t="s">
        <v>38</v>
      </c>
      <c r="B22" s="35" t="str">
        <f aca="false">HYPERLINK("https://lvivmebli.com/13319/","3900")</f>
        <v>3900</v>
      </c>
      <c r="C22" s="27" t="str">
        <f aca="false">HYPERLINK("https://lvivmebli.com/13320/","4675")</f>
        <v>4675</v>
      </c>
      <c r="D22" s="32" t="str">
        <f aca="false">HYPERLINK("https://lvivmebli.com/5030/","4255")</f>
        <v>4255</v>
      </c>
      <c r="E22" s="32" t="str">
        <f aca="false">HYPERLINK("https://lvivmebli.com/5039/","5911")</f>
        <v>5911</v>
      </c>
      <c r="F22" s="95" t="str">
        <f aca="false">HYPERLINK("https://lvivmebli.com/11483/","2300")</f>
        <v>2300</v>
      </c>
      <c r="G22" s="32" t="str">
        <f aca="false">HYPERLINK("https://lvivmebli.com/18473/","6800")</f>
        <v>6800</v>
      </c>
      <c r="H22" s="83"/>
      <c r="I22" s="99"/>
      <c r="J22" s="83"/>
      <c r="K22" s="83"/>
      <c r="L22" s="83"/>
      <c r="M22" s="83"/>
      <c r="N22" s="83" t="str">
        <f aca="false">HYPERLINK("","")</f>
        <v/>
      </c>
      <c r="O22" s="94" t="s">
        <v>34</v>
      </c>
      <c r="P22" s="94" t="s">
        <v>34</v>
      </c>
    </row>
    <row r="23" customFormat="false" ht="36.75" hidden="false" customHeight="true" outlineLevel="0" collapsed="false">
      <c r="A23" s="78" t="s">
        <v>39</v>
      </c>
      <c r="B23" s="136" t="str">
        <f aca="false">HYPERLINK("http://centrmebliv.com.ua/modulni-mebli/brw-azteca/mebli-brw-brv-azteca-tumba-rtv2d2s?keyword=%D0%B0%D1%86%D1%82%D0%B5%D0%BA%D0%B0","3343")</f>
        <v>3343</v>
      </c>
      <c r="C23" s="95" t="str">
        <f aca="false">HYPERLINK("http://centrmebliv.com.ua/modulni-mebli/brw-azteca/mebli-brw-brv-azteca-komod-4s?keyword=%D0%B0%D1%86%D1%82%D0%B5%D0%BA%D0%B0","3924")</f>
        <v>3924</v>
      </c>
      <c r="D23" s="95" t="str">
        <f aca="false">HYPERLINK("http://centrmebliv.com.ua/mebli-dlya-spalni/komody/mebli-brw-brv-indiana-komod-jkom4s_80?keyword=%D1%96%D0%BD%D0%B4%D1%96%D0%B0%D0%BD%D0%B0","3562")</f>
        <v>3562</v>
      </c>
      <c r="E23" s="129" t="str">
        <f aca="false">HYPERLINK("http://centrmebliv.com.ua/modulni-mebli/brw-ukrayina-indiana/mebli-brw-brv-indiana-stil-pysmovyy-jbiu2d2s_140?keyword=%D1%96%D0%BD%D0%B4%D1%96%D0%B0%D0%BD%D0%B0","5158")</f>
        <v>5158</v>
      </c>
      <c r="F23" s="95" t="str">
        <f aca="false">HYPERLINK("http://centrmebliv.com.ua/spalni/komody/mebli-brw-brv-july-komod-kom4s/90?keyword=july","2098")</f>
        <v>2098</v>
      </c>
      <c r="G23" s="95" t="str">
        <f aca="false">HYPERLINK("http://centrmebliv.com.ua/modulni-mebli/brw-ukrayina-porto/mebli-brw-brv-porto-shafa-dlya-odyagu-sf3d2s?keyword=szf3d2s","5377")</f>
        <v>5377</v>
      </c>
      <c r="H23" s="95" t="str">
        <f aca="false">HYPERLINK("http://centrmebliv.com.ua/mebli-dlya-spalni/komody/mebli-gerbor-gerbor-s-015-sonata-_komod-8/s?keyword=%D1%81%D0%BE%D0%BD%D0%B0%D1%82%D0%B0","5683")</f>
        <v>5683</v>
      </c>
      <c r="I23" s="95" t="str">
        <f aca="false">HYPERLINK("http://centrmebliv.com.ua/ofisni-mebli/ofisni-stoly-vid-modulnyh-system/gerbor/brw-kaspian-stil-pysmovyy-biu-1d1s-120?keyword=%D0%BA%D0%B0%D1%81%D0%BF%D1%96%D0%B0%D0%BD","3002")</f>
        <v>3002</v>
      </c>
      <c r="J23" s="83"/>
      <c r="K23" s="83"/>
      <c r="L23" s="95" t="str">
        <f aca="false">HYPERLINK("http://centrmebliv.com.ua/mebli-dlya-vitalni/stinky/mebli-gerbor-gerbor-kvatro","3007")</f>
        <v>3007</v>
      </c>
      <c r="M23" s="95" t="str">
        <f aca="false">HYPERLINK("http://centrmebliv.com.ua/spalni/komody/mebli-gerbor-gerbor-voucher-komod-kom1w2d2s?keyword=%D0%B2%D1%83%D1%88%D0%B5%D1%80","4195")</f>
        <v>4195</v>
      </c>
      <c r="N23" s="83" t="str">
        <f aca="false">HYPERLINK("","")</f>
        <v/>
      </c>
      <c r="O23" s="94" t="s">
        <v>34</v>
      </c>
      <c r="P23" s="83" t="str">
        <f aca="false">HYPERLINK("","")</f>
        <v/>
      </c>
    </row>
    <row r="24" customFormat="false" ht="27" hidden="false" customHeight="true" outlineLevel="0" collapsed="false">
      <c r="A24" s="78" t="s">
        <v>40</v>
      </c>
      <c r="B24" s="35" t="str">
        <f aca="false">HYPERLINK("https://letromebel.com.ua/p566111870-tumba-rtv2d2s415-atsteka.html","3699")</f>
        <v>3699</v>
      </c>
      <c r="C24" s="27" t="str">
        <f aca="false">HYPERLINK("https://letromebel.com.ua/p566126810-komod-kom4s811-atsteka.html","4546")</f>
        <v>4546</v>
      </c>
      <c r="D24" s="27" t="str">
        <f aca="false">HYPERLINK("https://letromebel.com.ua/p566921861-komod-jkom4s80-indiana.html","3755")</f>
        <v>3755</v>
      </c>
      <c r="E24" s="27" t="str">
        <f aca="false">HYPERLINK("https://letromebel.com.ua/p566921329-stol-pismennyj-jbiu2d2s140.html","5473")</f>
        <v>5473</v>
      </c>
      <c r="F24" s="27" t="str">
        <f aca="false">HYPERLINK("https://letromebel.com.ua/p445989920-komod-kom-dzhuli.html","2225")</f>
        <v>2225</v>
      </c>
      <c r="G24" s="32" t="str">
        <f aca="false">HYPERLINK("https://letromebel.com.ua/p567177190-shkaf-szf3d2s-porto.html","5666")</f>
        <v>5666</v>
      </c>
      <c r="H24" s="83"/>
      <c r="I24" s="83"/>
      <c r="J24" s="96" t="str">
        <f aca="false">HYPERLINK("https://letromebel.com.ua/p441285622-prihozhaya-ppk-nepo.html","1963")</f>
        <v>1963</v>
      </c>
      <c r="K24" s="95" t="str">
        <f aca="false">HYPERLINK("https://letromebel.com.ua/p822866700-stenka-gostinuyu-alyaska.html","7644")</f>
        <v>7644</v>
      </c>
      <c r="L24" s="34" t="str">
        <f aca="false">HYPERLINK("https://letromebel.com.ua/p436378844-stenka-kvatro-venge.html","3373")</f>
        <v>3373</v>
      </c>
      <c r="M24" s="27" t="str">
        <f aca="false">HYPERLINK("https://letromebel.com.ua/p332640892-bufet-kom1w2d2s-vusher.html","4520")</f>
        <v>4520</v>
      </c>
      <c r="N24" s="32" t="str">
        <f aca="false">HYPERLINK("https://letromebel.com.ua/ua/p920135181-komod-german-kom3s912.html","4680")</f>
        <v>4680</v>
      </c>
      <c r="O24" s="27" t="str">
        <f aca="false">HYPERLINK("https://letromebel.com.ua/ua/p1053586927-tumba-alisa-rtv2s2k.html","5087")</f>
        <v>5087</v>
      </c>
      <c r="P24" s="27" t="str">
        <f aca="false">HYPERLINK("https://letromebel.com.ua/site_search/page_2?search_term=%D0%BA%D0%BE%D0%B5%D0%BD+%D0%BC%D0%B4%D1%84","3755")</f>
        <v>3755</v>
      </c>
    </row>
    <row r="25" customFormat="false" ht="27" hidden="false" customHeight="true" outlineLevel="0" collapsed="false">
      <c r="A25" s="78" t="s">
        <v>26</v>
      </c>
      <c r="B25" s="35" t="str">
        <f aca="false">HYPERLINK("https://shurup.net.ua/azteca-acteka-tumba-rtv2d2s415.p17205","3686")</f>
        <v>3686</v>
      </c>
      <c r="C25" s="27" t="str">
        <f aca="false">HYPERLINK("https://shurup.net.ua/azteca-acteka-komod-kom4s811.p17200","4233")</f>
        <v>4233</v>
      </c>
      <c r="D25" s="27" t="str">
        <f aca="false">HYPERLINK("https://shurup.net.ua/komod-jkom-4s80-indiana-sosna-kanon.p9412","3755")</f>
        <v>3755</v>
      </c>
      <c r="E25" s="27" t="str">
        <f aca="false">HYPERLINK("https://shurup.net.ua/stol-pismennyj-jbiu-2d2s-140-indiana-dub-shutter.p5488","5323")</f>
        <v>5323</v>
      </c>
      <c r="F25" s="27" t="str">
        <f aca="false">HYPERLINK("https://shurup.net.ua/komod-kom-4s-90-dzhuli.p7011","2225")</f>
        <v>2225</v>
      </c>
      <c r="G25" s="32" t="str">
        <f aca="false">HYPERLINK("https://shurup.net.ua/shkaf-szf3d2s-porto.p24169","5666")</f>
        <v>5666</v>
      </c>
      <c r="H25" s="32" t="str">
        <f aca="false">HYPERLINK("https://shurup.net.ua/komod-8s-sonata.p1034","6980")</f>
        <v>6980</v>
      </c>
      <c r="I25" s="34" t="str">
        <f aca="false">HYPERLINK("https://shurup.net.ua/stol-pismennyj-biu-1d1s-120-kaspian-dub-sonoma.p6492","3141")</f>
        <v>3141</v>
      </c>
      <c r="J25" s="32" t="str">
        <f aca="false">HYPERLINK("https://shurup.net.ua/prihozhaya-rrk-nepo.p13611","2290")</f>
        <v>2290</v>
      </c>
      <c r="K25" s="27" t="str">
        <f aca="false">HYPERLINK("https://shurup.net.ua/gostinaja-aljaska.p28551","7943")</f>
        <v>7943</v>
      </c>
      <c r="L25" s="32" t="str">
        <f aca="false">HYPERLINK("https://shurup.net.ua/gostinaya-kvatro-venge-magiya.p836","3730")</f>
        <v>3730</v>
      </c>
      <c r="M25" s="32" t="str">
        <f aca="false">HYPERLINK("https://shurup.net.ua/komod-kom1w2d2s-9-15-vusher.p1953","5020")</f>
        <v>5020</v>
      </c>
      <c r="N25" s="27" t="str">
        <f aca="false">HYPERLINK("https://shurup.net.ua/komod-kon3s64-german.p32275","4233")</f>
        <v>4233</v>
      </c>
      <c r="O25" s="94" t="s">
        <v>34</v>
      </c>
      <c r="P25" s="32" t="str">
        <f aca="false">HYPERLINK("https://shurup.net.ua/komod-kom4s-koen-mdf.p1194","4400")</f>
        <v>4400</v>
      </c>
    </row>
    <row r="26" customFormat="false" ht="36.75" hidden="false" customHeight="true" outlineLevel="0" collapsed="false">
      <c r="A26" s="105" t="s">
        <v>41</v>
      </c>
      <c r="B26" s="98"/>
      <c r="C26" s="47"/>
      <c r="D26" s="47"/>
      <c r="E26" s="47"/>
      <c r="F26" s="47"/>
      <c r="G26" s="83"/>
      <c r="H26" s="83"/>
      <c r="I26" s="83"/>
      <c r="J26" s="39" t="str">
        <f aca="false">HYPERLINK("https://www.taburetka.ua/prihozhie-40/prihozhaya-ppk-nepo-2914","2640")</f>
        <v>2640</v>
      </c>
      <c r="K26" s="83"/>
      <c r="L26" s="95" t="str">
        <f aca="false">HYPERLINK("https://www.taburetka.ua/gostinye-600/gostinaya-kvatro-2834","3435")</f>
        <v>3435</v>
      </c>
      <c r="M26" s="32" t="str">
        <f aca="false">HYPERLINK("https://www.taburetka.ua/komody-i-tumby-35/komod-kom1w2d2s-vusher-2974","5825")</f>
        <v>5825</v>
      </c>
      <c r="N26" s="83" t="str">
        <f aca="false">HYPERLINK("","")</f>
        <v/>
      </c>
      <c r="O26" s="94" t="s">
        <v>34</v>
      </c>
      <c r="P26" s="32" t="str">
        <f aca="false">HYPERLINK("https://www.taburetka.ua/gostinye-600/modulnaya-sistema-koen-1347","4720")</f>
        <v>4720</v>
      </c>
    </row>
    <row r="27" customFormat="false" ht="37.5" hidden="false" customHeight="true" outlineLevel="0" collapsed="false">
      <c r="A27" s="106" t="s">
        <v>42</v>
      </c>
      <c r="B27" s="100" t="n">
        <v>3890</v>
      </c>
      <c r="C27" s="44" t="str">
        <f aca="false">HYPERLINK("http://www.maxidom.com.ua/komod-atsteka-kom4s811.html?search_string=%CA%EE%EC%EE%E4+%C0%F6%F2%E5%EA%E0+KOM4S%2F8%2F11","4546")</f>
        <v>4546</v>
      </c>
      <c r="D27" s="44" t="str">
        <f aca="false">HYPERLINK("http://www.maxidom.com.ua/komod_indiana_jkom4s80.html?search_string=%CA%EE%EC%EE%E4+%C8%ED%E4%E8%E0%ED%E0+JKOM4s%2F80","3755")</f>
        <v>3755</v>
      </c>
      <c r="E27" s="44" t="str">
        <f aca="false">HYPERLINK("http://www.maxidom.com.ua/stol_pismenniy_indiana_jbiu2d2s.html?search_string=%D1%F2%EE%EB+%EF%E8%F1%FC%EC%E5%ED%ED%FB%E9+%C8%ED%E4%E8%E0%ED%E0+JBIU2d2s","5473")</f>
        <v>5473</v>
      </c>
      <c r="F27" s="44" t="str">
        <f aca="false">HYPERLINK("http://www.maxidom.com.ua/komod-kom4s90-dzhuli.html?search_string=%CA%EE%EC%EE%E4+KOM4S%2F90+%C4%E6%F3%EB%E8","2225")</f>
        <v>2225</v>
      </c>
      <c r="G27" s="39" t="str">
        <f aca="false">HYPERLINK("http://www.maxidom.com.ua/shkaf-porto-porto-szf3d2s.html?search_string=%D8%EA%E0%F4+%CF%EE%F0%F2%EE+%28Porto%29+SZF3D2S","5666")</f>
        <v>5666</v>
      </c>
      <c r="H27" s="44" t="str">
        <f aca="false">HYPERLINK("http://www.maxidom.com.ua/komod-sonata-8s.html?search_string=%CA%EE%EC%EE%E4+%D1%EE%ED%E0%F2%E0+8s","6243")</f>
        <v>6243</v>
      </c>
      <c r="I27" s="39" t="str">
        <f aca="false">HYPERLINK("http://www.maxidom.com.ua/stol-pismenniy-biu-1d1s-kaspian-kaspian.html?search_string=%D1%F2%EE%EB+%EF%E8%F1%FC%EC%E5%ED%ED%FB%E9+BIU+1D1S+%CA%E0%F1%EF%E8%E0%ED+%28Kaspian%29","3161")</f>
        <v>3161</v>
      </c>
      <c r="J27" s="44" t="str">
        <f aca="false">HYPERLINK("http://www.maxidom.com.ua/prihozhaya-nepo-ppk.html?search_string=%CF%F0%E8%F5%EE%E6%E0%FF+%CD%E5%EF%EE+PPK","2046")</f>
        <v>2046</v>
      </c>
      <c r="K27" s="44" t="str">
        <f aca="false">HYPERLINK("http://www.maxidom.com.ua/stenka-alyaska.html?search_string=%D1%F2%E5%ED%EA%E0+%C0%EB%FF%F1%EA%E0","7644")</f>
        <v>7644</v>
      </c>
      <c r="L27" s="27" t="str">
        <f aca="false">HYPERLINK("http://www.maxidom.com.ua/stenka-kvatro.html?search_string=%D1%F2%E5%ED%EA%E0+%CA%E2%E0%F2%F0%EE","3373")</f>
        <v>3373</v>
      </c>
      <c r="M27" s="27" t="str">
        <f aca="false">HYPERLINK("http://www.maxidom.com.ua/komod-kom-1w2d2s-vusher.html?search_string=%CA%EE%EC%EE%E4+KOM+1W2D2S+%C2%F3%F8%E5%F0","4520")</f>
        <v>4520</v>
      </c>
      <c r="N27" s="27" t="str">
        <f aca="false">HYPERLINK("https://www.maxidom.com.ua/komod-german-kom3s912/","4233")</f>
        <v>4233</v>
      </c>
      <c r="O27" s="94" t="s">
        <v>34</v>
      </c>
      <c r="P27" s="27" t="str">
        <f aca="false">HYPERLINK("https://www.maxidom.com.ua/komod-kom4s-koen-mdf/","3139")</f>
        <v>3139</v>
      </c>
    </row>
    <row r="28" customFormat="false" ht="42" hidden="false" customHeight="true" outlineLevel="0" collapsed="false">
      <c r="A28" s="106" t="s">
        <v>27</v>
      </c>
      <c r="B28" s="100" t="n">
        <v>3890</v>
      </c>
      <c r="C28" s="44" t="str">
        <f aca="false">HYPERLINK("https://mebel-online.com.ua/komod-kom4s-8-11-azteca?filter_name=azteca","4546")</f>
        <v>4546</v>
      </c>
      <c r="D28" s="27" t="str">
        <f aca="false">HYPERLINK("https://mebel-online.com.ua/p5228-komod_jkom_4s_80_indiana_brw?filter_name=%D0%B8%D0%BD%D0%B4%D0%B8%D0%B0%D0%BD%D0%B0","3755")</f>
        <v>3755</v>
      </c>
      <c r="E28" s="44" t="str">
        <f aca="false">HYPERLINK("https://mebel-online.com.ua/p5223-stol_pismenniy_jbiu_2d2s_140_indiana_brw?filter_name=%D0%B8%D0%BD%D0%B4%D0%B8%D0%B0%D0%BD%D0%B0","5323")</f>
        <v>5323</v>
      </c>
      <c r="F28" s="44" t="str">
        <f aca="false">HYPERLINK("https://mebel-online.com.ua/komod-kom4s-90-july?filter_name=july","2225")</f>
        <v>2225</v>
      </c>
      <c r="G28" s="39" t="str">
        <f aca="false">HYPERLINK("https://mebel-online.com.ua/shkaf-szf3d2s-porto?filter_name=SZF3D2S","5666")</f>
        <v>5666</v>
      </c>
      <c r="H28" s="44" t="str">
        <f aca="false">HYPERLINK("https://mebel-online.com.ua/p1728-gerbor_sonata_komod_8-s?filter_name=%D1%81%D0%BE%D0%BD%D0%B0%D1%82%D0%B0","6243")</f>
        <v>6243</v>
      </c>
      <c r="I28" s="111"/>
      <c r="J28" s="27" t="str">
        <f aca="false">HYPERLINK("https://mebel-online.com.ua/prihozhaya-gerbor-ppk-nepo?filter_name=%D0%BD%D0%B5%D0%BF%D0%BE","2046")</f>
        <v>2046</v>
      </c>
      <c r="K28" s="45" t="str">
        <f aca="false">HYPERLINK("https://mebel-online.com.ua/stenka-aliaska-brw%20?filter_name=%D0%B0%D0%BB%D1%8F%D1%81%D0%BA%D0%B0","7644")</f>
        <v>7644</v>
      </c>
      <c r="L28" s="27" t="str">
        <f aca="false">HYPERLINK("https://mebel-online.com.ua/stenka-kvatro-gerbor?filter_name=%D0%BA%D0%B2%D0%B0%D1%82%D1%80%D0%BE","3373")</f>
        <v>3373</v>
      </c>
      <c r="M28" s="27" t="str">
        <f aca="false">HYPERLINK("https://mebel-online.com.ua/komod-kom-1w2d2s-vusher-gerbor?filter_name=%D0%B2%D1%83%D1%88%D0%B5%D1%80","4520")</f>
        <v>4520</v>
      </c>
      <c r="N28" s="83" t="str">
        <f aca="false">HYPERLINK("","")</f>
        <v/>
      </c>
      <c r="O28" s="94" t="s">
        <v>34</v>
      </c>
      <c r="P28" s="27" t="str">
        <f aca="false">HYPERLINK("https://mebel-online.com.ua/p2493-komod_kom4s_koen?filter_name=%D0%BA%D0%BE%D0%B5%D0%BD","3660")</f>
        <v>3660</v>
      </c>
    </row>
    <row r="29" customFormat="false" ht="34.5" hidden="false" customHeight="true" outlineLevel="0" collapsed="false">
      <c r="A29" s="91" t="s">
        <v>43</v>
      </c>
      <c r="B29" s="27" t="str">
        <f aca="false">HYPERLINK("https://mebelnuy.com.ua/tumba-pod-tv-rtv2d2s-4-15-acteka-brv?search=%D0%A2%D0%92%20%D0%90%D1%86%D1%82%D0%B5%D0%BA%D0%B0%20RTV2D2S&amp;description=true","3699")</f>
        <v>3699</v>
      </c>
      <c r="C29" s="27" t="str">
        <f aca="false">HYPERLINK("https://mebelnuy.com.ua/komod-kom4s-8-11-acteka-brv?search=%D0%90%D1%86%D1%82%D0%B5%D0%BA%D0%B0%20KOM4S%2F8%2F11&amp;description=true","4546")</f>
        <v>4546</v>
      </c>
      <c r="D29" s="27" t="str">
        <f aca="false">HYPERLINK("https://mebelnuy.com.ua/komod-jkom-4s-80-indiana-brv?search=%D0%98%D0%BD%D0%B4%D0%B8%D0%B0%D0%BD%D0%B0%20JKOM_4s&amp;description=true","3755")</f>
        <v>3755</v>
      </c>
      <c r="E29" s="27" t="str">
        <f aca="false">HYPERLINK("https://mebelnuy.com.ua/stol-pismennyj-jbiu-2d2s-140-indiana-brv?search=%D0%98%D0%BD%D0%B4%D0%B8%D0%B0%D0%BD%D0%B0%20JBIU_2d2s_140&amp;description=true","5473")</f>
        <v>5473</v>
      </c>
      <c r="F29" s="27" t="str">
        <f aca="false">HYPERLINK("https://mebelnuy.com.ua/komod-kom4s-90-dzhuli-brv?search=%D0%94%D0%96%D0%A3%D0%9B%D0%98%20KOM4S%2F90&amp;description=true","2225")</f>
        <v>2225</v>
      </c>
      <c r="G29" s="32" t="str">
        <f aca="false">HYPERLINK("https://mebelnuy.com.ua/shkaf-szf3d2s-porto-brv?search=%D0%9F%D0%BE%D1%80%D1%82%D0%BE%20SZF3D2S&amp;description=true","5666")</f>
        <v>5666</v>
      </c>
      <c r="H29" s="27" t="str">
        <f aca="false">HYPERLINK("https://mebelnuy.com.ua/komod-gerbor-sonata-8-s?search=%D0%A1%D0%BE%D0%BD%D0%B0%D1%82%D0%B0%208%2Fs&amp;description=true","6243")</f>
        <v>6243</v>
      </c>
      <c r="I29" s="83" t="str">
        <f aca="false">HYPERLINK("","")</f>
        <v/>
      </c>
      <c r="J29" s="27" t="str">
        <f aca="false">HYPERLINK("https://mebelnuy.com.ua/prihozhaya-gerbor-nepo-ppk","2046")</f>
        <v>2046</v>
      </c>
      <c r="K29" s="27" t="str">
        <f aca="false">HYPERLINK("https://mebelnuy.com.ua/gostinaya-alyaska-brv?search=%D0%90%D0%BB%D1%8F%D1%81%D0%BA%D0%B0%20%D0%B3%D0%BE%D1%81%D1%82%D0%B8%D0%BD%D0%B0%D1%8F&amp;description=true","7964")</f>
        <v>7964</v>
      </c>
      <c r="L29" s="27" t="str">
        <f aca="false">HYPERLINK("https://mebelnuy.com.ua/gostinaya-gerbor-kvatro-venge-magiya?search=%D0%BA%D0%B2%D0%B0%D1%82%D1%80%D0%BE&amp;description=true","3373")</f>
        <v>3373</v>
      </c>
      <c r="M29" s="27" t="str">
        <f aca="false">HYPERLINK("https://mebelnuy.com.ua/komod-gerbor-vusher-kom-1w2d2s?search=%D0%92%D1%83%D1%88%D0%B5%D1%80%20KOM%201W2D2S&amp;description=true","4520")</f>
        <v>4520</v>
      </c>
      <c r="N29" s="27" t="str">
        <f aca="false">HYPERLINK("https://mebelnuy.com.ua/komod-german-115-brv?search=%D0%93%D0%95%D0%A0%D0%9C%D0%90%D0%9D&amp;description=true","4233")</f>
        <v>4233</v>
      </c>
      <c r="O29" s="27" t="str">
        <f aca="false">HYPERLINK("https://mebelnuy.com.ua/tumba-gerbor-alisa-rtv2s2k?search=%D0%B0%D0%BB%D0%B8%D1%81%D0%B0&amp;description=true","5087")</f>
        <v>5087</v>
      </c>
      <c r="P29" s="27" t="str">
        <f aca="false">HYPERLINK("https://mebelnuy.com.ua/komod-gerbor-koen-kom4s-mdf?search=%D0%BA%D0%BE%D0%B5%D0%BD%20%D0%BC%D0%B4%D1%84&amp;description=true","3931")</f>
        <v>3931</v>
      </c>
    </row>
    <row r="30" customFormat="false" ht="36.75" hidden="false" customHeight="true" outlineLevel="0" collapsed="false">
      <c r="A30" s="91" t="s">
        <v>44</v>
      </c>
      <c r="B30" s="27" t="str">
        <f aca="false">HYPERLINK("https://amado.com.ua/gostinaya/komody-i-tumby-v-gostinuyu/acteka-tumba-rtv2d2s-4-15-brw","3699")</f>
        <v>3699</v>
      </c>
      <c r="C30" s="27" t="str">
        <f aca="false">HYPERLINK("https://amado.com.ua/gostinaya/komody-i-tumby-v-gostinuyu/acteka-komod-kom4s-8-11-brw","4228")</f>
        <v>4228</v>
      </c>
      <c r="D30" s="27" t="str">
        <f aca="false">HYPERLINK("https://amado.com.ua/detskaya/komody-i-tumby-dlya-detskoj/indiana-komod-jkom-4s-80-sosna-kanon-brw","3492")</f>
        <v>3492</v>
      </c>
      <c r="E30" s="27" t="str">
        <f aca="false">HYPERLINK("https://amado.com.ua/detskaya/stoly-i-nadstrojki/indiana-stol-pismennyj-jbiu-2d2s-140-sosna-kanon-brw","5090")</f>
        <v>5090</v>
      </c>
      <c r="F30" s="27" t="str">
        <f aca="false">HYPERLINK("https://amado.com.ua/gostinaya/komody-i-tumby-v-gostinuyu/dzhuli-komod-kom4s-90-brw","2225")</f>
        <v>2225</v>
      </c>
      <c r="G30" s="32" t="str">
        <f aca="false">HYPERLINK("https://amado.com.ua/detskaya/shkafy-i-penaly-dlya-detskoj/porto-shkaf-platyanoj-szf3d2s-brw","5269")</f>
        <v>5269</v>
      </c>
      <c r="H30" s="27" t="str">
        <f aca="false">HYPERLINK("https://amado.com.ua/gostinaya/komody-i-tumby-v-gostinuyu/sonata-komod-8-s-gerbor","5806")</f>
        <v>5806</v>
      </c>
      <c r="I30" s="32" t="str">
        <f aca="false">HYPERLINK("https://amado.com.ua/gostinaya/kaspian-sonoma-stol-pismennyj-biu-1d1s-brw","3161")</f>
        <v>3161</v>
      </c>
      <c r="J30" s="27" t="str">
        <f aca="false">HYPERLINK("https://amado.com.ua/prihozhaya/prihozhie-celnye/nepo-prihozhaya-ppk-gerbor","2046")</f>
        <v>2046</v>
      </c>
      <c r="K30" s="27" t="str">
        <f aca="false">HYPERLINK("https://amado.com.ua/gostinaya/modulnye-gostinye/gostinaya-alyaska-gerbor","7964")</f>
        <v>7964</v>
      </c>
      <c r="L30" s="27" t="str">
        <f aca="false">HYPERLINK("https://amado.com.ua/gostinaya/modulnye-gostinye/gostinaya-kvatro-gerbor","3373")</f>
        <v>3373</v>
      </c>
      <c r="M30" s="27" t="str">
        <f aca="false">HYPERLINK("https://amado.com.ua/gostinaya/komody-i-tumby-v-gostinuyu/vusher-komod-kom-1w2d2s-gerbor","4520")</f>
        <v>4520</v>
      </c>
      <c r="N30" s="27" t="str">
        <f aca="false">HYPERLINK("https://amado.com.ua/gostinaya/komody-i-tumby-v-gostinuyu/german-komod-kom3s-9-12-gerbor","3937")</f>
        <v>3937</v>
      </c>
      <c r="O30" s="83" t="str">
        <f aca="false">HYPERLINK("","")</f>
        <v/>
      </c>
      <c r="P30" s="27" t="str">
        <f aca="false">HYPERLINK("https://amado.com.ua/gostinaya/komody-i-tumby-v-gostinuyu/koen-mdf-komod-kom4s-gerbor","3482")</f>
        <v>3482</v>
      </c>
    </row>
    <row r="31" customFormat="false" ht="15.75" hidden="false" customHeight="true" outlineLevel="0" collapsed="false">
      <c r="A31" s="74"/>
      <c r="B31" s="75"/>
      <c r="C31" s="76"/>
      <c r="D31" s="76"/>
      <c r="E31" s="76"/>
      <c r="F31" s="76"/>
      <c r="G31" s="76"/>
      <c r="H31" s="76"/>
      <c r="I31" s="76"/>
      <c r="J31" s="76"/>
      <c r="K31" s="76"/>
      <c r="L31" s="76"/>
      <c r="M31" s="76"/>
      <c r="N31" s="76"/>
      <c r="O31" s="76"/>
      <c r="P31" s="76"/>
    </row>
    <row r="32" customFormat="false" ht="15.75" hidden="false" customHeight="true" outlineLevel="0" collapsed="false">
      <c r="A32" s="74"/>
      <c r="B32" s="75"/>
      <c r="C32" s="76"/>
      <c r="D32" s="76"/>
      <c r="E32" s="76"/>
      <c r="F32" s="76"/>
      <c r="G32" s="76"/>
      <c r="H32" s="76"/>
      <c r="I32" s="76"/>
      <c r="J32" s="76"/>
      <c r="K32" s="76"/>
      <c r="L32" s="76"/>
      <c r="M32" s="76"/>
      <c r="N32" s="76"/>
      <c r="O32" s="76"/>
      <c r="P32" s="76"/>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137" t="s">
        <v>61</v>
      </c>
      <c r="B35" s="138"/>
      <c r="C35" s="139"/>
      <c r="D35" s="139"/>
      <c r="E35" s="139"/>
      <c r="F35" s="139"/>
      <c r="G35" s="139"/>
      <c r="H35" s="139"/>
      <c r="I35" s="139"/>
      <c r="J35" s="139"/>
      <c r="K35" s="139"/>
      <c r="L35" s="139"/>
      <c r="M35" s="139"/>
      <c r="N35" s="139"/>
      <c r="O35" s="139"/>
      <c r="P35" s="139"/>
      <c r="Q35" s="140"/>
      <c r="R35" s="140"/>
      <c r="S35" s="140"/>
      <c r="T35" s="140"/>
      <c r="U35" s="140"/>
      <c r="V35" s="140"/>
      <c r="W35" s="140"/>
      <c r="X35" s="140"/>
      <c r="Y35" s="140"/>
    </row>
    <row r="36" customFormat="false" ht="15.75" hidden="false" customHeight="true" outlineLevel="0" collapsed="false">
      <c r="A36" s="74"/>
      <c r="B36" s="141" t="s">
        <v>62</v>
      </c>
      <c r="C36" s="141" t="s">
        <v>63</v>
      </c>
      <c r="D36" s="141" t="s">
        <v>64</v>
      </c>
      <c r="E36" s="141" t="s">
        <v>65</v>
      </c>
      <c r="F36" s="141" t="s">
        <v>66</v>
      </c>
      <c r="G36" s="142" t="s">
        <v>67</v>
      </c>
      <c r="H36" s="141" t="s">
        <v>68</v>
      </c>
      <c r="I36" s="141" t="s">
        <v>69</v>
      </c>
      <c r="J36" s="141" t="s">
        <v>70</v>
      </c>
      <c r="K36" s="141" t="s">
        <v>71</v>
      </c>
      <c r="L36" s="141" t="s">
        <v>72</v>
      </c>
      <c r="M36" s="141" t="s">
        <v>73</v>
      </c>
      <c r="N36" s="141" t="s">
        <v>74</v>
      </c>
      <c r="O36" s="141" t="s">
        <v>75</v>
      </c>
      <c r="P36" s="143"/>
    </row>
    <row r="37" customFormat="false" ht="15.75" hidden="false" customHeight="true" outlineLevel="0" collapsed="false">
      <c r="A37" s="74"/>
      <c r="B37" s="141" t="s">
        <v>76</v>
      </c>
      <c r="C37" s="141" t="s">
        <v>77</v>
      </c>
      <c r="D37" s="141" t="s">
        <v>78</v>
      </c>
      <c r="E37" s="141" t="s">
        <v>79</v>
      </c>
      <c r="F37" s="141" t="s">
        <v>80</v>
      </c>
      <c r="G37" s="142" t="s">
        <v>81</v>
      </c>
      <c r="H37" s="141" t="s">
        <v>82</v>
      </c>
      <c r="I37" s="141" t="s">
        <v>83</v>
      </c>
      <c r="J37" s="141" t="s">
        <v>84</v>
      </c>
      <c r="K37" s="143"/>
      <c r="L37" s="141" t="s">
        <v>85</v>
      </c>
      <c r="M37" s="141" t="s">
        <v>86</v>
      </c>
      <c r="N37" s="141" t="s">
        <v>87</v>
      </c>
      <c r="O37" s="141" t="s">
        <v>88</v>
      </c>
      <c r="P37" s="143"/>
    </row>
    <row r="38" customFormat="false" ht="15.75" hidden="false" customHeight="true" outlineLevel="0" collapsed="false">
      <c r="A38" s="74"/>
      <c r="B38" s="141" t="s">
        <v>89</v>
      </c>
      <c r="C38" s="141" t="s">
        <v>90</v>
      </c>
      <c r="D38" s="141" t="s">
        <v>91</v>
      </c>
      <c r="E38" s="141" t="s">
        <v>92</v>
      </c>
      <c r="F38" s="141" t="s">
        <v>93</v>
      </c>
      <c r="G38" s="142" t="s">
        <v>94</v>
      </c>
      <c r="H38" s="141" t="s">
        <v>95</v>
      </c>
      <c r="I38" s="143"/>
      <c r="J38" s="141" t="s">
        <v>96</v>
      </c>
      <c r="K38" s="143"/>
      <c r="L38" s="141" t="s">
        <v>97</v>
      </c>
      <c r="M38" s="141" t="s">
        <v>98</v>
      </c>
      <c r="N38" s="141" t="s">
        <v>99</v>
      </c>
      <c r="O38" s="141" t="s">
        <v>100</v>
      </c>
      <c r="P38" s="143"/>
    </row>
    <row r="39" customFormat="false" ht="15.75" hidden="false" customHeight="true" outlineLevel="0" collapsed="false">
      <c r="A39" s="74"/>
      <c r="B39" s="141" t="s">
        <v>101</v>
      </c>
      <c r="C39" s="141" t="s">
        <v>102</v>
      </c>
      <c r="D39" s="141" t="s">
        <v>103</v>
      </c>
      <c r="E39" s="141" t="s">
        <v>104</v>
      </c>
      <c r="F39" s="141" t="s">
        <v>105</v>
      </c>
      <c r="G39" s="142" t="s">
        <v>106</v>
      </c>
      <c r="H39" s="141" t="s">
        <v>107</v>
      </c>
      <c r="I39" s="143"/>
      <c r="J39" s="141" t="s">
        <v>108</v>
      </c>
      <c r="K39" s="143"/>
      <c r="L39" s="141" t="s">
        <v>109</v>
      </c>
      <c r="M39" s="141" t="s">
        <v>110</v>
      </c>
      <c r="N39" s="141" t="s">
        <v>111</v>
      </c>
      <c r="O39" s="141" t="s">
        <v>112</v>
      </c>
      <c r="P39" s="143"/>
    </row>
    <row r="40" customFormat="false" ht="15.75" hidden="false" customHeight="true" outlineLevel="0" collapsed="false">
      <c r="A40" s="74"/>
      <c r="B40" s="141" t="s">
        <v>113</v>
      </c>
      <c r="C40" s="141" t="s">
        <v>114</v>
      </c>
      <c r="D40" s="143"/>
      <c r="E40" s="141" t="s">
        <v>115</v>
      </c>
      <c r="F40" s="141" t="s">
        <v>116</v>
      </c>
      <c r="G40" s="142" t="s">
        <v>117</v>
      </c>
      <c r="H40" s="141" t="s">
        <v>118</v>
      </c>
      <c r="I40" s="143"/>
      <c r="J40" s="141" t="s">
        <v>119</v>
      </c>
      <c r="K40" s="143"/>
      <c r="L40" s="141" t="s">
        <v>120</v>
      </c>
      <c r="M40" s="143"/>
      <c r="N40" s="141" t="s">
        <v>121</v>
      </c>
      <c r="O40" s="141" t="s">
        <v>122</v>
      </c>
      <c r="P40" s="143"/>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c r="A232" s="74"/>
      <c r="B232" s="75"/>
      <c r="C232" s="76"/>
      <c r="D232" s="76"/>
      <c r="E232" s="76"/>
      <c r="F232" s="76"/>
      <c r="G232" s="76"/>
      <c r="H232" s="76"/>
      <c r="I232" s="76"/>
      <c r="J232" s="76"/>
      <c r="K232" s="76"/>
      <c r="L232" s="76"/>
      <c r="M232" s="76"/>
      <c r="N232" s="76"/>
      <c r="O232" s="76"/>
      <c r="P232" s="76"/>
    </row>
    <row r="233" customFormat="false" ht="15.75" hidden="false" customHeight="true" outlineLevel="0" collapsed="false">
      <c r="A233" s="74"/>
      <c r="B233" s="75"/>
      <c r="C233" s="76"/>
      <c r="D233" s="76"/>
      <c r="E233" s="76"/>
      <c r="F233" s="76"/>
      <c r="G233" s="76"/>
      <c r="H233" s="76"/>
      <c r="I233" s="76"/>
      <c r="J233" s="76"/>
      <c r="K233" s="76"/>
      <c r="L233" s="76"/>
      <c r="M233" s="76"/>
      <c r="N233" s="76"/>
      <c r="O233" s="76"/>
      <c r="P233" s="76"/>
    </row>
    <row r="234" customFormat="false" ht="15.75" hidden="false" customHeight="true" outlineLevel="0" collapsed="false">
      <c r="A234" s="74"/>
      <c r="B234" s="75"/>
      <c r="C234" s="76"/>
      <c r="D234" s="76"/>
      <c r="E234" s="76"/>
      <c r="F234" s="76"/>
      <c r="G234" s="76"/>
      <c r="H234" s="76"/>
      <c r="I234" s="76"/>
      <c r="J234" s="76"/>
      <c r="K234" s="76"/>
      <c r="L234" s="76"/>
      <c r="M234" s="76"/>
      <c r="N234" s="76"/>
      <c r="O234" s="76"/>
      <c r="P234" s="76"/>
    </row>
    <row r="235" customFormat="false" ht="15.75" hidden="false" customHeight="true" outlineLevel="0" collapsed="false">
      <c r="A235" s="74"/>
      <c r="B235" s="75"/>
      <c r="C235" s="76"/>
      <c r="D235" s="76"/>
      <c r="E235" s="76"/>
      <c r="F235" s="76"/>
      <c r="G235" s="76"/>
      <c r="H235" s="76"/>
      <c r="I235" s="76"/>
      <c r="J235" s="76"/>
      <c r="K235" s="76"/>
      <c r="L235" s="76"/>
      <c r="M235" s="76"/>
      <c r="N235" s="76"/>
      <c r="O235" s="76"/>
      <c r="P235" s="76"/>
    </row>
    <row r="236" customFormat="false" ht="15.75" hidden="false" customHeight="true" outlineLevel="0" collapsed="false">
      <c r="A236" s="74"/>
      <c r="B236" s="75"/>
      <c r="C236" s="76"/>
      <c r="D236" s="76"/>
      <c r="E236" s="76"/>
      <c r="F236" s="76"/>
      <c r="G236" s="76"/>
      <c r="H236" s="76"/>
      <c r="I236" s="76"/>
      <c r="J236" s="76"/>
      <c r="K236" s="76"/>
      <c r="L236" s="76"/>
      <c r="M236" s="76"/>
      <c r="N236" s="76"/>
      <c r="O236" s="76"/>
      <c r="P236" s="76"/>
    </row>
    <row r="237" customFormat="false" ht="15.75" hidden="false" customHeight="true" outlineLevel="0" collapsed="false">
      <c r="A237" s="74"/>
      <c r="B237" s="75"/>
      <c r="C237" s="76"/>
      <c r="D237" s="76"/>
      <c r="E237" s="76"/>
      <c r="F237" s="76"/>
      <c r="G237" s="76"/>
      <c r="H237" s="76"/>
      <c r="I237" s="76"/>
      <c r="J237" s="76"/>
      <c r="K237" s="76"/>
      <c r="L237" s="76"/>
      <c r="M237" s="76"/>
      <c r="N237" s="76"/>
      <c r="O237" s="76"/>
      <c r="P237" s="76"/>
    </row>
    <row r="238" customFormat="false" ht="15.75" hidden="false" customHeight="true" outlineLevel="0" collapsed="false">
      <c r="A238" s="74"/>
      <c r="B238" s="75"/>
      <c r="C238" s="76"/>
      <c r="D238" s="76"/>
      <c r="E238" s="76"/>
      <c r="F238" s="76"/>
      <c r="G238" s="76"/>
      <c r="H238" s="76"/>
      <c r="I238" s="76"/>
      <c r="J238" s="76"/>
      <c r="K238" s="76"/>
      <c r="L238" s="76"/>
      <c r="M238" s="76"/>
      <c r="N238" s="76"/>
      <c r="O238" s="76"/>
      <c r="P238" s="76"/>
    </row>
    <row r="239" customFormat="false" ht="15.75" hidden="false" customHeight="true" outlineLevel="0" collapsed="false">
      <c r="A239" s="74"/>
      <c r="B239" s="75"/>
      <c r="C239" s="76"/>
      <c r="D239" s="76"/>
      <c r="E239" s="76"/>
      <c r="F239" s="76"/>
      <c r="G239" s="76"/>
      <c r="H239" s="76"/>
      <c r="I239" s="76"/>
      <c r="J239" s="76"/>
      <c r="K239" s="76"/>
      <c r="L239" s="76"/>
      <c r="M239" s="76"/>
      <c r="N239" s="76"/>
      <c r="O239" s="76"/>
      <c r="P239" s="76"/>
    </row>
    <row r="240" customFormat="false" ht="15.75" hidden="false" customHeight="true" outlineLevel="0" collapsed="false">
      <c r="A240" s="74"/>
      <c r="B240" s="75"/>
      <c r="C240" s="76"/>
      <c r="D240" s="76"/>
      <c r="E240" s="76"/>
      <c r="F240" s="76"/>
      <c r="G240" s="76"/>
      <c r="H240" s="76"/>
      <c r="I240" s="76"/>
      <c r="J240" s="76"/>
      <c r="K240" s="76"/>
      <c r="L240" s="76"/>
      <c r="M240" s="76"/>
      <c r="N240" s="76"/>
      <c r="O240" s="76"/>
      <c r="P240" s="76"/>
    </row>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J3" r:id="rId7" display="https://brwmania.com.ua/gostinaja/modulnye-gostinye/sistema_nepo/gerbor-gerbor-prihozhaya-nepo-nepo-ppk-dub-sonoma/"/>
    <hyperlink ref="L3" r:id="rId8" display="https://brwmania.com.ua/gostinaja/komplekty-gostinyh/stinka-kvatro-venge-magia/"/>
    <hyperlink ref="M3" r:id="rId9" display="https://brwmania.com.ua/gostinaja/modulnye-gostinye/sistema-vusher-vusher/010-vusher-komod-kom-1w2d2s/"/>
    <hyperlink ref="O3" r:id="rId10" display="https://brwmania.com.ua/gostinaja/modulnye-gostinye/sistema-alisa-alisa-gerbor/gerbor-gerbor-tumba-pod-televizor-alisa-rtv2s2k/"/>
    <hyperlink ref="A4" r:id="rId11" display="http://redlight.com.ua/"/>
    <hyperlink ref="A5" r:id="rId12" display="https://mebli-bristol.com.ua/"/>
    <hyperlink ref="O5" r:id="rId13" display="https://mebli-bristol.com.ua/alisa-tumba-rtv-2s2k-gerbor.html"/>
    <hyperlink ref="A6" r:id="rId14" display="http://gerbor.kiev.ua/"/>
    <hyperlink ref="O6" r:id="rId15" display="https://gerbor.kiev.ua/mebelnye-sistemy/mebel-alisa-gerbor/alisa-tumba-tv-rtv2s2k-gerbor/"/>
    <hyperlink ref="A7" r:id="rId16" display="http://www.brwland.com.ua/"/>
    <hyperlink ref="O7" r:id="rId17" display="https://brwland.com.ua/product/alisa-tumba-tv-rtv2s2k-gerbor/"/>
    <hyperlink ref="A8" r:id="rId18" display="http://gerbor.dp.ua/"/>
    <hyperlink ref="A9" r:id="rId19" display="https://www.dybok.com.ua/"/>
    <hyperlink ref="C9" r:id="rId20" display="https://www.dybok.com.ua/ru/product/detail/35870"/>
    <hyperlink ref="D9" r:id="rId21" display="https://www.dybok.com.ua/ru/product/detail/55516"/>
    <hyperlink ref="E9" r:id="rId22" display="https://www.dybok.com.ua/ru/product/detail/4291"/>
    <hyperlink ref="F9" r:id="rId23" display="https://www.dybok.com.ua/ru/product/detail/9798"/>
    <hyperlink ref="G9" r:id="rId24" display="https://www.dybok.com.ua/ru/product/detail/35840"/>
    <hyperlink ref="H9" r:id="rId25" display="https://www.dybok.com.ua/ru/product/detail/261"/>
    <hyperlink ref="J9" r:id="rId26" display="https://www.dybok.com.ua/ru/product/detail/18085"/>
    <hyperlink ref="K9" r:id="rId27" display="https://www.dybok.com.ua/ru/product/detail/50410"/>
    <hyperlink ref="O9" r:id="rId28" display="https://www.dybok.com.ua/ua/product/detail/80992"/>
    <hyperlink ref="A10" r:id="rId29" display="https://vashamebel.in.ua/"/>
    <hyperlink ref="B10" r:id="rId30" display="https://vashamebel.in.ua/tumba-tv-brv-atsteka-rtv2d2s415/p12722"/>
    <hyperlink ref="I10" r:id="rId31" display="0 грн"/>
    <hyperlink ref="A11" r:id="rId32" display="http://mebel-mebel.com.ua/"/>
    <hyperlink ref="B11" r:id="rId33" display="https://mebel-mebel.com.ua/eshop/dom-tumby-dlia-tv/tumba_rtv2d2s_4_15_atsteka-id461.html"/>
    <hyperlink ref="K11" r:id="rId34" display="https://mebel-mebel.com.ua/eshop/dom-stenki-dlia-gostinoi/gostinaya_alyaska-id50834.html"/>
    <hyperlink ref="A12" r:id="rId35" display="http://abcmebli.com.ua"/>
    <hyperlink ref="B12" r:id="rId36" display="https://abcmebli.com.ua/p14992-tumba_tv_rtv2d2s-4-15_atsteka"/>
    <hyperlink ref="A13" r:id="rId37" display="https://gerbor.mebelok.com/"/>
    <hyperlink ref="O13" r:id="rId38" display="https://www.mebelok.com/tumba-tv-rtv2s2k-alisa/"/>
    <hyperlink ref="A14" r:id="rId39" display="http://maxmebel.com.ua/"/>
    <hyperlink ref="A15" r:id="rId40" display="https://moyamebel.com.ua/ua"/>
    <hyperlink ref="A16" r:id="rId41" display="https://mebel-soyuz.com.ua/"/>
    <hyperlink ref="O16" r:id="rId42" display="https://mebel-soyuz.com.ua/timba-RTV2S2K-alisa-gerbor.html"/>
    <hyperlink ref="A17" r:id="rId43" display="https://sofino.ua/"/>
    <hyperlink ref="A18" r:id="rId44" display="https://www.brw-kiev.com.ua/"/>
    <hyperlink ref="A19" r:id="rId45" display="https://brw.kiev.ua/"/>
    <hyperlink ref="O19" r:id="rId46" display="https://brw.kiev.ua/mebel-gerbor/alisa/tumba-tv-rtv2s2k-alisa-gerbor/"/>
    <hyperlink ref="A20" r:id="rId47" display="http://brw.com.ua/"/>
    <hyperlink ref="A21" r:id="rId48" display="https://mebelstyle.net/"/>
    <hyperlink ref="A22" r:id="rId49" display="https://lvivmebli.com/"/>
    <hyperlink ref="A23" r:id="rId50" display="http://centrmebliv.com.ua/"/>
    <hyperlink ref="A24" r:id="rId51" display="https://letromebel.com.ua/"/>
    <hyperlink ref="A25" r:id="rId52" display="https://shurup.net.ua/"/>
    <hyperlink ref="A26" r:id="rId53" display="https://www.taburetka.ua"/>
    <hyperlink ref="A27" r:id="rId54" display="http://www.maxidom.com.ua/"/>
    <hyperlink ref="B27" r:id="rId55" display="http://www.maxidom.com.ua/tumba-rtv-atsteka-2d2s415.html?search_string=%D2%F3%EC%E1%E0+%D0%D2%C2+%C0%F6%F2%E5%EA%E0+2D2S%2F4%2F15"/>
    <hyperlink ref="A28" r:id="rId56" display="https://mebel-online.com.ua"/>
    <hyperlink ref="B28" r:id="rId57" display="https://mebel-online.com.ua/tymba-rtv2d2s-4-15-azteca?filter_name=azteca"/>
    <hyperlink ref="A29" r:id="rId58" display="https://mebelnuy.com.ua/"/>
    <hyperlink ref="A30" r:id="rId59" display="https://amado.com.ua"/>
    <hyperlink ref="B36" r:id="rId60" display="https://prom.ua/p1167879150-tumba-pod-rtv.html?"/>
    <hyperlink ref="C36" r:id="rId61" display="https://prom.ua/p983011265-komod-kom-811.html?"/>
    <hyperlink ref="D36" r:id="rId62" display="https://prom.ua/p544656153-komod-jkom-4s80.html?"/>
    <hyperlink ref="E36" r:id="rId63" display="https://prom.ua/p781599812-indiana-kanon-stol.html?"/>
    <hyperlink ref="F36" r:id="rId64" display="https://prom.ua/p54713987-komod-kom-4s90.html?"/>
    <hyperlink ref="G36" r:id="rId65" display="https://prom.ua/p544657658-shkaf-platyanoj-szf3d2s.html?"/>
    <hyperlink ref="H36" r:id="rId66" display="https://prom.ua/p46283355-komod-sonata-sonata.html?"/>
    <hyperlink ref="I36" r:id="rId67" display="https://prom.ua/p54675546-stol-pismennyj-biu.html?"/>
    <hyperlink ref="J36" r:id="rId68" display="https://prom.ua/p239247927-prihozhaya-ppk-nepo.html?"/>
    <hyperlink ref="K36" r:id="rId69" display="https://prom.ua/p542591704-gostinaya-alyaska-alaska.html?&amp;primelead=MC43NA"/>
    <hyperlink ref="L36" r:id="rId70" display="https://prom.ua/p24569524-gostinaya-kvatro-gerbor.html?"/>
    <hyperlink ref="M36" r:id="rId71" display="https://prom.ua/p553476998-bufet-kom1w2d2s915-gerbor.html?"/>
    <hyperlink ref="N36" r:id="rId72" display="https://prom.ua/p1248775724-komod-brv-german.html?"/>
    <hyperlink ref="O36" r:id="rId73" display="https://prom.ua/p1274217210-tumba-rtv2s2k-alisa.html?"/>
    <hyperlink ref="B37" r:id="rId74" display="https://prom.ua/p181257399-tumba-pod-rtv.html?"/>
    <hyperlink ref="C37" r:id="rId75" display="https://prom.ua/p1280431425-komod-kom4s811-atsteka.html?"/>
    <hyperlink ref="D37" r:id="rId76" display="https://prom.ua/p781599816-indiana-kanon-komod.html?"/>
    <hyperlink ref="E37" r:id="rId77" display="https://prom.ua/p1046920683-stol-pismennyj-indiana.html?"/>
    <hyperlink ref="F37" r:id="rId78" display="https://prom.ua/p553477017-dzhuli-komod-kom4s90.html?"/>
    <hyperlink ref="G37" r:id="rId79" display="https://prom.ua/p664294628-shkaf-szf-3d2s.html?"/>
    <hyperlink ref="H37" r:id="rId80" display="https://prom.ua/p1211287637-komod-gerbor-sonata.html?"/>
    <hyperlink ref="I37" r:id="rId81" display="https://prom.ua/p360359972-stol-pismennyj-biu.html"/>
    <hyperlink ref="J37" r:id="rId82" display="https://prom.ua/p542943976-prihozhaya-ppk-nepo.html?"/>
    <hyperlink ref="L37" r:id="rId83" display="https://prom.ua/p1248753565-gostinaya-gerbor-kvatro.html?"/>
    <hyperlink ref="M37" r:id="rId84" display="https://prom.ua/p106094960-komod-vusher-kom.html?"/>
    <hyperlink ref="N37" r:id="rId85" display="https://prom.ua/p777526967-german-komod-kom3s912.html?"/>
    <hyperlink ref="O37" r:id="rId86" display="https://prom.ua/p1334713993-tumba-pod-rtv2s2k.html?"/>
    <hyperlink ref="B38" r:id="rId87" display="https://prom.ua/p886021256-tumba-pod-atsteka.html?"/>
    <hyperlink ref="C38" r:id="rId88" display="https://prom.ua/p1125567115-komod-azteca-kom4s811.html?"/>
    <hyperlink ref="D38" r:id="rId89" display="https://prom.ua/p1046925343-komod-indiana-jkom4s80.html?"/>
    <hyperlink ref="E38" r:id="rId90" display="https://prom.ua/p544656149-stol-pismennyj-jbiu.html?"/>
    <hyperlink ref="F38" r:id="rId91" display="https://prom.ua/p1248752651-komod-brv-dzhuli.html?"/>
    <hyperlink ref="G38" r:id="rId92" display="https://prom.ua/p644944451-porto-shkaf-szf3d2s.html?"/>
    <hyperlink ref="H38" r:id="rId93" display="https://prom.ua/p1288425504-komod-gerbor-sonata.html?"/>
    <hyperlink ref="J38" r:id="rId94" display="https://prom.ua/p553476454-nepo-prihozhaya-ppk.html?"/>
    <hyperlink ref="L38" r:id="rId95" display="https://prom.ua/p12120301-gostinaya-kvatro-venge.html"/>
    <hyperlink ref="M38" r:id="rId96" display="https://prom.ua/p83295231-komod-kom-1w2d2s.html"/>
    <hyperlink ref="N38" r:id="rId97" display="https://prom.ua/p847003898-german-komod-kom3s912.html?"/>
    <hyperlink ref="O38" r:id="rId98" display="https://prom.ua/p1248803640-tumba-gerbor-alisa.html?"/>
    <hyperlink ref="B39" r:id="rId99" display="https://prom.ua/p1214419043-tumba-pod-atsteka.html?"/>
    <hyperlink ref="C39" r:id="rId100" display="https://prom.ua/p1215683017-komod-atsteka-kom4s811.html?"/>
    <hyperlink ref="D39" r:id="rId101" display="https://prom.ua/p1183266470-komod-jkom-indiana.html"/>
    <hyperlink ref="E39" r:id="rId102" display="https://prom.ua/p1183292769-stol-pismennyj-jbiu.html"/>
    <hyperlink ref="F39" r:id="rId103" display="https://prom.ua/p1045568873-komod-dzhuli-kom4s90.html?"/>
    <hyperlink ref="G39" r:id="rId104" display="https://prom.ua/p1037803293-shkaf-platyanoj-szf.html"/>
    <hyperlink ref="H39" r:id="rId105" display="https://prom.ua/p1334931386-komod-gerbor-sonata.html?"/>
    <hyperlink ref="J39" r:id="rId106" display="https://prom.ua/p223321231-prihozhaya-ppk-nepo.html?"/>
    <hyperlink ref="L39" r:id="rId107" display="https://prom.ua/p18612661-gostinaya-kvatro.html"/>
    <hyperlink ref="M39" r:id="rId108" display="https://prom.ua/p1209395741-komod-vusher-kom1w2d2s.html"/>
    <hyperlink ref="N39" r:id="rId109" display="https://prom.ua/p1045115919-komod-german-kom3s912.html?"/>
    <hyperlink ref="O39" r:id="rId110" display="https://prom.ua/p1248803641-tumba-gerbor-alisa.html?"/>
    <hyperlink ref="B40" r:id="rId111" display="https://prom.ua/p1325973811-tumba-brv-atsteka.html?&amp;primelead=MC43OA"/>
    <hyperlink ref="C40" r:id="rId112" display="https://prom.ua/p1248752621-komod-brv-atsteka.html?"/>
    <hyperlink ref="E40" r:id="rId113" display="https://prom.ua/p372189619-stol-pismennyj-jbiu2d2s140.html"/>
    <hyperlink ref="F40" r:id="rId114" display="https://prom.ua/p1209396495-komod-kom4s90-dzhuli.html"/>
    <hyperlink ref="G40" r:id="rId115" display="https://prom.ua/p663109577-shkaf-platyanoj-szf3d2s.html"/>
    <hyperlink ref="H40" r:id="rId116" display="https://prom.ua/p553479263-komod-gerbor-sonata.html?"/>
    <hyperlink ref="J40" r:id="rId117" display="https://prom.ua/p890543855-prihozhaya-ppk-nepo.html?"/>
    <hyperlink ref="L40" r:id="rId118" display="https://prom.ua/p512224979-gostinaya-kvatro.html"/>
    <hyperlink ref="N40" r:id="rId119" display="https://prom.ua/p1206351035-komod-german-kom3s912.html?"/>
    <hyperlink ref="O40" r:id="rId120" display="https://prom.ua/p1220143520-tumba-pod-televizor.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32.87"/>
    <col collapsed="false" customWidth="true" hidden="false" outlineLevel="0" max="2" min="2" style="0" width="19.57"/>
    <col collapsed="false" customWidth="true" hidden="false" outlineLevel="0" max="3" min="3" style="0" width="18.58"/>
    <col collapsed="false" customWidth="true" hidden="false" outlineLevel="0" max="4" min="4" style="0" width="17.58"/>
    <col collapsed="false" customWidth="true" hidden="false" outlineLevel="0" max="5" min="5" style="0" width="17.86"/>
    <col collapsed="false" customWidth="true" hidden="false" outlineLevel="0" max="6" min="6" style="0" width="17.29"/>
    <col collapsed="false" customWidth="true" hidden="false" outlineLevel="0" max="7" min="7" style="0" width="16.29"/>
    <col collapsed="false" customWidth="true" hidden="false" outlineLevel="0" max="8" min="8" style="0" width="16"/>
    <col collapsed="false" customWidth="true" hidden="false" outlineLevel="0" max="9" min="9" style="0" width="16.29"/>
    <col collapsed="false" customWidth="true" hidden="false" outlineLevel="0" max="10" min="10" style="0" width="15.71"/>
    <col collapsed="false" customWidth="true" hidden="false" outlineLevel="0" max="11" min="11" style="0" width="17"/>
    <col collapsed="false" customWidth="true" hidden="false" outlineLevel="0" max="12" min="12" style="0" width="17.71"/>
    <col collapsed="false" customWidth="true" hidden="false" outlineLevel="0" max="16" min="13" style="0" width="18"/>
  </cols>
  <sheetData>
    <row r="1" customFormat="false" ht="15.75" hidden="false" customHeight="true" outlineLevel="0" collapsed="false">
      <c r="A1" s="1" t="s">
        <v>0</v>
      </c>
      <c r="B1" s="131" t="s">
        <v>1</v>
      </c>
      <c r="C1" s="131" t="s">
        <v>2</v>
      </c>
      <c r="D1" s="131" t="s">
        <v>3</v>
      </c>
      <c r="E1" s="131" t="s">
        <v>4</v>
      </c>
      <c r="F1" s="131" t="s">
        <v>5</v>
      </c>
      <c r="G1" s="131" t="s">
        <v>6</v>
      </c>
      <c r="H1" s="131" t="s">
        <v>7</v>
      </c>
      <c r="I1" s="131" t="s">
        <v>8</v>
      </c>
      <c r="J1" s="124" t="s">
        <v>9</v>
      </c>
      <c r="K1" s="124" t="s">
        <v>15</v>
      </c>
      <c r="L1" s="123" t="s">
        <v>10</v>
      </c>
      <c r="M1" s="124" t="s">
        <v>11</v>
      </c>
      <c r="N1" s="124" t="s">
        <v>12</v>
      </c>
      <c r="O1" s="124" t="s">
        <v>13</v>
      </c>
      <c r="P1" s="124" t="s">
        <v>14</v>
      </c>
    </row>
    <row r="2" customFormat="false" ht="40.5" hidden="false" customHeight="true" outlineLevel="0" collapsed="false">
      <c r="A2" s="5" t="s">
        <v>125</v>
      </c>
      <c r="B2" s="145" t="n">
        <v>3699</v>
      </c>
      <c r="C2" s="8" t="n">
        <v>4546</v>
      </c>
      <c r="D2" s="8" t="n">
        <v>3755</v>
      </c>
      <c r="E2" s="8" t="n">
        <v>5473</v>
      </c>
      <c r="F2" s="8" t="n">
        <v>2225</v>
      </c>
      <c r="G2" s="8" t="n">
        <v>5666</v>
      </c>
      <c r="H2" s="8" t="n">
        <v>6980</v>
      </c>
      <c r="I2" s="8" t="n">
        <v>3161</v>
      </c>
      <c r="J2" s="10" t="n">
        <v>2290</v>
      </c>
      <c r="K2" s="10" t="n">
        <v>7943</v>
      </c>
      <c r="L2" s="10" t="n">
        <v>3730</v>
      </c>
      <c r="M2" s="10" t="n">
        <v>5020</v>
      </c>
      <c r="N2" s="10" t="n">
        <v>4233</v>
      </c>
      <c r="O2" s="10" t="n">
        <v>5510</v>
      </c>
      <c r="P2" s="10" t="n">
        <v>4400</v>
      </c>
    </row>
    <row r="3" customFormat="false" ht="48" hidden="false" customHeight="true" outlineLevel="0" collapsed="false">
      <c r="A3" s="78" t="s">
        <v>28</v>
      </c>
      <c r="B3" s="79" t="str">
        <f aca="false">HYPERLINK("https://brwmania.com.ua/gostinaja/modulnye-gostinye/sistema-azteka/tumba-pod-tv-acteka-rtv2d2s415/","3699")</f>
        <v>3699</v>
      </c>
      <c r="C3" s="80" t="str">
        <f aca="false">HYPERLINK("https://brwmania.com.ua/gostinaja/modulnye-gostinye/sistema-azteka/komod-acteka-kom4s811/","4546")</f>
        <v>4546</v>
      </c>
      <c r="D3" s="80" t="str">
        <f aca="false">HYPERLINK("https://brwmania.com.ua/gostinaja/modulnye-gostinye/sistema-indiana-indiana---dub-shuter/indiana-dub-shuter-laminat-j-011-komod-jkom-4s-80/","3755")</f>
        <v>3755</v>
      </c>
      <c r="E3" s="80" t="str">
        <f aca="false">HYPERLINK("https://brwmania.com.ua/gostinaja/modulnye-gostinye/sistema-indiana-indiana---dub-shuter/indiana-dub-shuter-laminat-j-007-stol-pismennyy-jbiu-2d2s-140/","5473")</f>
        <v>5473</v>
      </c>
      <c r="F3" s="80" t="str">
        <f aca="false">HYPERLINK("https://brwmania.com.ua/gostinaja/modulnye-gostinye/sistema_dzhuli/komod-dzhuli-july-kom4s-90/","2225")</f>
        <v>2225</v>
      </c>
      <c r="G3" s="80" t="str">
        <f aca="false">HYPERLINK("https://brwmania.com.ua/gostinaja/modulnye-gostinye/tovar-novij/shkaf-platjanoj-porto-szf3d2s/","5666")</f>
        <v>5666</v>
      </c>
      <c r="H3" s="80" t="str">
        <f aca="false">HYPERLINK("https://brwmania.com.ua/gostinaja/modulnye-gostinye/sistema-sonata-sonata/s-015-sonata-komod-8-s/","6980")</f>
        <v>6980</v>
      </c>
      <c r="I3" s="80" t="str">
        <f aca="false">HYPERLINK("https://brwmania.com.ua/gostinaja/modulnye-gostinye/sistema_kaspian_dub_sonoma/kaspian-dub-sonoma-jm-007-stol-pismennyy-biu-1d1s/","3161")</f>
        <v>3161</v>
      </c>
      <c r="J3" s="15" t="n">
        <v>2290</v>
      </c>
      <c r="K3" s="80" t="str">
        <f aca="false">HYPERLINK("https://brwmania.com.ua/gostinaja/komplekty-gostinyh/aljaska-alaska-gostinaja/","7943")</f>
        <v>7943</v>
      </c>
      <c r="L3" s="81" t="n">
        <v>3730</v>
      </c>
      <c r="M3" s="81" t="n">
        <v>5020</v>
      </c>
      <c r="N3" s="80" t="str">
        <f aca="false">HYPERLINK("https://brwmania.com.ua/gostinaja/modulnye-gostinye/sistema-german/komod-brw-german-kom3s-9-12-dub-stirling/","4233")</f>
        <v>4233</v>
      </c>
      <c r="O3" s="81" t="n">
        <v>5510</v>
      </c>
      <c r="P3" s="80" t="str">
        <f aca="false">HYPERLINK("https://brwmania.com.ua/gostinaja/modulnye-gostinye/sistema_koen_mdf/008-koen-mdf-komod-kom4s/","4400")</f>
        <v>4400</v>
      </c>
    </row>
    <row r="4" customFormat="false" ht="60.75" hidden="false" customHeight="true" outlineLevel="0" collapsed="false">
      <c r="A4" s="78" t="s">
        <v>29</v>
      </c>
      <c r="B4" s="35" t="str">
        <f aca="false">HYPERLINK("http://redlight.com.ua/tv-stands/item-tumba-tv-rtv2d2s-4-15-atsteka","3699")</f>
        <v>3699</v>
      </c>
      <c r="C4" s="32" t="str">
        <f aca="false">HYPERLINK("http://redlight.com.ua/komod/item-komod-kom4s-8-11-atsteka","4546")</f>
        <v>4546</v>
      </c>
      <c r="D4" s="32" t="str">
        <f aca="false">HYPERLINK("http://redlight.com.ua/komod/item-komod-jkom-4s-80-indiana","3755")</f>
        <v>3755</v>
      </c>
      <c r="E4" s="32" t="str">
        <f aca="false">HYPERLINK("http://redlight.com.ua/stoly/item-stol-pismenniy-jbiu-2d2s-indiana","5473")</f>
        <v>5473</v>
      </c>
      <c r="F4" s="32" t="str">
        <f aca="false">HYPERLINK("http://redlight.com.ua/komod/item-komod-kom4s-90-dzhuli","2225")</f>
        <v>2225</v>
      </c>
      <c r="G4" s="32" t="str">
        <f aca="false">HYPERLINK("http://redlight.com.ua/raspashnyye-shkafy/item-porto-shkaf-szf3d2s","5666")</f>
        <v>5666</v>
      </c>
      <c r="H4" s="27" t="str">
        <f aca="false">HYPERLINK("http://redlight.com.ua/komod/item-komod-8s-sonata-","6243")</f>
        <v>6243</v>
      </c>
      <c r="I4" s="30" t="str">
        <f aca="false">HYPERLINK("http://redlight.com.ua/stoly/item-kaspian-pismenniy-stol-biu-1d1s-120-kaspian","3161")</f>
        <v>3161</v>
      </c>
      <c r="J4" s="27" t="str">
        <f aca="false">HYPERLINK("http://redlight.com.ua/prihozhie/item-nepo-prihozhaya-rrk-","2046")</f>
        <v>2046</v>
      </c>
      <c r="K4" s="95" t="str">
        <f aca="false">HYPERLINK("http://redlight.com.ua/stenki/item-stenka-alyaska","7644")</f>
        <v>7644</v>
      </c>
      <c r="L4" s="27" t="str">
        <f aca="false">HYPERLINK("http://redlight.com.ua/stenki/item-stenka-kvatro","3373")</f>
        <v>3373</v>
      </c>
      <c r="M4" s="27" t="str">
        <f aca="false">HYPERLINK("https://redlight.com.ua/komod/item-tumba-kom-1w2d2s-9-15-vusher","4520")</f>
        <v>4520</v>
      </c>
      <c r="N4" s="32" t="str">
        <f aca="false">HYPERLINK("https://redlight.com.ua/komod/item-german-komod-kom-3s-9-12","4233")</f>
        <v>4233</v>
      </c>
      <c r="O4" s="27" t="str">
        <f aca="false">HYPERLINK("https://redlight.com.ua/tv-stands/item-alisa-tumba-rtv2s2k","5087")</f>
        <v>5087</v>
      </c>
      <c r="P4" s="27" t="str">
        <f aca="false">HYPERLINK("https://redlight.com.ua/komod/item-komod-kom4s-koen-(mdf)-","3931")</f>
        <v>3931</v>
      </c>
    </row>
    <row r="5" customFormat="false" ht="63" hidden="false" customHeight="true" outlineLevel="0" collapsed="false">
      <c r="A5" s="78" t="s">
        <v>30</v>
      </c>
      <c r="B5" s="35" t="str">
        <f aca="false">HYPERLINK("https://mebli-bristol.com.ua/acteka-tumba-rtv-2d2s-4-15-brv-ukraina.html","3699")</f>
        <v>3699</v>
      </c>
      <c r="C5" s="32" t="str">
        <f aca="false">HYPERLINK("https://mebli-bristol.com.ua/acteka-komod-kom-4s-8-11-brv-ukraina.html","4586")</f>
        <v>4586</v>
      </c>
      <c r="D5" s="32" t="str">
        <f aca="false">HYPERLINK("https://mebli-bristol.com.ua/indiana-komod-jkom-4s-80-sosna-kan-jon-brv-ukraina.html","3755")</f>
        <v>3755</v>
      </c>
      <c r="E5" s="32" t="str">
        <f aca="false">HYPERLINK("https://mebli-bristol.com.ua/indiana-stil-pis-movij-jbiu-2d2s-140-sosna-kan-jon-brv-ukraina.html","5473")</f>
        <v>5473</v>
      </c>
      <c r="F5" s="32" t="str">
        <f aca="false">HYPERLINK("https://mebli-bristol.com.ua/dzhuli-komod-kom-4s-90-brv-ukraina.html","2225")</f>
        <v>2225</v>
      </c>
      <c r="G5" s="32" t="str">
        <f aca="false">HYPERLINK("https://mebli-bristol.com.ua/porto-shafa-szf-3d2s-brv-ukraina.html","5666")</f>
        <v>5666</v>
      </c>
      <c r="H5" s="32" t="str">
        <f aca="false">HYPERLINK("https://mebli-bristol.com.ua/sonata-komod-8s-gerbor.html","6980")</f>
        <v>6980</v>
      </c>
      <c r="I5" s="32" t="str">
        <f aca="false">HYPERLINK("https://mebli-bristol.com.ua/kaspian-stil-pis-movij-biu-1d1s-120-dub-sonoma-brv-ukraina.html","3161")</f>
        <v>3161</v>
      </c>
      <c r="J5" s="95" t="str">
        <f aca="false">HYPERLINK("https://mebli-bristol.com.ua/nepo-peredpokij-ppk-gerbor-9728.html","1971")</f>
        <v>1971</v>
      </c>
      <c r="K5" s="32" t="str">
        <f aca="false">HYPERLINK("https://mebli-bristol.com.ua/aljaska-brv-ukraina.html","7964")</f>
        <v>7964</v>
      </c>
      <c r="L5" s="32" t="str">
        <f aca="false">HYPERLINK("https://mebli-bristol.com.ua/kvatro-gerbor.html","3730")</f>
        <v>3730</v>
      </c>
      <c r="M5" s="32" t="str">
        <f aca="false">HYPERLINK("https://mebli-bristol.com.ua/vusher-komod-kom-1w-2d2s-gerbor.html","5020")</f>
        <v>5020</v>
      </c>
      <c r="N5" s="32" t="str">
        <f aca="false">HYPERLINK("https://mebli-bristol.com.ua/german-komod-kom-3s-9-12-brv-ukraina.html","4233")</f>
        <v>4233</v>
      </c>
      <c r="O5" s="82" t="n">
        <v>5010</v>
      </c>
      <c r="P5" s="32" t="str">
        <f aca="false">HYPERLINK("https://mebli-bristol.com.ua/koen-komod-kom-4s-mdf-gerbor.html","4400")</f>
        <v>4400</v>
      </c>
    </row>
    <row r="6" customFormat="false" ht="60" hidden="false" customHeight="true" outlineLevel="0" collapsed="false">
      <c r="A6" s="78" t="s">
        <v>17</v>
      </c>
      <c r="B6" s="35" t="str">
        <f aca="false">HYPERLINK("https://gerbor.kiev.ua/mebelnye-sistemy/mebel-brw-azteca/azteca-tumba-tv-rtv2d2s-brv/","3699")</f>
        <v>3699</v>
      </c>
      <c r="C6" s="32" t="str">
        <f aca="false">HYPERLINK("https://gerbor.kiev.ua/mebelnye-sistemy/mebel-brw-azteca/azteca-komod-kom4s-brv/","4546")</f>
        <v>4546</v>
      </c>
      <c r="D6" s="32" t="str">
        <f aca="false">HYPERLINK("https://gerbor.kiev.ua/mebelnye-sistemy/mebel-indiana-brw/indiana-komod-jkom4s80-brv/","3755")</f>
        <v>3755</v>
      </c>
      <c r="E6" s="32" t="str">
        <f aca="false">HYPERLINK("https://gerbor.kiev.ua/mebelnye-sistemy/mebel-indiana-brw/indiana-stol-pismennyy-jbiu2d2s140-brv/","5473")</f>
        <v>5473</v>
      </c>
      <c r="F6" s="32" t="str">
        <f aca="false">HYPERLINK("https://gerbor.kiev.ua/mebelnye-sistemy/mebel-july-brw/july-komod-kom4s90-brv/","2225")</f>
        <v>2225</v>
      </c>
      <c r="G6" s="32" t="str">
        <f aca="false">HYPERLINK("https://gerbor.kiev.ua/mebelnye-sistemy/mebel-porto-brv/porto-shkaf-szf3d2s-brv/","5666")</f>
        <v>5666</v>
      </c>
      <c r="H6" s="32" t="str">
        <f aca="false">HYPERLINK("https://gerbor.kiev.ua/mebelnye-sistemy/mebel-sonata-gerbor/sonata-komod-8s-gerbor/","6980")</f>
        <v>6980</v>
      </c>
      <c r="I6" s="32" t="str">
        <f aca="false">HYPERLINK("https://gerbor.kiev.ua/mebelnye-sistemy/mebel-kaspian-sonoma-brw/kaspian-sonoma-stol-pismennyy-biu1d1s-brv/","3161")</f>
        <v>3161</v>
      </c>
      <c r="J6" s="32" t="str">
        <f aca="false">HYPERLINK("https://gerbor.kiev.ua/mebelnye-sistemy/mebel-nepo-gerbor/nepo-prikhozhaya-ppk-gerbor/","2290")</f>
        <v>2290</v>
      </c>
      <c r="K6" s="32" t="str">
        <f aca="false">HYPERLINK("https://gerbor.kiev.ua/mebelnye-sistemy/mebel-alaska-brw/alaska-gostinaya-brw/","7964")</f>
        <v>7964</v>
      </c>
      <c r="L6" s="83"/>
      <c r="M6" s="32" t="str">
        <f aca="false">HYPERLINK("https://gerbor.kiev.ua/mebelnye-sistemy/mebel-vusher-gerbor/vusher-komod-kom1w2d2s-gerbor/","5020")</f>
        <v>5020</v>
      </c>
      <c r="N6" s="32" t="str">
        <f aca="false">HYPERLINK("https://gerbor.kiev.ua/mebel-brv-ukraina/mebel-german-brw/german-komod-kom3s-brv/","4233")</f>
        <v>4233</v>
      </c>
      <c r="O6" s="82" t="n">
        <v>5510</v>
      </c>
      <c r="P6" s="32" t="str">
        <f aca="false">HYPERLINK("https://gerbor.kiev.ua/mebelnye-sistemy/mebel-koen-gerbor/koen-komod-kom4s-gerbor/","4400")</f>
        <v>4400</v>
      </c>
    </row>
    <row r="7" customFormat="false" ht="63" hidden="false" customHeight="true" outlineLevel="0" collapsed="false">
      <c r="A7" s="78" t="s">
        <v>18</v>
      </c>
      <c r="B7" s="35" t="str">
        <f aca="false">HYPERLINK("http://www.brwland.com.ua/product/azteca-tumba-tv-rtv2d2s415-brv-ukraina/","3699")</f>
        <v>3699</v>
      </c>
      <c r="C7" s="32" t="str">
        <f aca="false">HYPERLINK("http://www.brwland.com.ua/product/azteca-komod-kom4s811-brv-ukraina/","4546")</f>
        <v>4546</v>
      </c>
      <c r="D7" s="32" t="str">
        <f aca="false">HYPERLINK("http://www.brwland.com.ua/product/mebel-indiana-komod-jkom-4s-80-gerbor/","3755")</f>
        <v>3755</v>
      </c>
      <c r="E7" s="32" t="str">
        <f aca="false">HYPERLINK("http://www.brwland.com.ua/product/mebel-indiana-stol-pismennyj-jbiu-2d2s-140-gerbor/","5473")</f>
        <v>5473</v>
      </c>
      <c r="F7" s="32" t="str">
        <f aca="false">HYPERLINK("http://www.brwland.com.ua/product/dzhuli-komod-kom4s90-brv-ukraina/","2225")</f>
        <v>2225</v>
      </c>
      <c r="G7" s="32" t="str">
        <f aca="false">HYPERLINK("http://www.brwland.com.ua/product/porto-shkaf-szf3d2s-brv-ukraina/","5666")</f>
        <v>5666</v>
      </c>
      <c r="H7" s="32" t="str">
        <f aca="false">HYPERLINK("http://www.brwland.com.ua/product/komod-8s-sonata-gerbor/","6980")</f>
        <v>6980</v>
      </c>
      <c r="I7" s="32" t="str">
        <f aca="false">HYPERLINK("http://www.brwland.com.ua/product/kaspian-sonoma-stol-pismennyj-biu1d1s-brv-ukraina/","3161")</f>
        <v>3161</v>
      </c>
      <c r="J7" s="32" t="str">
        <f aca="false">HYPERLINK("http://www.brwland.com.ua/product/nepo-prihozhaja-ppk-gerbor/","2290")</f>
        <v>2290</v>
      </c>
      <c r="K7" s="32" t="str">
        <f aca="false">HYPERLINK("http://www.brwland.com.ua/product/gostinaja-aljaska-brv-ukraina/","7964")</f>
        <v>7964</v>
      </c>
      <c r="L7" s="95" t="str">
        <f aca="false">HYPERLINK("http://www.brwland.com.ua/product/komplekt-quatro/","3151")</f>
        <v>3151</v>
      </c>
      <c r="M7" s="32" t="str">
        <f aca="false">HYPERLINK("http://www.brwland.com.ua/product/vusher-bufet-kom1w2d2s915-gerbor/","5020")</f>
        <v>5020</v>
      </c>
      <c r="N7" s="32" t="str">
        <f aca="false">HYPERLINK("https://brwland.com.ua/product/german-komod-kom3s912-brv-ukraina/","4233")</f>
        <v>4233</v>
      </c>
      <c r="O7" s="82" t="n">
        <v>5510</v>
      </c>
      <c r="P7" s="32" t="str">
        <f aca="false">HYPERLINK("https://brwland.com.ua/product/koen-kom4s-komod-gerbor/","4400")</f>
        <v>4400</v>
      </c>
    </row>
    <row r="8" customFormat="false" ht="60" hidden="false" customHeight="true" outlineLevel="0" collapsed="false">
      <c r="A8" s="78" t="s">
        <v>31</v>
      </c>
      <c r="B8" s="35" t="str">
        <f aca="false">HYPERLINK("http://gerbor.dp.ua/index.php?route=product/product&amp;product_id=3138","0")</f>
        <v>0</v>
      </c>
      <c r="C8" s="32" t="str">
        <f aca="false">HYPERLINK("http://gerbor.dp.ua/index.php?route=product/product&amp;product_id=3131","0")</f>
        <v>0</v>
      </c>
      <c r="D8" s="32" t="str">
        <f aca="false">HYPERLINK("http://gerbor.dp.ua/index.php?route=product/product&amp;product_id=1730","0")</f>
        <v>0</v>
      </c>
      <c r="E8" s="32" t="str">
        <f aca="false">HYPERLINK("http://gerbor.dp.ua/index.php?route=product/product&amp;product_id=1725","0")</f>
        <v>0</v>
      </c>
      <c r="F8" s="32" t="str">
        <f aca="false">HYPERLINK("http://gerbor.dp.ua/index.php?route=product/product&amp;product_id=1755","0")</f>
        <v>0</v>
      </c>
      <c r="G8" s="32" t="str">
        <f aca="false">HYPERLINK("http://gerbor.dp.ua/index.php?route=product/product&amp;product_id=3905","5377")</f>
        <v>5377</v>
      </c>
      <c r="H8" s="32" t="str">
        <f aca="false">HYPERLINK("http://gerbor.dp.ua/index.php?route=product/product&amp;product_id=2156","0")</f>
        <v>0</v>
      </c>
      <c r="I8" s="32" t="str">
        <f aca="false">HYPERLINK("http://gerbor.dp.ua/index.php?route=product/product&amp;product_id=2819","0")</f>
        <v>0</v>
      </c>
      <c r="J8" s="32" t="str">
        <f aca="false">HYPERLINK("http://gerbor.dp.ua/index.php?route=product/product&amp;product_id=3473&amp;search=%D0%BD%D0%B5%D0%BF%D0%BE","0")</f>
        <v>0</v>
      </c>
      <c r="K8" s="32" t="str">
        <f aca="false">HYPERLINK("http://gerbor.dp.ua/index.php?route=product/product&amp;product_id=3031","0")</f>
        <v>0</v>
      </c>
      <c r="L8" s="32" t="str">
        <f aca="false">HYPERLINK("http://gerbor.dp.ua/index.php?route=product/product&amp;product_id=2040","0")</f>
        <v>0</v>
      </c>
      <c r="M8" s="27" t="str">
        <f aca="false">HYPERLINK("http://gerbor.dp.ua/index.php?route=product/product&amp;product_id=2775","4195")</f>
        <v>4195</v>
      </c>
      <c r="N8" s="32" t="str">
        <f aca="false">HYPERLINK("http://gerbor.dp.ua/index.php?route=product/product&amp;product_id=4118","0")</f>
        <v>0</v>
      </c>
      <c r="O8" s="32" t="str">
        <f aca="false">HYPERLINK("http://gerbor.dp.ua/index.php?route=product/product&amp;product_id=4257","0")</f>
        <v>0</v>
      </c>
      <c r="P8" s="32" t="str">
        <f aca="false">HYPERLINK("http://gerbor.dp.ua/index.php?route=product/product&amp;product_id=3797&amp;search=%D0%BA%D0%BE%D0%B5%D0%BD+%D0%BC%D0%B4%D1%84&amp;description=true","0")</f>
        <v>0</v>
      </c>
    </row>
    <row r="9" customFormat="false" ht="56.25" hidden="false" customHeight="true" outlineLevel="0" collapsed="false">
      <c r="A9" s="105" t="s">
        <v>32</v>
      </c>
      <c r="B9" s="29" t="str">
        <f aca="false">HYPERLINK("https://www.dybok.com.ua/ru/product/detail/35816","3705")</f>
        <v>3705</v>
      </c>
      <c r="C9" s="82" t="n">
        <v>4554</v>
      </c>
      <c r="D9" s="133" t="n">
        <v>3229</v>
      </c>
      <c r="E9" s="82" t="n">
        <v>5481</v>
      </c>
      <c r="F9" s="82" t="n">
        <v>2230</v>
      </c>
      <c r="G9" s="82" t="n">
        <v>5675</v>
      </c>
      <c r="H9" s="82" t="n">
        <v>7000</v>
      </c>
      <c r="I9" s="95" t="str">
        <f aca="false">HYPERLINK("https://www.dybok.com.ua/","3006")</f>
        <v>3006</v>
      </c>
      <c r="J9" s="133" t="n">
        <v>1931</v>
      </c>
      <c r="K9" s="82" t="n">
        <v>7980</v>
      </c>
      <c r="L9" s="32" t="str">
        <f aca="false">HYPERLINK("https://www.dybok.com.ua/ru/product/detail/6077","3749")</f>
        <v>3749</v>
      </c>
      <c r="M9" s="32" t="str">
        <f aca="false">HYPERLINK("https://www.dybok.com.ua/ru/product/detail/7086","5033")</f>
        <v>5033</v>
      </c>
      <c r="N9" s="32" t="str">
        <f aca="false">HYPERLINK("https://www.dybok.com.ua/ru/product/detail/54996","4240")</f>
        <v>4240</v>
      </c>
      <c r="O9" s="82" t="n">
        <v>5530</v>
      </c>
      <c r="P9" s="32" t="str">
        <f aca="false">HYPERLINK("https://www.dybok.com.ua/ua/product/detail/76092","4410")</f>
        <v>4410</v>
      </c>
    </row>
    <row r="10" customFormat="false" ht="61.5" hidden="false" customHeight="true" outlineLevel="0" collapsed="false">
      <c r="A10" s="78" t="s">
        <v>19</v>
      </c>
      <c r="B10" s="29" t="str">
        <f aca="false">HYPERLINK("https://vashamebel.in.ua/tumba-tv-brv-atsteka-rtv2d2s415/p12722","3686")</f>
        <v>3686</v>
      </c>
      <c r="C10" s="30" t="str">
        <f aca="false">HYPERLINK("https://vashamebel.in.ua/komod-brv-atsteka-kom4s811/p12731","4233")</f>
        <v>4233</v>
      </c>
      <c r="D10" s="30" t="str">
        <f aca="false">HYPERLINK("https://vashamebel.in.ua/komod-brv-indiana-jkom4s80/p921","3755")</f>
        <v>3755</v>
      </c>
      <c r="E10" s="30" t="str">
        <f aca="false">HYPERLINK("https://vashamebel.in.ua/stol-pismennyij-brv-indiana-jbiu-2d2s/p916","5473")</f>
        <v>5473</v>
      </c>
      <c r="F10" s="32" t="str">
        <f aca="false">HYPERLINK("https://vashamebel.in.ua/komod-brv-dzhuli-kom4s90/p7958","2225")</f>
        <v>2225</v>
      </c>
      <c r="G10" s="32" t="str">
        <f aca="false">HYPERLINK("https://vashamebel.in.ua/shkaf-brv-porto-szf3d2s/p12560","5666")</f>
        <v>5666</v>
      </c>
      <c r="H10" s="34" t="str">
        <f aca="false">HYPERLINK("https://vashamebel.in.ua/komod-gerbor-sonata-8s/p845","6343")</f>
        <v>6343</v>
      </c>
      <c r="I10" s="30" t="s">
        <v>33</v>
      </c>
      <c r="J10" s="34" t="str">
        <f aca="false">HYPERLINK("https://vashamebel.in.ua/prihozhaya-gerbor-nepo-ppk/p12249","2046")</f>
        <v>2046</v>
      </c>
      <c r="K10" s="30" t="str">
        <f aca="false">HYPERLINK("https://vashamebel.in.ua/gostinaya-brv-alyaska/p4420","7644")</f>
        <v>7644</v>
      </c>
      <c r="L10" s="34" t="str">
        <f aca="false">HYPERLINK("https://vashamebel.in.ua/stenka-gerbor-kvatro/p2359","3373")</f>
        <v>3373</v>
      </c>
      <c r="M10" s="27" t="str">
        <f aca="false">HYPERLINK("https://vashamebel.in.ua/komod-gerbor-vusher-kom1w2d2s/p4762","4520")</f>
        <v>4520</v>
      </c>
      <c r="N10" s="32" t="str">
        <f aca="false">HYPERLINK("https://vashamebel.in.ua/komod-brv-german-kom3s912/p16187","4233")</f>
        <v>4233</v>
      </c>
      <c r="O10" s="27" t="str">
        <f aca="false">HYPERLINK("https://vashamebel.in.ua/tumba-tv-gerbor-alisa-rtv2s2k/p16540","5087")</f>
        <v>5087</v>
      </c>
      <c r="P10" s="27" t="str">
        <f aca="false">HYPERLINK("https://vashamebel.in.ua/komod-gerbor-koen-kom4s/p2171","3891")</f>
        <v>3891</v>
      </c>
    </row>
    <row r="11" customFormat="false" ht="70.5" hidden="false" customHeight="true" outlineLevel="0" collapsed="false">
      <c r="A11" s="78" t="s">
        <v>20</v>
      </c>
      <c r="B11" s="35" t="str">
        <f aca="false">HYPERLINK("https://mebel-mebel.com.ua/eshop/dom-tumby-dlia-tv/tumba_rtv2d2s_4_15_atsteka-id461.html","3699")</f>
        <v>3699</v>
      </c>
      <c r="C11" s="32" t="str">
        <f aca="false">HYPERLINK("https://mebel-mebel.com.ua/eshop/dom-komody/komod_kom4s_8_11_atsteka-id496.html","4546")</f>
        <v>4546</v>
      </c>
      <c r="D11" s="32" t="str">
        <f aca="false">HYPERLINK("https://mebel-mebel.com.ua/eshop/dom-komody/komod_jkom_4s80_indiana-id663.html","3755")</f>
        <v>3755</v>
      </c>
      <c r="E11" s="32" t="str">
        <f aca="false">HYPERLINK("https://mebel-mebel.com.ua/eshop/dom-stoly-kompiuternye/stol_pismenniy_jbiu_2d2s_140_indiana-id659.html","5473")</f>
        <v>5473</v>
      </c>
      <c r="F11" s="32" t="str">
        <f aca="false">HYPERLINK("https://mebel-mebel.com.ua/eshop/dom-komody/komod_kom_4s_90_dzhuli-id569.html","2225")</f>
        <v>2225</v>
      </c>
      <c r="G11" s="30" t="str">
        <f aca="false">HYPERLINK("https://mebel-mebel.com.ua/eshop/detskie-shkafy/shkaf_szf3d2s_porto-id35136.html","5666")</f>
        <v>5666</v>
      </c>
      <c r="H11" s="27" t="str">
        <f aca="false">HYPERLINK("https://mebel-mebel.com.ua/eshop/dom-komody/komod_8s_s_015_sonata-id1567.html","6243")</f>
        <v>6243</v>
      </c>
      <c r="I11" s="32" t="str">
        <f aca="false">HYPERLINK("https://mebel-mebel.com.ua/eshop/dom-stoly-kompiuternye/stol_pismenniy_biu_1d1s_120_kaspian-id797.html","3161")</f>
        <v>3161</v>
      </c>
      <c r="J11" s="27" t="str">
        <f aca="false">HYPERLINK("https://mebel-mebel.com.ua/eshop/dom-prihozhie/prihozhaya_ppk_nepo-id28028.html","2046")</f>
        <v>2046</v>
      </c>
      <c r="K11" s="82" t="n">
        <v>7964</v>
      </c>
      <c r="L11" s="27" t="str">
        <f aca="false">HYPERLINK("https://mebel-mebel.com.ua/eshop/dom-stenki-dlia-gostinoi/gostinaya_kvatro-id152.html","3373")</f>
        <v>3373</v>
      </c>
      <c r="M11" s="27" t="str">
        <f aca="false">HYPERLINK("https://mebel-mebel.com.ua/eshop/dom-komody/komod_kom_1w2d2s_vusher-id560.html","4520")</f>
        <v>4520</v>
      </c>
      <c r="N11" s="32" t="str">
        <f aca="false">HYPERLINK("https://mebel-mebel.com.ua/eshop/dom-komody/komod_kom3s_9_12_german_brv_ukraina-id60297.html","4233")</f>
        <v>4233</v>
      </c>
      <c r="O11" s="27" t="str">
        <f aca="false">HYPERLINK("https://mebel-mebel.com.ua/eshop/dom-tumby-dlia-tv/tumba_rtv_2s2k_alisa_gerbor-id60350.html","5087")</f>
        <v>5087</v>
      </c>
      <c r="P11" s="27" t="str">
        <f aca="false">HYPERLINK("https://mebel-mebel.com.ua/eshop/dom-komody/komod_kom_4s_mdf_8_koen-id921.html","3931")</f>
        <v>3931</v>
      </c>
    </row>
    <row r="12" customFormat="false" ht="75.75" hidden="false" customHeight="true" outlineLevel="0" collapsed="false">
      <c r="A12" s="78" t="s">
        <v>21</v>
      </c>
      <c r="B12" s="35" t="str">
        <f aca="false">HYPERLINK("https://abcmebli.com.ua/p14992-tumba_tv_rtv2d2s-4-15_atsteka","3699")</f>
        <v>3699</v>
      </c>
      <c r="C12" s="32" t="str">
        <f aca="false">HYPERLINK("https://abcmebli.com.ua/p15683-atsteka_komod_kom4s-8-11_brv","4546")</f>
        <v>4546</v>
      </c>
      <c r="D12" s="32" t="str">
        <f aca="false">HYPERLINK("https://abcmebli.com.ua/p1896-komod_jkom4s_80_indiana","3755")</f>
        <v>3755</v>
      </c>
      <c r="E12" s="32" t="str">
        <f aca="false">HYPERLINK("https://abcmebli.com.ua/p1892-stol_pismenniy_jbiu2d2s_140_indiana","5473")</f>
        <v>5473</v>
      </c>
      <c r="F12" s="32" t="str">
        <f aca="false">HYPERLINK("https://abcmebli.com.ua/p8553-komod_kom4s-90_july","2225")</f>
        <v>2225</v>
      </c>
      <c r="G12" s="32" t="str">
        <f aca="false">HYPERLINK("https://abcmebli.com.ua/p15039-shkaf_platyanoy_szf3d2s_porto","5666")</f>
        <v>5666</v>
      </c>
      <c r="H12" s="27" t="str">
        <f aca="false">HYPERLINK("https://abcmebli.com.ua/p2225-komod_8-s_sonata","6243")</f>
        <v>6243</v>
      </c>
      <c r="I12" s="32" t="str">
        <f aca="false">HYPERLINK("https://abcmebli.com.ua/p14308-stol_pismenniy_biu_1d1s_120_kaspian","3161")</f>
        <v>3161</v>
      </c>
      <c r="J12" s="34" t="str">
        <f aca="false">HYPERLINK("https://abcmebli.com.ua/p15897-nepo_prihozhaya_ppk_gerbor","2046")</f>
        <v>2046</v>
      </c>
      <c r="K12" s="32" t="str">
        <f aca="false">HYPERLINK("https://abcmebli.com.ua/p15950-gostinaya_alyaska_brv-ukraina","7644")</f>
        <v>7644</v>
      </c>
      <c r="L12" s="27" t="str">
        <f aca="false">HYPERLINK("https://abcmebli.com.ua/p2515-stenka_kvatro_gerbor","3373")</f>
        <v>3373</v>
      </c>
      <c r="M12" s="27" t="str">
        <f aca="false">HYPERLINK("https://abcmebli.com.ua/p4993-komod_kom1w2d2s_9_15_vusher","4520")</f>
        <v>4520</v>
      </c>
      <c r="N12" s="32" t="str">
        <f aca="false">HYPERLINK("https://abcmebli.com.ua/p15847-german_komod_kom3s-9-12_brv","4233")</f>
        <v>4233</v>
      </c>
      <c r="O12" s="27" t="str">
        <f aca="false">HYPERLINK("https://abcmebli.com.ua/p16267-alisa_tumba_tv_rtv2s2k_gerbor","5087")</f>
        <v>5087</v>
      </c>
      <c r="P12" s="27" t="str">
        <f aca="false">HYPERLINK("https://abcmebli.com.ua/p15137-koen_mdf_komod_kom4s","3931")</f>
        <v>3931</v>
      </c>
    </row>
    <row r="13" customFormat="false" ht="56.25" hidden="false" customHeight="true" outlineLevel="0" collapsed="false">
      <c r="A13" s="78" t="s">
        <v>22</v>
      </c>
      <c r="B13" s="35" t="str">
        <f aca="false">HYPERLINK("https://www.mebelok.com/tymba-tv-rtv2d2s415-acteka/","3700")</f>
        <v>3700</v>
      </c>
      <c r="C13" s="30" t="str">
        <f aca="false">HYPERLINK("https://www.mebelok.com/komod-kom4s811-acteka/","4550")</f>
        <v>4550</v>
      </c>
      <c r="D13" s="30" t="str">
        <f aca="false">HYPERLINK("https://www.mebelok.com/komod-jkom-4s-80/","3760")</f>
        <v>3760</v>
      </c>
      <c r="E13" s="32" t="str">
        <f aca="false">HYPERLINK("https://www.mebelok.com/stol-pismennyy-jbiu-2d2s-140/","5480")</f>
        <v>5480</v>
      </c>
      <c r="F13" s="30" t="str">
        <f aca="false">HYPERLINK("https://www.mebelok.com/komod-kom-4s-90-juli/","2230")</f>
        <v>2230</v>
      </c>
      <c r="G13" s="30" t="str">
        <f aca="false">HYPERLINK("https://www.mebelok.com/shkaf-szf3d2s-porto/","5670")</f>
        <v>5670</v>
      </c>
      <c r="H13" s="32" t="str">
        <f aca="false">HYPERLINK("https://www.mebelok.com/komod-8s-sonata/","6980")</f>
        <v>6980</v>
      </c>
      <c r="I13" s="32" t="str">
        <f aca="false">HYPERLINK("https://www.mebelok.com/stol-pismennyy-biu1d1s-120-kaspian/","3170")</f>
        <v>3170</v>
      </c>
      <c r="J13" s="27" t="str">
        <f aca="false">HYPERLINK("https://www.mebelok.com/prihojaya-ppk-nepo/","1743")</f>
        <v>1743</v>
      </c>
      <c r="K13" s="95" t="str">
        <f aca="false">HYPERLINK("https://www.mebelok.com/gostinaya-alyaska/","7655")</f>
        <v>7655</v>
      </c>
      <c r="L13" s="30" t="str">
        <f aca="false">HYPERLINK("https://www.mebelok.com/gostinaya-kvatro","3730")</f>
        <v>3730</v>
      </c>
      <c r="M13" s="30" t="str">
        <f aca="false">HYPERLINK("https://www.mebelok.com/komod-kom-1w2d2s-vusher/","5020")</f>
        <v>5020</v>
      </c>
      <c r="N13" s="32" t="str">
        <f aca="false">HYPERLINK("https://www.mebelok.com/komod-kom3s-9-12/","4240")</f>
        <v>4240</v>
      </c>
      <c r="O13" s="82" t="n">
        <v>5510</v>
      </c>
      <c r="P13" s="32" t="str">
        <f aca="false">HYPERLINK("https://www.mebelok.com/koen-komod-kom4s-mdf/","4400")</f>
        <v>4400</v>
      </c>
    </row>
    <row r="14" customFormat="false" ht="48" hidden="false" customHeight="true" outlineLevel="0" collapsed="false">
      <c r="A14" s="78" t="s">
        <v>23</v>
      </c>
      <c r="B14" s="35" t="str">
        <f aca="false">HYPERLINK("https://maxmebel.com.ua/atsteka_tumba_rtv2d2s","3699")</f>
        <v>3699</v>
      </c>
      <c r="C14" s="32" t="str">
        <f aca="false">HYPERLINK("https://maxmebel.com.ua/atsteka_komod_kom4s-8-11","4560")</f>
        <v>4560</v>
      </c>
      <c r="D14" s="32" t="str">
        <f aca="false">HYPERLINK("https://maxmebel.com.ua/indiana_komod_jkom_4s_80","3760")</f>
        <v>3760</v>
      </c>
      <c r="E14" s="32" t="str">
        <f aca="false">HYPERLINK("https://maxmebel.com.ua/indiana_pismenniy_stol_jbiu_2d2s","5473")</f>
        <v>5473</v>
      </c>
      <c r="F14" s="32" t="str">
        <f aca="false">HYPERLINK("https://maxmebel.com.ua/dzhuli_komod_kom4s-90","2225")</f>
        <v>2225</v>
      </c>
      <c r="G14" s="32" t="str">
        <f aca="false">HYPERLINK("https://maxmebel.com.ua/porto_shkaf_platyanoy_szf3d2s","5666")</f>
        <v>5666</v>
      </c>
      <c r="H14" s="27" t="str">
        <f aca="false">HYPERLINK("https://maxmebel.com.ua/sonata_komod_8-s","6243")</f>
        <v>6243</v>
      </c>
      <c r="I14" s="32" t="str">
        <f aca="false">HYPERLINK("https://maxmebel.com.ua/kaspian_stol_pismenniy_biu_1d1s","3161")</f>
        <v>3161</v>
      </c>
      <c r="J14" s="27" t="str">
        <f aca="false">HYPERLINK("https://maxmebel.com.ua/nepo_prihozhaya_rrk","2046")</f>
        <v>2046</v>
      </c>
      <c r="K14" s="32" t="str">
        <f aca="false">HYPERLINK("https://maxmebel.com.ua/stenka_alyaska","7964")</f>
        <v>7964</v>
      </c>
      <c r="L14" s="34" t="str">
        <f aca="false">HYPERLINK("https://maxmebel.com.ua/stenka_kvatro","3373")</f>
        <v>3373</v>
      </c>
      <c r="M14" s="27" t="str">
        <f aca="false">HYPERLINK("https://maxmebel.com.ua/vusher_komod_kom_1w2d2s","4520")</f>
        <v>4520</v>
      </c>
      <c r="N14" s="32" t="str">
        <f aca="false">HYPERLINK("https://maxmebel.com.ua/german_komod_kon3s-9-12","4233")</f>
        <v>4233</v>
      </c>
      <c r="O14" s="92" t="s">
        <v>34</v>
      </c>
      <c r="P14" s="27" t="str">
        <f aca="false">HYPERLINK("https://maxmebel.com.ua/koen_komod_kom4s-mdf","3931")</f>
        <v>3931</v>
      </c>
    </row>
    <row r="15" customFormat="false" ht="39" hidden="false" customHeight="true" outlineLevel="0" collapsed="false">
      <c r="A15" s="78" t="s">
        <v>24</v>
      </c>
      <c r="B15" s="35" t="str">
        <f aca="false">HYPERLINK("https://moyamebel.com.ua/ua/products/tumba-rtv-atsteka","3699")</f>
        <v>3699</v>
      </c>
      <c r="C15" s="32" t="str">
        <f aca="false">HYPERLINK("https://moyamebel.com.ua/ua/products/komod-atsteka","4546")</f>
        <v>4546</v>
      </c>
      <c r="D15" s="32" t="str">
        <f aca="false">HYPERLINK("https://moyamebel.com.ua/ua/products/komod-4s-80-indiana","3755")</f>
        <v>3755</v>
      </c>
      <c r="E15" s="32" t="str">
        <f aca="false">HYPERLINK("https://moyamebel.com.ua/ua/products/stol-pismennyj-2d2s-indiana","5473")</f>
        <v>5473</v>
      </c>
      <c r="F15" s="32" t="str">
        <f aca="false">HYPERLINK("https://moyamebel.com.ua/ua/products/komod-dzhuli-90","2225")</f>
        <v>2225</v>
      </c>
      <c r="G15" s="32" t="str">
        <f aca="false">HYPERLINK("https://moyamebel.com.ua/ua/products/shkaf-3d2sporto","5666")</f>
        <v>5666</v>
      </c>
      <c r="H15" s="34" t="str">
        <f aca="false">HYPERLINK("https://moyamebel.com.ua/ua/products/komod-8s-sonata","6243")</f>
        <v>6243</v>
      </c>
      <c r="I15" s="32" t="str">
        <f aca="false">HYPERLINK("https://moyamebel.com.ua/ua/products/stol-pismennyj-120-kaspian","3161")</f>
        <v>3161</v>
      </c>
      <c r="J15" s="93"/>
      <c r="K15" s="32" t="str">
        <f aca="false">HYPERLINK("https://moyamebel.com.ua/ua/products/gostinaya-alyaska","7644")</f>
        <v>7644</v>
      </c>
      <c r="L15" s="30" t="str">
        <f aca="false">HYPERLINK("https://moyamebel.com.ua/ua/products/gostinaya-kvatro","3730")</f>
        <v>3730</v>
      </c>
      <c r="M15" s="32" t="str">
        <f aca="false">HYPERLINK("https://moyamebel.com.ua/ua/products/komod-1w2d2s-vusher","5020")</f>
        <v>5020</v>
      </c>
      <c r="N15" s="83" t="str">
        <f aca="false">HYPERLINK("","")</f>
        <v/>
      </c>
      <c r="O15" s="94" t="s">
        <v>34</v>
      </c>
      <c r="P15" s="94" t="s">
        <v>34</v>
      </c>
    </row>
    <row r="16" customFormat="false" ht="31.5" hidden="false" customHeight="true" outlineLevel="0" collapsed="false">
      <c r="A16" s="78" t="s">
        <v>35</v>
      </c>
      <c r="B16" s="35" t="str">
        <f aca="false">HYPERLINK("https://mebel-soyuz.com.ua/12896.html","3699")</f>
        <v>3699</v>
      </c>
      <c r="C16" s="32" t="str">
        <f aca="false">HYPERLINK("https://mebel-soyuz.com.ua/12903.html","4546")</f>
        <v>4546</v>
      </c>
      <c r="D16" s="32" t="str">
        <f aca="false">HYPERLINK("https://mebel-soyuz.com.ua/2266.html","3755")</f>
        <v>3755</v>
      </c>
      <c r="E16" s="32" t="str">
        <f aca="false">HYPERLINK("https://mebel-soyuz.com.ua/stol-pismennyj-jbiu-2d2s-140-indiana.html","5473")</f>
        <v>5473</v>
      </c>
      <c r="F16" s="32" t="str">
        <f aca="false">HYPERLINK("https://mebel-soyuz.com.ua/komod-kom-4s-90-dzhuli.html","2225")</f>
        <v>2225</v>
      </c>
      <c r="G16" s="32" t="str">
        <f aca="false">HYPERLINK("https://mebel-soyuz.com.ua/shkaf-szf3d2s-porto.html","5666")</f>
        <v>5666</v>
      </c>
      <c r="H16" s="32" t="str">
        <f aca="false">HYPERLINK("https://mebel-soyuz.com.ua/473.html","6980")</f>
        <v>6980</v>
      </c>
      <c r="I16" s="30" t="str">
        <f aca="false">HYPERLINK("https://mebel-soyuz.com.ua/8687.html","3161")</f>
        <v>3161</v>
      </c>
      <c r="J16" s="32" t="str">
        <f aca="false">HYPERLINK("https://mebel-soyuz.com.ua/8926.html","2290")</f>
        <v>2290</v>
      </c>
      <c r="K16" s="32" t="str">
        <f aca="false">HYPERLINK("https://mebel-soyuz.com.ua/10995.html","7964")</f>
        <v>7964</v>
      </c>
      <c r="L16" s="32" t="str">
        <f aca="false">HYPERLINK("https://mebel-soyuz.com.ua/gostinaya-kvatro.html","3730")</f>
        <v>3730</v>
      </c>
      <c r="M16" s="32" t="str">
        <f aca="false">HYPERLINK("https://mebel-soyuz.com.ua/3933.html","5020")</f>
        <v>5020</v>
      </c>
      <c r="N16" s="32" t="str">
        <f aca="false">HYPERLINK("https://mebel-soyuz.com.ua/komod-kom3s912-german.html","4233")</f>
        <v>4233</v>
      </c>
      <c r="O16" s="82" t="n">
        <v>5510</v>
      </c>
      <c r="P16" s="32" t="str">
        <f aca="false">HYPERLINK("https://mebel-soyuz.com.ua/komod-kom4s-koen-mdf.html","4400")</f>
        <v>4400</v>
      </c>
    </row>
    <row r="17" customFormat="false" ht="33.75" hidden="false" customHeight="true" outlineLevel="0" collapsed="false">
      <c r="A17" s="78" t="s">
        <v>36</v>
      </c>
      <c r="B17" s="97" t="str">
        <f aca="false">HYPERLINK("https://sofino.ua/brw-ukraina-tumba-rtv2d2s415-acteka/g-95393","3699")</f>
        <v>3699</v>
      </c>
      <c r="C17" s="30" t="str">
        <f aca="false">HYPERLINK("https://sofino.ua/brw-ukraina-komod-kom4s811-acteka/g-95386","4546")</f>
        <v>4546</v>
      </c>
      <c r="D17" s="30" t="str">
        <f aca="false">HYPERLINK("https://sofino.ua/brw-ukraina-komod-jkom4s80-indiana/g-40903","3755")</f>
        <v>3755</v>
      </c>
      <c r="E17" s="30" t="str">
        <f aca="false">HYPERLINK("https://sofino.ua/brw-ukraina-stol-pismennyjj-jbiu2d2s140-indiana/g-40899","5473")</f>
        <v>5473</v>
      </c>
      <c r="F17" s="30" t="str">
        <f aca="false">HYPERLINK("https://sofino.ua/brw-ukraina-komod-kom4s90-dzhuli-akacija-mali-bronz/g-40377","2225")</f>
        <v>2225</v>
      </c>
      <c r="G17" s="30" t="str">
        <f aca="false">HYPERLINK("https://sofino.ua/brw-ukraina-shkaf-platjanojj-szf3d2s-porto-dzhanni-sosna-lariko/g-264368","5666")</f>
        <v>5666</v>
      </c>
      <c r="H17" s="30" t="str">
        <f aca="false">HYPERLINK("https://sofino.ua/gerbor-komod-8s-sonata/g-19192","6980")</f>
        <v>6980</v>
      </c>
      <c r="I17" s="32" t="str">
        <f aca="false">HYPERLINK("https://sofino.ua/brw-ukraina-stol-pismennyjj-biu-1d1s-kaspian/g-264409","3161")</f>
        <v>3161</v>
      </c>
      <c r="J17" s="30" t="str">
        <f aca="false">HYPERLINK("https://sofino.ua/gerbor-prikhozhaja-ppk-nepo/g-287089","2290")</f>
        <v>2290</v>
      </c>
      <c r="K17" s="30" t="str">
        <f aca="false">HYPERLINK("https://sofino.ua/brw-ukraina-stenka-aljaska-belyjj-gljanec/g-454107","7964")</f>
        <v>7964</v>
      </c>
      <c r="L17" s="30" t="str">
        <f aca="false">HYPERLINK("https://sofino.ua/gerbor-stenka-s-podsvetkojj-kvatro/g-18955","3730")</f>
        <v>3730</v>
      </c>
      <c r="M17" s="30" t="str">
        <f aca="false">HYPERLINK("https://sofino.ua/gerbor-bufet-kom1w2d2s-s-podsvetkojj-vusher/g-176785","5020")</f>
        <v>5020</v>
      </c>
      <c r="N17" s="32" t="str">
        <f aca="false">HYPERLINK("https://sofino.ua/brw-ukraina-komod-kom3s912-german/g-599343","4233")</f>
        <v>4233</v>
      </c>
      <c r="O17" s="94" t="s">
        <v>34</v>
      </c>
      <c r="P17" s="32" t="str">
        <f aca="false">HYPERLINK("https://sofino.ua/gerbor-komod-kom4s-koen-mdf-venge-magija-shtroks-temnyjj/g-19366","4400")</f>
        <v>4400</v>
      </c>
    </row>
    <row r="18" customFormat="false" ht="54.75" hidden="false" customHeight="true" outlineLevel="0" collapsed="false">
      <c r="A18" s="78" t="s">
        <v>37</v>
      </c>
      <c r="B18" s="98" t="str">
        <f aca="false">HYPERLINK("","")</f>
        <v/>
      </c>
      <c r="C18" s="32" t="str">
        <f aca="false">HYPERLINK("https://www.brw-kiev.com.ua/catalog/mebel/azteca-komod-kom4s_8_11-000004816.html","4549")</f>
        <v>4549</v>
      </c>
      <c r="D18" s="32" t="str">
        <f aca="false">HYPERLINK("https://www.brw-kiev.com.ua/catalog/mebel/indiana-komod-jkom4s_80-000000261.html","3759")</f>
        <v>3759</v>
      </c>
      <c r="E18" s="32" t="str">
        <f aca="false">HYPERLINK("https://www.brw-kiev.com.ua/catalog/mebel/indiana-stil_pis_moviy-jbiu2d2s-000000254.html","5479")</f>
        <v>5479</v>
      </c>
      <c r="F18" s="32" t="str">
        <f aca="false">HYPERLINK("https://www.brw-kiev.com.ua/catalog/mebel/july-komod-kom4s_90-000005407.html","2229")</f>
        <v>2229</v>
      </c>
      <c r="G18" s="32" t="str">
        <f aca="false">HYPERLINK("https://www.brw-kiev.com.ua/catalog/mebel/porto-shafa-szf3d2s-000006440.html","5669")</f>
        <v>5669</v>
      </c>
      <c r="H18" s="99"/>
      <c r="I18" s="30" t="str">
        <f aca="false">HYPERLINK("https://www.brw-kiev.com.ua/catalog/mebel/kaspian-stil_pis_moviy-biu1d1s_120-000006188.html","3169")</f>
        <v>3169</v>
      </c>
      <c r="J18" s="34" t="str">
        <f aca="false">HYPERLINK("https://www.brw-kiev.com.ua/catalog/mebel/prihozhaya/nepo-peredpokiy-ppk-000006567.html?sphrase_id=84980","2049")</f>
        <v>2049</v>
      </c>
      <c r="K18" s="30" t="str">
        <f aca="false">HYPERLINK("https://www.brw-kiev.com.ua/catalog/mebel/gostinaya/stinki-vital_nya-alaska-000006901.html?sphrase_id=84981","7949")</f>
        <v>7949</v>
      </c>
      <c r="L18" s="83"/>
      <c r="M18" s="83"/>
      <c r="N18" s="83" t="str">
        <f aca="false">HYPERLINK("","")</f>
        <v/>
      </c>
      <c r="O18" s="94" t="s">
        <v>34</v>
      </c>
      <c r="P18" s="27" t="str">
        <f aca="false">HYPERLINK("https://www.brw-kiev.com.ua/catalog/mebel/gostinaya/koen-komod-kom4s-000003956.html","3939")</f>
        <v>3939</v>
      </c>
    </row>
    <row r="19" customFormat="false" ht="38.25" hidden="false" customHeight="true" outlineLevel="0" collapsed="false">
      <c r="A19" s="78" t="s">
        <v>25</v>
      </c>
      <c r="B19" s="35" t="str">
        <f aca="false">HYPERLINK("https://brw.kiev.ua/mebel-brw-ukraina/azteca/tumba-tv-rtv2d2s-azteca-brv/","3699")</f>
        <v>3699</v>
      </c>
      <c r="C19" s="32" t="str">
        <f aca="false">HYPERLINK("https://brw.kiev.ua/mebel-brw-ukraina/azteca/komod-kom4s-azteca-brv/","4546")</f>
        <v>4546</v>
      </c>
      <c r="D19" s="32" t="str">
        <f aca="false">HYPERLINK("https://brw.kiev.ua/mebel-brw-ukraina/indiana-kanjon/komod-jkom4s80-indiana-brv-kanjon/","3755")</f>
        <v>3755</v>
      </c>
      <c r="E19" s="32" t="str">
        <f aca="false">HYPERLINK("https://brw.kiev.ua/mebel-brw-ukraina/indiana-shutter/stol-pismennyy-jbiu2d2s140-indiana-brv-shutter/","5473")</f>
        <v>5473</v>
      </c>
      <c r="F19" s="32" t="str">
        <f aca="false">HYPERLINK("https://brw.kiev.ua/mebel-brw-ukraina/july/komod-kom4s90-july-brv/","2225")</f>
        <v>2225</v>
      </c>
      <c r="G19" s="32" t="str">
        <f aca="false">HYPERLINK("https://brw.kiev.ua/mebel-brw-ukraina/porto/shkaf-szf3d2s-porto-brv/","5666")</f>
        <v>5666</v>
      </c>
      <c r="H19" s="32" t="str">
        <f aca="false">HYPERLINK("https://brw.kiev.ua/mebel-gerbor/sonata/komod-8s-sonata-gerbor/","6980")</f>
        <v>6980</v>
      </c>
      <c r="I19" s="32" t="str">
        <f aca="false">HYPERLINK("https://brw.kiev.ua/mebel-brw-ukraina/kaspian-venge/stol-pismennyy-biu1d1s-kaspian-brv-venge/","3161")</f>
        <v>3161</v>
      </c>
      <c r="J19" s="32" t="str">
        <f aca="false">HYPERLINK("https://brw.kiev.ua/mebel-gerbor/nepo/prikhozhaya-ppk-nepo-gerbor/","2290")</f>
        <v>2290</v>
      </c>
      <c r="K19" s="32" t="str">
        <f aca="false">HYPERLINK("https://brw.kiev.ua/mebel-brw-ukraina/alaska/stenka-alaska-brv/","7964")</f>
        <v>7964</v>
      </c>
      <c r="L19" s="83"/>
      <c r="M19" s="32" t="str">
        <f aca="false">HYPERLINK("https://brw.kiev.ua/mebel-gerbor/vusher/komod-kom1w2d2s-vusher-gerbor/","5020")</f>
        <v>5020</v>
      </c>
      <c r="N19" s="32" t="str">
        <f aca="false">HYPERLINK("https://brw.kiev.ua/mebel-brw-ukraina/german/komod-kom3s-german-brv/","4233")</f>
        <v>4233</v>
      </c>
      <c r="O19" s="82" t="n">
        <v>5510</v>
      </c>
      <c r="P19" s="32" t="str">
        <f aca="false">HYPERLINK("https://brw.kiev.ua/mebel-gerbor/koen/komod-kom4s-koen-gerbor/","4400")</f>
        <v>4400</v>
      </c>
    </row>
    <row r="20" customFormat="false" ht="15.75" hidden="false" customHeight="true" outlineLevel="0" collapsed="false">
      <c r="A20" s="78" t="s">
        <v>123</v>
      </c>
      <c r="B20" s="98"/>
      <c r="C20" s="83"/>
      <c r="D20" s="83"/>
      <c r="E20" s="83"/>
      <c r="F20" s="83"/>
      <c r="G20" s="83"/>
      <c r="H20" s="83"/>
      <c r="I20" s="83"/>
      <c r="J20" s="83"/>
      <c r="K20" s="83"/>
      <c r="L20" s="83"/>
      <c r="M20" s="83"/>
      <c r="N20" s="83" t="str">
        <f aca="false">HYPERLINK("","")</f>
        <v/>
      </c>
      <c r="O20" s="94" t="s">
        <v>34</v>
      </c>
      <c r="P20" s="94" t="s">
        <v>34</v>
      </c>
    </row>
    <row r="21" customFormat="false" ht="25.5" hidden="false" customHeight="true" outlineLevel="0" collapsed="false">
      <c r="A21" s="78" t="s">
        <v>124</v>
      </c>
      <c r="B21" s="144" t="str">
        <f aca="false">HYPERLINK("https://mebelstyle.net/tumby-pod-tv/tumba-pod-tv-brw-ukraina-azteca-rtv2d2s415-82546.html","3294")</f>
        <v>3294</v>
      </c>
      <c r="C21" s="96" t="str">
        <f aca="false">HYPERLINK("https://mebelstyle.net/komody/komod-brw-ukraina-azteca-kom4s811-82553.html","3735")</f>
        <v>3735</v>
      </c>
      <c r="D21" s="96" t="str">
        <f aca="false">HYPERLINK("https://mebelstyle.net/komody/komod-brw-ukraina-indiana-011-jkom4s80-1274.html","3442")</f>
        <v>3442</v>
      </c>
      <c r="E21" s="96" t="str">
        <f aca="false">HYPERLINK("https://mebelstyle.net/ofisnye-stoly/pismennyj-stol-brw-ukraina-indiana-007-jbiu2d2s-1255.html","4979")</f>
        <v>4979</v>
      </c>
      <c r="F21" s="93"/>
      <c r="G21" s="93"/>
      <c r="H21" s="96" t="str">
        <f aca="false">HYPERLINK("https://mebelstyle.net/komody/komod-gerbor-sonata-s-015-8s-38625.html","5125")</f>
        <v>5125</v>
      </c>
      <c r="I21" s="96" t="str">
        <f aca="false">HYPERLINK("https://mebelstyle.net/ofisnye-stoly/ofisnyj-stol-brw-ukraina-kaspian-007-biu1d1s-58596.html","2783")</f>
        <v>2783</v>
      </c>
      <c r="J21" s="96" t="str">
        <f aca="false">HYPERLINK("https://mebelstyle.net/prikhozhie/prikhozhaja-gerbor-nepo-ppk-83649.html","1808")</f>
        <v>1808</v>
      </c>
      <c r="K21" s="93"/>
      <c r="L21" s="96" t="str">
        <f aca="false">HYPERLINK("https://mebelstyle.net/gostinye/gostinaja-gerbor-kvatro-venge-56219.html","2840")</f>
        <v>2840</v>
      </c>
      <c r="M21" s="96" t="str">
        <f aca="false">HYPERLINK("https://mebelstyle.net/komody/komod-gerbor-vusher-kom-1w2d2s-83553.html","4022")</f>
        <v>4022</v>
      </c>
      <c r="N21" s="83" t="str">
        <f aca="false">HYPERLINK("","")</f>
        <v/>
      </c>
      <c r="O21" s="94" t="s">
        <v>34</v>
      </c>
      <c r="P21" s="94" t="s">
        <v>34</v>
      </c>
    </row>
    <row r="22" customFormat="false" ht="34.5" hidden="false" customHeight="true" outlineLevel="0" collapsed="false">
      <c r="A22" s="78" t="s">
        <v>38</v>
      </c>
      <c r="B22" s="35" t="str">
        <f aca="false">HYPERLINK("https://lvivmebli.com/13319/","3900")</f>
        <v>3900</v>
      </c>
      <c r="C22" s="32" t="str">
        <f aca="false">HYPERLINK("https://lvivmebli.com/13320/","4675")</f>
        <v>4675</v>
      </c>
      <c r="D22" s="32" t="str">
        <f aca="false">HYPERLINK("https://lvivmebli.com/5030/","4255")</f>
        <v>4255</v>
      </c>
      <c r="E22" s="32" t="str">
        <f aca="false">HYPERLINK("https://lvivmebli.com/5039/","5911")</f>
        <v>5911</v>
      </c>
      <c r="F22" s="95" t="str">
        <f aca="false">HYPERLINK("https://lvivmebli.com/11483/","2300")</f>
        <v>2300</v>
      </c>
      <c r="G22" s="32" t="str">
        <f aca="false">HYPERLINK("https://lvivmebli.com/18473/","6800")</f>
        <v>6800</v>
      </c>
      <c r="H22" s="83"/>
      <c r="I22" s="99"/>
      <c r="J22" s="83"/>
      <c r="K22" s="83"/>
      <c r="L22" s="83"/>
      <c r="M22" s="83"/>
      <c r="N22" s="83" t="str">
        <f aca="false">HYPERLINK("","")</f>
        <v/>
      </c>
      <c r="O22" s="94" t="s">
        <v>34</v>
      </c>
      <c r="P22" s="94" t="s">
        <v>34</v>
      </c>
    </row>
    <row r="23" customFormat="false" ht="36.75" hidden="false" customHeight="true" outlineLevel="0" collapsed="false">
      <c r="A23" s="78" t="s">
        <v>39</v>
      </c>
      <c r="B23" s="35" t="str">
        <f aca="false">HYPERLINK("http://centrmebliv.com.ua/modulni-mebli/brw-azteca/mebli-brw-brv-azteca-tumba-rtv2d2s?keyword=%D0%B0%D1%86%D1%82%D0%B5%D0%BA%D0%B0","3343")</f>
        <v>3343</v>
      </c>
      <c r="C23" s="32" t="str">
        <f aca="false">HYPERLINK("http://centrmebliv.com.ua/modulni-mebli/brw-azteca/mebli-brw-brv-azteca-komod-4s?keyword=%D0%B0%D1%86%D1%82%D0%B5%D0%BA%D0%B0","3924")</f>
        <v>3924</v>
      </c>
      <c r="D23" s="32" t="str">
        <f aca="false">HYPERLINK("http://centrmebliv.com.ua/mebli-dlya-spalni/komody/mebli-brw-brv-indiana-komod-jkom4s_80?keyword=%D1%96%D0%BD%D0%B4%D1%96%D0%B0%D0%BD%D0%B0","3562")</f>
        <v>3562</v>
      </c>
      <c r="E23" s="129" t="str">
        <f aca="false">HYPERLINK("http://centrmebliv.com.ua/modulni-mebli/brw-ukrayina-indiana/mebli-brw-brv-indiana-stil-pysmovyy-jbiu2d2s_140?keyword=%D1%96%D0%BD%D0%B4%D1%96%D0%B0%D0%BD%D0%B0","5158")</f>
        <v>5158</v>
      </c>
      <c r="F23" s="32" t="str">
        <f aca="false">HYPERLINK("http://centrmebliv.com.ua/spalni/komody/mebli-brw-brv-july-komod-kom4s/90?keyword=july","2098")</f>
        <v>2098</v>
      </c>
      <c r="G23" s="32" t="str">
        <f aca="false">HYPERLINK("http://centrmebliv.com.ua/modulni-mebli/brw-ukrayina-porto/mebli-brw-brv-porto-shafa-dlya-odyagu-sf3d2s?keyword=szf3d2s","5377")</f>
        <v>5377</v>
      </c>
      <c r="H23" s="95" t="str">
        <f aca="false">HYPERLINK("http://centrmebliv.com.ua/mebli-dlya-spalni/komody/mebli-gerbor-gerbor-s-015-sonata-_komod-8/s?keyword=%D1%81%D0%BE%D0%BD%D0%B0%D1%82%D0%B0","5683")</f>
        <v>5683</v>
      </c>
      <c r="I23" s="32" t="str">
        <f aca="false">HYPERLINK("http://centrmebliv.com.ua/ofisni-mebli/ofisni-stoly-vid-modulnyh-system/gerbor/brw-kaspian-stil-pysmovyy-biu-1d1s-120?keyword=%D0%BA%D0%B0%D1%81%D0%BF%D1%96%D0%B0%D0%BD","3002")</f>
        <v>3002</v>
      </c>
      <c r="J23" s="83"/>
      <c r="K23" s="83"/>
      <c r="L23" s="32" t="str">
        <f aca="false">HYPERLINK("http://centrmebliv.com.ua/mebli-dlya-vitalni/stinky/mebli-gerbor-gerbor-kvatro","3007")</f>
        <v>3007</v>
      </c>
      <c r="M23" s="32" t="str">
        <f aca="false">HYPERLINK("http://centrmebliv.com.ua/spalni/komody/mebli-gerbor-gerbor-voucher-komod-kom1w2d2s?keyword=%D0%B2%D1%83%D1%88%D0%B5%D1%80","4195")</f>
        <v>4195</v>
      </c>
      <c r="N23" s="83" t="str">
        <f aca="false">HYPERLINK("","")</f>
        <v/>
      </c>
      <c r="O23" s="94" t="s">
        <v>34</v>
      </c>
      <c r="P23" s="83" t="str">
        <f aca="false">HYPERLINK("","")</f>
        <v/>
      </c>
    </row>
    <row r="24" customFormat="false" ht="27" hidden="false" customHeight="true" outlineLevel="0" collapsed="false">
      <c r="A24" s="78" t="s">
        <v>40</v>
      </c>
      <c r="B24" s="35" t="str">
        <f aca="false">HYPERLINK("https://letromebel.com.ua/p566111870-tumba-rtv2d2s415-atsteka.html","3699")</f>
        <v>3699</v>
      </c>
      <c r="C24" s="32" t="str">
        <f aca="false">HYPERLINK("https://letromebel.com.ua/p566126810-komod-kom4s811-atsteka.html","4546")</f>
        <v>4546</v>
      </c>
      <c r="D24" s="32" t="str">
        <f aca="false">HYPERLINK("https://letromebel.com.ua/p566921861-komod-jkom4s80-indiana.html","3755")</f>
        <v>3755</v>
      </c>
      <c r="E24" s="32" t="str">
        <f aca="false">HYPERLINK("https://letromebel.com.ua/p566921329-stol-pismennyj-jbiu2d2s140.html","5473")</f>
        <v>5473</v>
      </c>
      <c r="F24" s="32" t="str">
        <f aca="false">HYPERLINK("https://letromebel.com.ua/p445989920-komod-kom-dzhuli.html","2225")</f>
        <v>2225</v>
      </c>
      <c r="G24" s="32" t="str">
        <f aca="false">HYPERLINK("https://letromebel.com.ua/p567177190-shkaf-szf3d2s-porto.html","5666")</f>
        <v>5666</v>
      </c>
      <c r="H24" s="83"/>
      <c r="I24" s="83"/>
      <c r="J24" s="96" t="str">
        <f aca="false">HYPERLINK("https://letromebel.com.ua/p441285622-prihozhaya-ppk-nepo.html","1963")</f>
        <v>1963</v>
      </c>
      <c r="K24" s="95" t="str">
        <f aca="false">HYPERLINK("https://letromebel.com.ua/p822866700-stenka-gostinuyu-alyaska.html","7644")</f>
        <v>7644</v>
      </c>
      <c r="L24" s="34" t="str">
        <f aca="false">HYPERLINK("https://letromebel.com.ua/p436378844-stenka-kvatro-venge.html","3373")</f>
        <v>3373</v>
      </c>
      <c r="M24" s="27" t="str">
        <f aca="false">HYPERLINK("https://letromebel.com.ua/p332640892-bufet-kom1w2d2s-vusher.html","4520")</f>
        <v>4520</v>
      </c>
      <c r="N24" s="32" t="str">
        <f aca="false">HYPERLINK("https://letromebel.com.ua/ua/p920135181-komod-german-kom3s912.html","4233")</f>
        <v>4233</v>
      </c>
      <c r="O24" s="27" t="str">
        <f aca="false">HYPERLINK("https://letromebel.com.ua/ua/p1053586927-tumba-alisa-rtv2s2k.html","5087")</f>
        <v>5087</v>
      </c>
      <c r="P24" s="27" t="str">
        <f aca="false">HYPERLINK("https://letromebel.com.ua/site_search/page_2?search_term=%D0%BA%D0%BE%D0%B5%D0%BD+%D0%BC%D0%B4%D1%84","3755")</f>
        <v>3755</v>
      </c>
    </row>
    <row r="25" customFormat="false" ht="27" hidden="false" customHeight="true" outlineLevel="0" collapsed="false">
      <c r="A25" s="78" t="s">
        <v>26</v>
      </c>
      <c r="B25" s="35" t="str">
        <f aca="false">HYPERLINK("https://shurup.net.ua/azteca-acteka-tumba-rtv2d2s415.p17205","3686")</f>
        <v>3686</v>
      </c>
      <c r="C25" s="32" t="str">
        <f aca="false">HYPERLINK("https://shurup.net.ua/azteca-acteka-komod-kom4s811.p17200","4233")</f>
        <v>4233</v>
      </c>
      <c r="D25" s="32" t="str">
        <f aca="false">HYPERLINK("https://shurup.net.ua/komod-jkom-4s80-indiana-sosna-kanon.p9412","3755")</f>
        <v>3755</v>
      </c>
      <c r="E25" s="32" t="str">
        <f aca="false">HYPERLINK("https://shurup.net.ua/stol-pismennyj-jbiu-2d2s-140-indiana-dub-shutter.p5488","5323")</f>
        <v>5323</v>
      </c>
      <c r="F25" s="32" t="str">
        <f aca="false">HYPERLINK("https://shurup.net.ua/komod-kom-4s-90-dzhuli.p7011","2225")</f>
        <v>2225</v>
      </c>
      <c r="G25" s="32" t="str">
        <f aca="false">HYPERLINK("https://shurup.net.ua/shkaf-szf3d2s-porto.p24169","5666")</f>
        <v>5666</v>
      </c>
      <c r="H25" s="32" t="str">
        <f aca="false">HYPERLINK("https://shurup.net.ua/komod-8s-sonata.p1034","6980")</f>
        <v>6980</v>
      </c>
      <c r="I25" s="30" t="str">
        <f aca="false">HYPERLINK("https://shurup.net.ua/stol-pismennyj-biu-1d1s-120-kaspian-dub-sonoma.p6492","3141")</f>
        <v>3141</v>
      </c>
      <c r="J25" s="32" t="str">
        <f aca="false">HYPERLINK("https://shurup.net.ua/prihozhaya-rrk-nepo.p13611","2290")</f>
        <v>2290</v>
      </c>
      <c r="K25" s="32" t="str">
        <f aca="false">HYPERLINK("https://shurup.net.ua/gostinaja-aljaska.p28551","7943")</f>
        <v>7943</v>
      </c>
      <c r="L25" s="32" t="str">
        <f aca="false">HYPERLINK("https://shurup.net.ua/gostinaya-kvatro-venge-magiya.p836","3730")</f>
        <v>3730</v>
      </c>
      <c r="M25" s="32" t="str">
        <f aca="false">HYPERLINK("https://shurup.net.ua/komod-kom1w2d2s-9-15-vusher.p1953","5020")</f>
        <v>5020</v>
      </c>
      <c r="N25" s="32" t="str">
        <f aca="false">HYPERLINK("https://shurup.net.ua/komod-kon3s64-german.p32275","4233")</f>
        <v>4233</v>
      </c>
      <c r="O25" s="94" t="s">
        <v>34</v>
      </c>
      <c r="P25" s="32" t="str">
        <f aca="false">HYPERLINK("https://shurup.net.ua/komod-kom4s-koen-mdf.p1194","4400")</f>
        <v>4400</v>
      </c>
    </row>
    <row r="26" customFormat="false" ht="36.75" hidden="false" customHeight="true" outlineLevel="0" collapsed="false">
      <c r="A26" s="105" t="s">
        <v>41</v>
      </c>
      <c r="B26" s="98"/>
      <c r="C26" s="83"/>
      <c r="D26" s="83"/>
      <c r="E26" s="83"/>
      <c r="F26" s="83"/>
      <c r="G26" s="83"/>
      <c r="H26" s="83"/>
      <c r="I26" s="83"/>
      <c r="J26" s="39" t="str">
        <f aca="false">HYPERLINK("https://www.taburetka.ua/prihozhie-40/prihozhaya-ppk-nepo-2914","2640")</f>
        <v>2640</v>
      </c>
      <c r="K26" s="83"/>
      <c r="L26" s="95" t="str">
        <f aca="false">HYPERLINK("https://www.taburetka.ua/gostinye-600/gostinaya-kvatro-2834","3435")</f>
        <v>3435</v>
      </c>
      <c r="M26" s="32" t="str">
        <f aca="false">HYPERLINK("https://www.taburetka.ua/komody-i-tumby-35/komod-kom1w2d2s-vusher-2974","5825")</f>
        <v>5825</v>
      </c>
      <c r="N26" s="83" t="str">
        <f aca="false">HYPERLINK("","")</f>
        <v/>
      </c>
      <c r="O26" s="94" t="s">
        <v>34</v>
      </c>
      <c r="P26" s="32" t="str">
        <f aca="false">HYPERLINK("https://www.taburetka.ua/gostinye-600/modulnaya-sistema-koen-1347","4720")</f>
        <v>4720</v>
      </c>
    </row>
    <row r="27" customFormat="false" ht="37.5" hidden="false" customHeight="true" outlineLevel="0" collapsed="false">
      <c r="A27" s="106" t="s">
        <v>42</v>
      </c>
      <c r="B27" s="35" t="str">
        <f aca="false">HYPERLINK("http://www.maxidom.com.ua/tumba-rtv-atsteka-2d2s415.html?search_string=%D2%F3%EC%E1%E0+%D0%D2%C2+%C0%F6%F2%E5%EA%E0+2D2S%2F4%2F15","3699")</f>
        <v>3699</v>
      </c>
      <c r="C27" s="39" t="str">
        <f aca="false">HYPERLINK("http://www.maxidom.com.ua/komod-atsteka-kom4s811.html?search_string=%CA%EE%EC%EE%E4+%C0%F6%F2%E5%EA%E0+KOM4S%2F8%2F11","4546")</f>
        <v>4546</v>
      </c>
      <c r="D27" s="39" t="str">
        <f aca="false">HYPERLINK("http://www.maxidom.com.ua/komod_indiana_jkom4s80.html?search_string=%CA%EE%EC%EE%E4+%C8%ED%E4%E8%E0%ED%E0+JKOM4s%2F80","3755")</f>
        <v>3755</v>
      </c>
      <c r="E27" s="39" t="str">
        <f aca="false">HYPERLINK("http://www.maxidom.com.ua/stol_pismenniy_indiana_jbiu2d2s.html?search_string=%D1%F2%EE%EB+%EF%E8%F1%FC%EC%E5%ED%ED%FB%E9+%C8%ED%E4%E8%E0%ED%E0+JBIU2d2s","5473")</f>
        <v>5473</v>
      </c>
      <c r="F27" s="39" t="str">
        <f aca="false">HYPERLINK("http://www.maxidom.com.ua/komod-kom4s90-dzhuli.html?search_string=%CA%EE%EC%EE%E4+KOM4S%2F90+%C4%E6%F3%EB%E8","2225")</f>
        <v>2225</v>
      </c>
      <c r="G27" s="39" t="str">
        <f aca="false">HYPERLINK("http://www.maxidom.com.ua/shkaf-porto-porto-szf3d2s.html?search_string=%D8%EA%E0%F4+%CF%EE%F0%F2%EE+%28Porto%29+SZF3D2S","5666")</f>
        <v>5666</v>
      </c>
      <c r="H27" s="44" t="str">
        <f aca="false">HYPERLINK("http://www.maxidom.com.ua/komod-sonata-8s.html?search_string=%CA%EE%EC%EE%E4+%D1%EE%ED%E0%F2%E0+8s","6243")</f>
        <v>6243</v>
      </c>
      <c r="I27" s="39" t="str">
        <f aca="false">HYPERLINK("http://www.maxidom.com.ua/stol-pismenniy-biu-1d1s-kaspian-kaspian.html?search_string=%D1%F2%EE%EB+%EF%E8%F1%FC%EC%E5%ED%ED%FB%E9+BIU+1D1S+%CA%E0%F1%EF%E8%E0%ED+%28Kaspian%29","3161")</f>
        <v>3161</v>
      </c>
      <c r="J27" s="44" t="str">
        <f aca="false">HYPERLINK("http://www.maxidom.com.ua/prihozhaya-nepo-ppk.html?search_string=%CF%F0%E8%F5%EE%E6%E0%FF+%CD%E5%EF%EE+PPK","2046")</f>
        <v>2046</v>
      </c>
      <c r="K27" s="39" t="str">
        <f aca="false">HYPERLINK("http://www.maxidom.com.ua/stenka-alyaska.html?search_string=%D1%F2%E5%ED%EA%E0+%C0%EB%FF%F1%EA%E0","7644")</f>
        <v>7644</v>
      </c>
      <c r="L27" s="27" t="str">
        <f aca="false">HYPERLINK("http://www.maxidom.com.ua/stenka-kvatro.html?search_string=%D1%F2%E5%ED%EA%E0+%CA%E2%E0%F2%F0%EE","3373")</f>
        <v>3373</v>
      </c>
      <c r="M27" s="27" t="str">
        <f aca="false">HYPERLINK("http://www.maxidom.com.ua/komod-kom-1w2d2s-vusher.html?search_string=%CA%EE%EC%EE%E4+KOM+1W2D2S+%C2%F3%F8%E5%F0","4520")</f>
        <v>4520</v>
      </c>
      <c r="N27" s="32" t="str">
        <f aca="false">HYPERLINK("https://www.maxidom.com.ua/komod-german-kom3s912/","4233")</f>
        <v>4233</v>
      </c>
      <c r="O27" s="94" t="s">
        <v>34</v>
      </c>
      <c r="P27" s="27" t="str">
        <f aca="false">HYPERLINK("https://www.maxidom.com.ua/komod-kom4s-koen-mdf/","3139")</f>
        <v>3139</v>
      </c>
    </row>
    <row r="28" customFormat="false" ht="42" hidden="false" customHeight="true" outlineLevel="0" collapsed="false">
      <c r="A28" s="106" t="s">
        <v>27</v>
      </c>
      <c r="B28" s="35" t="str">
        <f aca="false">HYPERLINK("https://mebel-online.com.ua/tymba-rtv2d2s-4-15-azteca?filter_name=azteca","3699")</f>
        <v>3699</v>
      </c>
      <c r="C28" s="39" t="str">
        <f aca="false">HYPERLINK("https://mebel-online.com.ua/komod-kom4s-8-11-azteca?filter_name=azteca","4546")</f>
        <v>4546</v>
      </c>
      <c r="D28" s="32" t="str">
        <f aca="false">HYPERLINK("https://mebel-online.com.ua/p5228-komod_jkom_4s_80_indiana_brw?filter_name=%D0%B8%D0%BD%D0%B4%D0%B8%D0%B0%D0%BD%D0%B0","3755")</f>
        <v>3755</v>
      </c>
      <c r="E28" s="39" t="str">
        <f aca="false">HYPERLINK("https://mebel-online.com.ua/p5223-stol_pismenniy_jbiu_2d2s_140_indiana_brw?filter_name=%D0%B8%D0%BD%D0%B4%D0%B8%D0%B0%D0%BD%D0%B0","5323")</f>
        <v>5323</v>
      </c>
      <c r="F28" s="39" t="str">
        <f aca="false">HYPERLINK("https://mebel-online.com.ua/komod-kom4s-90-july?filter_name=july","2225")</f>
        <v>2225</v>
      </c>
      <c r="G28" s="39" t="str">
        <f aca="false">HYPERLINK("https://mebel-online.com.ua/shkaf-szf3d2s-porto?filter_name=SZF3D2S","5666")</f>
        <v>5666</v>
      </c>
      <c r="H28" s="44" t="str">
        <f aca="false">HYPERLINK("https://mebel-online.com.ua/p1728-gerbor_sonata_komod_8-s?filter_name=%D1%81%D0%BE%D0%BD%D0%B0%D1%82%D0%B0","6243")</f>
        <v>6243</v>
      </c>
      <c r="I28" s="111"/>
      <c r="J28" s="27" t="str">
        <f aca="false">HYPERLINK("https://mebel-online.com.ua/prihozhaya-gerbor-ppk-nepo?filter_name=%D0%BD%D0%B5%D0%BF%D0%BE","2046")</f>
        <v>2046</v>
      </c>
      <c r="K28" s="45" t="str">
        <f aca="false">HYPERLINK("https://mebel-online.com.ua/stenka-aliaska-brw%20?filter_name=%D0%B0%D0%BB%D1%8F%D1%81%D0%BA%D0%B0","7644")</f>
        <v>7644</v>
      </c>
      <c r="L28" s="27" t="str">
        <f aca="false">HYPERLINK("https://mebel-online.com.ua/stenka-kvatro-gerbor?filter_name=%D0%BA%D0%B2%D0%B0%D1%82%D1%80%D0%BE","3373")</f>
        <v>3373</v>
      </c>
      <c r="M28" s="27" t="str">
        <f aca="false">HYPERLINK("https://mebel-online.com.ua/komod-kom-1w2d2s-vusher-gerbor?filter_name=%D0%B2%D1%83%D1%88%D0%B5%D1%80","4520")</f>
        <v>4520</v>
      </c>
      <c r="N28" s="83" t="str">
        <f aca="false">HYPERLINK("","")</f>
        <v/>
      </c>
      <c r="O28" s="94" t="s">
        <v>34</v>
      </c>
      <c r="P28" s="27" t="str">
        <f aca="false">HYPERLINK("https://mebel-online.com.ua/p2493-komod_kom4s_koen?filter_name=%D0%BA%D0%BE%D0%B5%D0%BD","3660")</f>
        <v>3660</v>
      </c>
    </row>
    <row r="29" customFormat="false" ht="34.5" hidden="false" customHeight="true" outlineLevel="0" collapsed="false">
      <c r="A29" s="91" t="s">
        <v>43</v>
      </c>
      <c r="B29" s="32" t="str">
        <f aca="false">HYPERLINK("https://mebelnuy.com.ua/tumba-pod-tv-rtv2d2s-4-15-acteka-brv?search=%D0%A2%D0%92%20%D0%90%D1%86%D1%82%D0%B5%D0%BA%D0%B0%20RTV2D2S&amp;description=true","3699")</f>
        <v>3699</v>
      </c>
      <c r="C29" s="32" t="str">
        <f aca="false">HYPERLINK("https://mebelnuy.com.ua/komod-kom4s-8-11-acteka-brv?search=%D0%90%D1%86%D1%82%D0%B5%D0%BA%D0%B0%20KOM4S%2F8%2F11&amp;description=true","4546")</f>
        <v>4546</v>
      </c>
      <c r="D29" s="32" t="str">
        <f aca="false">HYPERLINK("https://mebelnuy.com.ua/komod-jkom-4s-80-indiana-brv?search=%D0%98%D0%BD%D0%B4%D0%B8%D0%B0%D0%BD%D0%B0%20JKOM_4s&amp;description=true","3755")</f>
        <v>3755</v>
      </c>
      <c r="E29" s="32" t="str">
        <f aca="false">HYPERLINK("https://mebelnuy.com.ua/stol-pismennyj-jbiu-2d2s-140-indiana-brv?search=%D0%98%D0%BD%D0%B4%D0%B8%D0%B0%D0%BD%D0%B0%20JBIU_2d2s_140&amp;description=true","5473")</f>
        <v>5473</v>
      </c>
      <c r="F29" s="32" t="str">
        <f aca="false">HYPERLINK("https://mebelnuy.com.ua/komod-kom4s-90-dzhuli-brv?search=%D0%94%D0%96%D0%A3%D0%9B%D0%98%20KOM4S%2F90&amp;description=true","2225")</f>
        <v>2225</v>
      </c>
      <c r="G29" s="32" t="str">
        <f aca="false">HYPERLINK("https://mebelnuy.com.ua/shkaf-szf3d2s-porto-brv?search=%D0%9F%D0%BE%D1%80%D1%82%D0%BE%20SZF3D2S&amp;description=true","5666")</f>
        <v>5666</v>
      </c>
      <c r="H29" s="27" t="str">
        <f aca="false">HYPERLINK("https://mebelnuy.com.ua/komod-gerbor-sonata-8-s?search=%D0%A1%D0%BE%D0%BD%D0%B0%D1%82%D0%B0%208%2Fs&amp;description=true","6243")</f>
        <v>6243</v>
      </c>
      <c r="I29" s="83" t="str">
        <f aca="false">HYPERLINK("","")</f>
        <v/>
      </c>
      <c r="J29" s="27" t="str">
        <f aca="false">HYPERLINK("https://mebelnuy.com.ua/prihozhaya-gerbor-nepo-ppk","2046")</f>
        <v>2046</v>
      </c>
      <c r="K29" s="32" t="str">
        <f aca="false">HYPERLINK("https://mebelnuy.com.ua/gostinaya-alyaska-brv?search=%D0%90%D0%BB%D1%8F%D1%81%D0%BA%D0%B0%20%D0%B3%D0%BE%D1%81%D1%82%D0%B8%D0%BD%D0%B0%D1%8F&amp;description=true","7964")</f>
        <v>7964</v>
      </c>
      <c r="L29" s="27" t="str">
        <f aca="false">HYPERLINK("https://mebelnuy.com.ua/gostinaya-gerbor-kvatro-venge-magiya?search=%D0%BA%D0%B2%D0%B0%D1%82%D1%80%D0%BE&amp;description=true","3373")</f>
        <v>3373</v>
      </c>
      <c r="M29" s="27" t="str">
        <f aca="false">HYPERLINK("https://mebelnuy.com.ua/komod-gerbor-vusher-kom-1w2d2s?search=%D0%92%D1%83%D1%88%D0%B5%D1%80%20KOM%201W2D2S&amp;description=true","4520")</f>
        <v>4520</v>
      </c>
      <c r="N29" s="32" t="str">
        <f aca="false">HYPERLINK("https://mebelnuy.com.ua/komod-german-115-brv?search=%D0%93%D0%95%D0%A0%D0%9C%D0%90%D0%9D&amp;description=true","4233")</f>
        <v>4233</v>
      </c>
      <c r="O29" s="27" t="str">
        <f aca="false">HYPERLINK("https://mebelnuy.com.ua/tumba-gerbor-alisa-rtv2s2k?search=%D0%B0%D0%BB%D0%B8%D1%81%D0%B0&amp;description=true","5087")</f>
        <v>5087</v>
      </c>
      <c r="P29" s="27" t="str">
        <f aca="false">HYPERLINK("https://mebelnuy.com.ua/komod-gerbor-koen-kom4s-mdf?search=%D0%BA%D0%BE%D0%B5%D0%BD%20%D0%BC%D0%B4%D1%84&amp;description=true","3931")</f>
        <v>3931</v>
      </c>
    </row>
    <row r="30" customFormat="false" ht="36.75" hidden="false" customHeight="true" outlineLevel="0" collapsed="false">
      <c r="A30" s="91" t="s">
        <v>44</v>
      </c>
      <c r="B30" s="32" t="str">
        <f aca="false">HYPERLINK("https://amado.com.ua/gostinaya/komody-i-tumby-v-gostinuyu/acteka-tumba-rtv2d2s-4-15-brw","3440")</f>
        <v>3440</v>
      </c>
      <c r="C30" s="32" t="str">
        <f aca="false">HYPERLINK("https://amado.com.ua/gostinaya/komody-i-tumby-v-gostinuyu/acteka-komod-kom4s-8-11-brw","4228")</f>
        <v>4228</v>
      </c>
      <c r="D30" s="32" t="str">
        <f aca="false">HYPERLINK("https://amado.com.ua/detskaya/komody-i-tumby-dlya-detskoj/indiana-komod-jkom-4s-80-sosna-kanon-brw","3492")</f>
        <v>3492</v>
      </c>
      <c r="E30" s="32" t="str">
        <f aca="false">HYPERLINK("https://amado.com.ua/detskaya/stoly-i-nadstrojki/indiana-stol-pismennyj-jbiu-2d2s-140-sosna-kanon-brw","5090")</f>
        <v>5090</v>
      </c>
      <c r="F30" s="32" t="str">
        <f aca="false">HYPERLINK("https://amado.com.ua/gostinaya/komody-i-tumby-v-gostinuyu/dzhuli-komod-kom4s-90-brw","2225")</f>
        <v>2225</v>
      </c>
      <c r="G30" s="32" t="str">
        <f aca="false">HYPERLINK("https://amado.com.ua/detskaya/shkafy-i-penaly-dlya-detskoj/porto-shkaf-platyanoj-szf3d2s-brw","5269")</f>
        <v>5269</v>
      </c>
      <c r="H30" s="27" t="str">
        <f aca="false">HYPERLINK("https://amado.com.ua/gostinaya/komody-i-tumby-v-gostinuyu/sonata-komod-8-s-gerbor","5806")</f>
        <v>5806</v>
      </c>
      <c r="I30" s="32" t="str">
        <f aca="false">HYPERLINK("https://amado.com.ua/gostinaya/kaspian-sonoma-stol-pismennyj-biu-1d1s-brw","3161")</f>
        <v>3161</v>
      </c>
      <c r="J30" s="27" t="str">
        <f aca="false">HYPERLINK("https://amado.com.ua/prihozhaya/prihozhie-celnye/nepo-prihozhaya-ppk-gerbor","2046")</f>
        <v>2046</v>
      </c>
      <c r="K30" s="32" t="str">
        <f aca="false">HYPERLINK("https://amado.com.ua/gostinaya/modulnye-gostinye/gostinaya-alyaska-gerbor","7964")</f>
        <v>7964</v>
      </c>
      <c r="L30" s="27" t="str">
        <f aca="false">HYPERLINK("https://amado.com.ua/gostinaya/modulnye-gostinye/gostinaya-kvatro-gerbor","3373")</f>
        <v>3373</v>
      </c>
      <c r="M30" s="27" t="str">
        <f aca="false">HYPERLINK("https://amado.com.ua/gostinaya/komody-i-tumby-v-gostinuyu/vusher-komod-kom-1w2d2s-gerbor","4520")</f>
        <v>4520</v>
      </c>
      <c r="N30" s="32" t="str">
        <f aca="false">HYPERLINK("https://amado.com.ua/gostinaya/komody-i-tumby-v-gostinuyu/german-komod-kom3s-9-12-gerbor","3937")</f>
        <v>3937</v>
      </c>
      <c r="O30" s="83" t="str">
        <f aca="false">HYPERLINK("","")</f>
        <v/>
      </c>
      <c r="P30" s="27" t="str">
        <f aca="false">HYPERLINK("https://amado.com.ua/gostinaya/komody-i-tumby-v-gostinuyu/koen-mdf-komod-kom4s-gerbor","3482")</f>
        <v>3482</v>
      </c>
    </row>
    <row r="31" customFormat="false" ht="15.75" hidden="false" customHeight="true" outlineLevel="0" collapsed="false">
      <c r="A31" s="74"/>
      <c r="B31" s="75"/>
      <c r="C31" s="76"/>
      <c r="D31" s="76"/>
      <c r="E31" s="76"/>
      <c r="F31" s="76"/>
      <c r="G31" s="76"/>
      <c r="H31" s="76"/>
      <c r="I31" s="76"/>
      <c r="J31" s="76"/>
      <c r="K31" s="76"/>
      <c r="L31" s="76"/>
      <c r="M31" s="76"/>
      <c r="N31" s="76"/>
      <c r="O31" s="76"/>
      <c r="P31" s="76"/>
    </row>
    <row r="32" customFormat="false" ht="15.75" hidden="false" customHeight="true" outlineLevel="0" collapsed="false">
      <c r="A32" s="74"/>
      <c r="B32" s="75"/>
      <c r="C32" s="76"/>
      <c r="D32" s="76"/>
      <c r="E32" s="76"/>
      <c r="F32" s="76"/>
      <c r="G32" s="76"/>
      <c r="H32" s="76"/>
      <c r="I32" s="76"/>
      <c r="J32" s="76"/>
      <c r="K32" s="76"/>
      <c r="L32" s="76"/>
      <c r="M32" s="76"/>
      <c r="N32" s="76"/>
      <c r="O32" s="76"/>
      <c r="P32" s="76"/>
    </row>
    <row r="33" customFormat="false" ht="15.75" hidden="false" customHeight="true" outlineLevel="0" collapsed="false">
      <c r="A33" s="74"/>
      <c r="B33" s="75"/>
      <c r="C33" s="76"/>
      <c r="D33" s="76"/>
      <c r="E33" s="76"/>
      <c r="F33" s="76"/>
      <c r="G33" s="76"/>
      <c r="H33" s="76"/>
      <c r="I33" s="76"/>
      <c r="J33" s="76"/>
      <c r="K33" s="76"/>
      <c r="L33" s="76"/>
      <c r="M33" s="76"/>
      <c r="N33" s="76"/>
      <c r="O33" s="76"/>
      <c r="P33" s="76"/>
    </row>
    <row r="34" customFormat="false" ht="15.75" hidden="false" customHeight="true" outlineLevel="0" collapsed="false">
      <c r="A34" s="74"/>
      <c r="B34" s="75"/>
      <c r="C34" s="76"/>
      <c r="D34" s="76"/>
      <c r="E34" s="76"/>
      <c r="F34" s="76"/>
      <c r="G34" s="76"/>
      <c r="H34" s="76"/>
      <c r="I34" s="76"/>
      <c r="J34" s="76"/>
      <c r="K34" s="76"/>
      <c r="L34" s="76"/>
      <c r="M34" s="76"/>
      <c r="N34" s="76"/>
      <c r="O34" s="76"/>
      <c r="P34" s="76"/>
    </row>
    <row r="35" customFormat="false" ht="15.75" hidden="false" customHeight="true" outlineLevel="0" collapsed="false">
      <c r="A35" s="137" t="s">
        <v>61</v>
      </c>
      <c r="B35" s="138"/>
      <c r="C35" s="139"/>
      <c r="D35" s="139"/>
      <c r="E35" s="139"/>
      <c r="F35" s="139"/>
      <c r="G35" s="139"/>
      <c r="H35" s="139"/>
      <c r="I35" s="139"/>
      <c r="J35" s="139"/>
      <c r="K35" s="139"/>
      <c r="L35" s="139"/>
      <c r="M35" s="139"/>
      <c r="N35" s="139"/>
      <c r="O35" s="139"/>
      <c r="P35" s="139"/>
      <c r="Q35" s="140"/>
      <c r="R35" s="140"/>
      <c r="S35" s="140"/>
      <c r="T35" s="140"/>
      <c r="U35" s="140"/>
      <c r="V35" s="140"/>
      <c r="W35" s="140"/>
      <c r="X35" s="140"/>
      <c r="Y35" s="140"/>
    </row>
    <row r="36" customFormat="false" ht="15.75" hidden="false" customHeight="true" outlineLevel="0" collapsed="false">
      <c r="A36" s="74"/>
      <c r="B36" s="141" t="s">
        <v>62</v>
      </c>
      <c r="C36" s="141" t="s">
        <v>63</v>
      </c>
      <c r="D36" s="141" t="s">
        <v>64</v>
      </c>
      <c r="E36" s="141" t="s">
        <v>65</v>
      </c>
      <c r="F36" s="141" t="s">
        <v>66</v>
      </c>
      <c r="G36" s="142" t="s">
        <v>67</v>
      </c>
      <c r="H36" s="141" t="s">
        <v>68</v>
      </c>
      <c r="I36" s="141" t="s">
        <v>69</v>
      </c>
      <c r="J36" s="141" t="s">
        <v>70</v>
      </c>
      <c r="K36" s="141" t="s">
        <v>71</v>
      </c>
      <c r="L36" s="141" t="s">
        <v>72</v>
      </c>
      <c r="M36" s="141" t="s">
        <v>73</v>
      </c>
      <c r="N36" s="141" t="s">
        <v>74</v>
      </c>
      <c r="O36" s="141" t="s">
        <v>75</v>
      </c>
      <c r="P36" s="143"/>
    </row>
    <row r="37" customFormat="false" ht="15.75" hidden="false" customHeight="true" outlineLevel="0" collapsed="false">
      <c r="A37" s="74"/>
      <c r="B37" s="141" t="s">
        <v>76</v>
      </c>
      <c r="C37" s="141" t="s">
        <v>77</v>
      </c>
      <c r="D37" s="141" t="s">
        <v>78</v>
      </c>
      <c r="E37" s="141" t="s">
        <v>79</v>
      </c>
      <c r="F37" s="141" t="s">
        <v>80</v>
      </c>
      <c r="G37" s="142" t="s">
        <v>81</v>
      </c>
      <c r="H37" s="141" t="s">
        <v>82</v>
      </c>
      <c r="I37" s="141" t="s">
        <v>83</v>
      </c>
      <c r="J37" s="141" t="s">
        <v>84</v>
      </c>
      <c r="K37" s="143"/>
      <c r="L37" s="141" t="s">
        <v>85</v>
      </c>
      <c r="M37" s="141" t="s">
        <v>86</v>
      </c>
      <c r="N37" s="141" t="s">
        <v>87</v>
      </c>
      <c r="O37" s="141" t="s">
        <v>88</v>
      </c>
      <c r="P37" s="143"/>
    </row>
    <row r="38" customFormat="false" ht="15.75" hidden="false" customHeight="true" outlineLevel="0" collapsed="false">
      <c r="A38" s="74"/>
      <c r="B38" s="141" t="s">
        <v>89</v>
      </c>
      <c r="C38" s="141" t="s">
        <v>90</v>
      </c>
      <c r="D38" s="141" t="s">
        <v>91</v>
      </c>
      <c r="E38" s="141" t="s">
        <v>92</v>
      </c>
      <c r="F38" s="141" t="s">
        <v>93</v>
      </c>
      <c r="G38" s="142" t="s">
        <v>94</v>
      </c>
      <c r="H38" s="141" t="s">
        <v>95</v>
      </c>
      <c r="I38" s="143"/>
      <c r="J38" s="141" t="s">
        <v>96</v>
      </c>
      <c r="K38" s="143"/>
      <c r="L38" s="141" t="s">
        <v>97</v>
      </c>
      <c r="M38" s="141" t="s">
        <v>98</v>
      </c>
      <c r="N38" s="141" t="s">
        <v>99</v>
      </c>
      <c r="O38" s="141" t="s">
        <v>100</v>
      </c>
      <c r="P38" s="143"/>
    </row>
    <row r="39" customFormat="false" ht="15.75" hidden="false" customHeight="true" outlineLevel="0" collapsed="false">
      <c r="A39" s="74"/>
      <c r="B39" s="141" t="s">
        <v>101</v>
      </c>
      <c r="C39" s="141" t="s">
        <v>102</v>
      </c>
      <c r="D39" s="141" t="s">
        <v>103</v>
      </c>
      <c r="E39" s="141" t="s">
        <v>104</v>
      </c>
      <c r="F39" s="141" t="s">
        <v>105</v>
      </c>
      <c r="G39" s="142" t="s">
        <v>106</v>
      </c>
      <c r="H39" s="141" t="s">
        <v>107</v>
      </c>
      <c r="I39" s="143"/>
      <c r="J39" s="141" t="s">
        <v>108</v>
      </c>
      <c r="K39" s="143"/>
      <c r="L39" s="141" t="s">
        <v>109</v>
      </c>
      <c r="M39" s="141" t="s">
        <v>110</v>
      </c>
      <c r="N39" s="141" t="s">
        <v>111</v>
      </c>
      <c r="O39" s="141" t="s">
        <v>112</v>
      </c>
      <c r="P39" s="143"/>
    </row>
    <row r="40" customFormat="false" ht="15.75" hidden="false" customHeight="true" outlineLevel="0" collapsed="false">
      <c r="A40" s="74"/>
      <c r="B40" s="141" t="s">
        <v>113</v>
      </c>
      <c r="C40" s="141" t="s">
        <v>114</v>
      </c>
      <c r="D40" s="143"/>
      <c r="E40" s="141" t="s">
        <v>115</v>
      </c>
      <c r="F40" s="141" t="s">
        <v>116</v>
      </c>
      <c r="G40" s="142" t="s">
        <v>117</v>
      </c>
      <c r="H40" s="141" t="s">
        <v>118</v>
      </c>
      <c r="I40" s="143"/>
      <c r="J40" s="141" t="s">
        <v>119</v>
      </c>
      <c r="K40" s="143"/>
      <c r="L40" s="141" t="s">
        <v>120</v>
      </c>
      <c r="M40" s="143"/>
      <c r="N40" s="141" t="s">
        <v>121</v>
      </c>
      <c r="O40" s="141" t="s">
        <v>122</v>
      </c>
      <c r="P40" s="143"/>
    </row>
    <row r="41" customFormat="false" ht="15.75" hidden="false" customHeight="true" outlineLevel="0" collapsed="false">
      <c r="A41" s="74"/>
      <c r="B41" s="75"/>
      <c r="C41" s="76"/>
      <c r="D41" s="76"/>
      <c r="E41" s="76"/>
      <c r="F41" s="76"/>
      <c r="G41" s="76"/>
      <c r="H41" s="76"/>
      <c r="I41" s="76"/>
      <c r="J41" s="76"/>
      <c r="K41" s="76"/>
      <c r="L41" s="76"/>
      <c r="M41" s="76"/>
      <c r="N41" s="76"/>
      <c r="O41" s="76"/>
      <c r="P41" s="76"/>
    </row>
    <row r="42" customFormat="false" ht="15.75" hidden="false" customHeight="true" outlineLevel="0" collapsed="false">
      <c r="A42" s="74"/>
      <c r="B42" s="75"/>
      <c r="C42" s="76"/>
      <c r="D42" s="76"/>
      <c r="E42" s="76"/>
      <c r="F42" s="76"/>
      <c r="G42" s="76"/>
      <c r="H42" s="76"/>
      <c r="I42" s="76"/>
      <c r="J42" s="76"/>
      <c r="K42" s="76"/>
      <c r="L42" s="76"/>
      <c r="M42" s="76"/>
      <c r="N42" s="76"/>
      <c r="O42" s="76"/>
      <c r="P42" s="76"/>
    </row>
    <row r="43" customFormat="false" ht="15.75" hidden="false" customHeight="true" outlineLevel="0" collapsed="false">
      <c r="A43" s="74"/>
      <c r="B43" s="75"/>
      <c r="C43" s="76"/>
      <c r="D43" s="76"/>
      <c r="E43" s="76"/>
      <c r="F43" s="76"/>
      <c r="G43" s="76"/>
      <c r="H43" s="76"/>
      <c r="I43" s="76"/>
      <c r="J43" s="76"/>
      <c r="K43" s="76"/>
      <c r="L43" s="76"/>
      <c r="M43" s="76"/>
      <c r="N43" s="76"/>
      <c r="O43" s="76"/>
      <c r="P43" s="76"/>
    </row>
    <row r="44" customFormat="false" ht="15.75" hidden="false" customHeight="true" outlineLevel="0" collapsed="false">
      <c r="A44" s="74"/>
      <c r="B44" s="75"/>
      <c r="C44" s="76"/>
      <c r="D44" s="76"/>
      <c r="E44" s="76"/>
      <c r="F44" s="76"/>
      <c r="G44" s="76"/>
      <c r="H44" s="76"/>
      <c r="I44" s="76"/>
      <c r="J44" s="76"/>
      <c r="K44" s="76"/>
      <c r="L44" s="76"/>
      <c r="M44" s="76"/>
      <c r="N44" s="76"/>
      <c r="O44" s="76"/>
      <c r="P44" s="76"/>
    </row>
    <row r="45" customFormat="false" ht="15.75" hidden="false" customHeight="true" outlineLevel="0" collapsed="false">
      <c r="A45" s="74"/>
      <c r="B45" s="75"/>
      <c r="C45" s="76"/>
      <c r="D45" s="76"/>
      <c r="E45" s="76"/>
      <c r="F45" s="76"/>
      <c r="G45" s="76"/>
      <c r="H45" s="76"/>
      <c r="I45" s="76"/>
      <c r="J45" s="76"/>
      <c r="K45" s="76"/>
      <c r="L45" s="76"/>
      <c r="M45" s="76"/>
      <c r="N45" s="76"/>
      <c r="O45" s="76"/>
      <c r="P45" s="76"/>
    </row>
    <row r="46" customFormat="false" ht="15.75" hidden="false" customHeight="true" outlineLevel="0" collapsed="false">
      <c r="A46" s="74"/>
      <c r="B46" s="75"/>
      <c r="C46" s="76"/>
      <c r="D46" s="76"/>
      <c r="E46" s="76"/>
      <c r="F46" s="76"/>
      <c r="G46" s="76"/>
      <c r="H46" s="76"/>
      <c r="I46" s="76"/>
      <c r="J46" s="76"/>
      <c r="K46" s="76"/>
      <c r="L46" s="76"/>
      <c r="M46" s="76"/>
      <c r="N46" s="76"/>
      <c r="O46" s="76"/>
      <c r="P46" s="76"/>
    </row>
    <row r="47" customFormat="false" ht="15.75" hidden="false" customHeight="true" outlineLevel="0" collapsed="false">
      <c r="A47" s="74"/>
      <c r="B47" s="75"/>
      <c r="C47" s="76"/>
      <c r="D47" s="76"/>
      <c r="E47" s="76"/>
      <c r="F47" s="76"/>
      <c r="G47" s="76"/>
      <c r="H47" s="76"/>
      <c r="I47" s="76"/>
      <c r="J47" s="76"/>
      <c r="K47" s="76"/>
      <c r="L47" s="76"/>
      <c r="M47" s="76"/>
      <c r="N47" s="76"/>
      <c r="O47" s="76"/>
      <c r="P47" s="76"/>
    </row>
    <row r="48" customFormat="false" ht="15.75" hidden="false" customHeight="true" outlineLevel="0" collapsed="false">
      <c r="A48" s="74"/>
      <c r="B48" s="75"/>
      <c r="C48" s="76"/>
      <c r="D48" s="76"/>
      <c r="E48" s="76"/>
      <c r="F48" s="76"/>
      <c r="G48" s="76"/>
      <c r="H48" s="76"/>
      <c r="I48" s="76"/>
      <c r="J48" s="76"/>
      <c r="K48" s="76"/>
      <c r="L48" s="76"/>
      <c r="M48" s="76"/>
      <c r="N48" s="76"/>
      <c r="O48" s="76"/>
      <c r="P48" s="76"/>
    </row>
    <row r="49" customFormat="false" ht="15.75" hidden="false" customHeight="true" outlineLevel="0" collapsed="false">
      <c r="A49" s="74"/>
      <c r="B49" s="75"/>
      <c r="C49" s="76"/>
      <c r="D49" s="76"/>
      <c r="E49" s="76"/>
      <c r="F49" s="76"/>
      <c r="G49" s="76"/>
      <c r="H49" s="76"/>
      <c r="I49" s="76"/>
      <c r="J49" s="76"/>
      <c r="K49" s="76"/>
      <c r="L49" s="76"/>
      <c r="M49" s="76"/>
      <c r="N49" s="76"/>
      <c r="O49" s="76"/>
      <c r="P49" s="76"/>
    </row>
    <row r="50" customFormat="false" ht="15.75" hidden="false" customHeight="true" outlineLevel="0" collapsed="false">
      <c r="A50" s="74"/>
      <c r="B50" s="75"/>
      <c r="C50" s="76"/>
      <c r="D50" s="76"/>
      <c r="E50" s="76"/>
      <c r="F50" s="76"/>
      <c r="G50" s="76"/>
      <c r="H50" s="76"/>
      <c r="I50" s="76"/>
      <c r="J50" s="76"/>
      <c r="K50" s="76"/>
      <c r="L50" s="76"/>
      <c r="M50" s="76"/>
      <c r="N50" s="76"/>
      <c r="O50" s="76"/>
      <c r="P50" s="76"/>
    </row>
    <row r="51" customFormat="false" ht="15.75" hidden="false" customHeight="true" outlineLevel="0" collapsed="false">
      <c r="A51" s="74"/>
      <c r="B51" s="75"/>
      <c r="C51" s="76"/>
      <c r="D51" s="76"/>
      <c r="E51" s="76"/>
      <c r="F51" s="76"/>
      <c r="G51" s="76"/>
      <c r="H51" s="76"/>
      <c r="I51" s="76"/>
      <c r="J51" s="76"/>
      <c r="K51" s="76"/>
      <c r="L51" s="76"/>
      <c r="M51" s="76"/>
      <c r="N51" s="76"/>
      <c r="O51" s="76"/>
      <c r="P51" s="76"/>
    </row>
    <row r="52" customFormat="false" ht="15.75" hidden="false" customHeight="true" outlineLevel="0" collapsed="false">
      <c r="A52" s="74"/>
      <c r="B52" s="75"/>
      <c r="C52" s="76"/>
      <c r="D52" s="76"/>
      <c r="E52" s="76"/>
      <c r="F52" s="76"/>
      <c r="G52" s="76"/>
      <c r="H52" s="76"/>
      <c r="I52" s="76"/>
      <c r="J52" s="76"/>
      <c r="K52" s="76"/>
      <c r="L52" s="76"/>
      <c r="M52" s="76"/>
      <c r="N52" s="76"/>
      <c r="O52" s="76"/>
      <c r="P52" s="76"/>
    </row>
    <row r="53" customFormat="false" ht="15.75" hidden="false" customHeight="true" outlineLevel="0" collapsed="false">
      <c r="A53" s="74"/>
      <c r="B53" s="75"/>
      <c r="C53" s="76"/>
      <c r="D53" s="76"/>
      <c r="E53" s="76"/>
      <c r="F53" s="76"/>
      <c r="G53" s="76"/>
      <c r="H53" s="76"/>
      <c r="I53" s="76"/>
      <c r="J53" s="76"/>
      <c r="K53" s="76"/>
      <c r="L53" s="76"/>
      <c r="M53" s="76"/>
      <c r="N53" s="76"/>
      <c r="O53" s="76"/>
      <c r="P53" s="76"/>
    </row>
    <row r="54" customFormat="false" ht="15.75" hidden="false" customHeight="true" outlineLevel="0" collapsed="false">
      <c r="A54" s="74"/>
      <c r="B54" s="75"/>
      <c r="C54" s="76"/>
      <c r="D54" s="76"/>
      <c r="E54" s="76"/>
      <c r="F54" s="76"/>
      <c r="G54" s="76"/>
      <c r="H54" s="76"/>
      <c r="I54" s="76"/>
      <c r="J54" s="76"/>
      <c r="K54" s="76"/>
      <c r="L54" s="76"/>
      <c r="M54" s="76"/>
      <c r="N54" s="76"/>
      <c r="O54" s="76"/>
      <c r="P54" s="76"/>
    </row>
    <row r="55" customFormat="false" ht="15.75" hidden="false" customHeight="true" outlineLevel="0" collapsed="false">
      <c r="A55" s="74"/>
      <c r="B55" s="75"/>
      <c r="C55" s="76"/>
      <c r="D55" s="76"/>
      <c r="E55" s="76"/>
      <c r="F55" s="76"/>
      <c r="G55" s="76"/>
      <c r="H55" s="76"/>
      <c r="I55" s="76"/>
      <c r="J55" s="76"/>
      <c r="K55" s="76"/>
      <c r="L55" s="76"/>
      <c r="M55" s="76"/>
      <c r="N55" s="76"/>
      <c r="O55" s="76"/>
      <c r="P55" s="76"/>
    </row>
    <row r="56" customFormat="false" ht="15.75" hidden="false" customHeight="true" outlineLevel="0" collapsed="false">
      <c r="A56" s="74"/>
      <c r="B56" s="75"/>
      <c r="C56" s="76"/>
      <c r="D56" s="76"/>
      <c r="E56" s="76"/>
      <c r="F56" s="76"/>
      <c r="G56" s="76"/>
      <c r="H56" s="76"/>
      <c r="I56" s="76"/>
      <c r="J56" s="76"/>
      <c r="K56" s="76"/>
      <c r="L56" s="76"/>
      <c r="M56" s="76"/>
      <c r="N56" s="76"/>
      <c r="O56" s="76"/>
      <c r="P56" s="76"/>
    </row>
    <row r="57" customFormat="false" ht="15.75" hidden="false" customHeight="true" outlineLevel="0" collapsed="false">
      <c r="A57" s="74"/>
      <c r="B57" s="75"/>
      <c r="C57" s="76"/>
      <c r="D57" s="76"/>
      <c r="E57" s="76"/>
      <c r="F57" s="76"/>
      <c r="G57" s="76"/>
      <c r="H57" s="76"/>
      <c r="I57" s="76"/>
      <c r="J57" s="76"/>
      <c r="K57" s="76"/>
      <c r="L57" s="76"/>
      <c r="M57" s="76"/>
      <c r="N57" s="76"/>
      <c r="O57" s="76"/>
      <c r="P57" s="76"/>
    </row>
    <row r="58" customFormat="false" ht="15.75" hidden="false" customHeight="true" outlineLevel="0" collapsed="false">
      <c r="A58" s="74"/>
      <c r="B58" s="75"/>
      <c r="C58" s="76"/>
      <c r="D58" s="76"/>
      <c r="E58" s="76"/>
      <c r="F58" s="76"/>
      <c r="G58" s="76"/>
      <c r="H58" s="76"/>
      <c r="I58" s="76"/>
      <c r="J58" s="76"/>
      <c r="K58" s="76"/>
      <c r="L58" s="76"/>
      <c r="M58" s="76"/>
      <c r="N58" s="76"/>
      <c r="O58" s="76"/>
      <c r="P58" s="76"/>
    </row>
    <row r="59" customFormat="false" ht="15.75" hidden="false" customHeight="true" outlineLevel="0" collapsed="false">
      <c r="A59" s="74"/>
      <c r="B59" s="75"/>
      <c r="C59" s="76"/>
      <c r="D59" s="76"/>
      <c r="E59" s="76"/>
      <c r="F59" s="76"/>
      <c r="G59" s="76"/>
      <c r="H59" s="76"/>
      <c r="I59" s="76"/>
      <c r="J59" s="76"/>
      <c r="K59" s="76"/>
      <c r="L59" s="76"/>
      <c r="M59" s="76"/>
      <c r="N59" s="76"/>
      <c r="O59" s="76"/>
      <c r="P59" s="76"/>
    </row>
    <row r="60" customFormat="false" ht="15.75" hidden="false" customHeight="true" outlineLevel="0" collapsed="false">
      <c r="A60" s="74"/>
      <c r="B60" s="75"/>
      <c r="C60" s="76"/>
      <c r="D60" s="76"/>
      <c r="E60" s="76"/>
      <c r="F60" s="76"/>
      <c r="G60" s="76"/>
      <c r="H60" s="76"/>
      <c r="I60" s="76"/>
      <c r="J60" s="76"/>
      <c r="K60" s="76"/>
      <c r="L60" s="76"/>
      <c r="M60" s="76"/>
      <c r="N60" s="76"/>
      <c r="O60" s="76"/>
      <c r="P60" s="76"/>
    </row>
    <row r="61" customFormat="false" ht="15.75" hidden="false" customHeight="true" outlineLevel="0" collapsed="false">
      <c r="A61" s="74"/>
      <c r="B61" s="75"/>
      <c r="C61" s="76"/>
      <c r="D61" s="76"/>
      <c r="E61" s="76"/>
      <c r="F61" s="76"/>
      <c r="G61" s="76"/>
      <c r="H61" s="76"/>
      <c r="I61" s="76"/>
      <c r="J61" s="76"/>
      <c r="K61" s="76"/>
      <c r="L61" s="76"/>
      <c r="M61" s="76"/>
      <c r="N61" s="76"/>
      <c r="O61" s="76"/>
      <c r="P61" s="76"/>
    </row>
    <row r="62" customFormat="false" ht="15.75" hidden="false" customHeight="true" outlineLevel="0" collapsed="false">
      <c r="A62" s="74"/>
      <c r="B62" s="75"/>
      <c r="C62" s="76"/>
      <c r="D62" s="76"/>
      <c r="E62" s="76"/>
      <c r="F62" s="76"/>
      <c r="G62" s="76"/>
      <c r="H62" s="76"/>
      <c r="I62" s="76"/>
      <c r="J62" s="76"/>
      <c r="K62" s="76"/>
      <c r="L62" s="76"/>
      <c r="M62" s="76"/>
      <c r="N62" s="76"/>
      <c r="O62" s="76"/>
      <c r="P62" s="76"/>
    </row>
    <row r="63" customFormat="false" ht="15.75" hidden="false" customHeight="true" outlineLevel="0" collapsed="false">
      <c r="A63" s="74"/>
      <c r="B63" s="75"/>
      <c r="C63" s="76"/>
      <c r="D63" s="76"/>
      <c r="E63" s="76"/>
      <c r="F63" s="76"/>
      <c r="G63" s="76"/>
      <c r="H63" s="76"/>
      <c r="I63" s="76"/>
      <c r="J63" s="76"/>
      <c r="K63" s="76"/>
      <c r="L63" s="76"/>
      <c r="M63" s="76"/>
      <c r="N63" s="76"/>
      <c r="O63" s="76"/>
      <c r="P63" s="76"/>
    </row>
    <row r="64" customFormat="false" ht="15.75" hidden="false" customHeight="true" outlineLevel="0" collapsed="false">
      <c r="A64" s="74"/>
      <c r="B64" s="75"/>
      <c r="C64" s="76"/>
      <c r="D64" s="76"/>
      <c r="E64" s="76"/>
      <c r="F64" s="76"/>
      <c r="G64" s="76"/>
      <c r="H64" s="76"/>
      <c r="I64" s="76"/>
      <c r="J64" s="76"/>
      <c r="K64" s="76"/>
      <c r="L64" s="76"/>
      <c r="M64" s="76"/>
      <c r="N64" s="76"/>
      <c r="O64" s="76"/>
      <c r="P64" s="76"/>
    </row>
    <row r="65" customFormat="false" ht="15.75" hidden="false" customHeight="true" outlineLevel="0" collapsed="false">
      <c r="A65" s="74"/>
      <c r="B65" s="75"/>
      <c r="C65" s="76"/>
      <c r="D65" s="76"/>
      <c r="E65" s="76"/>
      <c r="F65" s="76"/>
      <c r="G65" s="76"/>
      <c r="H65" s="76"/>
      <c r="I65" s="76"/>
      <c r="J65" s="76"/>
      <c r="K65" s="76"/>
      <c r="L65" s="76"/>
      <c r="M65" s="76"/>
      <c r="N65" s="76"/>
      <c r="O65" s="76"/>
      <c r="P65" s="76"/>
    </row>
    <row r="66" customFormat="false" ht="15.75" hidden="false" customHeight="true" outlineLevel="0" collapsed="false">
      <c r="A66" s="74"/>
      <c r="B66" s="75"/>
      <c r="C66" s="76"/>
      <c r="D66" s="76"/>
      <c r="E66" s="76"/>
      <c r="F66" s="76"/>
      <c r="G66" s="76"/>
      <c r="H66" s="76"/>
      <c r="I66" s="76"/>
      <c r="J66" s="76"/>
      <c r="K66" s="76"/>
      <c r="L66" s="76"/>
      <c r="M66" s="76"/>
      <c r="N66" s="76"/>
      <c r="O66" s="76"/>
      <c r="P66" s="76"/>
    </row>
    <row r="67" customFormat="false" ht="15.75" hidden="false" customHeight="true" outlineLevel="0" collapsed="false">
      <c r="A67" s="74"/>
      <c r="B67" s="75"/>
      <c r="C67" s="76"/>
      <c r="D67" s="76"/>
      <c r="E67" s="76"/>
      <c r="F67" s="76"/>
      <c r="G67" s="76"/>
      <c r="H67" s="76"/>
      <c r="I67" s="76"/>
      <c r="J67" s="76"/>
      <c r="K67" s="76"/>
      <c r="L67" s="76"/>
      <c r="M67" s="76"/>
      <c r="N67" s="76"/>
      <c r="O67" s="76"/>
      <c r="P67" s="76"/>
    </row>
    <row r="68" customFormat="false" ht="15.75" hidden="false" customHeight="true" outlineLevel="0" collapsed="false">
      <c r="A68" s="74"/>
      <c r="B68" s="75"/>
      <c r="C68" s="76"/>
      <c r="D68" s="76"/>
      <c r="E68" s="76"/>
      <c r="F68" s="76"/>
      <c r="G68" s="76"/>
      <c r="H68" s="76"/>
      <c r="I68" s="76"/>
      <c r="J68" s="76"/>
      <c r="K68" s="76"/>
      <c r="L68" s="76"/>
      <c r="M68" s="76"/>
      <c r="N68" s="76"/>
      <c r="O68" s="76"/>
      <c r="P68" s="76"/>
    </row>
    <row r="69" customFormat="false" ht="15.75" hidden="false" customHeight="true" outlineLevel="0" collapsed="false">
      <c r="A69" s="74"/>
      <c r="B69" s="75"/>
      <c r="C69" s="76"/>
      <c r="D69" s="76"/>
      <c r="E69" s="76"/>
      <c r="F69" s="76"/>
      <c r="G69" s="76"/>
      <c r="H69" s="76"/>
      <c r="I69" s="76"/>
      <c r="J69" s="76"/>
      <c r="K69" s="76"/>
      <c r="L69" s="76"/>
      <c r="M69" s="76"/>
      <c r="N69" s="76"/>
      <c r="O69" s="76"/>
      <c r="P69" s="76"/>
    </row>
    <row r="70" customFormat="false" ht="15.75" hidden="false" customHeight="true" outlineLevel="0" collapsed="false">
      <c r="A70" s="74"/>
      <c r="B70" s="75"/>
      <c r="C70" s="76"/>
      <c r="D70" s="76"/>
      <c r="E70" s="76"/>
      <c r="F70" s="76"/>
      <c r="G70" s="76"/>
      <c r="H70" s="76"/>
      <c r="I70" s="76"/>
      <c r="J70" s="76"/>
      <c r="K70" s="76"/>
      <c r="L70" s="76"/>
      <c r="M70" s="76"/>
      <c r="N70" s="76"/>
      <c r="O70" s="76"/>
      <c r="P70" s="76"/>
    </row>
    <row r="71" customFormat="false" ht="15.75" hidden="false" customHeight="true" outlineLevel="0" collapsed="false">
      <c r="A71" s="74"/>
      <c r="B71" s="75"/>
      <c r="C71" s="76"/>
      <c r="D71" s="76"/>
      <c r="E71" s="76"/>
      <c r="F71" s="76"/>
      <c r="G71" s="76"/>
      <c r="H71" s="76"/>
      <c r="I71" s="76"/>
      <c r="J71" s="76"/>
      <c r="K71" s="76"/>
      <c r="L71" s="76"/>
      <c r="M71" s="76"/>
      <c r="N71" s="76"/>
      <c r="O71" s="76"/>
      <c r="P71" s="76"/>
    </row>
    <row r="72" customFormat="false" ht="15.75" hidden="false" customHeight="true" outlineLevel="0" collapsed="false">
      <c r="A72" s="74"/>
      <c r="B72" s="75"/>
      <c r="C72" s="76"/>
      <c r="D72" s="76"/>
      <c r="E72" s="76"/>
      <c r="F72" s="76"/>
      <c r="G72" s="76"/>
      <c r="H72" s="76"/>
      <c r="I72" s="76"/>
      <c r="J72" s="76"/>
      <c r="K72" s="76"/>
      <c r="L72" s="76"/>
      <c r="M72" s="76"/>
      <c r="N72" s="76"/>
      <c r="O72" s="76"/>
      <c r="P72" s="76"/>
    </row>
    <row r="73" customFormat="false" ht="15.75" hidden="false" customHeight="true" outlineLevel="0" collapsed="false">
      <c r="A73" s="74"/>
      <c r="B73" s="75"/>
      <c r="C73" s="76"/>
      <c r="D73" s="76"/>
      <c r="E73" s="76"/>
      <c r="F73" s="76"/>
      <c r="G73" s="76"/>
      <c r="H73" s="76"/>
      <c r="I73" s="76"/>
      <c r="J73" s="76"/>
      <c r="K73" s="76"/>
      <c r="L73" s="76"/>
      <c r="M73" s="76"/>
      <c r="N73" s="76"/>
      <c r="O73" s="76"/>
      <c r="P73" s="76"/>
    </row>
    <row r="74" customFormat="false" ht="15.75" hidden="false" customHeight="true" outlineLevel="0" collapsed="false">
      <c r="A74" s="74"/>
      <c r="B74" s="75"/>
      <c r="C74" s="76"/>
      <c r="D74" s="76"/>
      <c r="E74" s="76"/>
      <c r="F74" s="76"/>
      <c r="G74" s="76"/>
      <c r="H74" s="76"/>
      <c r="I74" s="76"/>
      <c r="J74" s="76"/>
      <c r="K74" s="76"/>
      <c r="L74" s="76"/>
      <c r="M74" s="76"/>
      <c r="N74" s="76"/>
      <c r="O74" s="76"/>
      <c r="P74" s="76"/>
    </row>
    <row r="75" customFormat="false" ht="15.75" hidden="false" customHeight="true" outlineLevel="0" collapsed="false">
      <c r="A75" s="74"/>
      <c r="B75" s="75"/>
      <c r="C75" s="76"/>
      <c r="D75" s="76"/>
      <c r="E75" s="76"/>
      <c r="F75" s="76"/>
      <c r="G75" s="76"/>
      <c r="H75" s="76"/>
      <c r="I75" s="76"/>
      <c r="J75" s="76"/>
      <c r="K75" s="76"/>
      <c r="L75" s="76"/>
      <c r="M75" s="76"/>
      <c r="N75" s="76"/>
      <c r="O75" s="76"/>
      <c r="P75" s="76"/>
    </row>
    <row r="76" customFormat="false" ht="15.75" hidden="false" customHeight="true" outlineLevel="0" collapsed="false">
      <c r="A76" s="74"/>
      <c r="B76" s="75"/>
      <c r="C76" s="76"/>
      <c r="D76" s="76"/>
      <c r="E76" s="76"/>
      <c r="F76" s="76"/>
      <c r="G76" s="76"/>
      <c r="H76" s="76"/>
      <c r="I76" s="76"/>
      <c r="J76" s="76"/>
      <c r="K76" s="76"/>
      <c r="L76" s="76"/>
      <c r="M76" s="76"/>
      <c r="N76" s="76"/>
      <c r="O76" s="76"/>
      <c r="P76" s="76"/>
    </row>
    <row r="77" customFormat="false" ht="15.75" hidden="false" customHeight="true" outlineLevel="0" collapsed="false">
      <c r="A77" s="74"/>
      <c r="B77" s="75"/>
      <c r="C77" s="76"/>
      <c r="D77" s="76"/>
      <c r="E77" s="76"/>
      <c r="F77" s="76"/>
      <c r="G77" s="76"/>
      <c r="H77" s="76"/>
      <c r="I77" s="76"/>
      <c r="J77" s="76"/>
      <c r="K77" s="76"/>
      <c r="L77" s="76"/>
      <c r="M77" s="76"/>
      <c r="N77" s="76"/>
      <c r="O77" s="76"/>
      <c r="P77" s="76"/>
    </row>
    <row r="78" customFormat="false" ht="15.75" hidden="false" customHeight="true" outlineLevel="0" collapsed="false">
      <c r="A78" s="74"/>
      <c r="B78" s="75"/>
      <c r="C78" s="76"/>
      <c r="D78" s="76"/>
      <c r="E78" s="76"/>
      <c r="F78" s="76"/>
      <c r="G78" s="76"/>
      <c r="H78" s="76"/>
      <c r="I78" s="76"/>
      <c r="J78" s="76"/>
      <c r="K78" s="76"/>
      <c r="L78" s="76"/>
      <c r="M78" s="76"/>
      <c r="N78" s="76"/>
      <c r="O78" s="76"/>
      <c r="P78" s="76"/>
    </row>
    <row r="79" customFormat="false" ht="15.75" hidden="false" customHeight="true" outlineLevel="0" collapsed="false">
      <c r="A79" s="74"/>
      <c r="B79" s="75"/>
      <c r="C79" s="76"/>
      <c r="D79" s="76"/>
      <c r="E79" s="76"/>
      <c r="F79" s="76"/>
      <c r="G79" s="76"/>
      <c r="H79" s="76"/>
      <c r="I79" s="76"/>
      <c r="J79" s="76"/>
      <c r="K79" s="76"/>
      <c r="L79" s="76"/>
      <c r="M79" s="76"/>
      <c r="N79" s="76"/>
      <c r="O79" s="76"/>
      <c r="P79" s="76"/>
    </row>
    <row r="80" customFormat="false" ht="15.75" hidden="false" customHeight="true" outlineLevel="0" collapsed="false">
      <c r="A80" s="74"/>
      <c r="B80" s="75"/>
      <c r="C80" s="76"/>
      <c r="D80" s="76"/>
      <c r="E80" s="76"/>
      <c r="F80" s="76"/>
      <c r="G80" s="76"/>
      <c r="H80" s="76"/>
      <c r="I80" s="76"/>
      <c r="J80" s="76"/>
      <c r="K80" s="76"/>
      <c r="L80" s="76"/>
      <c r="M80" s="76"/>
      <c r="N80" s="76"/>
      <c r="O80" s="76"/>
      <c r="P80" s="76"/>
    </row>
    <row r="81" customFormat="false" ht="15.75" hidden="false" customHeight="true" outlineLevel="0" collapsed="false">
      <c r="A81" s="74"/>
      <c r="B81" s="75"/>
      <c r="C81" s="76"/>
      <c r="D81" s="76"/>
      <c r="E81" s="76"/>
      <c r="F81" s="76"/>
      <c r="G81" s="76"/>
      <c r="H81" s="76"/>
      <c r="I81" s="76"/>
      <c r="J81" s="76"/>
      <c r="K81" s="76"/>
      <c r="L81" s="76"/>
      <c r="M81" s="76"/>
      <c r="N81" s="76"/>
      <c r="O81" s="76"/>
      <c r="P81" s="76"/>
    </row>
    <row r="82" customFormat="false" ht="15.75" hidden="false" customHeight="true" outlineLevel="0" collapsed="false">
      <c r="A82" s="74"/>
      <c r="B82" s="75"/>
      <c r="C82" s="76"/>
      <c r="D82" s="76"/>
      <c r="E82" s="76"/>
      <c r="F82" s="76"/>
      <c r="G82" s="76"/>
      <c r="H82" s="76"/>
      <c r="I82" s="76"/>
      <c r="J82" s="76"/>
      <c r="K82" s="76"/>
      <c r="L82" s="76"/>
      <c r="M82" s="76"/>
      <c r="N82" s="76"/>
      <c r="O82" s="76"/>
      <c r="P82" s="76"/>
    </row>
    <row r="83" customFormat="false" ht="15.75" hidden="false" customHeight="true" outlineLevel="0" collapsed="false">
      <c r="A83" s="74"/>
      <c r="B83" s="75"/>
      <c r="C83" s="76"/>
      <c r="D83" s="76"/>
      <c r="E83" s="76"/>
      <c r="F83" s="76"/>
      <c r="G83" s="76"/>
      <c r="H83" s="76"/>
      <c r="I83" s="76"/>
      <c r="J83" s="76"/>
      <c r="K83" s="76"/>
      <c r="L83" s="76"/>
      <c r="M83" s="76"/>
      <c r="N83" s="76"/>
      <c r="O83" s="76"/>
      <c r="P83" s="76"/>
    </row>
    <row r="84" customFormat="false" ht="15.75" hidden="false" customHeight="true" outlineLevel="0" collapsed="false">
      <c r="A84" s="74"/>
      <c r="B84" s="75"/>
      <c r="C84" s="76"/>
      <c r="D84" s="76"/>
      <c r="E84" s="76"/>
      <c r="F84" s="76"/>
      <c r="G84" s="76"/>
      <c r="H84" s="76"/>
      <c r="I84" s="76"/>
      <c r="J84" s="76"/>
      <c r="K84" s="76"/>
      <c r="L84" s="76"/>
      <c r="M84" s="76"/>
      <c r="N84" s="76"/>
      <c r="O84" s="76"/>
      <c r="P84" s="76"/>
    </row>
    <row r="85" customFormat="false" ht="15.75" hidden="false" customHeight="true" outlineLevel="0" collapsed="false">
      <c r="A85" s="74"/>
      <c r="B85" s="75"/>
      <c r="C85" s="76"/>
      <c r="D85" s="76"/>
      <c r="E85" s="76"/>
      <c r="F85" s="76"/>
      <c r="G85" s="76"/>
      <c r="H85" s="76"/>
      <c r="I85" s="76"/>
      <c r="J85" s="76"/>
      <c r="K85" s="76"/>
      <c r="L85" s="76"/>
      <c r="M85" s="76"/>
      <c r="N85" s="76"/>
      <c r="O85" s="76"/>
      <c r="P85" s="76"/>
    </row>
    <row r="86" customFormat="false" ht="15.75" hidden="false" customHeight="true" outlineLevel="0" collapsed="false">
      <c r="A86" s="74"/>
      <c r="B86" s="75"/>
      <c r="C86" s="76"/>
      <c r="D86" s="76"/>
      <c r="E86" s="76"/>
      <c r="F86" s="76"/>
      <c r="G86" s="76"/>
      <c r="H86" s="76"/>
      <c r="I86" s="76"/>
      <c r="J86" s="76"/>
      <c r="K86" s="76"/>
      <c r="L86" s="76"/>
      <c r="M86" s="76"/>
      <c r="N86" s="76"/>
      <c r="O86" s="76"/>
      <c r="P86" s="76"/>
    </row>
    <row r="87" customFormat="false" ht="15.75" hidden="false" customHeight="true" outlineLevel="0" collapsed="false">
      <c r="A87" s="74"/>
      <c r="B87" s="75"/>
      <c r="C87" s="76"/>
      <c r="D87" s="76"/>
      <c r="E87" s="76"/>
      <c r="F87" s="76"/>
      <c r="G87" s="76"/>
      <c r="H87" s="76"/>
      <c r="I87" s="76"/>
      <c r="J87" s="76"/>
      <c r="K87" s="76"/>
      <c r="L87" s="76"/>
      <c r="M87" s="76"/>
      <c r="N87" s="76"/>
      <c r="O87" s="76"/>
      <c r="P87" s="76"/>
    </row>
    <row r="88" customFormat="false" ht="15.75" hidden="false" customHeight="true" outlineLevel="0" collapsed="false">
      <c r="A88" s="74"/>
      <c r="B88" s="75"/>
      <c r="C88" s="76"/>
      <c r="D88" s="76"/>
      <c r="E88" s="76"/>
      <c r="F88" s="76"/>
      <c r="G88" s="76"/>
      <c r="H88" s="76"/>
      <c r="I88" s="76"/>
      <c r="J88" s="76"/>
      <c r="K88" s="76"/>
      <c r="L88" s="76"/>
      <c r="M88" s="76"/>
      <c r="N88" s="76"/>
      <c r="O88" s="76"/>
      <c r="P88" s="76"/>
    </row>
    <row r="89" customFormat="false" ht="15.75" hidden="false" customHeight="true" outlineLevel="0" collapsed="false">
      <c r="A89" s="74"/>
      <c r="B89" s="75"/>
      <c r="C89" s="76"/>
      <c r="D89" s="76"/>
      <c r="E89" s="76"/>
      <c r="F89" s="76"/>
      <c r="G89" s="76"/>
      <c r="H89" s="76"/>
      <c r="I89" s="76"/>
      <c r="J89" s="76"/>
      <c r="K89" s="76"/>
      <c r="L89" s="76"/>
      <c r="M89" s="76"/>
      <c r="N89" s="76"/>
      <c r="O89" s="76"/>
      <c r="P89" s="76"/>
    </row>
    <row r="90" customFormat="false" ht="15.75" hidden="false" customHeight="true" outlineLevel="0" collapsed="false">
      <c r="A90" s="74"/>
      <c r="B90" s="75"/>
      <c r="C90" s="76"/>
      <c r="D90" s="76"/>
      <c r="E90" s="76"/>
      <c r="F90" s="76"/>
      <c r="G90" s="76"/>
      <c r="H90" s="76"/>
      <c r="I90" s="76"/>
      <c r="J90" s="76"/>
      <c r="K90" s="76"/>
      <c r="L90" s="76"/>
      <c r="M90" s="76"/>
      <c r="N90" s="76"/>
      <c r="O90" s="76"/>
      <c r="P90" s="76"/>
    </row>
    <row r="91" customFormat="false" ht="15.75" hidden="false" customHeight="true" outlineLevel="0" collapsed="false">
      <c r="A91" s="74"/>
      <c r="B91" s="75"/>
      <c r="C91" s="76"/>
      <c r="D91" s="76"/>
      <c r="E91" s="76"/>
      <c r="F91" s="76"/>
      <c r="G91" s="76"/>
      <c r="H91" s="76"/>
      <c r="I91" s="76"/>
      <c r="J91" s="76"/>
      <c r="K91" s="76"/>
      <c r="L91" s="76"/>
      <c r="M91" s="76"/>
      <c r="N91" s="76"/>
      <c r="O91" s="76"/>
      <c r="P91" s="76"/>
    </row>
    <row r="92" customFormat="false" ht="15.75" hidden="false" customHeight="true" outlineLevel="0" collapsed="false">
      <c r="A92" s="74"/>
      <c r="B92" s="75"/>
      <c r="C92" s="76"/>
      <c r="D92" s="76"/>
      <c r="E92" s="76"/>
      <c r="F92" s="76"/>
      <c r="G92" s="76"/>
      <c r="H92" s="76"/>
      <c r="I92" s="76"/>
      <c r="J92" s="76"/>
      <c r="K92" s="76"/>
      <c r="L92" s="76"/>
      <c r="M92" s="76"/>
      <c r="N92" s="76"/>
      <c r="O92" s="76"/>
      <c r="P92" s="76"/>
    </row>
    <row r="93" customFormat="false" ht="15.75" hidden="false" customHeight="true" outlineLevel="0" collapsed="false">
      <c r="A93" s="74"/>
      <c r="B93" s="75"/>
      <c r="C93" s="76"/>
      <c r="D93" s="76"/>
      <c r="E93" s="76"/>
      <c r="F93" s="76"/>
      <c r="G93" s="76"/>
      <c r="H93" s="76"/>
      <c r="I93" s="76"/>
      <c r="J93" s="76"/>
      <c r="K93" s="76"/>
      <c r="L93" s="76"/>
      <c r="M93" s="76"/>
      <c r="N93" s="76"/>
      <c r="O93" s="76"/>
      <c r="P93" s="76"/>
    </row>
    <row r="94" customFormat="false" ht="15.75" hidden="false" customHeight="true" outlineLevel="0" collapsed="false">
      <c r="A94" s="74"/>
      <c r="B94" s="75"/>
      <c r="C94" s="76"/>
      <c r="D94" s="76"/>
      <c r="E94" s="76"/>
      <c r="F94" s="76"/>
      <c r="G94" s="76"/>
      <c r="H94" s="76"/>
      <c r="I94" s="76"/>
      <c r="J94" s="76"/>
      <c r="K94" s="76"/>
      <c r="L94" s="76"/>
      <c r="M94" s="76"/>
      <c r="N94" s="76"/>
      <c r="O94" s="76"/>
      <c r="P94" s="76"/>
    </row>
    <row r="95" customFormat="false" ht="15.75" hidden="false" customHeight="true" outlineLevel="0" collapsed="false">
      <c r="A95" s="74"/>
      <c r="B95" s="75"/>
      <c r="C95" s="76"/>
      <c r="D95" s="76"/>
      <c r="E95" s="76"/>
      <c r="F95" s="76"/>
      <c r="G95" s="76"/>
      <c r="H95" s="76"/>
      <c r="I95" s="76"/>
      <c r="J95" s="76"/>
      <c r="K95" s="76"/>
      <c r="L95" s="76"/>
      <c r="M95" s="76"/>
      <c r="N95" s="76"/>
      <c r="O95" s="76"/>
      <c r="P95" s="76"/>
    </row>
    <row r="96" customFormat="false" ht="15.75" hidden="false" customHeight="true" outlineLevel="0" collapsed="false">
      <c r="A96" s="74"/>
      <c r="B96" s="75"/>
      <c r="C96" s="76"/>
      <c r="D96" s="76"/>
      <c r="E96" s="76"/>
      <c r="F96" s="76"/>
      <c r="G96" s="76"/>
      <c r="H96" s="76"/>
      <c r="I96" s="76"/>
      <c r="J96" s="76"/>
      <c r="K96" s="76"/>
      <c r="L96" s="76"/>
      <c r="M96" s="76"/>
      <c r="N96" s="76"/>
      <c r="O96" s="76"/>
      <c r="P96" s="76"/>
    </row>
    <row r="97" customFormat="false" ht="15.75" hidden="false" customHeight="true" outlineLevel="0" collapsed="false">
      <c r="A97" s="74"/>
      <c r="B97" s="75"/>
      <c r="C97" s="76"/>
      <c r="D97" s="76"/>
      <c r="E97" s="76"/>
      <c r="F97" s="76"/>
      <c r="G97" s="76"/>
      <c r="H97" s="76"/>
      <c r="I97" s="76"/>
      <c r="J97" s="76"/>
      <c r="K97" s="76"/>
      <c r="L97" s="76"/>
      <c r="M97" s="76"/>
      <c r="N97" s="76"/>
      <c r="O97" s="76"/>
      <c r="P97" s="76"/>
    </row>
    <row r="98" customFormat="false" ht="15.75" hidden="false" customHeight="true" outlineLevel="0" collapsed="false">
      <c r="A98" s="74"/>
      <c r="B98" s="75"/>
      <c r="C98" s="76"/>
      <c r="D98" s="76"/>
      <c r="E98" s="76"/>
      <c r="F98" s="76"/>
      <c r="G98" s="76"/>
      <c r="H98" s="76"/>
      <c r="I98" s="76"/>
      <c r="J98" s="76"/>
      <c r="K98" s="76"/>
      <c r="L98" s="76"/>
      <c r="M98" s="76"/>
      <c r="N98" s="76"/>
      <c r="O98" s="76"/>
      <c r="P98" s="76"/>
    </row>
    <row r="99" customFormat="false" ht="15.75" hidden="false" customHeight="true" outlineLevel="0" collapsed="false">
      <c r="A99" s="74"/>
      <c r="B99" s="75"/>
      <c r="C99" s="76"/>
      <c r="D99" s="76"/>
      <c r="E99" s="76"/>
      <c r="F99" s="76"/>
      <c r="G99" s="76"/>
      <c r="H99" s="76"/>
      <c r="I99" s="76"/>
      <c r="J99" s="76"/>
      <c r="K99" s="76"/>
      <c r="L99" s="76"/>
      <c r="M99" s="76"/>
      <c r="N99" s="76"/>
      <c r="O99" s="76"/>
      <c r="P99" s="76"/>
    </row>
    <row r="100" customFormat="false" ht="15.75" hidden="false" customHeight="true" outlineLevel="0" collapsed="false">
      <c r="A100" s="74"/>
      <c r="B100" s="75"/>
      <c r="C100" s="76"/>
      <c r="D100" s="76"/>
      <c r="E100" s="76"/>
      <c r="F100" s="76"/>
      <c r="G100" s="76"/>
      <c r="H100" s="76"/>
      <c r="I100" s="76"/>
      <c r="J100" s="76"/>
      <c r="K100" s="76"/>
      <c r="L100" s="76"/>
      <c r="M100" s="76"/>
      <c r="N100" s="76"/>
      <c r="O100" s="76"/>
      <c r="P100" s="76"/>
    </row>
    <row r="101" customFormat="false" ht="15.75" hidden="false" customHeight="true" outlineLevel="0" collapsed="false">
      <c r="A101" s="74"/>
      <c r="B101" s="75"/>
      <c r="C101" s="76"/>
      <c r="D101" s="76"/>
      <c r="E101" s="76"/>
      <c r="F101" s="76"/>
      <c r="G101" s="76"/>
      <c r="H101" s="76"/>
      <c r="I101" s="76"/>
      <c r="J101" s="76"/>
      <c r="K101" s="76"/>
      <c r="L101" s="76"/>
      <c r="M101" s="76"/>
      <c r="N101" s="76"/>
      <c r="O101" s="76"/>
      <c r="P101" s="76"/>
    </row>
    <row r="102" customFormat="false" ht="15.75" hidden="false" customHeight="true" outlineLevel="0" collapsed="false">
      <c r="A102" s="74"/>
      <c r="B102" s="75"/>
      <c r="C102" s="76"/>
      <c r="D102" s="76"/>
      <c r="E102" s="76"/>
      <c r="F102" s="76"/>
      <c r="G102" s="76"/>
      <c r="H102" s="76"/>
      <c r="I102" s="76"/>
      <c r="J102" s="76"/>
      <c r="K102" s="76"/>
      <c r="L102" s="76"/>
      <c r="M102" s="76"/>
      <c r="N102" s="76"/>
      <c r="O102" s="76"/>
      <c r="P102" s="76"/>
    </row>
    <row r="103" customFormat="false" ht="15.75" hidden="false" customHeight="true" outlineLevel="0" collapsed="false">
      <c r="A103" s="74"/>
      <c r="B103" s="75"/>
      <c r="C103" s="76"/>
      <c r="D103" s="76"/>
      <c r="E103" s="76"/>
      <c r="F103" s="76"/>
      <c r="G103" s="76"/>
      <c r="H103" s="76"/>
      <c r="I103" s="76"/>
      <c r="J103" s="76"/>
      <c r="K103" s="76"/>
      <c r="L103" s="76"/>
      <c r="M103" s="76"/>
      <c r="N103" s="76"/>
      <c r="O103" s="76"/>
      <c r="P103" s="76"/>
    </row>
    <row r="104" customFormat="false" ht="15.75" hidden="false" customHeight="true" outlineLevel="0" collapsed="false">
      <c r="A104" s="74"/>
      <c r="B104" s="75"/>
      <c r="C104" s="76"/>
      <c r="D104" s="76"/>
      <c r="E104" s="76"/>
      <c r="F104" s="76"/>
      <c r="G104" s="76"/>
      <c r="H104" s="76"/>
      <c r="I104" s="76"/>
      <c r="J104" s="76"/>
      <c r="K104" s="76"/>
      <c r="L104" s="76"/>
      <c r="M104" s="76"/>
      <c r="N104" s="76"/>
      <c r="O104" s="76"/>
      <c r="P104" s="76"/>
    </row>
    <row r="105" customFormat="false" ht="15.75" hidden="false" customHeight="true" outlineLevel="0" collapsed="false">
      <c r="A105" s="74"/>
      <c r="B105" s="75"/>
      <c r="C105" s="76"/>
      <c r="D105" s="76"/>
      <c r="E105" s="76"/>
      <c r="F105" s="76"/>
      <c r="G105" s="76"/>
      <c r="H105" s="76"/>
      <c r="I105" s="76"/>
      <c r="J105" s="76"/>
      <c r="K105" s="76"/>
      <c r="L105" s="76"/>
      <c r="M105" s="76"/>
      <c r="N105" s="76"/>
      <c r="O105" s="76"/>
      <c r="P105" s="76"/>
    </row>
    <row r="106" customFormat="false" ht="15.75" hidden="false" customHeight="true" outlineLevel="0" collapsed="false">
      <c r="A106" s="74"/>
      <c r="B106" s="75"/>
      <c r="C106" s="76"/>
      <c r="D106" s="76"/>
      <c r="E106" s="76"/>
      <c r="F106" s="76"/>
      <c r="G106" s="76"/>
      <c r="H106" s="76"/>
      <c r="I106" s="76"/>
      <c r="J106" s="76"/>
      <c r="K106" s="76"/>
      <c r="L106" s="76"/>
      <c r="M106" s="76"/>
      <c r="N106" s="76"/>
      <c r="O106" s="76"/>
      <c r="P106" s="76"/>
    </row>
    <row r="107" customFormat="false" ht="15.75" hidden="false" customHeight="true" outlineLevel="0" collapsed="false">
      <c r="A107" s="74"/>
      <c r="B107" s="75"/>
      <c r="C107" s="76"/>
      <c r="D107" s="76"/>
      <c r="E107" s="76"/>
      <c r="F107" s="76"/>
      <c r="G107" s="76"/>
      <c r="H107" s="76"/>
      <c r="I107" s="76"/>
      <c r="J107" s="76"/>
      <c r="K107" s="76"/>
      <c r="L107" s="76"/>
      <c r="M107" s="76"/>
      <c r="N107" s="76"/>
      <c r="O107" s="76"/>
      <c r="P107" s="76"/>
    </row>
    <row r="108" customFormat="false" ht="15.75" hidden="false" customHeight="true" outlineLevel="0" collapsed="false">
      <c r="A108" s="74"/>
      <c r="B108" s="75"/>
      <c r="C108" s="76"/>
      <c r="D108" s="76"/>
      <c r="E108" s="76"/>
      <c r="F108" s="76"/>
      <c r="G108" s="76"/>
      <c r="H108" s="76"/>
      <c r="I108" s="76"/>
      <c r="J108" s="76"/>
      <c r="K108" s="76"/>
      <c r="L108" s="76"/>
      <c r="M108" s="76"/>
      <c r="N108" s="76"/>
      <c r="O108" s="76"/>
      <c r="P108" s="76"/>
    </row>
    <row r="109" customFormat="false" ht="15.75" hidden="false" customHeight="true" outlineLevel="0" collapsed="false">
      <c r="A109" s="74"/>
      <c r="B109" s="75"/>
      <c r="C109" s="76"/>
      <c r="D109" s="76"/>
      <c r="E109" s="76"/>
      <c r="F109" s="76"/>
      <c r="G109" s="76"/>
      <c r="H109" s="76"/>
      <c r="I109" s="76"/>
      <c r="J109" s="76"/>
      <c r="K109" s="76"/>
      <c r="L109" s="76"/>
      <c r="M109" s="76"/>
      <c r="N109" s="76"/>
      <c r="O109" s="76"/>
      <c r="P109" s="76"/>
    </row>
    <row r="110" customFormat="false" ht="15.75" hidden="false" customHeight="true" outlineLevel="0" collapsed="false">
      <c r="A110" s="74"/>
      <c r="B110" s="75"/>
      <c r="C110" s="76"/>
      <c r="D110" s="76"/>
      <c r="E110" s="76"/>
      <c r="F110" s="76"/>
      <c r="G110" s="76"/>
      <c r="H110" s="76"/>
      <c r="I110" s="76"/>
      <c r="J110" s="76"/>
      <c r="K110" s="76"/>
      <c r="L110" s="76"/>
      <c r="M110" s="76"/>
      <c r="N110" s="76"/>
      <c r="O110" s="76"/>
      <c r="P110" s="76"/>
    </row>
    <row r="111" customFormat="false" ht="15.75" hidden="false" customHeight="true" outlineLevel="0" collapsed="false">
      <c r="A111" s="74"/>
      <c r="B111" s="75"/>
      <c r="C111" s="76"/>
      <c r="D111" s="76"/>
      <c r="E111" s="76"/>
      <c r="F111" s="76"/>
      <c r="G111" s="76"/>
      <c r="H111" s="76"/>
      <c r="I111" s="76"/>
      <c r="J111" s="76"/>
      <c r="K111" s="76"/>
      <c r="L111" s="76"/>
      <c r="M111" s="76"/>
      <c r="N111" s="76"/>
      <c r="O111" s="76"/>
      <c r="P111" s="76"/>
    </row>
    <row r="112" customFormat="false" ht="15.75" hidden="false" customHeight="true" outlineLevel="0" collapsed="false">
      <c r="A112" s="74"/>
      <c r="B112" s="75"/>
      <c r="C112" s="76"/>
      <c r="D112" s="76"/>
      <c r="E112" s="76"/>
      <c r="F112" s="76"/>
      <c r="G112" s="76"/>
      <c r="H112" s="76"/>
      <c r="I112" s="76"/>
      <c r="J112" s="76"/>
      <c r="K112" s="76"/>
      <c r="L112" s="76"/>
      <c r="M112" s="76"/>
      <c r="N112" s="76"/>
      <c r="O112" s="76"/>
      <c r="P112" s="76"/>
    </row>
    <row r="113" customFormat="false" ht="15.75" hidden="false" customHeight="true" outlineLevel="0" collapsed="false">
      <c r="A113" s="74"/>
      <c r="B113" s="75"/>
      <c r="C113" s="76"/>
      <c r="D113" s="76"/>
      <c r="E113" s="76"/>
      <c r="F113" s="76"/>
      <c r="G113" s="76"/>
      <c r="H113" s="76"/>
      <c r="I113" s="76"/>
      <c r="J113" s="76"/>
      <c r="K113" s="76"/>
      <c r="L113" s="76"/>
      <c r="M113" s="76"/>
      <c r="N113" s="76"/>
      <c r="O113" s="76"/>
      <c r="P113" s="76"/>
    </row>
    <row r="114" customFormat="false" ht="15.75" hidden="false" customHeight="true" outlineLevel="0" collapsed="false">
      <c r="A114" s="74"/>
      <c r="B114" s="75"/>
      <c r="C114" s="76"/>
      <c r="D114" s="76"/>
      <c r="E114" s="76"/>
      <c r="F114" s="76"/>
      <c r="G114" s="76"/>
      <c r="H114" s="76"/>
      <c r="I114" s="76"/>
      <c r="J114" s="76"/>
      <c r="K114" s="76"/>
      <c r="L114" s="76"/>
      <c r="M114" s="76"/>
      <c r="N114" s="76"/>
      <c r="O114" s="76"/>
      <c r="P114" s="76"/>
    </row>
    <row r="115" customFormat="false" ht="15.75" hidden="false" customHeight="true" outlineLevel="0" collapsed="false">
      <c r="A115" s="74"/>
      <c r="B115" s="75"/>
      <c r="C115" s="76"/>
      <c r="D115" s="76"/>
      <c r="E115" s="76"/>
      <c r="F115" s="76"/>
      <c r="G115" s="76"/>
      <c r="H115" s="76"/>
      <c r="I115" s="76"/>
      <c r="J115" s="76"/>
      <c r="K115" s="76"/>
      <c r="L115" s="76"/>
      <c r="M115" s="76"/>
      <c r="N115" s="76"/>
      <c r="O115" s="76"/>
      <c r="P115" s="76"/>
    </row>
    <row r="116" customFormat="false" ht="15.75" hidden="false" customHeight="true" outlineLevel="0" collapsed="false">
      <c r="A116" s="74"/>
      <c r="B116" s="75"/>
      <c r="C116" s="76"/>
      <c r="D116" s="76"/>
      <c r="E116" s="76"/>
      <c r="F116" s="76"/>
      <c r="G116" s="76"/>
      <c r="H116" s="76"/>
      <c r="I116" s="76"/>
      <c r="J116" s="76"/>
      <c r="K116" s="76"/>
      <c r="L116" s="76"/>
      <c r="M116" s="76"/>
      <c r="N116" s="76"/>
      <c r="O116" s="76"/>
      <c r="P116" s="76"/>
    </row>
    <row r="117" customFormat="false" ht="15.75" hidden="false" customHeight="true" outlineLevel="0" collapsed="false">
      <c r="A117" s="74"/>
      <c r="B117" s="75"/>
      <c r="C117" s="76"/>
      <c r="D117" s="76"/>
      <c r="E117" s="76"/>
      <c r="F117" s="76"/>
      <c r="G117" s="76"/>
      <c r="H117" s="76"/>
      <c r="I117" s="76"/>
      <c r="J117" s="76"/>
      <c r="K117" s="76"/>
      <c r="L117" s="76"/>
      <c r="M117" s="76"/>
      <c r="N117" s="76"/>
      <c r="O117" s="76"/>
      <c r="P117" s="76"/>
    </row>
    <row r="118" customFormat="false" ht="15.75" hidden="false" customHeight="true" outlineLevel="0" collapsed="false">
      <c r="A118" s="74"/>
      <c r="B118" s="75"/>
      <c r="C118" s="76"/>
      <c r="D118" s="76"/>
      <c r="E118" s="76"/>
      <c r="F118" s="76"/>
      <c r="G118" s="76"/>
      <c r="H118" s="76"/>
      <c r="I118" s="76"/>
      <c r="J118" s="76"/>
      <c r="K118" s="76"/>
      <c r="L118" s="76"/>
      <c r="M118" s="76"/>
      <c r="N118" s="76"/>
      <c r="O118" s="76"/>
      <c r="P118" s="76"/>
    </row>
    <row r="119" customFormat="false" ht="15.75" hidden="false" customHeight="true" outlineLevel="0" collapsed="false">
      <c r="A119" s="74"/>
      <c r="B119" s="75"/>
      <c r="C119" s="76"/>
      <c r="D119" s="76"/>
      <c r="E119" s="76"/>
      <c r="F119" s="76"/>
      <c r="G119" s="76"/>
      <c r="H119" s="76"/>
      <c r="I119" s="76"/>
      <c r="J119" s="76"/>
      <c r="K119" s="76"/>
      <c r="L119" s="76"/>
      <c r="M119" s="76"/>
      <c r="N119" s="76"/>
      <c r="O119" s="76"/>
      <c r="P119" s="76"/>
    </row>
    <row r="120" customFormat="false" ht="15.75" hidden="false" customHeight="true" outlineLevel="0" collapsed="false">
      <c r="A120" s="74"/>
      <c r="B120" s="75"/>
      <c r="C120" s="76"/>
      <c r="D120" s="76"/>
      <c r="E120" s="76"/>
      <c r="F120" s="76"/>
      <c r="G120" s="76"/>
      <c r="H120" s="76"/>
      <c r="I120" s="76"/>
      <c r="J120" s="76"/>
      <c r="K120" s="76"/>
      <c r="L120" s="76"/>
      <c r="M120" s="76"/>
      <c r="N120" s="76"/>
      <c r="O120" s="76"/>
      <c r="P120" s="76"/>
    </row>
    <row r="121" customFormat="false" ht="15.75" hidden="false" customHeight="true" outlineLevel="0" collapsed="false">
      <c r="A121" s="74"/>
      <c r="B121" s="75"/>
      <c r="C121" s="76"/>
      <c r="D121" s="76"/>
      <c r="E121" s="76"/>
      <c r="F121" s="76"/>
      <c r="G121" s="76"/>
      <c r="H121" s="76"/>
      <c r="I121" s="76"/>
      <c r="J121" s="76"/>
      <c r="K121" s="76"/>
      <c r="L121" s="76"/>
      <c r="M121" s="76"/>
      <c r="N121" s="76"/>
      <c r="O121" s="76"/>
      <c r="P121" s="76"/>
    </row>
    <row r="122" customFormat="false" ht="15.75" hidden="false" customHeight="true" outlineLevel="0" collapsed="false">
      <c r="A122" s="74"/>
      <c r="B122" s="75"/>
      <c r="C122" s="76"/>
      <c r="D122" s="76"/>
      <c r="E122" s="76"/>
      <c r="F122" s="76"/>
      <c r="G122" s="76"/>
      <c r="H122" s="76"/>
      <c r="I122" s="76"/>
      <c r="J122" s="76"/>
      <c r="K122" s="76"/>
      <c r="L122" s="76"/>
      <c r="M122" s="76"/>
      <c r="N122" s="76"/>
      <c r="O122" s="76"/>
      <c r="P122" s="76"/>
    </row>
    <row r="123" customFormat="false" ht="15.75" hidden="false" customHeight="true" outlineLevel="0" collapsed="false">
      <c r="A123" s="74"/>
      <c r="B123" s="75"/>
      <c r="C123" s="76"/>
      <c r="D123" s="76"/>
      <c r="E123" s="76"/>
      <c r="F123" s="76"/>
      <c r="G123" s="76"/>
      <c r="H123" s="76"/>
      <c r="I123" s="76"/>
      <c r="J123" s="76"/>
      <c r="K123" s="76"/>
      <c r="L123" s="76"/>
      <c r="M123" s="76"/>
      <c r="N123" s="76"/>
      <c r="O123" s="76"/>
      <c r="P123" s="76"/>
    </row>
    <row r="124" customFormat="false" ht="15.75" hidden="false" customHeight="true" outlineLevel="0" collapsed="false">
      <c r="A124" s="74"/>
      <c r="B124" s="75"/>
      <c r="C124" s="76"/>
      <c r="D124" s="76"/>
      <c r="E124" s="76"/>
      <c r="F124" s="76"/>
      <c r="G124" s="76"/>
      <c r="H124" s="76"/>
      <c r="I124" s="76"/>
      <c r="J124" s="76"/>
      <c r="K124" s="76"/>
      <c r="L124" s="76"/>
      <c r="M124" s="76"/>
      <c r="N124" s="76"/>
      <c r="O124" s="76"/>
      <c r="P124" s="76"/>
    </row>
    <row r="125" customFormat="false" ht="15.75" hidden="false" customHeight="true" outlineLevel="0" collapsed="false">
      <c r="A125" s="74"/>
      <c r="B125" s="75"/>
      <c r="C125" s="76"/>
      <c r="D125" s="76"/>
      <c r="E125" s="76"/>
      <c r="F125" s="76"/>
      <c r="G125" s="76"/>
      <c r="H125" s="76"/>
      <c r="I125" s="76"/>
      <c r="J125" s="76"/>
      <c r="K125" s="76"/>
      <c r="L125" s="76"/>
      <c r="M125" s="76"/>
      <c r="N125" s="76"/>
      <c r="O125" s="76"/>
      <c r="P125" s="76"/>
    </row>
    <row r="126" customFormat="false" ht="15.75" hidden="false" customHeight="true" outlineLevel="0" collapsed="false">
      <c r="A126" s="74"/>
      <c r="B126" s="75"/>
      <c r="C126" s="76"/>
      <c r="D126" s="76"/>
      <c r="E126" s="76"/>
      <c r="F126" s="76"/>
      <c r="G126" s="76"/>
      <c r="H126" s="76"/>
      <c r="I126" s="76"/>
      <c r="J126" s="76"/>
      <c r="K126" s="76"/>
      <c r="L126" s="76"/>
      <c r="M126" s="76"/>
      <c r="N126" s="76"/>
      <c r="O126" s="76"/>
      <c r="P126" s="76"/>
    </row>
    <row r="127" customFormat="false" ht="15.75" hidden="false" customHeight="true" outlineLevel="0" collapsed="false">
      <c r="A127" s="74"/>
      <c r="B127" s="75"/>
      <c r="C127" s="76"/>
      <c r="D127" s="76"/>
      <c r="E127" s="76"/>
      <c r="F127" s="76"/>
      <c r="G127" s="76"/>
      <c r="H127" s="76"/>
      <c r="I127" s="76"/>
      <c r="J127" s="76"/>
      <c r="K127" s="76"/>
      <c r="L127" s="76"/>
      <c r="M127" s="76"/>
      <c r="N127" s="76"/>
      <c r="O127" s="76"/>
      <c r="P127" s="76"/>
    </row>
    <row r="128" customFormat="false" ht="15.75" hidden="false" customHeight="true" outlineLevel="0" collapsed="false">
      <c r="A128" s="74"/>
      <c r="B128" s="75"/>
      <c r="C128" s="76"/>
      <c r="D128" s="76"/>
      <c r="E128" s="76"/>
      <c r="F128" s="76"/>
      <c r="G128" s="76"/>
      <c r="H128" s="76"/>
      <c r="I128" s="76"/>
      <c r="J128" s="76"/>
      <c r="K128" s="76"/>
      <c r="L128" s="76"/>
      <c r="M128" s="76"/>
      <c r="N128" s="76"/>
      <c r="O128" s="76"/>
      <c r="P128" s="76"/>
    </row>
    <row r="129" customFormat="false" ht="15.75" hidden="false" customHeight="true" outlineLevel="0" collapsed="false">
      <c r="A129" s="74"/>
      <c r="B129" s="75"/>
      <c r="C129" s="76"/>
      <c r="D129" s="76"/>
      <c r="E129" s="76"/>
      <c r="F129" s="76"/>
      <c r="G129" s="76"/>
      <c r="H129" s="76"/>
      <c r="I129" s="76"/>
      <c r="J129" s="76"/>
      <c r="K129" s="76"/>
      <c r="L129" s="76"/>
      <c r="M129" s="76"/>
      <c r="N129" s="76"/>
      <c r="O129" s="76"/>
      <c r="P129" s="76"/>
    </row>
    <row r="130" customFormat="false" ht="15.75" hidden="false" customHeight="true" outlineLevel="0" collapsed="false">
      <c r="A130" s="74"/>
      <c r="B130" s="75"/>
      <c r="C130" s="76"/>
      <c r="D130" s="76"/>
      <c r="E130" s="76"/>
      <c r="F130" s="76"/>
      <c r="G130" s="76"/>
      <c r="H130" s="76"/>
      <c r="I130" s="76"/>
      <c r="J130" s="76"/>
      <c r="K130" s="76"/>
      <c r="L130" s="76"/>
      <c r="M130" s="76"/>
      <c r="N130" s="76"/>
      <c r="O130" s="76"/>
      <c r="P130" s="76"/>
    </row>
    <row r="131" customFormat="false" ht="15.75" hidden="false" customHeight="true" outlineLevel="0" collapsed="false">
      <c r="A131" s="74"/>
      <c r="B131" s="75"/>
      <c r="C131" s="76"/>
      <c r="D131" s="76"/>
      <c r="E131" s="76"/>
      <c r="F131" s="76"/>
      <c r="G131" s="76"/>
      <c r="H131" s="76"/>
      <c r="I131" s="76"/>
      <c r="J131" s="76"/>
      <c r="K131" s="76"/>
      <c r="L131" s="76"/>
      <c r="M131" s="76"/>
      <c r="N131" s="76"/>
      <c r="O131" s="76"/>
      <c r="P131" s="76"/>
    </row>
    <row r="132" customFormat="false" ht="15.75" hidden="false" customHeight="true" outlineLevel="0" collapsed="false">
      <c r="A132" s="74"/>
      <c r="B132" s="75"/>
      <c r="C132" s="76"/>
      <c r="D132" s="76"/>
      <c r="E132" s="76"/>
      <c r="F132" s="76"/>
      <c r="G132" s="76"/>
      <c r="H132" s="76"/>
      <c r="I132" s="76"/>
      <c r="J132" s="76"/>
      <c r="K132" s="76"/>
      <c r="L132" s="76"/>
      <c r="M132" s="76"/>
      <c r="N132" s="76"/>
      <c r="O132" s="76"/>
      <c r="P132" s="76"/>
    </row>
    <row r="133" customFormat="false" ht="15.75" hidden="false" customHeight="true" outlineLevel="0" collapsed="false">
      <c r="A133" s="74"/>
      <c r="B133" s="75"/>
      <c r="C133" s="76"/>
      <c r="D133" s="76"/>
      <c r="E133" s="76"/>
      <c r="F133" s="76"/>
      <c r="G133" s="76"/>
      <c r="H133" s="76"/>
      <c r="I133" s="76"/>
      <c r="J133" s="76"/>
      <c r="K133" s="76"/>
      <c r="L133" s="76"/>
      <c r="M133" s="76"/>
      <c r="N133" s="76"/>
      <c r="O133" s="76"/>
      <c r="P133" s="76"/>
    </row>
    <row r="134" customFormat="false" ht="15.75" hidden="false" customHeight="true" outlineLevel="0" collapsed="false">
      <c r="A134" s="74"/>
      <c r="B134" s="75"/>
      <c r="C134" s="76"/>
      <c r="D134" s="76"/>
      <c r="E134" s="76"/>
      <c r="F134" s="76"/>
      <c r="G134" s="76"/>
      <c r="H134" s="76"/>
      <c r="I134" s="76"/>
      <c r="J134" s="76"/>
      <c r="K134" s="76"/>
      <c r="L134" s="76"/>
      <c r="M134" s="76"/>
      <c r="N134" s="76"/>
      <c r="O134" s="76"/>
      <c r="P134" s="76"/>
    </row>
    <row r="135" customFormat="false" ht="15.75" hidden="false" customHeight="true" outlineLevel="0" collapsed="false">
      <c r="A135" s="74"/>
      <c r="B135" s="75"/>
      <c r="C135" s="76"/>
      <c r="D135" s="76"/>
      <c r="E135" s="76"/>
      <c r="F135" s="76"/>
      <c r="G135" s="76"/>
      <c r="H135" s="76"/>
      <c r="I135" s="76"/>
      <c r="J135" s="76"/>
      <c r="K135" s="76"/>
      <c r="L135" s="76"/>
      <c r="M135" s="76"/>
      <c r="N135" s="76"/>
      <c r="O135" s="76"/>
      <c r="P135" s="76"/>
    </row>
    <row r="136" customFormat="false" ht="15.75" hidden="false" customHeight="true" outlineLevel="0" collapsed="false">
      <c r="A136" s="74"/>
      <c r="B136" s="75"/>
      <c r="C136" s="76"/>
      <c r="D136" s="76"/>
      <c r="E136" s="76"/>
      <c r="F136" s="76"/>
      <c r="G136" s="76"/>
      <c r="H136" s="76"/>
      <c r="I136" s="76"/>
      <c r="J136" s="76"/>
      <c r="K136" s="76"/>
      <c r="L136" s="76"/>
      <c r="M136" s="76"/>
      <c r="N136" s="76"/>
      <c r="O136" s="76"/>
      <c r="P136" s="76"/>
    </row>
    <row r="137" customFormat="false" ht="15.75" hidden="false" customHeight="true" outlineLevel="0" collapsed="false">
      <c r="A137" s="74"/>
      <c r="B137" s="75"/>
      <c r="C137" s="76"/>
      <c r="D137" s="76"/>
      <c r="E137" s="76"/>
      <c r="F137" s="76"/>
      <c r="G137" s="76"/>
      <c r="H137" s="76"/>
      <c r="I137" s="76"/>
      <c r="J137" s="76"/>
      <c r="K137" s="76"/>
      <c r="L137" s="76"/>
      <c r="M137" s="76"/>
      <c r="N137" s="76"/>
      <c r="O137" s="76"/>
      <c r="P137" s="76"/>
    </row>
    <row r="138" customFormat="false" ht="15.75" hidden="false" customHeight="true" outlineLevel="0" collapsed="false">
      <c r="A138" s="74"/>
      <c r="B138" s="75"/>
      <c r="C138" s="76"/>
      <c r="D138" s="76"/>
      <c r="E138" s="76"/>
      <c r="F138" s="76"/>
      <c r="G138" s="76"/>
      <c r="H138" s="76"/>
      <c r="I138" s="76"/>
      <c r="J138" s="76"/>
      <c r="K138" s="76"/>
      <c r="L138" s="76"/>
      <c r="M138" s="76"/>
      <c r="N138" s="76"/>
      <c r="O138" s="76"/>
      <c r="P138" s="76"/>
    </row>
    <row r="139" customFormat="false" ht="15.75" hidden="false" customHeight="true" outlineLevel="0" collapsed="false">
      <c r="A139" s="74"/>
      <c r="B139" s="75"/>
      <c r="C139" s="76"/>
      <c r="D139" s="76"/>
      <c r="E139" s="76"/>
      <c r="F139" s="76"/>
      <c r="G139" s="76"/>
      <c r="H139" s="76"/>
      <c r="I139" s="76"/>
      <c r="J139" s="76"/>
      <c r="K139" s="76"/>
      <c r="L139" s="76"/>
      <c r="M139" s="76"/>
      <c r="N139" s="76"/>
      <c r="O139" s="76"/>
      <c r="P139" s="76"/>
    </row>
    <row r="140" customFormat="false" ht="15.75" hidden="false" customHeight="true" outlineLevel="0" collapsed="false">
      <c r="A140" s="74"/>
      <c r="B140" s="75"/>
      <c r="C140" s="76"/>
      <c r="D140" s="76"/>
      <c r="E140" s="76"/>
      <c r="F140" s="76"/>
      <c r="G140" s="76"/>
      <c r="H140" s="76"/>
      <c r="I140" s="76"/>
      <c r="J140" s="76"/>
      <c r="K140" s="76"/>
      <c r="L140" s="76"/>
      <c r="M140" s="76"/>
      <c r="N140" s="76"/>
      <c r="O140" s="76"/>
      <c r="P140" s="76"/>
    </row>
    <row r="141" customFormat="false" ht="15.75" hidden="false" customHeight="true" outlineLevel="0" collapsed="false">
      <c r="A141" s="74"/>
      <c r="B141" s="75"/>
      <c r="C141" s="76"/>
      <c r="D141" s="76"/>
      <c r="E141" s="76"/>
      <c r="F141" s="76"/>
      <c r="G141" s="76"/>
      <c r="H141" s="76"/>
      <c r="I141" s="76"/>
      <c r="J141" s="76"/>
      <c r="K141" s="76"/>
      <c r="L141" s="76"/>
      <c r="M141" s="76"/>
      <c r="N141" s="76"/>
      <c r="O141" s="76"/>
      <c r="P141" s="76"/>
    </row>
    <row r="142" customFormat="false" ht="15.75" hidden="false" customHeight="true" outlineLevel="0" collapsed="false">
      <c r="A142" s="74"/>
      <c r="B142" s="75"/>
      <c r="C142" s="76"/>
      <c r="D142" s="76"/>
      <c r="E142" s="76"/>
      <c r="F142" s="76"/>
      <c r="G142" s="76"/>
      <c r="H142" s="76"/>
      <c r="I142" s="76"/>
      <c r="J142" s="76"/>
      <c r="K142" s="76"/>
      <c r="L142" s="76"/>
      <c r="M142" s="76"/>
      <c r="N142" s="76"/>
      <c r="O142" s="76"/>
      <c r="P142" s="76"/>
    </row>
    <row r="143" customFormat="false" ht="15.75" hidden="false" customHeight="true" outlineLevel="0" collapsed="false">
      <c r="A143" s="74"/>
      <c r="B143" s="75"/>
      <c r="C143" s="76"/>
      <c r="D143" s="76"/>
      <c r="E143" s="76"/>
      <c r="F143" s="76"/>
      <c r="G143" s="76"/>
      <c r="H143" s="76"/>
      <c r="I143" s="76"/>
      <c r="J143" s="76"/>
      <c r="K143" s="76"/>
      <c r="L143" s="76"/>
      <c r="M143" s="76"/>
      <c r="N143" s="76"/>
      <c r="O143" s="76"/>
      <c r="P143" s="76"/>
    </row>
    <row r="144" customFormat="false" ht="15.75" hidden="false" customHeight="true" outlineLevel="0" collapsed="false">
      <c r="A144" s="74"/>
      <c r="B144" s="75"/>
      <c r="C144" s="76"/>
      <c r="D144" s="76"/>
      <c r="E144" s="76"/>
      <c r="F144" s="76"/>
      <c r="G144" s="76"/>
      <c r="H144" s="76"/>
      <c r="I144" s="76"/>
      <c r="J144" s="76"/>
      <c r="K144" s="76"/>
      <c r="L144" s="76"/>
      <c r="M144" s="76"/>
      <c r="N144" s="76"/>
      <c r="O144" s="76"/>
      <c r="P144" s="76"/>
    </row>
    <row r="145" customFormat="false" ht="15.75" hidden="false" customHeight="true" outlineLevel="0" collapsed="false">
      <c r="A145" s="74"/>
      <c r="B145" s="75"/>
      <c r="C145" s="76"/>
      <c r="D145" s="76"/>
      <c r="E145" s="76"/>
      <c r="F145" s="76"/>
      <c r="G145" s="76"/>
      <c r="H145" s="76"/>
      <c r="I145" s="76"/>
      <c r="J145" s="76"/>
      <c r="K145" s="76"/>
      <c r="L145" s="76"/>
      <c r="M145" s="76"/>
      <c r="N145" s="76"/>
      <c r="O145" s="76"/>
      <c r="P145" s="76"/>
    </row>
    <row r="146" customFormat="false" ht="15.75" hidden="false" customHeight="true" outlineLevel="0" collapsed="false">
      <c r="A146" s="74"/>
      <c r="B146" s="75"/>
      <c r="C146" s="76"/>
      <c r="D146" s="76"/>
      <c r="E146" s="76"/>
      <c r="F146" s="76"/>
      <c r="G146" s="76"/>
      <c r="H146" s="76"/>
      <c r="I146" s="76"/>
      <c r="J146" s="76"/>
      <c r="K146" s="76"/>
      <c r="L146" s="76"/>
      <c r="M146" s="76"/>
      <c r="N146" s="76"/>
      <c r="O146" s="76"/>
      <c r="P146" s="76"/>
    </row>
    <row r="147" customFormat="false" ht="15.75" hidden="false" customHeight="true" outlineLevel="0" collapsed="false">
      <c r="A147" s="74"/>
      <c r="B147" s="75"/>
      <c r="C147" s="76"/>
      <c r="D147" s="76"/>
      <c r="E147" s="76"/>
      <c r="F147" s="76"/>
      <c r="G147" s="76"/>
      <c r="H147" s="76"/>
      <c r="I147" s="76"/>
      <c r="J147" s="76"/>
      <c r="K147" s="76"/>
      <c r="L147" s="76"/>
      <c r="M147" s="76"/>
      <c r="N147" s="76"/>
      <c r="O147" s="76"/>
      <c r="P147" s="76"/>
    </row>
    <row r="148" customFormat="false" ht="15.75" hidden="false" customHeight="true" outlineLevel="0" collapsed="false">
      <c r="A148" s="74"/>
      <c r="B148" s="75"/>
      <c r="C148" s="76"/>
      <c r="D148" s="76"/>
      <c r="E148" s="76"/>
      <c r="F148" s="76"/>
      <c r="G148" s="76"/>
      <c r="H148" s="76"/>
      <c r="I148" s="76"/>
      <c r="J148" s="76"/>
      <c r="K148" s="76"/>
      <c r="L148" s="76"/>
      <c r="M148" s="76"/>
      <c r="N148" s="76"/>
      <c r="O148" s="76"/>
      <c r="P148" s="76"/>
    </row>
    <row r="149" customFormat="false" ht="15.75" hidden="false" customHeight="true" outlineLevel="0" collapsed="false">
      <c r="A149" s="74"/>
      <c r="B149" s="75"/>
      <c r="C149" s="76"/>
      <c r="D149" s="76"/>
      <c r="E149" s="76"/>
      <c r="F149" s="76"/>
      <c r="G149" s="76"/>
      <c r="H149" s="76"/>
      <c r="I149" s="76"/>
      <c r="J149" s="76"/>
      <c r="K149" s="76"/>
      <c r="L149" s="76"/>
      <c r="M149" s="76"/>
      <c r="N149" s="76"/>
      <c r="O149" s="76"/>
      <c r="P149" s="76"/>
    </row>
    <row r="150" customFormat="false" ht="15.75" hidden="false" customHeight="true" outlineLevel="0" collapsed="false">
      <c r="A150" s="74"/>
      <c r="B150" s="75"/>
      <c r="C150" s="76"/>
      <c r="D150" s="76"/>
      <c r="E150" s="76"/>
      <c r="F150" s="76"/>
      <c r="G150" s="76"/>
      <c r="H150" s="76"/>
      <c r="I150" s="76"/>
      <c r="J150" s="76"/>
      <c r="K150" s="76"/>
      <c r="L150" s="76"/>
      <c r="M150" s="76"/>
      <c r="N150" s="76"/>
      <c r="O150" s="76"/>
      <c r="P150" s="76"/>
    </row>
    <row r="151" customFormat="false" ht="15.75" hidden="false" customHeight="true" outlineLevel="0" collapsed="false">
      <c r="A151" s="74"/>
      <c r="B151" s="75"/>
      <c r="C151" s="76"/>
      <c r="D151" s="76"/>
      <c r="E151" s="76"/>
      <c r="F151" s="76"/>
      <c r="G151" s="76"/>
      <c r="H151" s="76"/>
      <c r="I151" s="76"/>
      <c r="J151" s="76"/>
      <c r="K151" s="76"/>
      <c r="L151" s="76"/>
      <c r="M151" s="76"/>
      <c r="N151" s="76"/>
      <c r="O151" s="76"/>
      <c r="P151" s="76"/>
    </row>
    <row r="152" customFormat="false" ht="15.75" hidden="false" customHeight="true" outlineLevel="0" collapsed="false">
      <c r="A152" s="74"/>
      <c r="B152" s="75"/>
      <c r="C152" s="76"/>
      <c r="D152" s="76"/>
      <c r="E152" s="76"/>
      <c r="F152" s="76"/>
      <c r="G152" s="76"/>
      <c r="H152" s="76"/>
      <c r="I152" s="76"/>
      <c r="J152" s="76"/>
      <c r="K152" s="76"/>
      <c r="L152" s="76"/>
      <c r="M152" s="76"/>
      <c r="N152" s="76"/>
      <c r="O152" s="76"/>
      <c r="P152" s="76"/>
    </row>
    <row r="153" customFormat="false" ht="15.75" hidden="false" customHeight="true" outlineLevel="0" collapsed="false">
      <c r="A153" s="74"/>
      <c r="B153" s="75"/>
      <c r="C153" s="76"/>
      <c r="D153" s="76"/>
      <c r="E153" s="76"/>
      <c r="F153" s="76"/>
      <c r="G153" s="76"/>
      <c r="H153" s="76"/>
      <c r="I153" s="76"/>
      <c r="J153" s="76"/>
      <c r="K153" s="76"/>
      <c r="L153" s="76"/>
      <c r="M153" s="76"/>
      <c r="N153" s="76"/>
      <c r="O153" s="76"/>
      <c r="P153" s="76"/>
    </row>
    <row r="154" customFormat="false" ht="15.75" hidden="false" customHeight="true" outlineLevel="0" collapsed="false">
      <c r="A154" s="74"/>
      <c r="B154" s="75"/>
      <c r="C154" s="76"/>
      <c r="D154" s="76"/>
      <c r="E154" s="76"/>
      <c r="F154" s="76"/>
      <c r="G154" s="76"/>
      <c r="H154" s="76"/>
      <c r="I154" s="76"/>
      <c r="J154" s="76"/>
      <c r="K154" s="76"/>
      <c r="L154" s="76"/>
      <c r="M154" s="76"/>
      <c r="N154" s="76"/>
      <c r="O154" s="76"/>
      <c r="P154" s="76"/>
    </row>
    <row r="155" customFormat="false" ht="15.75" hidden="false" customHeight="true" outlineLevel="0" collapsed="false">
      <c r="A155" s="74"/>
      <c r="B155" s="75"/>
      <c r="C155" s="76"/>
      <c r="D155" s="76"/>
      <c r="E155" s="76"/>
      <c r="F155" s="76"/>
      <c r="G155" s="76"/>
      <c r="H155" s="76"/>
      <c r="I155" s="76"/>
      <c r="J155" s="76"/>
      <c r="K155" s="76"/>
      <c r="L155" s="76"/>
      <c r="M155" s="76"/>
      <c r="N155" s="76"/>
      <c r="O155" s="76"/>
      <c r="P155" s="76"/>
    </row>
    <row r="156" customFormat="false" ht="15.75" hidden="false" customHeight="true" outlineLevel="0" collapsed="false">
      <c r="A156" s="74"/>
      <c r="B156" s="75"/>
      <c r="C156" s="76"/>
      <c r="D156" s="76"/>
      <c r="E156" s="76"/>
      <c r="F156" s="76"/>
      <c r="G156" s="76"/>
      <c r="H156" s="76"/>
      <c r="I156" s="76"/>
      <c r="J156" s="76"/>
      <c r="K156" s="76"/>
      <c r="L156" s="76"/>
      <c r="M156" s="76"/>
      <c r="N156" s="76"/>
      <c r="O156" s="76"/>
      <c r="P156" s="76"/>
    </row>
    <row r="157" customFormat="false" ht="15.75" hidden="false" customHeight="true" outlineLevel="0" collapsed="false">
      <c r="A157" s="74"/>
      <c r="B157" s="75"/>
      <c r="C157" s="76"/>
      <c r="D157" s="76"/>
      <c r="E157" s="76"/>
      <c r="F157" s="76"/>
      <c r="G157" s="76"/>
      <c r="H157" s="76"/>
      <c r="I157" s="76"/>
      <c r="J157" s="76"/>
      <c r="K157" s="76"/>
      <c r="L157" s="76"/>
      <c r="M157" s="76"/>
      <c r="N157" s="76"/>
      <c r="O157" s="76"/>
      <c r="P157" s="76"/>
    </row>
    <row r="158" customFormat="false" ht="15.75" hidden="false" customHeight="true" outlineLevel="0" collapsed="false">
      <c r="A158" s="74"/>
      <c r="B158" s="75"/>
      <c r="C158" s="76"/>
      <c r="D158" s="76"/>
      <c r="E158" s="76"/>
      <c r="F158" s="76"/>
      <c r="G158" s="76"/>
      <c r="H158" s="76"/>
      <c r="I158" s="76"/>
      <c r="J158" s="76"/>
      <c r="K158" s="76"/>
      <c r="L158" s="76"/>
      <c r="M158" s="76"/>
      <c r="N158" s="76"/>
      <c r="O158" s="76"/>
      <c r="P158" s="76"/>
    </row>
    <row r="159" customFormat="false" ht="15.75" hidden="false" customHeight="true" outlineLevel="0" collapsed="false">
      <c r="A159" s="74"/>
      <c r="B159" s="75"/>
      <c r="C159" s="76"/>
      <c r="D159" s="76"/>
      <c r="E159" s="76"/>
      <c r="F159" s="76"/>
      <c r="G159" s="76"/>
      <c r="H159" s="76"/>
      <c r="I159" s="76"/>
      <c r="J159" s="76"/>
      <c r="K159" s="76"/>
      <c r="L159" s="76"/>
      <c r="M159" s="76"/>
      <c r="N159" s="76"/>
      <c r="O159" s="76"/>
      <c r="P159" s="76"/>
    </row>
    <row r="160" customFormat="false" ht="15.75" hidden="false" customHeight="true" outlineLevel="0" collapsed="false">
      <c r="A160" s="74"/>
      <c r="B160" s="75"/>
      <c r="C160" s="76"/>
      <c r="D160" s="76"/>
      <c r="E160" s="76"/>
      <c r="F160" s="76"/>
      <c r="G160" s="76"/>
      <c r="H160" s="76"/>
      <c r="I160" s="76"/>
      <c r="J160" s="76"/>
      <c r="K160" s="76"/>
      <c r="L160" s="76"/>
      <c r="M160" s="76"/>
      <c r="N160" s="76"/>
      <c r="O160" s="76"/>
      <c r="P160" s="76"/>
    </row>
    <row r="161" customFormat="false" ht="15.75" hidden="false" customHeight="true" outlineLevel="0" collapsed="false">
      <c r="A161" s="74"/>
      <c r="B161" s="75"/>
      <c r="C161" s="76"/>
      <c r="D161" s="76"/>
      <c r="E161" s="76"/>
      <c r="F161" s="76"/>
      <c r="G161" s="76"/>
      <c r="H161" s="76"/>
      <c r="I161" s="76"/>
      <c r="J161" s="76"/>
      <c r="K161" s="76"/>
      <c r="L161" s="76"/>
      <c r="M161" s="76"/>
      <c r="N161" s="76"/>
      <c r="O161" s="76"/>
      <c r="P161" s="76"/>
    </row>
    <row r="162" customFormat="false" ht="15.75" hidden="false" customHeight="true" outlineLevel="0" collapsed="false">
      <c r="A162" s="74"/>
      <c r="B162" s="75"/>
      <c r="C162" s="76"/>
      <c r="D162" s="76"/>
      <c r="E162" s="76"/>
      <c r="F162" s="76"/>
      <c r="G162" s="76"/>
      <c r="H162" s="76"/>
      <c r="I162" s="76"/>
      <c r="J162" s="76"/>
      <c r="K162" s="76"/>
      <c r="L162" s="76"/>
      <c r="M162" s="76"/>
      <c r="N162" s="76"/>
      <c r="O162" s="76"/>
      <c r="P162" s="76"/>
    </row>
    <row r="163" customFormat="false" ht="15.75" hidden="false" customHeight="true" outlineLevel="0" collapsed="false">
      <c r="A163" s="74"/>
      <c r="B163" s="75"/>
      <c r="C163" s="76"/>
      <c r="D163" s="76"/>
      <c r="E163" s="76"/>
      <c r="F163" s="76"/>
      <c r="G163" s="76"/>
      <c r="H163" s="76"/>
      <c r="I163" s="76"/>
      <c r="J163" s="76"/>
      <c r="K163" s="76"/>
      <c r="L163" s="76"/>
      <c r="M163" s="76"/>
      <c r="N163" s="76"/>
      <c r="O163" s="76"/>
      <c r="P163" s="76"/>
    </row>
    <row r="164" customFormat="false" ht="15.75" hidden="false" customHeight="true" outlineLevel="0" collapsed="false">
      <c r="A164" s="74"/>
      <c r="B164" s="75"/>
      <c r="C164" s="76"/>
      <c r="D164" s="76"/>
      <c r="E164" s="76"/>
      <c r="F164" s="76"/>
      <c r="G164" s="76"/>
      <c r="H164" s="76"/>
      <c r="I164" s="76"/>
      <c r="J164" s="76"/>
      <c r="K164" s="76"/>
      <c r="L164" s="76"/>
      <c r="M164" s="76"/>
      <c r="N164" s="76"/>
      <c r="O164" s="76"/>
      <c r="P164" s="76"/>
    </row>
    <row r="165" customFormat="false" ht="15.75" hidden="false" customHeight="true" outlineLevel="0" collapsed="false">
      <c r="A165" s="74"/>
      <c r="B165" s="75"/>
      <c r="C165" s="76"/>
      <c r="D165" s="76"/>
      <c r="E165" s="76"/>
      <c r="F165" s="76"/>
      <c r="G165" s="76"/>
      <c r="H165" s="76"/>
      <c r="I165" s="76"/>
      <c r="J165" s="76"/>
      <c r="K165" s="76"/>
      <c r="L165" s="76"/>
      <c r="M165" s="76"/>
      <c r="N165" s="76"/>
      <c r="O165" s="76"/>
      <c r="P165" s="76"/>
    </row>
    <row r="166" customFormat="false" ht="15.75" hidden="false" customHeight="true" outlineLevel="0" collapsed="false">
      <c r="A166" s="74"/>
      <c r="B166" s="75"/>
      <c r="C166" s="76"/>
      <c r="D166" s="76"/>
      <c r="E166" s="76"/>
      <c r="F166" s="76"/>
      <c r="G166" s="76"/>
      <c r="H166" s="76"/>
      <c r="I166" s="76"/>
      <c r="J166" s="76"/>
      <c r="K166" s="76"/>
      <c r="L166" s="76"/>
      <c r="M166" s="76"/>
      <c r="N166" s="76"/>
      <c r="O166" s="76"/>
      <c r="P166" s="76"/>
    </row>
    <row r="167" customFormat="false" ht="15.75" hidden="false" customHeight="true" outlineLevel="0" collapsed="false">
      <c r="A167" s="74"/>
      <c r="B167" s="75"/>
      <c r="C167" s="76"/>
      <c r="D167" s="76"/>
      <c r="E167" s="76"/>
      <c r="F167" s="76"/>
      <c r="G167" s="76"/>
      <c r="H167" s="76"/>
      <c r="I167" s="76"/>
      <c r="J167" s="76"/>
      <c r="K167" s="76"/>
      <c r="L167" s="76"/>
      <c r="M167" s="76"/>
      <c r="N167" s="76"/>
      <c r="O167" s="76"/>
      <c r="P167" s="76"/>
    </row>
    <row r="168" customFormat="false" ht="15.75" hidden="false" customHeight="true" outlineLevel="0" collapsed="false">
      <c r="A168" s="74"/>
      <c r="B168" s="75"/>
      <c r="C168" s="76"/>
      <c r="D168" s="76"/>
      <c r="E168" s="76"/>
      <c r="F168" s="76"/>
      <c r="G168" s="76"/>
      <c r="H168" s="76"/>
      <c r="I168" s="76"/>
      <c r="J168" s="76"/>
      <c r="K168" s="76"/>
      <c r="L168" s="76"/>
      <c r="M168" s="76"/>
      <c r="N168" s="76"/>
      <c r="O168" s="76"/>
      <c r="P168" s="76"/>
    </row>
    <row r="169" customFormat="false" ht="15.75" hidden="false" customHeight="true" outlineLevel="0" collapsed="false">
      <c r="A169" s="74"/>
      <c r="B169" s="75"/>
      <c r="C169" s="76"/>
      <c r="D169" s="76"/>
      <c r="E169" s="76"/>
      <c r="F169" s="76"/>
      <c r="G169" s="76"/>
      <c r="H169" s="76"/>
      <c r="I169" s="76"/>
      <c r="J169" s="76"/>
      <c r="K169" s="76"/>
      <c r="L169" s="76"/>
      <c r="M169" s="76"/>
      <c r="N169" s="76"/>
      <c r="O169" s="76"/>
      <c r="P169" s="76"/>
    </row>
    <row r="170" customFormat="false" ht="15.75" hidden="false" customHeight="true" outlineLevel="0" collapsed="false">
      <c r="A170" s="74"/>
      <c r="B170" s="75"/>
      <c r="C170" s="76"/>
      <c r="D170" s="76"/>
      <c r="E170" s="76"/>
      <c r="F170" s="76"/>
      <c r="G170" s="76"/>
      <c r="H170" s="76"/>
      <c r="I170" s="76"/>
      <c r="J170" s="76"/>
      <c r="K170" s="76"/>
      <c r="L170" s="76"/>
      <c r="M170" s="76"/>
      <c r="N170" s="76"/>
      <c r="O170" s="76"/>
      <c r="P170" s="76"/>
    </row>
    <row r="171" customFormat="false" ht="15.75" hidden="false" customHeight="true" outlineLevel="0" collapsed="false">
      <c r="A171" s="74"/>
      <c r="B171" s="75"/>
      <c r="C171" s="76"/>
      <c r="D171" s="76"/>
      <c r="E171" s="76"/>
      <c r="F171" s="76"/>
      <c r="G171" s="76"/>
      <c r="H171" s="76"/>
      <c r="I171" s="76"/>
      <c r="J171" s="76"/>
      <c r="K171" s="76"/>
      <c r="L171" s="76"/>
      <c r="M171" s="76"/>
      <c r="N171" s="76"/>
      <c r="O171" s="76"/>
      <c r="P171" s="76"/>
    </row>
    <row r="172" customFormat="false" ht="15.75" hidden="false" customHeight="true" outlineLevel="0" collapsed="false">
      <c r="A172" s="74"/>
      <c r="B172" s="75"/>
      <c r="C172" s="76"/>
      <c r="D172" s="76"/>
      <c r="E172" s="76"/>
      <c r="F172" s="76"/>
      <c r="G172" s="76"/>
      <c r="H172" s="76"/>
      <c r="I172" s="76"/>
      <c r="J172" s="76"/>
      <c r="K172" s="76"/>
      <c r="L172" s="76"/>
      <c r="M172" s="76"/>
      <c r="N172" s="76"/>
      <c r="O172" s="76"/>
      <c r="P172" s="76"/>
    </row>
    <row r="173" customFormat="false" ht="15.75" hidden="false" customHeight="true" outlineLevel="0" collapsed="false">
      <c r="A173" s="74"/>
      <c r="B173" s="75"/>
      <c r="C173" s="76"/>
      <c r="D173" s="76"/>
      <c r="E173" s="76"/>
      <c r="F173" s="76"/>
      <c r="G173" s="76"/>
      <c r="H173" s="76"/>
      <c r="I173" s="76"/>
      <c r="J173" s="76"/>
      <c r="K173" s="76"/>
      <c r="L173" s="76"/>
      <c r="M173" s="76"/>
      <c r="N173" s="76"/>
      <c r="O173" s="76"/>
      <c r="P173" s="76"/>
    </row>
    <row r="174" customFormat="false" ht="15.75" hidden="false" customHeight="true" outlineLevel="0" collapsed="false">
      <c r="A174" s="74"/>
      <c r="B174" s="75"/>
      <c r="C174" s="76"/>
      <c r="D174" s="76"/>
      <c r="E174" s="76"/>
      <c r="F174" s="76"/>
      <c r="G174" s="76"/>
      <c r="H174" s="76"/>
      <c r="I174" s="76"/>
      <c r="J174" s="76"/>
      <c r="K174" s="76"/>
      <c r="L174" s="76"/>
      <c r="M174" s="76"/>
      <c r="N174" s="76"/>
      <c r="O174" s="76"/>
      <c r="P174" s="76"/>
    </row>
    <row r="175" customFormat="false" ht="15.75" hidden="false" customHeight="true" outlineLevel="0" collapsed="false">
      <c r="A175" s="74"/>
      <c r="B175" s="75"/>
      <c r="C175" s="76"/>
      <c r="D175" s="76"/>
      <c r="E175" s="76"/>
      <c r="F175" s="76"/>
      <c r="G175" s="76"/>
      <c r="H175" s="76"/>
      <c r="I175" s="76"/>
      <c r="J175" s="76"/>
      <c r="K175" s="76"/>
      <c r="L175" s="76"/>
      <c r="M175" s="76"/>
      <c r="N175" s="76"/>
      <c r="O175" s="76"/>
      <c r="P175" s="76"/>
    </row>
    <row r="176" customFormat="false" ht="15.75" hidden="false" customHeight="true" outlineLevel="0" collapsed="false">
      <c r="A176" s="74"/>
      <c r="B176" s="75"/>
      <c r="C176" s="76"/>
      <c r="D176" s="76"/>
      <c r="E176" s="76"/>
      <c r="F176" s="76"/>
      <c r="G176" s="76"/>
      <c r="H176" s="76"/>
      <c r="I176" s="76"/>
      <c r="J176" s="76"/>
      <c r="K176" s="76"/>
      <c r="L176" s="76"/>
      <c r="M176" s="76"/>
      <c r="N176" s="76"/>
      <c r="O176" s="76"/>
      <c r="P176" s="76"/>
    </row>
    <row r="177" customFormat="false" ht="15.75" hidden="false" customHeight="true" outlineLevel="0" collapsed="false">
      <c r="A177" s="74"/>
      <c r="B177" s="75"/>
      <c r="C177" s="76"/>
      <c r="D177" s="76"/>
      <c r="E177" s="76"/>
      <c r="F177" s="76"/>
      <c r="G177" s="76"/>
      <c r="H177" s="76"/>
      <c r="I177" s="76"/>
      <c r="J177" s="76"/>
      <c r="K177" s="76"/>
      <c r="L177" s="76"/>
      <c r="M177" s="76"/>
      <c r="N177" s="76"/>
      <c r="O177" s="76"/>
      <c r="P177" s="76"/>
    </row>
    <row r="178" customFormat="false" ht="15.75" hidden="false" customHeight="true" outlineLevel="0" collapsed="false">
      <c r="A178" s="74"/>
      <c r="B178" s="75"/>
      <c r="C178" s="76"/>
      <c r="D178" s="76"/>
      <c r="E178" s="76"/>
      <c r="F178" s="76"/>
      <c r="G178" s="76"/>
      <c r="H178" s="76"/>
      <c r="I178" s="76"/>
      <c r="J178" s="76"/>
      <c r="K178" s="76"/>
      <c r="L178" s="76"/>
      <c r="M178" s="76"/>
      <c r="N178" s="76"/>
      <c r="O178" s="76"/>
      <c r="P178" s="76"/>
    </row>
    <row r="179" customFormat="false" ht="15.75" hidden="false" customHeight="true" outlineLevel="0" collapsed="false">
      <c r="A179" s="74"/>
      <c r="B179" s="75"/>
      <c r="C179" s="76"/>
      <c r="D179" s="76"/>
      <c r="E179" s="76"/>
      <c r="F179" s="76"/>
      <c r="G179" s="76"/>
      <c r="H179" s="76"/>
      <c r="I179" s="76"/>
      <c r="J179" s="76"/>
      <c r="K179" s="76"/>
      <c r="L179" s="76"/>
      <c r="M179" s="76"/>
      <c r="N179" s="76"/>
      <c r="O179" s="76"/>
      <c r="P179" s="76"/>
    </row>
    <row r="180" customFormat="false" ht="15.75" hidden="false" customHeight="true" outlineLevel="0" collapsed="false">
      <c r="A180" s="74"/>
      <c r="B180" s="75"/>
      <c r="C180" s="76"/>
      <c r="D180" s="76"/>
      <c r="E180" s="76"/>
      <c r="F180" s="76"/>
      <c r="G180" s="76"/>
      <c r="H180" s="76"/>
      <c r="I180" s="76"/>
      <c r="J180" s="76"/>
      <c r="K180" s="76"/>
      <c r="L180" s="76"/>
      <c r="M180" s="76"/>
      <c r="N180" s="76"/>
      <c r="O180" s="76"/>
      <c r="P180" s="76"/>
    </row>
    <row r="181" customFormat="false" ht="15.75" hidden="false" customHeight="true" outlineLevel="0" collapsed="false">
      <c r="A181" s="74"/>
      <c r="B181" s="75"/>
      <c r="C181" s="76"/>
      <c r="D181" s="76"/>
      <c r="E181" s="76"/>
      <c r="F181" s="76"/>
      <c r="G181" s="76"/>
      <c r="H181" s="76"/>
      <c r="I181" s="76"/>
      <c r="J181" s="76"/>
      <c r="K181" s="76"/>
      <c r="L181" s="76"/>
      <c r="M181" s="76"/>
      <c r="N181" s="76"/>
      <c r="O181" s="76"/>
      <c r="P181" s="76"/>
    </row>
    <row r="182" customFormat="false" ht="15.75" hidden="false" customHeight="true" outlineLevel="0" collapsed="false">
      <c r="A182" s="74"/>
      <c r="B182" s="75"/>
      <c r="C182" s="76"/>
      <c r="D182" s="76"/>
      <c r="E182" s="76"/>
      <c r="F182" s="76"/>
      <c r="G182" s="76"/>
      <c r="H182" s="76"/>
      <c r="I182" s="76"/>
      <c r="J182" s="76"/>
      <c r="K182" s="76"/>
      <c r="L182" s="76"/>
      <c r="M182" s="76"/>
      <c r="N182" s="76"/>
      <c r="O182" s="76"/>
      <c r="P182" s="76"/>
    </row>
    <row r="183" customFormat="false" ht="15.75" hidden="false" customHeight="true" outlineLevel="0" collapsed="false">
      <c r="A183" s="74"/>
      <c r="B183" s="75"/>
      <c r="C183" s="76"/>
      <c r="D183" s="76"/>
      <c r="E183" s="76"/>
      <c r="F183" s="76"/>
      <c r="G183" s="76"/>
      <c r="H183" s="76"/>
      <c r="I183" s="76"/>
      <c r="J183" s="76"/>
      <c r="K183" s="76"/>
      <c r="L183" s="76"/>
      <c r="M183" s="76"/>
      <c r="N183" s="76"/>
      <c r="O183" s="76"/>
      <c r="P183" s="76"/>
    </row>
    <row r="184" customFormat="false" ht="15.75" hidden="false" customHeight="true" outlineLevel="0" collapsed="false">
      <c r="A184" s="74"/>
      <c r="B184" s="75"/>
      <c r="C184" s="76"/>
      <c r="D184" s="76"/>
      <c r="E184" s="76"/>
      <c r="F184" s="76"/>
      <c r="G184" s="76"/>
      <c r="H184" s="76"/>
      <c r="I184" s="76"/>
      <c r="J184" s="76"/>
      <c r="K184" s="76"/>
      <c r="L184" s="76"/>
      <c r="M184" s="76"/>
      <c r="N184" s="76"/>
      <c r="O184" s="76"/>
      <c r="P184" s="76"/>
    </row>
    <row r="185" customFormat="false" ht="15.75" hidden="false" customHeight="true" outlineLevel="0" collapsed="false">
      <c r="A185" s="74"/>
      <c r="B185" s="75"/>
      <c r="C185" s="76"/>
      <c r="D185" s="76"/>
      <c r="E185" s="76"/>
      <c r="F185" s="76"/>
      <c r="G185" s="76"/>
      <c r="H185" s="76"/>
      <c r="I185" s="76"/>
      <c r="J185" s="76"/>
      <c r="K185" s="76"/>
      <c r="L185" s="76"/>
      <c r="M185" s="76"/>
      <c r="N185" s="76"/>
      <c r="O185" s="76"/>
      <c r="P185" s="76"/>
    </row>
    <row r="186" customFormat="false" ht="15.75" hidden="false" customHeight="true" outlineLevel="0" collapsed="false">
      <c r="A186" s="74"/>
      <c r="B186" s="75"/>
      <c r="C186" s="76"/>
      <c r="D186" s="76"/>
      <c r="E186" s="76"/>
      <c r="F186" s="76"/>
      <c r="G186" s="76"/>
      <c r="H186" s="76"/>
      <c r="I186" s="76"/>
      <c r="J186" s="76"/>
      <c r="K186" s="76"/>
      <c r="L186" s="76"/>
      <c r="M186" s="76"/>
      <c r="N186" s="76"/>
      <c r="O186" s="76"/>
      <c r="P186" s="76"/>
    </row>
    <row r="187" customFormat="false" ht="15.75" hidden="false" customHeight="true" outlineLevel="0" collapsed="false">
      <c r="A187" s="74"/>
      <c r="B187" s="75"/>
      <c r="C187" s="76"/>
      <c r="D187" s="76"/>
      <c r="E187" s="76"/>
      <c r="F187" s="76"/>
      <c r="G187" s="76"/>
      <c r="H187" s="76"/>
      <c r="I187" s="76"/>
      <c r="J187" s="76"/>
      <c r="K187" s="76"/>
      <c r="L187" s="76"/>
      <c r="M187" s="76"/>
      <c r="N187" s="76"/>
      <c r="O187" s="76"/>
      <c r="P187" s="76"/>
    </row>
    <row r="188" customFormat="false" ht="15.75" hidden="false" customHeight="true" outlineLevel="0" collapsed="false">
      <c r="A188" s="74"/>
      <c r="B188" s="75"/>
      <c r="C188" s="76"/>
      <c r="D188" s="76"/>
      <c r="E188" s="76"/>
      <c r="F188" s="76"/>
      <c r="G188" s="76"/>
      <c r="H188" s="76"/>
      <c r="I188" s="76"/>
      <c r="J188" s="76"/>
      <c r="K188" s="76"/>
      <c r="L188" s="76"/>
      <c r="M188" s="76"/>
      <c r="N188" s="76"/>
      <c r="O188" s="76"/>
      <c r="P188" s="76"/>
    </row>
    <row r="189" customFormat="false" ht="15.75" hidden="false" customHeight="true" outlineLevel="0" collapsed="false">
      <c r="A189" s="74"/>
      <c r="B189" s="75"/>
      <c r="C189" s="76"/>
      <c r="D189" s="76"/>
      <c r="E189" s="76"/>
      <c r="F189" s="76"/>
      <c r="G189" s="76"/>
      <c r="H189" s="76"/>
      <c r="I189" s="76"/>
      <c r="J189" s="76"/>
      <c r="K189" s="76"/>
      <c r="L189" s="76"/>
      <c r="M189" s="76"/>
      <c r="N189" s="76"/>
      <c r="O189" s="76"/>
      <c r="P189" s="76"/>
    </row>
    <row r="190" customFormat="false" ht="15.75" hidden="false" customHeight="true" outlineLevel="0" collapsed="false">
      <c r="A190" s="74"/>
      <c r="B190" s="75"/>
      <c r="C190" s="76"/>
      <c r="D190" s="76"/>
      <c r="E190" s="76"/>
      <c r="F190" s="76"/>
      <c r="G190" s="76"/>
      <c r="H190" s="76"/>
      <c r="I190" s="76"/>
      <c r="J190" s="76"/>
      <c r="K190" s="76"/>
      <c r="L190" s="76"/>
      <c r="M190" s="76"/>
      <c r="N190" s="76"/>
      <c r="O190" s="76"/>
      <c r="P190" s="76"/>
    </row>
    <row r="191" customFormat="false" ht="15.75" hidden="false" customHeight="true" outlineLevel="0" collapsed="false">
      <c r="A191" s="74"/>
      <c r="B191" s="75"/>
      <c r="C191" s="76"/>
      <c r="D191" s="76"/>
      <c r="E191" s="76"/>
      <c r="F191" s="76"/>
      <c r="G191" s="76"/>
      <c r="H191" s="76"/>
      <c r="I191" s="76"/>
      <c r="J191" s="76"/>
      <c r="K191" s="76"/>
      <c r="L191" s="76"/>
      <c r="M191" s="76"/>
      <c r="N191" s="76"/>
      <c r="O191" s="76"/>
      <c r="P191" s="76"/>
    </row>
    <row r="192" customFormat="false" ht="15.75" hidden="false" customHeight="true" outlineLevel="0" collapsed="false">
      <c r="A192" s="74"/>
      <c r="B192" s="75"/>
      <c r="C192" s="76"/>
      <c r="D192" s="76"/>
      <c r="E192" s="76"/>
      <c r="F192" s="76"/>
      <c r="G192" s="76"/>
      <c r="H192" s="76"/>
      <c r="I192" s="76"/>
      <c r="J192" s="76"/>
      <c r="K192" s="76"/>
      <c r="L192" s="76"/>
      <c r="M192" s="76"/>
      <c r="N192" s="76"/>
      <c r="O192" s="76"/>
      <c r="P192" s="76"/>
    </row>
    <row r="193" customFormat="false" ht="15.75" hidden="false" customHeight="true" outlineLevel="0" collapsed="false">
      <c r="A193" s="74"/>
      <c r="B193" s="75"/>
      <c r="C193" s="76"/>
      <c r="D193" s="76"/>
      <c r="E193" s="76"/>
      <c r="F193" s="76"/>
      <c r="G193" s="76"/>
      <c r="H193" s="76"/>
      <c r="I193" s="76"/>
      <c r="J193" s="76"/>
      <c r="K193" s="76"/>
      <c r="L193" s="76"/>
      <c r="M193" s="76"/>
      <c r="N193" s="76"/>
      <c r="O193" s="76"/>
      <c r="P193" s="76"/>
    </row>
    <row r="194" customFormat="false" ht="15.75" hidden="false" customHeight="true" outlineLevel="0" collapsed="false">
      <c r="A194" s="74"/>
      <c r="B194" s="75"/>
      <c r="C194" s="76"/>
      <c r="D194" s="76"/>
      <c r="E194" s="76"/>
      <c r="F194" s="76"/>
      <c r="G194" s="76"/>
      <c r="H194" s="76"/>
      <c r="I194" s="76"/>
      <c r="J194" s="76"/>
      <c r="K194" s="76"/>
      <c r="L194" s="76"/>
      <c r="M194" s="76"/>
      <c r="N194" s="76"/>
      <c r="O194" s="76"/>
      <c r="P194" s="76"/>
    </row>
    <row r="195" customFormat="false" ht="15.75" hidden="false" customHeight="true" outlineLevel="0" collapsed="false">
      <c r="A195" s="74"/>
      <c r="B195" s="75"/>
      <c r="C195" s="76"/>
      <c r="D195" s="76"/>
      <c r="E195" s="76"/>
      <c r="F195" s="76"/>
      <c r="G195" s="76"/>
      <c r="H195" s="76"/>
      <c r="I195" s="76"/>
      <c r="J195" s="76"/>
      <c r="K195" s="76"/>
      <c r="L195" s="76"/>
      <c r="M195" s="76"/>
      <c r="N195" s="76"/>
      <c r="O195" s="76"/>
      <c r="P195" s="76"/>
    </row>
    <row r="196" customFormat="false" ht="15.75" hidden="false" customHeight="true" outlineLevel="0" collapsed="false">
      <c r="A196" s="74"/>
      <c r="B196" s="75"/>
      <c r="C196" s="76"/>
      <c r="D196" s="76"/>
      <c r="E196" s="76"/>
      <c r="F196" s="76"/>
      <c r="G196" s="76"/>
      <c r="H196" s="76"/>
      <c r="I196" s="76"/>
      <c r="J196" s="76"/>
      <c r="K196" s="76"/>
      <c r="L196" s="76"/>
      <c r="M196" s="76"/>
      <c r="N196" s="76"/>
      <c r="O196" s="76"/>
      <c r="P196" s="76"/>
    </row>
    <row r="197" customFormat="false" ht="15.75" hidden="false" customHeight="true" outlineLevel="0" collapsed="false">
      <c r="A197" s="74"/>
      <c r="B197" s="75"/>
      <c r="C197" s="76"/>
      <c r="D197" s="76"/>
      <c r="E197" s="76"/>
      <c r="F197" s="76"/>
      <c r="G197" s="76"/>
      <c r="H197" s="76"/>
      <c r="I197" s="76"/>
      <c r="J197" s="76"/>
      <c r="K197" s="76"/>
      <c r="L197" s="76"/>
      <c r="M197" s="76"/>
      <c r="N197" s="76"/>
      <c r="O197" s="76"/>
      <c r="P197" s="76"/>
    </row>
    <row r="198" customFormat="false" ht="15.75" hidden="false" customHeight="true" outlineLevel="0" collapsed="false">
      <c r="A198" s="74"/>
      <c r="B198" s="75"/>
      <c r="C198" s="76"/>
      <c r="D198" s="76"/>
      <c r="E198" s="76"/>
      <c r="F198" s="76"/>
      <c r="G198" s="76"/>
      <c r="H198" s="76"/>
      <c r="I198" s="76"/>
      <c r="J198" s="76"/>
      <c r="K198" s="76"/>
      <c r="L198" s="76"/>
      <c r="M198" s="76"/>
      <c r="N198" s="76"/>
      <c r="O198" s="76"/>
      <c r="P198" s="76"/>
    </row>
    <row r="199" customFormat="false" ht="15.75" hidden="false" customHeight="true" outlineLevel="0" collapsed="false">
      <c r="A199" s="74"/>
      <c r="B199" s="75"/>
      <c r="C199" s="76"/>
      <c r="D199" s="76"/>
      <c r="E199" s="76"/>
      <c r="F199" s="76"/>
      <c r="G199" s="76"/>
      <c r="H199" s="76"/>
      <c r="I199" s="76"/>
      <c r="J199" s="76"/>
      <c r="K199" s="76"/>
      <c r="L199" s="76"/>
      <c r="M199" s="76"/>
      <c r="N199" s="76"/>
      <c r="O199" s="76"/>
      <c r="P199" s="76"/>
    </row>
    <row r="200" customFormat="false" ht="15.75" hidden="false" customHeight="true" outlineLevel="0" collapsed="false">
      <c r="A200" s="74"/>
      <c r="B200" s="75"/>
      <c r="C200" s="76"/>
      <c r="D200" s="76"/>
      <c r="E200" s="76"/>
      <c r="F200" s="76"/>
      <c r="G200" s="76"/>
      <c r="H200" s="76"/>
      <c r="I200" s="76"/>
      <c r="J200" s="76"/>
      <c r="K200" s="76"/>
      <c r="L200" s="76"/>
      <c r="M200" s="76"/>
      <c r="N200" s="76"/>
      <c r="O200" s="76"/>
      <c r="P200" s="76"/>
    </row>
    <row r="201" customFormat="false" ht="15.75" hidden="false" customHeight="true" outlineLevel="0" collapsed="false">
      <c r="A201" s="74"/>
      <c r="B201" s="75"/>
      <c r="C201" s="76"/>
      <c r="D201" s="76"/>
      <c r="E201" s="76"/>
      <c r="F201" s="76"/>
      <c r="G201" s="76"/>
      <c r="H201" s="76"/>
      <c r="I201" s="76"/>
      <c r="J201" s="76"/>
      <c r="K201" s="76"/>
      <c r="L201" s="76"/>
      <c r="M201" s="76"/>
      <c r="N201" s="76"/>
      <c r="O201" s="76"/>
      <c r="P201" s="76"/>
    </row>
    <row r="202" customFormat="false" ht="15.75" hidden="false" customHeight="true" outlineLevel="0" collapsed="false">
      <c r="A202" s="74"/>
      <c r="B202" s="75"/>
      <c r="C202" s="76"/>
      <c r="D202" s="76"/>
      <c r="E202" s="76"/>
      <c r="F202" s="76"/>
      <c r="G202" s="76"/>
      <c r="H202" s="76"/>
      <c r="I202" s="76"/>
      <c r="J202" s="76"/>
      <c r="K202" s="76"/>
      <c r="L202" s="76"/>
      <c r="M202" s="76"/>
      <c r="N202" s="76"/>
      <c r="O202" s="76"/>
      <c r="P202" s="76"/>
    </row>
    <row r="203" customFormat="false" ht="15.75" hidden="false" customHeight="true" outlineLevel="0" collapsed="false">
      <c r="A203" s="74"/>
      <c r="B203" s="75"/>
      <c r="C203" s="76"/>
      <c r="D203" s="76"/>
      <c r="E203" s="76"/>
      <c r="F203" s="76"/>
      <c r="G203" s="76"/>
      <c r="H203" s="76"/>
      <c r="I203" s="76"/>
      <c r="J203" s="76"/>
      <c r="K203" s="76"/>
      <c r="L203" s="76"/>
      <c r="M203" s="76"/>
      <c r="N203" s="76"/>
      <c r="O203" s="76"/>
      <c r="P203" s="76"/>
    </row>
    <row r="204" customFormat="false" ht="15.75" hidden="false" customHeight="true" outlineLevel="0" collapsed="false">
      <c r="A204" s="74"/>
      <c r="B204" s="75"/>
      <c r="C204" s="76"/>
      <c r="D204" s="76"/>
      <c r="E204" s="76"/>
      <c r="F204" s="76"/>
      <c r="G204" s="76"/>
      <c r="H204" s="76"/>
      <c r="I204" s="76"/>
      <c r="J204" s="76"/>
      <c r="K204" s="76"/>
      <c r="L204" s="76"/>
      <c r="M204" s="76"/>
      <c r="N204" s="76"/>
      <c r="O204" s="76"/>
      <c r="P204" s="76"/>
    </row>
    <row r="205" customFormat="false" ht="15.75" hidden="false" customHeight="true" outlineLevel="0" collapsed="false">
      <c r="A205" s="74"/>
      <c r="B205" s="75"/>
      <c r="C205" s="76"/>
      <c r="D205" s="76"/>
      <c r="E205" s="76"/>
      <c r="F205" s="76"/>
      <c r="G205" s="76"/>
      <c r="H205" s="76"/>
      <c r="I205" s="76"/>
      <c r="J205" s="76"/>
      <c r="K205" s="76"/>
      <c r="L205" s="76"/>
      <c r="M205" s="76"/>
      <c r="N205" s="76"/>
      <c r="O205" s="76"/>
      <c r="P205" s="76"/>
    </row>
    <row r="206" customFormat="false" ht="15.75" hidden="false" customHeight="true" outlineLevel="0" collapsed="false">
      <c r="A206" s="74"/>
      <c r="B206" s="75"/>
      <c r="C206" s="76"/>
      <c r="D206" s="76"/>
      <c r="E206" s="76"/>
      <c r="F206" s="76"/>
      <c r="G206" s="76"/>
      <c r="H206" s="76"/>
      <c r="I206" s="76"/>
      <c r="J206" s="76"/>
      <c r="K206" s="76"/>
      <c r="L206" s="76"/>
      <c r="M206" s="76"/>
      <c r="N206" s="76"/>
      <c r="O206" s="76"/>
      <c r="P206" s="76"/>
    </row>
    <row r="207" customFormat="false" ht="15.75" hidden="false" customHeight="true" outlineLevel="0" collapsed="false">
      <c r="A207" s="74"/>
      <c r="B207" s="75"/>
      <c r="C207" s="76"/>
      <c r="D207" s="76"/>
      <c r="E207" s="76"/>
      <c r="F207" s="76"/>
      <c r="G207" s="76"/>
      <c r="H207" s="76"/>
      <c r="I207" s="76"/>
      <c r="J207" s="76"/>
      <c r="K207" s="76"/>
      <c r="L207" s="76"/>
      <c r="M207" s="76"/>
      <c r="N207" s="76"/>
      <c r="O207" s="76"/>
      <c r="P207" s="76"/>
    </row>
    <row r="208" customFormat="false" ht="15.75" hidden="false" customHeight="true" outlineLevel="0" collapsed="false">
      <c r="A208" s="74"/>
      <c r="B208" s="75"/>
      <c r="C208" s="76"/>
      <c r="D208" s="76"/>
      <c r="E208" s="76"/>
      <c r="F208" s="76"/>
      <c r="G208" s="76"/>
      <c r="H208" s="76"/>
      <c r="I208" s="76"/>
      <c r="J208" s="76"/>
      <c r="K208" s="76"/>
      <c r="L208" s="76"/>
      <c r="M208" s="76"/>
      <c r="N208" s="76"/>
      <c r="O208" s="76"/>
      <c r="P208" s="76"/>
    </row>
    <row r="209" customFormat="false" ht="15.75" hidden="false" customHeight="true" outlineLevel="0" collapsed="false">
      <c r="A209" s="74"/>
      <c r="B209" s="75"/>
      <c r="C209" s="76"/>
      <c r="D209" s="76"/>
      <c r="E209" s="76"/>
      <c r="F209" s="76"/>
      <c r="G209" s="76"/>
      <c r="H209" s="76"/>
      <c r="I209" s="76"/>
      <c r="J209" s="76"/>
      <c r="K209" s="76"/>
      <c r="L209" s="76"/>
      <c r="M209" s="76"/>
      <c r="N209" s="76"/>
      <c r="O209" s="76"/>
      <c r="P209" s="76"/>
    </row>
    <row r="210" customFormat="false" ht="15.75" hidden="false" customHeight="true" outlineLevel="0" collapsed="false">
      <c r="A210" s="74"/>
      <c r="B210" s="75"/>
      <c r="C210" s="76"/>
      <c r="D210" s="76"/>
      <c r="E210" s="76"/>
      <c r="F210" s="76"/>
      <c r="G210" s="76"/>
      <c r="H210" s="76"/>
      <c r="I210" s="76"/>
      <c r="J210" s="76"/>
      <c r="K210" s="76"/>
      <c r="L210" s="76"/>
      <c r="M210" s="76"/>
      <c r="N210" s="76"/>
      <c r="O210" s="76"/>
      <c r="P210" s="76"/>
    </row>
    <row r="211" customFormat="false" ht="15.75" hidden="false" customHeight="true" outlineLevel="0" collapsed="false">
      <c r="A211" s="74"/>
      <c r="B211" s="75"/>
      <c r="C211" s="76"/>
      <c r="D211" s="76"/>
      <c r="E211" s="76"/>
      <c r="F211" s="76"/>
      <c r="G211" s="76"/>
      <c r="H211" s="76"/>
      <c r="I211" s="76"/>
      <c r="J211" s="76"/>
      <c r="K211" s="76"/>
      <c r="L211" s="76"/>
      <c r="M211" s="76"/>
      <c r="N211" s="76"/>
      <c r="O211" s="76"/>
      <c r="P211" s="76"/>
    </row>
    <row r="212" customFormat="false" ht="15.75" hidden="false" customHeight="true" outlineLevel="0" collapsed="false">
      <c r="A212" s="74"/>
      <c r="B212" s="75"/>
      <c r="C212" s="76"/>
      <c r="D212" s="76"/>
      <c r="E212" s="76"/>
      <c r="F212" s="76"/>
      <c r="G212" s="76"/>
      <c r="H212" s="76"/>
      <c r="I212" s="76"/>
      <c r="J212" s="76"/>
      <c r="K212" s="76"/>
      <c r="L212" s="76"/>
      <c r="M212" s="76"/>
      <c r="N212" s="76"/>
      <c r="O212" s="76"/>
      <c r="P212" s="76"/>
    </row>
    <row r="213" customFormat="false" ht="15.75" hidden="false" customHeight="true" outlineLevel="0" collapsed="false">
      <c r="A213" s="74"/>
      <c r="B213" s="75"/>
      <c r="C213" s="76"/>
      <c r="D213" s="76"/>
      <c r="E213" s="76"/>
      <c r="F213" s="76"/>
      <c r="G213" s="76"/>
      <c r="H213" s="76"/>
      <c r="I213" s="76"/>
      <c r="J213" s="76"/>
      <c r="K213" s="76"/>
      <c r="L213" s="76"/>
      <c r="M213" s="76"/>
      <c r="N213" s="76"/>
      <c r="O213" s="76"/>
      <c r="P213" s="76"/>
    </row>
    <row r="214" customFormat="false" ht="15.75" hidden="false" customHeight="true" outlineLevel="0" collapsed="false">
      <c r="A214" s="74"/>
      <c r="B214" s="75"/>
      <c r="C214" s="76"/>
      <c r="D214" s="76"/>
      <c r="E214" s="76"/>
      <c r="F214" s="76"/>
      <c r="G214" s="76"/>
      <c r="H214" s="76"/>
      <c r="I214" s="76"/>
      <c r="J214" s="76"/>
      <c r="K214" s="76"/>
      <c r="L214" s="76"/>
      <c r="M214" s="76"/>
      <c r="N214" s="76"/>
      <c r="O214" s="76"/>
      <c r="P214" s="76"/>
    </row>
    <row r="215" customFormat="false" ht="15.75" hidden="false" customHeight="true" outlineLevel="0" collapsed="false">
      <c r="A215" s="74"/>
      <c r="B215" s="75"/>
      <c r="C215" s="76"/>
      <c r="D215" s="76"/>
      <c r="E215" s="76"/>
      <c r="F215" s="76"/>
      <c r="G215" s="76"/>
      <c r="H215" s="76"/>
      <c r="I215" s="76"/>
      <c r="J215" s="76"/>
      <c r="K215" s="76"/>
      <c r="L215" s="76"/>
      <c r="M215" s="76"/>
      <c r="N215" s="76"/>
      <c r="O215" s="76"/>
      <c r="P215" s="76"/>
    </row>
    <row r="216" customFormat="false" ht="15.75" hidden="false" customHeight="true" outlineLevel="0" collapsed="false">
      <c r="A216" s="74"/>
      <c r="B216" s="75"/>
      <c r="C216" s="76"/>
      <c r="D216" s="76"/>
      <c r="E216" s="76"/>
      <c r="F216" s="76"/>
      <c r="G216" s="76"/>
      <c r="H216" s="76"/>
      <c r="I216" s="76"/>
      <c r="J216" s="76"/>
      <c r="K216" s="76"/>
      <c r="L216" s="76"/>
      <c r="M216" s="76"/>
      <c r="N216" s="76"/>
      <c r="O216" s="76"/>
      <c r="P216" s="76"/>
    </row>
    <row r="217" customFormat="false" ht="15.75" hidden="false" customHeight="true" outlineLevel="0" collapsed="false">
      <c r="A217" s="74"/>
      <c r="B217" s="75"/>
      <c r="C217" s="76"/>
      <c r="D217" s="76"/>
      <c r="E217" s="76"/>
      <c r="F217" s="76"/>
      <c r="G217" s="76"/>
      <c r="H217" s="76"/>
      <c r="I217" s="76"/>
      <c r="J217" s="76"/>
      <c r="K217" s="76"/>
      <c r="L217" s="76"/>
      <c r="M217" s="76"/>
      <c r="N217" s="76"/>
      <c r="O217" s="76"/>
      <c r="P217" s="76"/>
    </row>
    <row r="218" customFormat="false" ht="15.75" hidden="false" customHeight="true" outlineLevel="0" collapsed="false">
      <c r="A218" s="74"/>
      <c r="B218" s="75"/>
      <c r="C218" s="76"/>
      <c r="D218" s="76"/>
      <c r="E218" s="76"/>
      <c r="F218" s="76"/>
      <c r="G218" s="76"/>
      <c r="H218" s="76"/>
      <c r="I218" s="76"/>
      <c r="J218" s="76"/>
      <c r="K218" s="76"/>
      <c r="L218" s="76"/>
      <c r="M218" s="76"/>
      <c r="N218" s="76"/>
      <c r="O218" s="76"/>
      <c r="P218" s="76"/>
    </row>
    <row r="219" customFormat="false" ht="15.75" hidden="false" customHeight="true" outlineLevel="0" collapsed="false">
      <c r="A219" s="74"/>
      <c r="B219" s="75"/>
      <c r="C219" s="76"/>
      <c r="D219" s="76"/>
      <c r="E219" s="76"/>
      <c r="F219" s="76"/>
      <c r="G219" s="76"/>
      <c r="H219" s="76"/>
      <c r="I219" s="76"/>
      <c r="J219" s="76"/>
      <c r="K219" s="76"/>
      <c r="L219" s="76"/>
      <c r="M219" s="76"/>
      <c r="N219" s="76"/>
      <c r="O219" s="76"/>
      <c r="P219" s="76"/>
    </row>
    <row r="220" customFormat="false" ht="15.75" hidden="false" customHeight="true" outlineLevel="0" collapsed="false">
      <c r="A220" s="74"/>
      <c r="B220" s="75"/>
      <c r="C220" s="76"/>
      <c r="D220" s="76"/>
      <c r="E220" s="76"/>
      <c r="F220" s="76"/>
      <c r="G220" s="76"/>
      <c r="H220" s="76"/>
      <c r="I220" s="76"/>
      <c r="J220" s="76"/>
      <c r="K220" s="76"/>
      <c r="L220" s="76"/>
      <c r="M220" s="76"/>
      <c r="N220" s="76"/>
      <c r="O220" s="76"/>
      <c r="P220" s="76"/>
    </row>
    <row r="221" customFormat="false" ht="15.75" hidden="false" customHeight="true" outlineLevel="0" collapsed="false">
      <c r="A221" s="74"/>
      <c r="B221" s="75"/>
      <c r="C221" s="76"/>
      <c r="D221" s="76"/>
      <c r="E221" s="76"/>
      <c r="F221" s="76"/>
      <c r="G221" s="76"/>
      <c r="H221" s="76"/>
      <c r="I221" s="76"/>
      <c r="J221" s="76"/>
      <c r="K221" s="76"/>
      <c r="L221" s="76"/>
      <c r="M221" s="76"/>
      <c r="N221" s="76"/>
      <c r="O221" s="76"/>
      <c r="P221" s="76"/>
    </row>
    <row r="222" customFormat="false" ht="15.75" hidden="false" customHeight="true" outlineLevel="0" collapsed="false">
      <c r="A222" s="74"/>
      <c r="B222" s="75"/>
      <c r="C222" s="76"/>
      <c r="D222" s="76"/>
      <c r="E222" s="76"/>
      <c r="F222" s="76"/>
      <c r="G222" s="76"/>
      <c r="H222" s="76"/>
      <c r="I222" s="76"/>
      <c r="J222" s="76"/>
      <c r="K222" s="76"/>
      <c r="L222" s="76"/>
      <c r="M222" s="76"/>
      <c r="N222" s="76"/>
      <c r="O222" s="76"/>
      <c r="P222" s="76"/>
    </row>
    <row r="223" customFormat="false" ht="15.75" hidden="false" customHeight="true" outlineLevel="0" collapsed="false">
      <c r="A223" s="74"/>
      <c r="B223" s="75"/>
      <c r="C223" s="76"/>
      <c r="D223" s="76"/>
      <c r="E223" s="76"/>
      <c r="F223" s="76"/>
      <c r="G223" s="76"/>
      <c r="H223" s="76"/>
      <c r="I223" s="76"/>
      <c r="J223" s="76"/>
      <c r="K223" s="76"/>
      <c r="L223" s="76"/>
      <c r="M223" s="76"/>
      <c r="N223" s="76"/>
      <c r="O223" s="76"/>
      <c r="P223" s="76"/>
    </row>
    <row r="224" customFormat="false" ht="15.75" hidden="false" customHeight="true" outlineLevel="0" collapsed="false">
      <c r="A224" s="74"/>
      <c r="B224" s="75"/>
      <c r="C224" s="76"/>
      <c r="D224" s="76"/>
      <c r="E224" s="76"/>
      <c r="F224" s="76"/>
      <c r="G224" s="76"/>
      <c r="H224" s="76"/>
      <c r="I224" s="76"/>
      <c r="J224" s="76"/>
      <c r="K224" s="76"/>
      <c r="L224" s="76"/>
      <c r="M224" s="76"/>
      <c r="N224" s="76"/>
      <c r="O224" s="76"/>
      <c r="P224" s="76"/>
    </row>
    <row r="225" customFormat="false" ht="15.75" hidden="false" customHeight="true" outlineLevel="0" collapsed="false">
      <c r="A225" s="74"/>
      <c r="B225" s="75"/>
      <c r="C225" s="76"/>
      <c r="D225" s="76"/>
      <c r="E225" s="76"/>
      <c r="F225" s="76"/>
      <c r="G225" s="76"/>
      <c r="H225" s="76"/>
      <c r="I225" s="76"/>
      <c r="J225" s="76"/>
      <c r="K225" s="76"/>
      <c r="L225" s="76"/>
      <c r="M225" s="76"/>
      <c r="N225" s="76"/>
      <c r="O225" s="76"/>
      <c r="P225" s="76"/>
    </row>
    <row r="226" customFormat="false" ht="15.75" hidden="false" customHeight="true" outlineLevel="0" collapsed="false">
      <c r="A226" s="74"/>
      <c r="B226" s="75"/>
      <c r="C226" s="76"/>
      <c r="D226" s="76"/>
      <c r="E226" s="76"/>
      <c r="F226" s="76"/>
      <c r="G226" s="76"/>
      <c r="H226" s="76"/>
      <c r="I226" s="76"/>
      <c r="J226" s="76"/>
      <c r="K226" s="76"/>
      <c r="L226" s="76"/>
      <c r="M226" s="76"/>
      <c r="N226" s="76"/>
      <c r="O226" s="76"/>
      <c r="P226" s="76"/>
    </row>
    <row r="227" customFormat="false" ht="15.75" hidden="false" customHeight="true" outlineLevel="0" collapsed="false">
      <c r="A227" s="74"/>
      <c r="B227" s="75"/>
      <c r="C227" s="76"/>
      <c r="D227" s="76"/>
      <c r="E227" s="76"/>
      <c r="F227" s="76"/>
      <c r="G227" s="76"/>
      <c r="H227" s="76"/>
      <c r="I227" s="76"/>
      <c r="J227" s="76"/>
      <c r="K227" s="76"/>
      <c r="L227" s="76"/>
      <c r="M227" s="76"/>
      <c r="N227" s="76"/>
      <c r="O227" s="76"/>
      <c r="P227" s="76"/>
    </row>
    <row r="228" customFormat="false" ht="15.75" hidden="false" customHeight="true" outlineLevel="0" collapsed="false">
      <c r="A228" s="74"/>
      <c r="B228" s="75"/>
      <c r="C228" s="76"/>
      <c r="D228" s="76"/>
      <c r="E228" s="76"/>
      <c r="F228" s="76"/>
      <c r="G228" s="76"/>
      <c r="H228" s="76"/>
      <c r="I228" s="76"/>
      <c r="J228" s="76"/>
      <c r="K228" s="76"/>
      <c r="L228" s="76"/>
      <c r="M228" s="76"/>
      <c r="N228" s="76"/>
      <c r="O228" s="76"/>
      <c r="P228" s="76"/>
    </row>
    <row r="229" customFormat="false" ht="15.75" hidden="false" customHeight="true" outlineLevel="0" collapsed="false">
      <c r="A229" s="74"/>
      <c r="B229" s="75"/>
      <c r="C229" s="76"/>
      <c r="D229" s="76"/>
      <c r="E229" s="76"/>
      <c r="F229" s="76"/>
      <c r="G229" s="76"/>
      <c r="H229" s="76"/>
      <c r="I229" s="76"/>
      <c r="J229" s="76"/>
      <c r="K229" s="76"/>
      <c r="L229" s="76"/>
      <c r="M229" s="76"/>
      <c r="N229" s="76"/>
      <c r="O229" s="76"/>
      <c r="P229" s="76"/>
    </row>
    <row r="230" customFormat="false" ht="15.75" hidden="false" customHeight="true" outlineLevel="0" collapsed="false">
      <c r="A230" s="74"/>
      <c r="B230" s="75"/>
      <c r="C230" s="76"/>
      <c r="D230" s="76"/>
      <c r="E230" s="76"/>
      <c r="F230" s="76"/>
      <c r="G230" s="76"/>
      <c r="H230" s="76"/>
      <c r="I230" s="76"/>
      <c r="J230" s="76"/>
      <c r="K230" s="76"/>
      <c r="L230" s="76"/>
      <c r="M230" s="76"/>
      <c r="N230" s="76"/>
      <c r="O230" s="76"/>
      <c r="P230" s="76"/>
    </row>
    <row r="231" customFormat="false" ht="15.75" hidden="false" customHeight="true" outlineLevel="0" collapsed="false">
      <c r="A231" s="74"/>
      <c r="B231" s="75"/>
      <c r="C231" s="76"/>
      <c r="D231" s="76"/>
      <c r="E231" s="76"/>
      <c r="F231" s="76"/>
      <c r="G231" s="76"/>
      <c r="H231" s="76"/>
      <c r="I231" s="76"/>
      <c r="J231" s="76"/>
      <c r="K231" s="76"/>
      <c r="L231" s="76"/>
      <c r="M231" s="76"/>
      <c r="N231" s="76"/>
      <c r="O231" s="76"/>
      <c r="P231" s="76"/>
    </row>
    <row r="232" customFormat="false" ht="15.75" hidden="false" customHeight="true" outlineLevel="0" collapsed="false">
      <c r="A232" s="74"/>
      <c r="B232" s="75"/>
      <c r="C232" s="76"/>
      <c r="D232" s="76"/>
      <c r="E232" s="76"/>
      <c r="F232" s="76"/>
      <c r="G232" s="76"/>
      <c r="H232" s="76"/>
      <c r="I232" s="76"/>
      <c r="J232" s="76"/>
      <c r="K232" s="76"/>
      <c r="L232" s="76"/>
      <c r="M232" s="76"/>
      <c r="N232" s="76"/>
      <c r="O232" s="76"/>
      <c r="P232" s="76"/>
    </row>
    <row r="233" customFormat="false" ht="15.75" hidden="false" customHeight="true" outlineLevel="0" collapsed="false">
      <c r="A233" s="74"/>
      <c r="B233" s="75"/>
      <c r="C233" s="76"/>
      <c r="D233" s="76"/>
      <c r="E233" s="76"/>
      <c r="F233" s="76"/>
      <c r="G233" s="76"/>
      <c r="H233" s="76"/>
      <c r="I233" s="76"/>
      <c r="J233" s="76"/>
      <c r="K233" s="76"/>
      <c r="L233" s="76"/>
      <c r="M233" s="76"/>
      <c r="N233" s="76"/>
      <c r="O233" s="76"/>
      <c r="P233" s="76"/>
    </row>
    <row r="234" customFormat="false" ht="15.75" hidden="false" customHeight="true" outlineLevel="0" collapsed="false">
      <c r="A234" s="74"/>
      <c r="B234" s="75"/>
      <c r="C234" s="76"/>
      <c r="D234" s="76"/>
      <c r="E234" s="76"/>
      <c r="F234" s="76"/>
      <c r="G234" s="76"/>
      <c r="H234" s="76"/>
      <c r="I234" s="76"/>
      <c r="J234" s="76"/>
      <c r="K234" s="76"/>
      <c r="L234" s="76"/>
      <c r="M234" s="76"/>
      <c r="N234" s="76"/>
      <c r="O234" s="76"/>
      <c r="P234" s="76"/>
    </row>
    <row r="235" customFormat="false" ht="15.75" hidden="false" customHeight="true" outlineLevel="0" collapsed="false">
      <c r="A235" s="74"/>
      <c r="B235" s="75"/>
      <c r="C235" s="76"/>
      <c r="D235" s="76"/>
      <c r="E235" s="76"/>
      <c r="F235" s="76"/>
      <c r="G235" s="76"/>
      <c r="H235" s="76"/>
      <c r="I235" s="76"/>
      <c r="J235" s="76"/>
      <c r="K235" s="76"/>
      <c r="L235" s="76"/>
      <c r="M235" s="76"/>
      <c r="N235" s="76"/>
      <c r="O235" s="76"/>
      <c r="P235" s="76"/>
    </row>
    <row r="236" customFormat="false" ht="15.75" hidden="false" customHeight="true" outlineLevel="0" collapsed="false">
      <c r="A236" s="74"/>
      <c r="B236" s="75"/>
      <c r="C236" s="76"/>
      <c r="D236" s="76"/>
      <c r="E236" s="76"/>
      <c r="F236" s="76"/>
      <c r="G236" s="76"/>
      <c r="H236" s="76"/>
      <c r="I236" s="76"/>
      <c r="J236" s="76"/>
      <c r="K236" s="76"/>
      <c r="L236" s="76"/>
      <c r="M236" s="76"/>
      <c r="N236" s="76"/>
      <c r="O236" s="76"/>
      <c r="P236" s="76"/>
    </row>
    <row r="237" customFormat="false" ht="15.75" hidden="false" customHeight="true" outlineLevel="0" collapsed="false">
      <c r="A237" s="74"/>
      <c r="B237" s="75"/>
      <c r="C237" s="76"/>
      <c r="D237" s="76"/>
      <c r="E237" s="76"/>
      <c r="F237" s="76"/>
      <c r="G237" s="76"/>
      <c r="H237" s="76"/>
      <c r="I237" s="76"/>
      <c r="J237" s="76"/>
      <c r="K237" s="76"/>
      <c r="L237" s="76"/>
      <c r="M237" s="76"/>
      <c r="N237" s="76"/>
      <c r="O237" s="76"/>
      <c r="P237" s="76"/>
    </row>
    <row r="238" customFormat="false" ht="15.75" hidden="false" customHeight="true" outlineLevel="0" collapsed="false">
      <c r="A238" s="74"/>
      <c r="B238" s="75"/>
      <c r="C238" s="76"/>
      <c r="D238" s="76"/>
      <c r="E238" s="76"/>
      <c r="F238" s="76"/>
      <c r="G238" s="76"/>
      <c r="H238" s="76"/>
      <c r="I238" s="76"/>
      <c r="J238" s="76"/>
      <c r="K238" s="76"/>
      <c r="L238" s="76"/>
      <c r="M238" s="76"/>
      <c r="N238" s="76"/>
      <c r="O238" s="76"/>
      <c r="P238" s="76"/>
    </row>
    <row r="239" customFormat="false" ht="15.75" hidden="false" customHeight="true" outlineLevel="0" collapsed="false">
      <c r="A239" s="74"/>
      <c r="B239" s="75"/>
      <c r="C239" s="76"/>
      <c r="D239" s="76"/>
      <c r="E239" s="76"/>
      <c r="F239" s="76"/>
      <c r="G239" s="76"/>
      <c r="H239" s="76"/>
      <c r="I239" s="76"/>
      <c r="J239" s="76"/>
      <c r="K239" s="76"/>
      <c r="L239" s="76"/>
      <c r="M239" s="76"/>
      <c r="N239" s="76"/>
      <c r="O239" s="76"/>
      <c r="P239" s="76"/>
    </row>
    <row r="240" customFormat="false" ht="15.75" hidden="false" customHeight="true" outlineLevel="0" collapsed="false">
      <c r="A240" s="74"/>
      <c r="B240" s="75"/>
      <c r="C240" s="76"/>
      <c r="D240" s="76"/>
      <c r="E240" s="76"/>
      <c r="F240" s="76"/>
      <c r="G240" s="76"/>
      <c r="H240" s="76"/>
      <c r="I240" s="76"/>
      <c r="J240" s="76"/>
      <c r="K240" s="76"/>
      <c r="L240" s="76"/>
      <c r="M240" s="76"/>
      <c r="N240" s="76"/>
      <c r="O240" s="76"/>
      <c r="P240" s="76"/>
    </row>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1" r:id="rId1" display="Тумба под ТВ Ацтека Azteca RTV2D2S/4/15"/>
    <hyperlink ref="C1" r:id="rId2" display="Комод Ацтека Azteca KOM4S/8/11"/>
    <hyperlink ref="D1" r:id="rId3" display="Комод Индиана Indiana (сосна канйон) JKOM_4s/80"/>
    <hyperlink ref="E1" r:id="rId4" display="Стол письменный Индиана Indiana (сосна канйон) JBIU_2d2s_140"/>
    <hyperlink ref="K1" r:id="rId5" display="Аляска Alaska гостиная"/>
    <hyperlink ref="A3" r:id="rId6" display="BRWmania.com.ua "/>
    <hyperlink ref="J3" r:id="rId7" display="https://brwmania.com.ua/gostinaja/modulnye-gostinye/sistema_nepo/gerbor-gerbor-prihozhaya-nepo-nepo-ppk-dub-sonoma/"/>
    <hyperlink ref="L3" r:id="rId8" display="https://brwmania.com.ua/gostinaja/komplekty-gostinyh/stinka-kvatro-venge-magia/"/>
    <hyperlink ref="M3" r:id="rId9" display="https://brwmania.com.ua/gostinaja/modulnye-gostinye/sistema-vusher-vusher/010-vusher-komod-kom-1w2d2s/"/>
    <hyperlink ref="O3" r:id="rId10" display="https://brwmania.com.ua/gostinaja/modulnye-gostinye/sistema-alisa-alisa-gerbor/gerbor-gerbor-tumba-pod-televizor-alisa-rtv2s2k/"/>
    <hyperlink ref="A4" r:id="rId11" display="http://redlight.com.ua/"/>
    <hyperlink ref="A5" r:id="rId12" display="https://mebli-bristol.com.ua/"/>
    <hyperlink ref="O5" r:id="rId13" display="https://mebli-bristol.com.ua/alisa-tumba-rtv-2s2k-gerbor.html"/>
    <hyperlink ref="A6" r:id="rId14" display="http://gerbor.kiev.ua/"/>
    <hyperlink ref="O6" r:id="rId15" display="https://gerbor.kiev.ua/mebelnye-sistemy/mebel-alisa-gerbor/alisa-tumba-tv-rtv2s2k-gerbor/"/>
    <hyperlink ref="A7" r:id="rId16" display="http://www.brwland.com.ua/"/>
    <hyperlink ref="O7" r:id="rId17" display="https://brwland.com.ua/product/alisa-tumba-tv-rtv2s2k-gerbor/"/>
    <hyperlink ref="A8" r:id="rId18" display="http://gerbor.dp.ua/"/>
    <hyperlink ref="A9" r:id="rId19" display="https://www.dybok.com.ua/"/>
    <hyperlink ref="C9" r:id="rId20" display="https://www.dybok.com.ua/ru/product/detail/35870"/>
    <hyperlink ref="D9" r:id="rId21" display="https://www.dybok.com.ua/ru/product/detail/55516"/>
    <hyperlink ref="E9" r:id="rId22" display="https://www.dybok.com.ua/ru/product/detail/4291"/>
    <hyperlink ref="F9" r:id="rId23" display="https://www.dybok.com.ua/ru/product/detail/9798"/>
    <hyperlink ref="G9" r:id="rId24" display="https://www.dybok.com.ua/ru/product/detail/35840"/>
    <hyperlink ref="H9" r:id="rId25" display="https://www.dybok.com.ua/ru/product/detail/261"/>
    <hyperlink ref="J9" r:id="rId26" display="https://www.dybok.com.ua/ru/product/detail/18085"/>
    <hyperlink ref="K9" r:id="rId27" display="https://www.dybok.com.ua/ru/product/detail/50410"/>
    <hyperlink ref="O9" r:id="rId28" display="https://www.dybok.com.ua/ua/product/detail/80992"/>
    <hyperlink ref="A10" r:id="rId29" display="https://vashamebel.in.ua/"/>
    <hyperlink ref="I10" r:id="rId30" display="0 грн"/>
    <hyperlink ref="A11" r:id="rId31" display="http://mebel-mebel.com.ua/"/>
    <hyperlink ref="K11" r:id="rId32" display="https://mebel-mebel.com.ua/eshop/dom-stenki-dlia-gostinoi/gostinaya_alyaska-id50834.html"/>
    <hyperlink ref="A12" r:id="rId33" display="http://abcmebli.com.ua"/>
    <hyperlink ref="A13" r:id="rId34" display="https://gerbor.mebelok.com/"/>
    <hyperlink ref="O13" r:id="rId35" display="https://www.mebelok.com/tumba-tv-rtv2s2k-alisa/"/>
    <hyperlink ref="A14" r:id="rId36" display="http://maxmebel.com.ua/"/>
    <hyperlink ref="A15" r:id="rId37" display="https://moyamebel.com.ua/ua"/>
    <hyperlink ref="A16" r:id="rId38" display="https://mebel-soyuz.com.ua/"/>
    <hyperlink ref="O16" r:id="rId39" display="https://mebel-soyuz.com.ua/timba-RTV2S2K-alisa-gerbor.html"/>
    <hyperlink ref="A17" r:id="rId40" display="https://sofino.ua/"/>
    <hyperlink ref="A18" r:id="rId41" display="https://www.brw-kiev.com.ua/"/>
    <hyperlink ref="A19" r:id="rId42" display="https://brw.kiev.ua/"/>
    <hyperlink ref="O19" r:id="rId43" display="https://brw.kiev.ua/mebel-gerbor/alisa/tumba-tv-rtv2s2k-alisa-gerbor/"/>
    <hyperlink ref="A20" r:id="rId44" display="http://brw.com.ua/"/>
    <hyperlink ref="A21" r:id="rId45" display="https://mebelstyle.net/"/>
    <hyperlink ref="A22" r:id="rId46" display="https://lvivmebli.com/"/>
    <hyperlink ref="A23" r:id="rId47" display="http://centrmebliv.com.ua/"/>
    <hyperlink ref="A24" r:id="rId48" display="https://letromebel.com.ua/"/>
    <hyperlink ref="A25" r:id="rId49" display="https://shurup.net.ua/"/>
    <hyperlink ref="A26" r:id="rId50" display="https://www.taburetka.ua"/>
    <hyperlink ref="A27" r:id="rId51" display="http://www.maxidom.com.ua/"/>
    <hyperlink ref="A28" r:id="rId52" display="https://mebel-online.com.ua"/>
    <hyperlink ref="A29" r:id="rId53" display="https://mebelnuy.com.ua/"/>
    <hyperlink ref="A30" r:id="rId54" display="https://amado.com.ua"/>
    <hyperlink ref="B36" r:id="rId55" display="https://prom.ua/p1167879150-tumba-pod-rtv.html?"/>
    <hyperlink ref="C36" r:id="rId56" display="https://prom.ua/p983011265-komod-kom-811.html?"/>
    <hyperlink ref="D36" r:id="rId57" display="https://prom.ua/p544656153-komod-jkom-4s80.html?"/>
    <hyperlink ref="E36" r:id="rId58" display="https://prom.ua/p781599812-indiana-kanon-stol.html?"/>
    <hyperlink ref="F36" r:id="rId59" display="https://prom.ua/p54713987-komod-kom-4s90.html?"/>
    <hyperlink ref="G36" r:id="rId60" display="https://prom.ua/p544657658-shkaf-platyanoj-szf3d2s.html?"/>
    <hyperlink ref="H36" r:id="rId61" display="https://prom.ua/p46283355-komod-sonata-sonata.html?"/>
    <hyperlink ref="I36" r:id="rId62" display="https://prom.ua/p54675546-stol-pismennyj-biu.html?"/>
    <hyperlink ref="J36" r:id="rId63" display="https://prom.ua/p239247927-prihozhaya-ppk-nepo.html?"/>
    <hyperlink ref="K36" r:id="rId64" display="https://prom.ua/p542591704-gostinaya-alyaska-alaska.html?&amp;primelead=MC43NA"/>
    <hyperlink ref="L36" r:id="rId65" display="https://prom.ua/p24569524-gostinaya-kvatro-gerbor.html?"/>
    <hyperlink ref="M36" r:id="rId66" display="https://prom.ua/p553476998-bufet-kom1w2d2s915-gerbor.html?"/>
    <hyperlink ref="N36" r:id="rId67" display="https://prom.ua/p1248775724-komod-brv-german.html?"/>
    <hyperlink ref="O36" r:id="rId68" display="https://prom.ua/p1274217210-tumba-rtv2s2k-alisa.html?"/>
    <hyperlink ref="B37" r:id="rId69" display="https://prom.ua/p181257399-tumba-pod-rtv.html?"/>
    <hyperlink ref="C37" r:id="rId70" display="https://prom.ua/p1280431425-komod-kom4s811-atsteka.html?"/>
    <hyperlink ref="D37" r:id="rId71" display="https://prom.ua/p781599816-indiana-kanon-komod.html?"/>
    <hyperlink ref="E37" r:id="rId72" display="https://prom.ua/p1046920683-stol-pismennyj-indiana.html?"/>
    <hyperlink ref="F37" r:id="rId73" display="https://prom.ua/p553477017-dzhuli-komod-kom4s90.html?"/>
    <hyperlink ref="G37" r:id="rId74" display="https://prom.ua/p664294628-shkaf-szf-3d2s.html?"/>
    <hyperlink ref="H37" r:id="rId75" display="https://prom.ua/p1211287637-komod-gerbor-sonata.html?"/>
    <hyperlink ref="I37" r:id="rId76" display="https://prom.ua/p360359972-stol-pismennyj-biu.html"/>
    <hyperlink ref="J37" r:id="rId77" display="https://prom.ua/p542943976-prihozhaya-ppk-nepo.html?"/>
    <hyperlink ref="L37" r:id="rId78" display="https://prom.ua/p1248753565-gostinaya-gerbor-kvatro.html?"/>
    <hyperlink ref="M37" r:id="rId79" display="https://prom.ua/p106094960-komod-vusher-kom.html?"/>
    <hyperlink ref="N37" r:id="rId80" display="https://prom.ua/p777526967-german-komod-kom3s912.html?"/>
    <hyperlink ref="O37" r:id="rId81" display="https://prom.ua/p1334713993-tumba-pod-rtv2s2k.html?"/>
    <hyperlink ref="B38" r:id="rId82" display="https://prom.ua/p886021256-tumba-pod-atsteka.html?"/>
    <hyperlink ref="C38" r:id="rId83" display="https://prom.ua/p1125567115-komod-azteca-kom4s811.html?"/>
    <hyperlink ref="D38" r:id="rId84" display="https://prom.ua/p1046925343-komod-indiana-jkom4s80.html?"/>
    <hyperlink ref="E38" r:id="rId85" display="https://prom.ua/p544656149-stol-pismennyj-jbiu.html?"/>
    <hyperlink ref="F38" r:id="rId86" display="https://prom.ua/p1248752651-komod-brv-dzhuli.html?"/>
    <hyperlink ref="G38" r:id="rId87" display="https://prom.ua/p644944451-porto-shkaf-szf3d2s.html?"/>
    <hyperlink ref="H38" r:id="rId88" display="https://prom.ua/p1288425504-komod-gerbor-sonata.html?"/>
    <hyperlink ref="J38" r:id="rId89" display="https://prom.ua/p553476454-nepo-prihozhaya-ppk.html?"/>
    <hyperlink ref="L38" r:id="rId90" display="https://prom.ua/p12120301-gostinaya-kvatro-venge.html"/>
    <hyperlink ref="M38" r:id="rId91" display="https://prom.ua/p83295231-komod-kom-1w2d2s.html"/>
    <hyperlink ref="N38" r:id="rId92" display="https://prom.ua/p847003898-german-komod-kom3s912.html?"/>
    <hyperlink ref="O38" r:id="rId93" display="https://prom.ua/p1248803640-tumba-gerbor-alisa.html?"/>
    <hyperlink ref="B39" r:id="rId94" display="https://prom.ua/p1214419043-tumba-pod-atsteka.html?"/>
    <hyperlink ref="C39" r:id="rId95" display="https://prom.ua/p1215683017-komod-atsteka-kom4s811.html?"/>
    <hyperlink ref="D39" r:id="rId96" display="https://prom.ua/p1183266470-komod-jkom-indiana.html"/>
    <hyperlink ref="E39" r:id="rId97" display="https://prom.ua/p1183292769-stol-pismennyj-jbiu.html"/>
    <hyperlink ref="F39" r:id="rId98" display="https://prom.ua/p1045568873-komod-dzhuli-kom4s90.html?"/>
    <hyperlink ref="G39" r:id="rId99" display="https://prom.ua/p1037803293-shkaf-platyanoj-szf.html"/>
    <hyperlink ref="H39" r:id="rId100" display="https://prom.ua/p1334931386-komod-gerbor-sonata.html?"/>
    <hyperlink ref="J39" r:id="rId101" display="https://prom.ua/p223321231-prihozhaya-ppk-nepo.html?"/>
    <hyperlink ref="L39" r:id="rId102" display="https://prom.ua/p18612661-gostinaya-kvatro.html"/>
    <hyperlink ref="M39" r:id="rId103" display="https://prom.ua/p1209395741-komod-vusher-kom1w2d2s.html"/>
    <hyperlink ref="N39" r:id="rId104" display="https://prom.ua/p1045115919-komod-german-kom3s912.html?"/>
    <hyperlink ref="O39" r:id="rId105" display="https://prom.ua/p1248803641-tumba-gerbor-alisa.html?"/>
    <hyperlink ref="B40" r:id="rId106" display="https://prom.ua/p1325973811-tumba-brv-atsteka.html?&amp;primelead=MC43OA"/>
    <hyperlink ref="C40" r:id="rId107" display="https://prom.ua/p1248752621-komod-brv-atsteka.html?"/>
    <hyperlink ref="E40" r:id="rId108" display="https://prom.ua/p372189619-stol-pismennyj-jbiu2d2s140.html"/>
    <hyperlink ref="F40" r:id="rId109" display="https://prom.ua/p1209396495-komod-kom4s90-dzhuli.html"/>
    <hyperlink ref="G40" r:id="rId110" display="https://prom.ua/p663109577-shkaf-platyanoj-szf3d2s.html"/>
    <hyperlink ref="H40" r:id="rId111" display="https://prom.ua/p553479263-komod-gerbor-sonata.html?"/>
    <hyperlink ref="J40" r:id="rId112" display="https://prom.ua/p890543855-prihozhaya-ppk-nepo.html?"/>
    <hyperlink ref="L40" r:id="rId113" display="https://prom.ua/p512224979-gostinaya-kvatro.html"/>
    <hyperlink ref="N40" r:id="rId114" display="https://prom.ua/p1206351035-komod-german-kom3s912.html?"/>
    <hyperlink ref="O40" r:id="rId115" display="https://prom.ua/p1220143520-tumba-pod-televizor.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LibreOffice/7.1.5.2$Windows_X86_64 LibreOffice_project/85f04e9f809797b8199d13c421bd8a2b025d52b5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uk-UA</dc:language>
  <cp:lastModifiedBy/>
  <dcterms:modified xsi:type="dcterms:W3CDTF">2021-08-04T12:12:50Z</dcterms:modified>
  <cp:revision>1</cp:revision>
  <dc:subject/>
  <dc:title/>
</cp:coreProperties>
</file>