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2255" windowHeight="1224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23" i="1"/>
  <c r="K22" i="1"/>
  <c r="K21" i="1"/>
  <c r="K122" i="1" l="1"/>
  <c r="K121" i="1"/>
  <c r="L120" i="1"/>
  <c r="I120" i="1"/>
  <c r="K120" i="1"/>
  <c r="K119" i="1"/>
  <c r="K118" i="1"/>
  <c r="K117" i="1"/>
  <c r="K115" i="1"/>
  <c r="O114" i="1"/>
  <c r="L106" i="1"/>
  <c r="K100" i="1"/>
  <c r="K99" i="1"/>
  <c r="K98" i="1"/>
  <c r="K97" i="1"/>
  <c r="K96" i="1"/>
  <c r="K95" i="1" l="1"/>
  <c r="K93" i="1"/>
  <c r="K94" i="1"/>
  <c r="L92" i="1"/>
  <c r="L91" i="1"/>
  <c r="K90" i="1"/>
  <c r="K89" i="1"/>
  <c r="N21" i="1"/>
  <c r="K91" i="1"/>
  <c r="I92" i="1" s="1"/>
  <c r="K88" i="1"/>
  <c r="I37" i="1"/>
  <c r="K60" i="1"/>
  <c r="K59" i="1"/>
  <c r="K58" i="1"/>
  <c r="K92" i="1" l="1"/>
  <c r="N24" i="1"/>
  <c r="K54" i="1"/>
  <c r="K57" i="1" s="1"/>
  <c r="P21" i="1" l="1"/>
  <c r="K52" i="1"/>
  <c r="K53" i="1" s="1"/>
  <c r="K55" i="1" s="1"/>
  <c r="K56" i="1" s="1"/>
  <c r="L56" i="1" s="1"/>
  <c r="K61" i="1" l="1"/>
  <c r="K64" i="1"/>
  <c r="N22" i="1"/>
  <c r="N23" i="1" s="1"/>
  <c r="N25" i="1" s="1"/>
</calcChain>
</file>

<file path=xl/sharedStrings.xml><?xml version="1.0" encoding="utf-8"?>
<sst xmlns="http://schemas.openxmlformats.org/spreadsheetml/2006/main" count="229" uniqueCount="122">
  <si>
    <t>Q, м3/сут</t>
  </si>
  <si>
    <t>n</t>
  </si>
  <si>
    <t>qset, м3/ч</t>
  </si>
  <si>
    <t>Kset</t>
  </si>
  <si>
    <t>Hset, м</t>
  </si>
  <si>
    <t>Bset, м</t>
  </si>
  <si>
    <t>Vw, мм/с</t>
  </si>
  <si>
    <t>Э, %</t>
  </si>
  <si>
    <t>h1, м</t>
  </si>
  <si>
    <t>Cen, мг/л</t>
  </si>
  <si>
    <t>tset, с</t>
  </si>
  <si>
    <t>n2</t>
  </si>
  <si>
    <t>u0, мм/с</t>
  </si>
  <si>
    <t>v tb, мм/с</t>
  </si>
  <si>
    <t>Lset, м</t>
  </si>
  <si>
    <t>коэффициент использования объема проточной части отстойника</t>
  </si>
  <si>
    <t>глубина проточной части в отстойнике</t>
  </si>
  <si>
    <t>ширина секции, отделения</t>
  </si>
  <si>
    <t>скорость рабочего потока</t>
  </si>
  <si>
    <t>эффект отстаивания</t>
  </si>
  <si>
    <t>показатель степени, зависящий от агломерации взвеси в процессе осаждения</t>
  </si>
  <si>
    <t>гидравлическая крупность</t>
  </si>
  <si>
    <t>турбулентная составляющая скорости</t>
  </si>
  <si>
    <t xml:space="preserve">1 способ </t>
  </si>
  <si>
    <t xml:space="preserve">2 способ </t>
  </si>
  <si>
    <t>длина секции, отделения</t>
  </si>
  <si>
    <t>B сумм, м</t>
  </si>
  <si>
    <t>H, м</t>
  </si>
  <si>
    <t>H1, м</t>
  </si>
  <si>
    <t>H2, м</t>
  </si>
  <si>
    <t>p mud, %</t>
  </si>
  <si>
    <t>γ mud, г/см3</t>
  </si>
  <si>
    <t>Q mud, м3/сут</t>
  </si>
  <si>
    <t>α, град</t>
  </si>
  <si>
    <t>W mud, м3</t>
  </si>
  <si>
    <t>T, ч</t>
  </si>
  <si>
    <t>высота строительного борта</t>
  </si>
  <si>
    <t>высота нейтрального слоя</t>
  </si>
  <si>
    <t>влажность осадка</t>
  </si>
  <si>
    <t>плотность осадка</t>
  </si>
  <si>
    <t>угол наклона стенок илового приямка</t>
  </si>
  <si>
    <t>суммарная ширина всех отделений</t>
  </si>
  <si>
    <t>проверка рабочей скорости потока</t>
  </si>
  <si>
    <t>полная строительная высота отстойника на выходе</t>
  </si>
  <si>
    <t>количество осадка, выделяемого при отстаивании за сутки</t>
  </si>
  <si>
    <t>вместимость приямка одного отстойника для сбора осадка</t>
  </si>
  <si>
    <t>период между выгрузками осадка из отстойника</t>
  </si>
  <si>
    <t>Обозначения</t>
  </si>
  <si>
    <t>Надо принять:</t>
  </si>
  <si>
    <t>Вычислить:</t>
  </si>
  <si>
    <t>суточный расход воды</t>
  </si>
  <si>
    <t>число отстойников (отделений отстойника)</t>
  </si>
  <si>
    <t>продолжительность отстаивания взвешенных примесей, соответствующая Э</t>
  </si>
  <si>
    <t>толщина слоя воды в лабораторном цилиндре для определения tset</t>
  </si>
  <si>
    <t>концентриция взвешенных веществ в очищаемой воде</t>
  </si>
  <si>
    <t>В работе дано:</t>
  </si>
  <si>
    <t>Определить по таблицам и графику</t>
  </si>
  <si>
    <t>Дополнительные обозначения</t>
  </si>
  <si>
    <t>Остальное по методическому пособию</t>
  </si>
  <si>
    <t>В пределах от 200 до 400</t>
  </si>
  <si>
    <t>Выбрать из значений 94, 95, 96</t>
  </si>
  <si>
    <t>В пределах от 15000 до 100000</t>
  </si>
  <si>
    <t>В диапазоне от 15000 до 100000</t>
  </si>
  <si>
    <t>производительность одного отделения отстойника (часовая)</t>
  </si>
  <si>
    <t>секундный расход (всех отделений)</t>
  </si>
  <si>
    <r>
      <t>q</t>
    </r>
    <r>
      <rPr>
        <vertAlign val="subscript"/>
        <sz val="11"/>
        <color theme="1"/>
        <rFont val="Calibri"/>
        <family val="2"/>
        <charset val="204"/>
        <scheme val="minor"/>
      </rPr>
      <t>сумм</t>
    </r>
    <r>
      <rPr>
        <sz val="11"/>
        <color theme="1"/>
        <rFont val="Calibri"/>
        <family val="2"/>
        <scheme val="minor"/>
      </rPr>
      <t>, м3/c</t>
    </r>
  </si>
  <si>
    <r>
      <t>u</t>
    </r>
    <r>
      <rPr>
        <vertAlign val="sub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, мм/с</t>
    </r>
  </si>
  <si>
    <t>Для обоих способов</t>
  </si>
  <si>
    <t>den, м</t>
  </si>
  <si>
    <t>диаметр центральной трубы</t>
  </si>
  <si>
    <t xml:space="preserve">ven, м/с </t>
  </si>
  <si>
    <t>скорость движения рабочего потока в центральной трубе</t>
  </si>
  <si>
    <t>Dset, м</t>
  </si>
  <si>
    <t>диаметр отстойника</t>
  </si>
  <si>
    <t>dщ, м</t>
  </si>
  <si>
    <t>dp, м</t>
  </si>
  <si>
    <t>диаметр раструба</t>
  </si>
  <si>
    <t>диаметр отражательного щита</t>
  </si>
  <si>
    <t>поверхностью отражательного щита</t>
  </si>
  <si>
    <t>высота щели между низом центральной трубы и</t>
  </si>
  <si>
    <t xml:space="preserve">Vщ, м/с </t>
  </si>
  <si>
    <t>Н1, м</t>
  </si>
  <si>
    <t>скорость движения в щели</t>
  </si>
  <si>
    <t>Нц, м</t>
  </si>
  <si>
    <t>общая высота цилиндрической части отстойника</t>
  </si>
  <si>
    <t>высота нейтрального слоя между низом отражательного щита и</t>
  </si>
  <si>
    <t>слоем осадка</t>
  </si>
  <si>
    <t>H3, м</t>
  </si>
  <si>
    <t>высота борта отстойника</t>
  </si>
  <si>
    <t>Hк, м</t>
  </si>
  <si>
    <t>высота конусной части отстойника</t>
  </si>
  <si>
    <t>угол конического днища</t>
  </si>
  <si>
    <t>Н, м</t>
  </si>
  <si>
    <t>общая высота отстойника</t>
  </si>
  <si>
    <t>В работе дано и надо принять</t>
  </si>
  <si>
    <t>n, шт</t>
  </si>
  <si>
    <t>число отделений отстойника</t>
  </si>
  <si>
    <t>не менее 0,03 м/с</t>
  </si>
  <si>
    <t>Не более 20000 м3/сут</t>
  </si>
  <si>
    <r>
      <t>q</t>
    </r>
    <r>
      <rPr>
        <vertAlign val="subscript"/>
        <sz val="12"/>
        <color theme="1"/>
        <rFont val="Times New Roman"/>
        <family val="1"/>
        <charset val="204"/>
      </rPr>
      <t>max</t>
    </r>
    <r>
      <rPr>
        <sz val="12"/>
        <color theme="1"/>
        <rFont val="Times New Roman"/>
        <family val="1"/>
        <charset val="204"/>
      </rPr>
      <t>, м3/c</t>
    </r>
  </si>
  <si>
    <t>максимальный секундный расход сточных вод</t>
  </si>
  <si>
    <r>
      <rPr>
        <sz val="12"/>
        <color theme="1"/>
        <rFont val="Symbol"/>
        <family val="1"/>
        <charset val="2"/>
      </rPr>
      <t>a</t>
    </r>
    <r>
      <rPr>
        <sz val="12"/>
        <color theme="1"/>
        <rFont val="Times New Roman"/>
        <family val="1"/>
        <charset val="204"/>
      </rPr>
      <t>,°</t>
    </r>
  </si>
  <si>
    <t>Cex, мг/л</t>
  </si>
  <si>
    <t>Первичный радиальный отстойник</t>
  </si>
  <si>
    <t>Первичный вертикальный отстойник с центральным впуском</t>
  </si>
  <si>
    <r>
      <rPr>
        <i/>
        <sz val="11"/>
        <color theme="1"/>
        <rFont val="Times New Roman"/>
        <family val="1"/>
        <charset val="204"/>
      </rPr>
      <t>v</t>
    </r>
    <r>
      <rPr>
        <sz val="11"/>
        <color theme="1"/>
        <rFont val="Times New Roman"/>
        <family val="1"/>
        <charset val="204"/>
      </rPr>
      <t>, мм/с</t>
    </r>
  </si>
  <si>
    <t>скорость движения воды в зоне отстаивания</t>
  </si>
  <si>
    <r>
      <t xml:space="preserve">с учетом </t>
    </r>
    <r>
      <rPr>
        <i/>
        <sz val="12"/>
        <color theme="1"/>
        <rFont val="Times New Roman"/>
        <family val="1"/>
        <charset val="204"/>
      </rPr>
      <t>v</t>
    </r>
    <r>
      <rPr>
        <sz val="12"/>
        <color theme="1"/>
        <rFont val="Times New Roman"/>
        <family val="1"/>
        <charset val="204"/>
      </rPr>
      <t>=0,5-0,7 мм/с</t>
    </r>
  </si>
  <si>
    <t>v, м/с</t>
  </si>
  <si>
    <t>скорость на середине радиуса отстойника</t>
  </si>
  <si>
    <t>v, мм/с</t>
  </si>
  <si>
    <t>Kmax</t>
  </si>
  <si>
    <t>коэффициент неравномерности</t>
  </si>
  <si>
    <t>Можно определить с учетом часовой неравномерности</t>
  </si>
  <si>
    <t>qset (1отд), м3/ч</t>
  </si>
  <si>
    <t>qset.max (1отд), м3/ч</t>
  </si>
  <si>
    <t>qset.max, м3/ч</t>
  </si>
  <si>
    <t>48 час</t>
  </si>
  <si>
    <t>Сen-Cex</t>
  </si>
  <si>
    <t>ee</t>
  </si>
  <si>
    <t>800 мм</t>
  </si>
  <si>
    <t>15-50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</si>
</sst>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000"/>
    <numFmt numFmtId="166" formatCode="0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bscript"/>
      <sz val="12"/>
      <color theme="1"/>
      <name val="Times New Roman"/>
      <family val="1"/>
      <charset val="204"/>
    </font>
    <font>
      <b/>
      <i/>
      <sz val="11"/>
      <color theme="1"/>
      <name val="Calibri"/>
      <family val="2"/>
      <charset val="204"/>
      <scheme val="minor"/>
    </font>
    <font>
      <b/>
      <i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theme="1"/>
      <name val="Calibri"/>
      <family val="2"/>
      <scheme val="minor"/>
    </font>
    <font>
      <b/>
      <i/>
      <sz val="14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b/>
      <i/>
      <sz val="14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rgb="FFFF0000"/>
      <name val="Times New Roman"/>
      <family val="1"/>
      <charset val="204"/>
    </font>
    <font>
      <u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2" xfId="0" applyFont="1" applyBorder="1"/>
    <xf numFmtId="0" fontId="3" fillId="0" borderId="0" xfId="0" applyFont="1"/>
    <xf numFmtId="0" fontId="2" fillId="0" borderId="0" xfId="0" applyFont="1" applyFill="1" applyBorder="1" applyAlignment="1">
      <alignment horizontal="left" vertical="center"/>
    </xf>
    <xf numFmtId="0" fontId="0" fillId="0" borderId="4" xfId="0" applyBorder="1"/>
    <xf numFmtId="0" fontId="2" fillId="0" borderId="4" xfId="0" applyFont="1" applyBorder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/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0" fillId="0" borderId="0" xfId="0" applyBorder="1"/>
    <xf numFmtId="0" fontId="2" fillId="0" borderId="5" xfId="0" applyFont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7" xfId="0" applyFont="1" applyFill="1" applyBorder="1" applyAlignment="1">
      <alignment horizontal="left" vertical="center"/>
    </xf>
    <xf numFmtId="164" fontId="2" fillId="0" borderId="7" xfId="0" applyNumberFormat="1" applyFont="1" applyFill="1" applyBorder="1" applyAlignment="1">
      <alignment horizontal="center" vertical="center"/>
    </xf>
    <xf numFmtId="0" fontId="2" fillId="0" borderId="8" xfId="0" applyFont="1" applyFill="1" applyBorder="1"/>
    <xf numFmtId="0" fontId="0" fillId="0" borderId="8" xfId="0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left" vertical="center"/>
    </xf>
    <xf numFmtId="2" fontId="2" fillId="2" borderId="0" xfId="0" applyNumberFormat="1" applyFont="1" applyFill="1" applyBorder="1" applyAlignment="1">
      <alignment horizontal="center" vertical="center"/>
    </xf>
    <xf numFmtId="0" fontId="6" fillId="0" borderId="0" xfId="0" applyFont="1"/>
    <xf numFmtId="0" fontId="7" fillId="0" borderId="0" xfId="0" applyFont="1" applyFill="1" applyBorder="1" applyAlignment="1">
      <alignment horizontal="left" vertical="center"/>
    </xf>
    <xf numFmtId="0" fontId="6" fillId="0" borderId="0" xfId="0" applyFont="1" applyBorder="1"/>
    <xf numFmtId="0" fontId="2" fillId="0" borderId="9" xfId="0" applyFont="1" applyFill="1" applyBorder="1" applyAlignment="1">
      <alignment horizontal="left" vertical="center"/>
    </xf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8" fillId="0" borderId="4" xfId="0" applyFont="1" applyBorder="1"/>
    <xf numFmtId="0" fontId="10" fillId="0" borderId="0" xfId="0" applyFont="1"/>
    <xf numFmtId="0" fontId="2" fillId="0" borderId="0" xfId="0" applyFont="1" applyBorder="1"/>
    <xf numFmtId="0" fontId="7" fillId="0" borderId="0" xfId="0" applyFont="1"/>
    <xf numFmtId="2" fontId="2" fillId="0" borderId="4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7" fillId="0" borderId="0" xfId="0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10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0" fillId="0" borderId="9" xfId="0" applyBorder="1"/>
    <xf numFmtId="0" fontId="0" fillId="0" borderId="16" xfId="0" applyBorder="1"/>
    <xf numFmtId="0" fontId="0" fillId="0" borderId="17" xfId="0" applyBorder="1"/>
    <xf numFmtId="0" fontId="2" fillId="0" borderId="9" xfId="0" applyFont="1" applyBorder="1"/>
    <xf numFmtId="0" fontId="2" fillId="0" borderId="16" xfId="0" applyFont="1" applyBorder="1"/>
    <xf numFmtId="0" fontId="2" fillId="0" borderId="17" xfId="0" applyFont="1" applyBorder="1"/>
    <xf numFmtId="0" fontId="0" fillId="0" borderId="18" xfId="0" applyBorder="1"/>
    <xf numFmtId="0" fontId="2" fillId="0" borderId="18" xfId="0" applyFont="1" applyBorder="1"/>
    <xf numFmtId="0" fontId="12" fillId="0" borderId="0" xfId="0" applyFont="1"/>
    <xf numFmtId="0" fontId="2" fillId="0" borderId="19" xfId="0" applyFont="1" applyBorder="1" applyAlignment="1">
      <alignment vertical="center"/>
    </xf>
    <xf numFmtId="0" fontId="2" fillId="0" borderId="9" xfId="0" applyFont="1" applyFill="1" applyBorder="1"/>
    <xf numFmtId="0" fontId="9" fillId="0" borderId="16" xfId="0" applyFont="1" applyBorder="1"/>
    <xf numFmtId="0" fontId="9" fillId="0" borderId="17" xfId="0" applyFont="1" applyBorder="1"/>
    <xf numFmtId="164" fontId="2" fillId="0" borderId="0" xfId="0" applyNumberFormat="1" applyFont="1" applyFill="1" applyBorder="1" applyAlignment="1">
      <alignment horizontal="center" vertical="center"/>
    </xf>
    <xf numFmtId="0" fontId="0" fillId="0" borderId="0" xfId="0" applyFill="1"/>
    <xf numFmtId="2" fontId="2" fillId="0" borderId="4" xfId="0" applyNumberFormat="1" applyFont="1" applyFill="1" applyBorder="1" applyAlignment="1">
      <alignment horizontal="center" vertical="center"/>
    </xf>
    <xf numFmtId="1" fontId="2" fillId="0" borderId="4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166" fontId="2" fillId="0" borderId="4" xfId="0" applyNumberFormat="1" applyFont="1" applyFill="1" applyBorder="1" applyAlignment="1">
      <alignment horizontal="center" vertical="center"/>
    </xf>
    <xf numFmtId="0" fontId="15" fillId="0" borderId="0" xfId="0" applyFont="1" applyAlignment="1">
      <alignment horizontal="center"/>
    </xf>
    <xf numFmtId="9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2" fillId="0" borderId="9" xfId="0" applyFont="1" applyFill="1" applyBorder="1" applyAlignment="1">
      <alignment horizontal="left"/>
    </xf>
    <xf numFmtId="0" fontId="16" fillId="0" borderId="4" xfId="0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1" fillId="0" borderId="4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3"/>
  <sheetViews>
    <sheetView tabSelected="1" zoomScale="55" zoomScaleNormal="55" workbookViewId="0">
      <selection activeCell="N92" sqref="N92"/>
    </sheetView>
  </sheetViews>
  <sheetFormatPr defaultRowHeight="15" x14ac:dyDescent="0.25"/>
  <cols>
    <col min="1" max="1" width="14.140625" customWidth="1"/>
    <col min="4" max="4" width="14.28515625" bestFit="1" customWidth="1"/>
    <col min="7" max="7" width="14.28515625" bestFit="1" customWidth="1"/>
    <col min="10" max="10" width="15.85546875" customWidth="1"/>
    <col min="11" max="11" width="16.140625" customWidth="1"/>
    <col min="12" max="12" width="11.85546875" customWidth="1"/>
    <col min="13" max="13" width="21" customWidth="1"/>
    <col min="16" max="16" width="10.28515625" customWidth="1"/>
  </cols>
  <sheetData>
    <row r="1" spans="1:14" ht="18.75" x14ac:dyDescent="0.3">
      <c r="A1" s="8" t="s">
        <v>23</v>
      </c>
      <c r="J1" s="33" t="s">
        <v>55</v>
      </c>
    </row>
    <row r="2" spans="1:14" ht="16.5" thickBot="1" x14ac:dyDescent="0.3">
      <c r="A2" s="33" t="s">
        <v>47</v>
      </c>
      <c r="J2" s="11" t="s">
        <v>3</v>
      </c>
      <c r="K2" s="12">
        <v>0.5</v>
      </c>
    </row>
    <row r="3" spans="1:14" ht="15.75" x14ac:dyDescent="0.25">
      <c r="A3" s="4" t="s">
        <v>0</v>
      </c>
      <c r="B3" s="2" t="s">
        <v>50</v>
      </c>
      <c r="J3" s="11" t="s">
        <v>8</v>
      </c>
      <c r="K3" s="12">
        <v>0.5</v>
      </c>
    </row>
    <row r="4" spans="1:14" ht="15.75" x14ac:dyDescent="0.25">
      <c r="A4" s="5" t="s">
        <v>1</v>
      </c>
      <c r="B4" s="2" t="s">
        <v>51</v>
      </c>
      <c r="J4" s="11" t="s">
        <v>7</v>
      </c>
      <c r="K4" s="12">
        <v>50</v>
      </c>
    </row>
    <row r="5" spans="1:14" ht="15.75" x14ac:dyDescent="0.25">
      <c r="A5" s="5" t="s">
        <v>3</v>
      </c>
      <c r="B5" s="2" t="s">
        <v>15</v>
      </c>
    </row>
    <row r="6" spans="1:14" ht="15.75" x14ac:dyDescent="0.25">
      <c r="A6" s="5" t="s">
        <v>4</v>
      </c>
      <c r="B6" s="2" t="s">
        <v>16</v>
      </c>
      <c r="J6" s="33" t="s">
        <v>48</v>
      </c>
    </row>
    <row r="7" spans="1:14" ht="15.75" x14ac:dyDescent="0.25">
      <c r="A7" s="5" t="s">
        <v>5</v>
      </c>
      <c r="B7" s="2" t="s">
        <v>17</v>
      </c>
      <c r="J7" s="11" t="s">
        <v>0</v>
      </c>
      <c r="K7" s="12">
        <v>50000</v>
      </c>
      <c r="L7" t="s">
        <v>61</v>
      </c>
    </row>
    <row r="8" spans="1:14" ht="15.75" x14ac:dyDescent="0.25">
      <c r="A8" s="5" t="s">
        <v>6</v>
      </c>
      <c r="B8" s="2" t="s">
        <v>18</v>
      </c>
      <c r="J8" s="11" t="s">
        <v>9</v>
      </c>
      <c r="K8" s="84">
        <v>300</v>
      </c>
      <c r="L8" t="s">
        <v>59</v>
      </c>
    </row>
    <row r="9" spans="1:14" ht="15.75" x14ac:dyDescent="0.25">
      <c r="A9" s="5" t="s">
        <v>7</v>
      </c>
      <c r="B9" s="3" t="s">
        <v>19</v>
      </c>
      <c r="J9" s="11" t="s">
        <v>1</v>
      </c>
      <c r="K9" s="12">
        <v>6</v>
      </c>
      <c r="L9" t="s">
        <v>58</v>
      </c>
    </row>
    <row r="10" spans="1:14" ht="15.75" x14ac:dyDescent="0.25">
      <c r="A10" s="5" t="s">
        <v>8</v>
      </c>
      <c r="B10" s="3" t="s">
        <v>53</v>
      </c>
      <c r="J10" s="11" t="s">
        <v>4</v>
      </c>
      <c r="K10" s="12">
        <v>3</v>
      </c>
    </row>
    <row r="11" spans="1:14" ht="15.75" x14ac:dyDescent="0.25">
      <c r="A11" s="5" t="s">
        <v>9</v>
      </c>
      <c r="B11" s="3" t="s">
        <v>54</v>
      </c>
      <c r="J11" s="11" t="s">
        <v>5</v>
      </c>
      <c r="K11" s="12">
        <v>9</v>
      </c>
      <c r="N11" s="16"/>
    </row>
    <row r="12" spans="1:14" ht="15.75" x14ac:dyDescent="0.25">
      <c r="A12" s="5" t="s">
        <v>10</v>
      </c>
      <c r="B12" s="3" t="s">
        <v>52</v>
      </c>
      <c r="J12" s="11" t="s">
        <v>6</v>
      </c>
      <c r="K12" s="12">
        <v>7</v>
      </c>
    </row>
    <row r="13" spans="1:14" ht="16.5" thickBot="1" x14ac:dyDescent="0.3">
      <c r="A13" s="6" t="s">
        <v>11</v>
      </c>
      <c r="B13" s="3" t="s">
        <v>20</v>
      </c>
    </row>
    <row r="14" spans="1:14" ht="15.75" x14ac:dyDescent="0.25">
      <c r="A14" s="4" t="s">
        <v>2</v>
      </c>
      <c r="B14" s="2" t="s">
        <v>63</v>
      </c>
      <c r="J14" s="34" t="s">
        <v>56</v>
      </c>
    </row>
    <row r="15" spans="1:14" ht="18.75" x14ac:dyDescent="0.25">
      <c r="A15" s="5" t="s">
        <v>66</v>
      </c>
      <c r="B15" s="3" t="s">
        <v>21</v>
      </c>
      <c r="J15" s="11" t="s">
        <v>10</v>
      </c>
      <c r="K15" s="12">
        <v>1800</v>
      </c>
    </row>
    <row r="16" spans="1:14" ht="15.75" x14ac:dyDescent="0.25">
      <c r="A16" s="7" t="s">
        <v>13</v>
      </c>
      <c r="B16" s="3" t="s">
        <v>22</v>
      </c>
      <c r="J16" s="11" t="s">
        <v>11</v>
      </c>
      <c r="K16" s="12">
        <v>0.2</v>
      </c>
    </row>
    <row r="17" spans="1:16" ht="16.5" thickBot="1" x14ac:dyDescent="0.3">
      <c r="A17" s="6" t="s">
        <v>14</v>
      </c>
      <c r="B17" s="3" t="s">
        <v>25</v>
      </c>
      <c r="J17" s="13" t="s">
        <v>13</v>
      </c>
      <c r="K17" s="14">
        <v>0.02</v>
      </c>
    </row>
    <row r="19" spans="1:16" x14ac:dyDescent="0.25">
      <c r="F19" s="35"/>
      <c r="G19" s="18"/>
    </row>
    <row r="20" spans="1:16" ht="15.75" x14ac:dyDescent="0.25">
      <c r="E20" s="1">
        <v>43200</v>
      </c>
      <c r="F20" s="9">
        <v>86400</v>
      </c>
      <c r="G20" s="18"/>
      <c r="J20" s="33" t="s">
        <v>49</v>
      </c>
      <c r="M20" t="s">
        <v>113</v>
      </c>
    </row>
    <row r="21" spans="1:16" ht="15.75" x14ac:dyDescent="0.25">
      <c r="E21" s="1">
        <v>1.5</v>
      </c>
      <c r="F21" s="41">
        <v>1.47</v>
      </c>
      <c r="G21" s="22"/>
      <c r="J21" s="15" t="s">
        <v>116</v>
      </c>
      <c r="K21" s="38">
        <f>K7/24*N21</f>
        <v>3115.1620370370365</v>
      </c>
      <c r="M21" s="10" t="s">
        <v>111</v>
      </c>
      <c r="N21" s="43">
        <f>_xlfn.FORECAST.LINEAR(K7,E21:F21,E20:F20)</f>
        <v>1.4952777777777775</v>
      </c>
      <c r="P21" s="76">
        <f>K7/24</f>
        <v>2083.3333333333335</v>
      </c>
    </row>
    <row r="22" spans="1:16" ht="15.75" x14ac:dyDescent="0.25">
      <c r="F22" s="41"/>
      <c r="G22" s="18"/>
      <c r="J22" s="15" t="s">
        <v>114</v>
      </c>
      <c r="K22" s="46">
        <f>K21/K9</f>
        <v>519.19367283950612</v>
      </c>
      <c r="M22" s="15" t="s">
        <v>116</v>
      </c>
      <c r="N22" s="38">
        <f>K7/24*N21</f>
        <v>3115.1620370370365</v>
      </c>
    </row>
    <row r="23" spans="1:16" ht="15.75" x14ac:dyDescent="0.25">
      <c r="F23" s="18"/>
      <c r="G23" s="18"/>
      <c r="J23" s="15" t="s">
        <v>12</v>
      </c>
      <c r="K23" s="43">
        <f>1000*K10*K2/(K15*POWER(K2*K10/K3,K16))</f>
        <v>0.66895130146685877</v>
      </c>
      <c r="M23" s="15" t="s">
        <v>115</v>
      </c>
      <c r="N23" s="46">
        <f>N22/K9</f>
        <v>519.19367283950612</v>
      </c>
    </row>
    <row r="24" spans="1:16" ht="15.75" x14ac:dyDescent="0.25">
      <c r="F24" s="9"/>
      <c r="G24" s="23"/>
      <c r="J24" s="15" t="s">
        <v>14</v>
      </c>
      <c r="K24" s="74">
        <f>N23/3.6/K2/K11/(N24-K17)</f>
        <v>49.385819980859544</v>
      </c>
      <c r="M24" s="15" t="s">
        <v>12</v>
      </c>
      <c r="N24" s="43">
        <f>1000*K10*K2/(K15*POWER(K2*K10/K3,K16))</f>
        <v>0.66895130146685877</v>
      </c>
    </row>
    <row r="25" spans="1:16" ht="15.75" x14ac:dyDescent="0.25">
      <c r="F25" s="9"/>
      <c r="G25" s="71"/>
      <c r="M25" s="15" t="s">
        <v>14</v>
      </c>
      <c r="N25" s="74">
        <f>N23/3.6/K2/K11/(N24-K17)</f>
        <v>49.385819980859544</v>
      </c>
    </row>
    <row r="26" spans="1:16" ht="18.75" x14ac:dyDescent="0.3">
      <c r="A26" s="8" t="s">
        <v>24</v>
      </c>
    </row>
    <row r="27" spans="1:16" ht="18.75" x14ac:dyDescent="0.3">
      <c r="A27" s="33" t="s">
        <v>57</v>
      </c>
      <c r="C27" s="1"/>
      <c r="F27" s="1"/>
      <c r="J27" s="8" t="s">
        <v>24</v>
      </c>
    </row>
    <row r="28" spans="1:16" ht="18" x14ac:dyDescent="0.35">
      <c r="A28" s="10" t="s">
        <v>65</v>
      </c>
      <c r="B28" t="s">
        <v>64</v>
      </c>
      <c r="J28" s="33" t="s">
        <v>55</v>
      </c>
    </row>
    <row r="29" spans="1:16" ht="15.75" x14ac:dyDescent="0.25">
      <c r="A29" s="15" t="s">
        <v>26</v>
      </c>
      <c r="B29" s="19" t="s">
        <v>41</v>
      </c>
      <c r="J29" s="11" t="s">
        <v>3</v>
      </c>
      <c r="K29" s="12">
        <v>0.5</v>
      </c>
    </row>
    <row r="30" spans="1:16" ht="15.75" x14ac:dyDescent="0.25">
      <c r="J30" s="11" t="s">
        <v>8</v>
      </c>
      <c r="K30" s="12">
        <v>0.5</v>
      </c>
    </row>
    <row r="31" spans="1:16" ht="15.75" x14ac:dyDescent="0.25">
      <c r="J31" s="11" t="s">
        <v>7</v>
      </c>
      <c r="K31" s="12">
        <v>50</v>
      </c>
    </row>
    <row r="32" spans="1:16" ht="15.75" x14ac:dyDescent="0.25">
      <c r="A32" s="33" t="s">
        <v>67</v>
      </c>
      <c r="B32" s="33"/>
      <c r="J32" s="15" t="s">
        <v>28</v>
      </c>
      <c r="K32" s="14">
        <v>0.4</v>
      </c>
    </row>
    <row r="33" spans="1:12" ht="15.75" x14ac:dyDescent="0.25">
      <c r="A33" s="15" t="s">
        <v>28</v>
      </c>
      <c r="B33" s="19" t="s">
        <v>36</v>
      </c>
      <c r="J33" s="15" t="s">
        <v>29</v>
      </c>
      <c r="K33" s="14">
        <v>0.3</v>
      </c>
    </row>
    <row r="34" spans="1:12" ht="15.75" x14ac:dyDescent="0.25">
      <c r="A34" s="15" t="s">
        <v>29</v>
      </c>
      <c r="B34" s="19" t="s">
        <v>37</v>
      </c>
      <c r="J34" s="11" t="s">
        <v>31</v>
      </c>
      <c r="K34" s="14">
        <v>1</v>
      </c>
    </row>
    <row r="35" spans="1:12" ht="15.75" x14ac:dyDescent="0.25">
      <c r="A35" s="13" t="s">
        <v>27</v>
      </c>
      <c r="B35" s="19" t="s">
        <v>43</v>
      </c>
      <c r="J35" s="18"/>
      <c r="K35" s="18"/>
    </row>
    <row r="36" spans="1:12" ht="15.75" x14ac:dyDescent="0.25">
      <c r="A36" s="15" t="s">
        <v>30</v>
      </c>
      <c r="B36" s="19" t="s">
        <v>38</v>
      </c>
      <c r="J36" s="35" t="s">
        <v>48</v>
      </c>
      <c r="K36" s="18"/>
    </row>
    <row r="37" spans="1:12" ht="15.75" x14ac:dyDescent="0.25">
      <c r="A37" s="11" t="s">
        <v>31</v>
      </c>
      <c r="B37" s="19" t="s">
        <v>39</v>
      </c>
      <c r="I37" s="45">
        <f>K37/24</f>
        <v>2083.3333333333335</v>
      </c>
      <c r="J37" s="15" t="s">
        <v>0</v>
      </c>
      <c r="K37" s="14">
        <v>50000</v>
      </c>
      <c r="L37" t="s">
        <v>62</v>
      </c>
    </row>
    <row r="38" spans="1:12" ht="15.75" x14ac:dyDescent="0.25">
      <c r="A38" s="11" t="s">
        <v>33</v>
      </c>
      <c r="B38" s="19" t="s">
        <v>40</v>
      </c>
      <c r="J38" s="15" t="s">
        <v>9</v>
      </c>
      <c r="K38" s="47">
        <v>300</v>
      </c>
      <c r="L38" t="s">
        <v>59</v>
      </c>
    </row>
    <row r="39" spans="1:12" ht="15.75" x14ac:dyDescent="0.25">
      <c r="A39" s="13" t="s">
        <v>32</v>
      </c>
      <c r="B39" s="19" t="s">
        <v>44</v>
      </c>
      <c r="F39" s="1"/>
      <c r="J39" s="15" t="s">
        <v>30</v>
      </c>
      <c r="K39" s="14">
        <v>95</v>
      </c>
      <c r="L39" t="s">
        <v>60</v>
      </c>
    </row>
    <row r="40" spans="1:12" ht="15.75" x14ac:dyDescent="0.25">
      <c r="A40" s="13" t="s">
        <v>34</v>
      </c>
      <c r="B40" s="19" t="s">
        <v>45</v>
      </c>
      <c r="J40" s="15" t="s">
        <v>4</v>
      </c>
      <c r="K40" s="14">
        <v>3</v>
      </c>
      <c r="L40" t="s">
        <v>58</v>
      </c>
    </row>
    <row r="41" spans="1:12" ht="15.75" x14ac:dyDescent="0.25">
      <c r="A41" s="13" t="s">
        <v>35</v>
      </c>
      <c r="B41" s="20" t="s">
        <v>46</v>
      </c>
      <c r="J41" s="15" t="s">
        <v>5</v>
      </c>
      <c r="K41" s="14">
        <v>9</v>
      </c>
    </row>
    <row r="42" spans="1:12" ht="15.75" x14ac:dyDescent="0.25">
      <c r="J42" s="15" t="s">
        <v>6</v>
      </c>
      <c r="K42" s="14">
        <v>6</v>
      </c>
    </row>
    <row r="43" spans="1:12" ht="15.75" x14ac:dyDescent="0.25">
      <c r="J43" s="15" t="s">
        <v>33</v>
      </c>
      <c r="K43" s="14">
        <v>50</v>
      </c>
    </row>
    <row r="44" spans="1:12" ht="15.75" x14ac:dyDescent="0.25">
      <c r="D44" s="17"/>
      <c r="E44" s="16"/>
    </row>
    <row r="45" spans="1:12" ht="15.75" x14ac:dyDescent="0.25">
      <c r="D45" s="17"/>
      <c r="E45" s="16"/>
    </row>
    <row r="46" spans="1:12" ht="15.75" x14ac:dyDescent="0.25">
      <c r="D46" s="17"/>
      <c r="E46" s="16"/>
      <c r="G46" s="24"/>
      <c r="H46" s="23"/>
      <c r="J46" s="34" t="s">
        <v>56</v>
      </c>
      <c r="K46" s="18"/>
    </row>
    <row r="47" spans="1:12" ht="15.75" x14ac:dyDescent="0.25">
      <c r="D47" s="17"/>
      <c r="E47" s="16"/>
      <c r="G47" s="21"/>
      <c r="H47" s="22"/>
      <c r="J47" s="11" t="s">
        <v>10</v>
      </c>
      <c r="K47" s="12">
        <v>1800</v>
      </c>
    </row>
    <row r="48" spans="1:12" ht="15.75" x14ac:dyDescent="0.25">
      <c r="D48" s="29"/>
      <c r="E48" s="30"/>
      <c r="G48" s="9"/>
      <c r="H48" s="22"/>
      <c r="J48" s="11" t="s">
        <v>11</v>
      </c>
      <c r="K48" s="12">
        <v>0.2</v>
      </c>
    </row>
    <row r="49" spans="4:13" ht="15.75" x14ac:dyDescent="0.25">
      <c r="D49" s="31"/>
      <c r="E49" s="32"/>
      <c r="G49" s="9"/>
      <c r="H49" s="22"/>
      <c r="J49" s="13" t="s">
        <v>13</v>
      </c>
      <c r="K49" s="14">
        <v>0.01</v>
      </c>
    </row>
    <row r="50" spans="4:13" ht="15.75" x14ac:dyDescent="0.25">
      <c r="G50" s="24"/>
      <c r="H50" s="22"/>
    </row>
    <row r="51" spans="4:13" ht="15.75" x14ac:dyDescent="0.25">
      <c r="G51" s="24"/>
      <c r="H51" s="22"/>
      <c r="J51" s="35" t="s">
        <v>49</v>
      </c>
      <c r="K51" s="18"/>
    </row>
    <row r="52" spans="4:13" ht="15.75" x14ac:dyDescent="0.25">
      <c r="G52" s="24"/>
      <c r="H52" s="22"/>
      <c r="J52" s="37" t="s">
        <v>111</v>
      </c>
      <c r="K52" s="44">
        <f>N21</f>
        <v>1.4952777777777775</v>
      </c>
      <c r="L52" s="1"/>
    </row>
    <row r="53" spans="4:13" ht="18.75" x14ac:dyDescent="0.35">
      <c r="G53" s="24"/>
      <c r="H53" s="22"/>
      <c r="J53" s="37" t="s">
        <v>99</v>
      </c>
      <c r="K53" s="77">
        <f>K37/24/3600*K52</f>
        <v>0.86532278806584351</v>
      </c>
      <c r="L53" s="1"/>
    </row>
    <row r="54" spans="4:13" ht="18.75" x14ac:dyDescent="0.25">
      <c r="D54" s="17"/>
      <c r="E54" s="22"/>
      <c r="I54" s="72"/>
      <c r="J54" s="15" t="s">
        <v>66</v>
      </c>
      <c r="K54" s="73">
        <f>1000*K40*K29/(K47*POWER(K29*K40/K30,K48))</f>
        <v>0.66895130146685877</v>
      </c>
      <c r="L54" s="1"/>
    </row>
    <row r="55" spans="4:13" ht="15.75" x14ac:dyDescent="0.25">
      <c r="D55" s="18"/>
      <c r="E55" s="18"/>
      <c r="J55" s="15" t="s">
        <v>26</v>
      </c>
      <c r="K55" s="43">
        <f>1000*K53/K42/K40</f>
        <v>48.073488225880197</v>
      </c>
      <c r="L55" s="1"/>
    </row>
    <row r="56" spans="4:13" ht="15.75" x14ac:dyDescent="0.25">
      <c r="D56" s="17"/>
      <c r="E56" s="16"/>
      <c r="J56" s="15" t="s">
        <v>1</v>
      </c>
      <c r="K56" s="73">
        <f>K55/K41</f>
        <v>5.3414986917644667</v>
      </c>
      <c r="L56" s="76">
        <f>ROUNDUP(K56,0)</f>
        <v>6</v>
      </c>
    </row>
    <row r="57" spans="4:13" ht="15.75" x14ac:dyDescent="0.25">
      <c r="J57" s="25" t="s">
        <v>14</v>
      </c>
      <c r="K57" s="26">
        <f>K42*K40/(K29*(K54-K49))</f>
        <v>54.632261776951026</v>
      </c>
      <c r="L57" s="1"/>
    </row>
    <row r="58" spans="4:13" ht="15.75" x14ac:dyDescent="0.25">
      <c r="J58" s="13" t="s">
        <v>27</v>
      </c>
      <c r="K58" s="47">
        <f>K40+K32+K33</f>
        <v>3.6999999999999997</v>
      </c>
      <c r="L58" s="1"/>
    </row>
    <row r="59" spans="4:13" ht="15.75" x14ac:dyDescent="0.25">
      <c r="J59" s="13" t="s">
        <v>32</v>
      </c>
      <c r="K59" s="47">
        <f>K37*(K38-150)/((100-K39)*K34*10^4)</f>
        <v>150</v>
      </c>
      <c r="L59" s="1" t="s">
        <v>118</v>
      </c>
      <c r="M59" t="s">
        <v>119</v>
      </c>
    </row>
    <row r="60" spans="4:13" ht="15.75" x14ac:dyDescent="0.25">
      <c r="J60" s="27" t="s">
        <v>34</v>
      </c>
      <c r="K60" s="75">
        <f>1/6*(K41-0.5)*((K41^2)+0.5*K41+0.25)*TAN(K43*3.14/180)</f>
        <v>144.64322929063968</v>
      </c>
      <c r="L60" s="1"/>
    </row>
    <row r="61" spans="4:13" ht="15.75" x14ac:dyDescent="0.25">
      <c r="J61" s="13" t="s">
        <v>35</v>
      </c>
      <c r="K61" s="74">
        <f>24*L56*K60/K59</f>
        <v>138.85750011901411</v>
      </c>
      <c r="L61" s="78" t="s">
        <v>117</v>
      </c>
    </row>
    <row r="62" spans="4:13" x14ac:dyDescent="0.25">
      <c r="K62" s="18"/>
    </row>
    <row r="63" spans="4:13" ht="15.75" x14ac:dyDescent="0.25">
      <c r="J63" s="2" t="s">
        <v>42</v>
      </c>
      <c r="K63" s="28"/>
    </row>
    <row r="64" spans="4:13" ht="15.75" x14ac:dyDescent="0.25">
      <c r="J64" s="15" t="s">
        <v>6</v>
      </c>
      <c r="K64" s="46">
        <f>1000*K53/K40/K41/L56</f>
        <v>5.3414986917644667</v>
      </c>
    </row>
    <row r="65" spans="1:15" ht="18.75" x14ac:dyDescent="0.3">
      <c r="A65" s="66" t="s">
        <v>104</v>
      </c>
    </row>
    <row r="67" spans="1:15" ht="18.75" x14ac:dyDescent="0.35">
      <c r="A67" s="37" t="s">
        <v>99</v>
      </c>
      <c r="B67" s="58" t="s">
        <v>100</v>
      </c>
      <c r="C67" s="59"/>
      <c r="D67" s="59"/>
      <c r="E67" s="59"/>
      <c r="F67" s="59"/>
      <c r="G67" s="60"/>
      <c r="J67" s="42" t="s">
        <v>94</v>
      </c>
      <c r="K67" s="1"/>
    </row>
    <row r="68" spans="1:15" ht="15.75" x14ac:dyDescent="0.25">
      <c r="A68" s="5" t="s">
        <v>1</v>
      </c>
      <c r="B68" s="2" t="s">
        <v>96</v>
      </c>
      <c r="G68" s="64"/>
      <c r="J68" s="11" t="s">
        <v>3</v>
      </c>
      <c r="K68" s="12">
        <v>0.35</v>
      </c>
    </row>
    <row r="69" spans="1:15" ht="15.75" x14ac:dyDescent="0.25">
      <c r="A69" s="37" t="s">
        <v>68</v>
      </c>
      <c r="B69" s="61" t="s">
        <v>69</v>
      </c>
      <c r="C69" s="62"/>
      <c r="D69" s="62"/>
      <c r="E69" s="59"/>
      <c r="F69" s="59"/>
      <c r="G69" s="60"/>
      <c r="J69" s="11" t="s">
        <v>8</v>
      </c>
      <c r="K69" s="12">
        <v>0.5</v>
      </c>
      <c r="O69" s="1"/>
    </row>
    <row r="70" spans="1:15" ht="15.75" x14ac:dyDescent="0.25">
      <c r="A70" s="37" t="s">
        <v>70</v>
      </c>
      <c r="B70" s="1" t="s">
        <v>71</v>
      </c>
      <c r="C70" s="1"/>
      <c r="D70" s="1"/>
      <c r="G70" s="64"/>
      <c r="J70" s="11" t="s">
        <v>7</v>
      </c>
      <c r="K70" s="12">
        <v>40</v>
      </c>
      <c r="L70" s="45">
        <v>0.4</v>
      </c>
      <c r="O70" s="1"/>
    </row>
    <row r="71" spans="1:15" ht="15.75" x14ac:dyDescent="0.25">
      <c r="A71" s="37" t="s">
        <v>72</v>
      </c>
      <c r="B71" s="61" t="s">
        <v>73</v>
      </c>
      <c r="C71" s="62"/>
      <c r="D71" s="62"/>
      <c r="E71" s="59"/>
      <c r="F71" s="59"/>
      <c r="G71" s="60"/>
      <c r="J71" s="36" t="s">
        <v>9</v>
      </c>
      <c r="K71" s="38">
        <v>200</v>
      </c>
      <c r="L71" s="1" t="s">
        <v>59</v>
      </c>
      <c r="M71" s="1"/>
      <c r="O71" s="1"/>
    </row>
    <row r="72" spans="1:15" ht="15.75" x14ac:dyDescent="0.25">
      <c r="A72" s="37" t="s">
        <v>75</v>
      </c>
      <c r="B72" s="1" t="s">
        <v>76</v>
      </c>
      <c r="C72" s="1"/>
      <c r="D72" s="1"/>
      <c r="E72" s="1"/>
      <c r="F72" s="1"/>
      <c r="G72" s="65"/>
      <c r="J72" s="37" t="s">
        <v>4</v>
      </c>
      <c r="K72" s="38">
        <v>3</v>
      </c>
      <c r="L72" s="1"/>
      <c r="M72" s="1"/>
      <c r="N72" s="1"/>
      <c r="O72" s="1"/>
    </row>
    <row r="73" spans="1:15" ht="15.75" x14ac:dyDescent="0.25">
      <c r="A73" s="37" t="s">
        <v>74</v>
      </c>
      <c r="B73" s="61" t="s">
        <v>77</v>
      </c>
      <c r="C73" s="62"/>
      <c r="D73" s="62"/>
      <c r="E73" s="62"/>
      <c r="F73" s="62"/>
      <c r="G73" s="63"/>
      <c r="J73" s="15" t="s">
        <v>0</v>
      </c>
      <c r="K73" s="38">
        <v>10000</v>
      </c>
      <c r="L73" s="1" t="s">
        <v>98</v>
      </c>
      <c r="M73" s="1"/>
      <c r="N73" s="1"/>
      <c r="O73" s="1"/>
    </row>
    <row r="74" spans="1:15" ht="15.75" x14ac:dyDescent="0.25">
      <c r="A74" s="50" t="s">
        <v>81</v>
      </c>
      <c r="B74" s="52" t="s">
        <v>79</v>
      </c>
      <c r="C74" s="53"/>
      <c r="D74" s="53"/>
      <c r="E74" s="53"/>
      <c r="F74" s="53"/>
      <c r="G74" s="54"/>
      <c r="J74" s="15" t="s">
        <v>95</v>
      </c>
      <c r="K74" s="14">
        <v>14</v>
      </c>
      <c r="L74" s="1"/>
      <c r="M74" s="1"/>
      <c r="N74" s="1"/>
      <c r="O74" s="1"/>
    </row>
    <row r="75" spans="1:15" ht="15.75" x14ac:dyDescent="0.25">
      <c r="A75" s="51"/>
      <c r="B75" s="55" t="s">
        <v>78</v>
      </c>
      <c r="C75" s="56"/>
      <c r="D75" s="56"/>
      <c r="E75" s="56"/>
      <c r="F75" s="56"/>
      <c r="G75" s="57"/>
      <c r="J75" s="37" t="s">
        <v>70</v>
      </c>
      <c r="K75" s="14">
        <v>0.03</v>
      </c>
      <c r="L75" s="1" t="s">
        <v>97</v>
      </c>
      <c r="M75" s="1"/>
      <c r="N75" s="1"/>
      <c r="O75" s="1"/>
    </row>
    <row r="76" spans="1:15" ht="15.75" x14ac:dyDescent="0.25">
      <c r="A76" s="37" t="s">
        <v>80</v>
      </c>
      <c r="B76" s="1" t="s">
        <v>82</v>
      </c>
      <c r="C76" s="1"/>
      <c r="D76" s="1"/>
      <c r="E76" s="1"/>
      <c r="F76" s="1"/>
      <c r="G76" s="65"/>
      <c r="J76" s="37" t="s">
        <v>13</v>
      </c>
      <c r="K76" s="47"/>
      <c r="L76" s="1" t="s">
        <v>107</v>
      </c>
      <c r="M76" s="1"/>
      <c r="N76" s="1"/>
      <c r="O76" s="1"/>
    </row>
    <row r="77" spans="1:15" ht="15.75" x14ac:dyDescent="0.25">
      <c r="A77" s="37" t="s">
        <v>83</v>
      </c>
      <c r="B77" s="61" t="s">
        <v>84</v>
      </c>
      <c r="C77" s="62"/>
      <c r="D77" s="62"/>
      <c r="E77" s="62"/>
      <c r="F77" s="62"/>
      <c r="G77" s="63"/>
      <c r="J77" s="37" t="s">
        <v>80</v>
      </c>
      <c r="K77" s="38">
        <v>0.02</v>
      </c>
      <c r="L77" s="1"/>
      <c r="M77" s="1"/>
      <c r="N77" s="1"/>
      <c r="O77" s="1"/>
    </row>
    <row r="78" spans="1:15" ht="15.75" x14ac:dyDescent="0.25">
      <c r="A78" s="50" t="s">
        <v>29</v>
      </c>
      <c r="B78" s="52" t="s">
        <v>85</v>
      </c>
      <c r="C78" s="53"/>
      <c r="D78" s="53"/>
      <c r="E78" s="53"/>
      <c r="F78" s="53"/>
      <c r="G78" s="54"/>
      <c r="J78" s="37" t="s">
        <v>29</v>
      </c>
      <c r="K78" s="38">
        <v>0.3</v>
      </c>
      <c r="L78" s="1"/>
      <c r="M78" s="1"/>
      <c r="N78" s="1"/>
      <c r="O78" s="1"/>
    </row>
    <row r="79" spans="1:15" ht="15.75" x14ac:dyDescent="0.25">
      <c r="A79" s="51"/>
      <c r="B79" s="55" t="s">
        <v>86</v>
      </c>
      <c r="C79" s="56"/>
      <c r="D79" s="56"/>
      <c r="E79" s="56"/>
      <c r="F79" s="56"/>
      <c r="G79" s="57"/>
      <c r="J79" s="37" t="s">
        <v>87</v>
      </c>
      <c r="K79" s="38">
        <v>0.5</v>
      </c>
      <c r="L79" s="1"/>
      <c r="M79" s="1"/>
      <c r="N79" s="1"/>
      <c r="O79" s="1"/>
    </row>
    <row r="80" spans="1:15" ht="15.75" x14ac:dyDescent="0.25">
      <c r="A80" s="37" t="s">
        <v>87</v>
      </c>
      <c r="B80" s="1" t="s">
        <v>88</v>
      </c>
      <c r="C80" s="1"/>
      <c r="D80" s="1"/>
      <c r="E80" s="1"/>
      <c r="F80" s="1"/>
      <c r="G80" s="65"/>
      <c r="J80" s="37" t="s">
        <v>101</v>
      </c>
      <c r="K80" s="47">
        <v>50</v>
      </c>
      <c r="L80" s="1"/>
      <c r="M80" s="1"/>
      <c r="N80" s="1"/>
      <c r="O80" s="1"/>
    </row>
    <row r="81" spans="1:15" ht="15.75" x14ac:dyDescent="0.25">
      <c r="A81" s="37" t="s">
        <v>89</v>
      </c>
      <c r="B81" s="61" t="s">
        <v>90</v>
      </c>
      <c r="C81" s="62"/>
      <c r="D81" s="62"/>
      <c r="E81" s="62"/>
      <c r="F81" s="62"/>
      <c r="G81" s="63"/>
      <c r="J81" s="11" t="s">
        <v>31</v>
      </c>
      <c r="K81" s="14">
        <v>1</v>
      </c>
      <c r="L81" s="1"/>
      <c r="M81" s="1"/>
      <c r="N81" s="1"/>
      <c r="O81" s="1"/>
    </row>
    <row r="82" spans="1:15" ht="15.75" x14ac:dyDescent="0.25">
      <c r="A82" s="37" t="s">
        <v>101</v>
      </c>
      <c r="B82" s="1" t="s">
        <v>91</v>
      </c>
      <c r="C82" s="1"/>
      <c r="D82" s="1"/>
      <c r="E82" s="1"/>
      <c r="F82" s="1"/>
      <c r="G82" s="65"/>
      <c r="J82" s="15" t="s">
        <v>30</v>
      </c>
      <c r="K82" s="14">
        <v>95</v>
      </c>
      <c r="L82" s="1"/>
      <c r="M82" s="1"/>
      <c r="N82" s="1"/>
      <c r="O82" s="1"/>
    </row>
    <row r="83" spans="1:15" ht="15.75" x14ac:dyDescent="0.25">
      <c r="A83" s="37" t="s">
        <v>92</v>
      </c>
      <c r="B83" s="61" t="s">
        <v>93</v>
      </c>
      <c r="C83" s="62"/>
      <c r="D83" s="62"/>
      <c r="E83" s="62"/>
      <c r="F83" s="62"/>
      <c r="G83" s="63"/>
      <c r="N83" s="1"/>
    </row>
    <row r="84" spans="1:15" ht="15.75" x14ac:dyDescent="0.25">
      <c r="A84" s="13" t="s">
        <v>32</v>
      </c>
      <c r="B84" s="67" t="s">
        <v>44</v>
      </c>
      <c r="C84" s="62"/>
      <c r="D84" s="62"/>
      <c r="E84" s="62"/>
      <c r="F84" s="62"/>
      <c r="G84" s="63"/>
    </row>
    <row r="85" spans="1:15" ht="15.75" x14ac:dyDescent="0.25">
      <c r="A85" s="39" t="s">
        <v>105</v>
      </c>
      <c r="B85" s="68" t="s">
        <v>106</v>
      </c>
      <c r="C85" s="69"/>
      <c r="D85" s="69"/>
      <c r="E85" s="69"/>
      <c r="F85" s="69"/>
      <c r="G85" s="70"/>
      <c r="J85" s="49" t="s">
        <v>49</v>
      </c>
      <c r="K85" s="41"/>
      <c r="L85" s="1"/>
      <c r="M85" s="1"/>
      <c r="O85" s="1"/>
    </row>
    <row r="86" spans="1:15" ht="15.75" x14ac:dyDescent="0.25">
      <c r="I86" s="80"/>
      <c r="J86" s="11" t="s">
        <v>10</v>
      </c>
      <c r="K86" s="38">
        <v>1440</v>
      </c>
      <c r="L86" s="1"/>
      <c r="M86" s="1"/>
      <c r="N86" s="1"/>
      <c r="O86" s="1"/>
    </row>
    <row r="87" spans="1:15" ht="15.75" x14ac:dyDescent="0.25">
      <c r="I87" s="79">
        <v>0.5</v>
      </c>
      <c r="J87" s="11" t="s">
        <v>11</v>
      </c>
      <c r="K87" s="38">
        <v>0.31</v>
      </c>
      <c r="L87" s="1"/>
      <c r="M87" s="1"/>
      <c r="N87" s="1"/>
      <c r="O87" s="1"/>
    </row>
    <row r="88" spans="1:15" ht="18.75" x14ac:dyDescent="0.25">
      <c r="I88" s="80"/>
      <c r="J88" s="15" t="s">
        <v>66</v>
      </c>
      <c r="K88" s="43">
        <f>1000*K72*K68/K86/(K68*K72/K69)^K87</f>
        <v>0.57934708428622095</v>
      </c>
      <c r="L88" s="1"/>
      <c r="M88" s="1"/>
      <c r="N88" s="1"/>
      <c r="O88" s="1"/>
    </row>
    <row r="89" spans="1:15" ht="15.75" x14ac:dyDescent="0.25">
      <c r="I89" s="80"/>
      <c r="J89" s="37" t="s">
        <v>111</v>
      </c>
      <c r="K89" s="44">
        <f>_xlfn.FORECAST.LINEAR(K73,N90:O90,N89:O89)</f>
        <v>1.5960648148148151</v>
      </c>
      <c r="M89" s="1"/>
      <c r="N89" s="38">
        <v>8640</v>
      </c>
      <c r="O89" s="38">
        <v>25920</v>
      </c>
    </row>
    <row r="90" spans="1:15" ht="18.75" x14ac:dyDescent="0.35">
      <c r="I90" s="80"/>
      <c r="J90" s="37" t="s">
        <v>99</v>
      </c>
      <c r="K90" s="44">
        <f>K73/24/3600*K89</f>
        <v>0.1847297239368999</v>
      </c>
      <c r="L90" s="1"/>
      <c r="M90" s="1"/>
      <c r="N90" s="38">
        <v>1.6</v>
      </c>
      <c r="O90" s="38">
        <v>1.55</v>
      </c>
    </row>
    <row r="91" spans="1:15" ht="15.75" x14ac:dyDescent="0.25">
      <c r="I91" s="80"/>
      <c r="J91" s="37" t="s">
        <v>68</v>
      </c>
      <c r="K91" s="43">
        <f>(4*K90/3.14/K74/K75)^0.5</f>
        <v>0.74852949347305564</v>
      </c>
      <c r="L91" s="44">
        <f>ROUNDUP(K91,1)</f>
        <v>0.79999999999999993</v>
      </c>
      <c r="M91" s="45" t="s">
        <v>120</v>
      </c>
      <c r="N91" s="1"/>
      <c r="O91" s="1"/>
    </row>
    <row r="92" spans="1:15" ht="15.75" x14ac:dyDescent="0.25">
      <c r="I92" s="80">
        <f>(4000*K90/3.14/K74/K68/(K88-0.1)+K91^2)^0.5</f>
        <v>10.037405387703041</v>
      </c>
      <c r="J92" s="37" t="s">
        <v>72</v>
      </c>
      <c r="K92" s="46">
        <f>(4000*K90/3.14/K74/K68/(K88-0)+K91^2)^0.5</f>
        <v>9.1354276066398743</v>
      </c>
      <c r="L92" s="46">
        <f>ROUND(K92,0)</f>
        <v>9</v>
      </c>
      <c r="M92" s="1"/>
      <c r="N92" s="1"/>
      <c r="O92" s="1"/>
    </row>
    <row r="93" spans="1:15" ht="15.75" x14ac:dyDescent="0.25">
      <c r="I93" s="80"/>
      <c r="J93" s="37" t="s">
        <v>75</v>
      </c>
      <c r="K93" s="38">
        <f>1.35*L91</f>
        <v>1.08</v>
      </c>
      <c r="L93" s="1"/>
      <c r="M93" s="1"/>
      <c r="N93" s="1"/>
      <c r="O93" s="1"/>
    </row>
    <row r="94" spans="1:15" ht="15.75" x14ac:dyDescent="0.25">
      <c r="I94" s="80"/>
      <c r="J94" s="37" t="s">
        <v>74</v>
      </c>
      <c r="K94" s="43">
        <f>1.3*K93</f>
        <v>1.4040000000000001</v>
      </c>
      <c r="L94" s="1"/>
      <c r="M94" s="1"/>
      <c r="N94" s="1"/>
      <c r="O94" s="1"/>
    </row>
    <row r="95" spans="1:15" ht="15.75" x14ac:dyDescent="0.25">
      <c r="I95" s="80"/>
      <c r="J95" s="37" t="s">
        <v>81</v>
      </c>
      <c r="K95" s="43">
        <f>K90/3.14/K74/K93/K77</f>
        <v>0.19454736201355177</v>
      </c>
      <c r="L95" s="1"/>
      <c r="M95" s="1"/>
      <c r="N95" s="1"/>
      <c r="O95" s="1"/>
    </row>
    <row r="96" spans="1:15" ht="15.75" x14ac:dyDescent="0.25">
      <c r="I96" s="80"/>
      <c r="J96" s="37" t="s">
        <v>83</v>
      </c>
      <c r="K96" s="43">
        <f>K72+K95+K78+K79</f>
        <v>3.9945473620135514</v>
      </c>
      <c r="L96" s="1"/>
      <c r="M96" s="1"/>
      <c r="N96" s="1"/>
      <c r="O96" s="1"/>
    </row>
    <row r="97" spans="1:15" ht="15.75" x14ac:dyDescent="0.25">
      <c r="I97" s="80"/>
      <c r="J97" s="37" t="s">
        <v>89</v>
      </c>
      <c r="K97" s="43">
        <f>0.5*L92*TAN(K80*3.14/180)</f>
        <v>5.358075377598726</v>
      </c>
      <c r="L97" s="1"/>
      <c r="M97" s="1"/>
      <c r="N97" s="1"/>
      <c r="O97" s="1"/>
    </row>
    <row r="98" spans="1:15" ht="15.75" x14ac:dyDescent="0.25">
      <c r="I98" s="80"/>
      <c r="J98" s="37" t="s">
        <v>92</v>
      </c>
      <c r="K98" s="43">
        <f>K96+K97</f>
        <v>9.3526227396122774</v>
      </c>
      <c r="L98" s="1"/>
      <c r="M98" s="1"/>
      <c r="N98" s="1"/>
      <c r="O98" s="1"/>
    </row>
    <row r="99" spans="1:15" ht="15.75" x14ac:dyDescent="0.25">
      <c r="I99" s="80"/>
      <c r="J99" s="36" t="s">
        <v>102</v>
      </c>
      <c r="K99" s="38">
        <f>K71*(1-L70)</f>
        <v>120</v>
      </c>
      <c r="L99" s="1"/>
      <c r="M99" s="1"/>
      <c r="N99" s="1"/>
      <c r="O99" s="1"/>
    </row>
    <row r="100" spans="1:15" ht="15.75" x14ac:dyDescent="0.25">
      <c r="I100" s="80"/>
      <c r="J100" s="81" t="s">
        <v>32</v>
      </c>
      <c r="K100" s="38">
        <f>K73*K71*L70/(100-K82)*K81/10^4</f>
        <v>16</v>
      </c>
      <c r="L100" s="1"/>
      <c r="N100" s="1"/>
    </row>
    <row r="101" spans="1:15" ht="19.5" x14ac:dyDescent="0.35">
      <c r="A101" s="40" t="s">
        <v>103</v>
      </c>
      <c r="B101" s="1"/>
      <c r="C101" s="1"/>
      <c r="D101" s="1"/>
      <c r="E101" s="1"/>
      <c r="F101" s="1"/>
    </row>
    <row r="102" spans="1:15" ht="15.75" x14ac:dyDescent="0.25">
      <c r="A102" s="1" t="s">
        <v>111</v>
      </c>
      <c r="B102" s="1" t="s">
        <v>112</v>
      </c>
      <c r="C102" s="1"/>
      <c r="D102" s="1"/>
      <c r="E102" s="1"/>
      <c r="F102" s="1"/>
      <c r="J102" s="41"/>
      <c r="K102" s="41"/>
      <c r="L102" s="1"/>
    </row>
    <row r="103" spans="1:15" ht="15.75" x14ac:dyDescent="0.25">
      <c r="A103" s="11" t="s">
        <v>6</v>
      </c>
      <c r="B103" s="61" t="s">
        <v>106</v>
      </c>
      <c r="C103" s="62"/>
      <c r="D103" s="62"/>
      <c r="E103" s="62"/>
      <c r="F103" s="62"/>
      <c r="G103" s="18"/>
      <c r="J103" s="42" t="s">
        <v>94</v>
      </c>
      <c r="K103" s="41"/>
      <c r="L103" s="1"/>
    </row>
    <row r="104" spans="1:15" ht="15.75" x14ac:dyDescent="0.25">
      <c r="A104" s="37" t="s">
        <v>72</v>
      </c>
      <c r="B104" s="61" t="s">
        <v>73</v>
      </c>
      <c r="C104" s="62"/>
      <c r="D104" s="62"/>
      <c r="E104" s="59"/>
      <c r="F104" s="59"/>
      <c r="G104" s="18"/>
      <c r="J104" s="11" t="s">
        <v>3</v>
      </c>
      <c r="K104" s="12">
        <v>0.45</v>
      </c>
      <c r="L104" s="1"/>
    </row>
    <row r="105" spans="1:15" ht="15.75" x14ac:dyDescent="0.25">
      <c r="A105" s="37" t="s">
        <v>108</v>
      </c>
      <c r="B105" s="62" t="s">
        <v>109</v>
      </c>
      <c r="C105" s="62"/>
      <c r="D105" s="62"/>
      <c r="E105" s="62"/>
      <c r="F105" s="62"/>
      <c r="G105" s="18"/>
      <c r="J105" s="11" t="s">
        <v>8</v>
      </c>
      <c r="K105" s="12">
        <v>0.5</v>
      </c>
      <c r="L105" s="1"/>
    </row>
    <row r="106" spans="1:15" ht="15.75" x14ac:dyDescent="0.25">
      <c r="A106" s="1"/>
      <c r="B106" s="1"/>
      <c r="C106" s="1"/>
      <c r="D106" s="1"/>
      <c r="E106" s="1"/>
      <c r="F106" s="1"/>
      <c r="J106" s="11" t="s">
        <v>7</v>
      </c>
      <c r="K106" s="12">
        <v>60</v>
      </c>
      <c r="L106" s="45">
        <f>K106/100</f>
        <v>0.6</v>
      </c>
    </row>
    <row r="107" spans="1:15" ht="15.75" x14ac:dyDescent="0.25">
      <c r="A107" s="1"/>
      <c r="B107" s="1"/>
      <c r="C107" s="1"/>
      <c r="D107" s="1"/>
      <c r="E107" s="1"/>
      <c r="F107" s="1"/>
      <c r="J107" s="36" t="s">
        <v>9</v>
      </c>
      <c r="K107" s="38">
        <v>350</v>
      </c>
      <c r="L107" s="1"/>
    </row>
    <row r="108" spans="1:15" ht="15.75" x14ac:dyDescent="0.25">
      <c r="A108" s="1"/>
      <c r="B108" s="1"/>
      <c r="C108" s="1"/>
      <c r="D108" s="1"/>
      <c r="E108" s="1"/>
      <c r="F108" s="1"/>
      <c r="J108" s="37" t="s">
        <v>4</v>
      </c>
      <c r="K108" s="38">
        <v>4</v>
      </c>
      <c r="L108" s="1"/>
    </row>
    <row r="109" spans="1:15" ht="15.75" x14ac:dyDescent="0.25">
      <c r="A109" s="1"/>
      <c r="B109" s="1"/>
      <c r="C109" s="1"/>
      <c r="D109" s="1"/>
      <c r="E109" s="1"/>
      <c r="F109" s="1"/>
      <c r="J109" s="15" t="s">
        <v>0</v>
      </c>
      <c r="K109" s="38">
        <v>70000</v>
      </c>
      <c r="L109" s="1"/>
    </row>
    <row r="110" spans="1:15" ht="15.75" x14ac:dyDescent="0.25">
      <c r="A110" s="1"/>
      <c r="B110" s="1"/>
      <c r="C110" s="1"/>
      <c r="D110" s="1"/>
      <c r="E110" s="1"/>
      <c r="F110" s="1"/>
      <c r="J110" s="15" t="s">
        <v>95</v>
      </c>
      <c r="K110" s="14">
        <v>4</v>
      </c>
      <c r="L110" s="1"/>
    </row>
    <row r="111" spans="1:15" ht="15.75" x14ac:dyDescent="0.25">
      <c r="A111" s="1"/>
      <c r="B111" s="1"/>
      <c r="C111" s="1"/>
      <c r="D111" s="1"/>
      <c r="E111" s="1"/>
      <c r="F111" s="1"/>
      <c r="J111" s="11" t="s">
        <v>6</v>
      </c>
      <c r="K111" s="14">
        <v>7</v>
      </c>
      <c r="L111" s="1"/>
    </row>
    <row r="112" spans="1:15" ht="15.75" x14ac:dyDescent="0.25">
      <c r="A112" s="1"/>
      <c r="B112" s="1"/>
      <c r="C112" s="1"/>
      <c r="D112" s="1"/>
      <c r="E112" s="1"/>
      <c r="F112" s="1"/>
      <c r="J112" s="37" t="s">
        <v>13</v>
      </c>
      <c r="K112" s="47">
        <v>0.02</v>
      </c>
      <c r="L112" s="1"/>
      <c r="N112" s="38">
        <v>300</v>
      </c>
      <c r="O112" s="38">
        <v>400</v>
      </c>
    </row>
    <row r="113" spans="1:15" ht="15.75" x14ac:dyDescent="0.25">
      <c r="A113" s="1"/>
      <c r="B113" s="1"/>
      <c r="C113" s="1"/>
      <c r="D113" s="1"/>
      <c r="E113" s="1"/>
      <c r="F113" s="1"/>
      <c r="J113" s="41"/>
      <c r="K113" s="41"/>
      <c r="L113" s="1"/>
      <c r="N113" s="38">
        <v>3600</v>
      </c>
      <c r="O113" s="38">
        <v>2700</v>
      </c>
    </row>
    <row r="114" spans="1:15" ht="15.75" x14ac:dyDescent="0.25">
      <c r="J114" s="49" t="s">
        <v>49</v>
      </c>
      <c r="K114" s="41"/>
      <c r="L114" s="1"/>
      <c r="N114" s="10"/>
      <c r="O114" s="82">
        <f>(N113+O113)/2</f>
        <v>3150</v>
      </c>
    </row>
    <row r="115" spans="1:15" ht="15.75" x14ac:dyDescent="0.25">
      <c r="J115" s="11" t="s">
        <v>10</v>
      </c>
      <c r="K115" s="38">
        <f>O114</f>
        <v>3150</v>
      </c>
      <c r="L115" s="45"/>
    </row>
    <row r="116" spans="1:15" ht="15.75" x14ac:dyDescent="0.25">
      <c r="J116" s="11" t="s">
        <v>11</v>
      </c>
      <c r="K116" s="38">
        <v>0.24</v>
      </c>
      <c r="L116" s="45"/>
      <c r="O116" s="45"/>
    </row>
    <row r="117" spans="1:15" ht="18.75" x14ac:dyDescent="0.25">
      <c r="J117" s="15" t="s">
        <v>66</v>
      </c>
      <c r="K117" s="43">
        <f>1000*K108*K104/K115/(K104*K108/K105)^K116</f>
        <v>0.42019352045036923</v>
      </c>
      <c r="L117" s="45"/>
      <c r="N117" s="38">
        <v>43200</v>
      </c>
      <c r="O117" s="38">
        <v>86400</v>
      </c>
    </row>
    <row r="118" spans="1:15" ht="15.75" x14ac:dyDescent="0.25">
      <c r="J118" s="37" t="s">
        <v>111</v>
      </c>
      <c r="K118" s="43">
        <f>_xlfn.FORECAST.LINEAR(K109,N118:O118,N117:O117)</f>
        <v>1.4813888888888886</v>
      </c>
      <c r="N118" s="38">
        <v>1.5</v>
      </c>
      <c r="O118" s="38">
        <v>1.47</v>
      </c>
    </row>
    <row r="119" spans="1:15" ht="18.75" x14ac:dyDescent="0.35">
      <c r="J119" s="37" t="s">
        <v>99</v>
      </c>
      <c r="K119" s="44">
        <f>K109/24/3600*K118</f>
        <v>1.2001993312757198</v>
      </c>
      <c r="L119" s="45"/>
      <c r="O119" s="38"/>
    </row>
    <row r="120" spans="1:15" ht="15.75" x14ac:dyDescent="0.25">
      <c r="I120" s="45">
        <f>(4000*K119/3.14/K110/K104/(K117-K112))^(1/2)</f>
        <v>46.070251485808171</v>
      </c>
      <c r="J120" s="37" t="s">
        <v>72</v>
      </c>
      <c r="K120" s="46">
        <f>POWER(4000*K119/3.14/K110/K104/(K117-K112),1/2)</f>
        <v>46.070251485808171</v>
      </c>
      <c r="L120" s="83">
        <f>ROUND(K120,0)</f>
        <v>46</v>
      </c>
      <c r="M120" s="45" t="s">
        <v>121</v>
      </c>
      <c r="N120" s="45"/>
      <c r="O120" s="45"/>
    </row>
    <row r="121" spans="1:15" ht="15.75" x14ac:dyDescent="0.25">
      <c r="J121" s="37" t="s">
        <v>108</v>
      </c>
      <c r="K121" s="48">
        <f>2*K119/3.14/K110/L120/K108</f>
        <v>1.0386659956346232E-3</v>
      </c>
      <c r="L121" s="45"/>
    </row>
    <row r="122" spans="1:15" ht="15.75" x14ac:dyDescent="0.25">
      <c r="J122" s="37" t="s">
        <v>110</v>
      </c>
      <c r="K122" s="43">
        <f>K121*1000</f>
        <v>1.0386659956346231</v>
      </c>
      <c r="L122" s="45"/>
    </row>
    <row r="123" spans="1:15" ht="15.75" x14ac:dyDescent="0.25">
      <c r="J123" s="10"/>
      <c r="K123" s="38"/>
      <c r="L123" s="45"/>
    </row>
  </sheetData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2023-04-24T11:34:35Z</dcterms:modified>
</cp:coreProperties>
</file>