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2255" windowHeight="1224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6" i="1" l="1"/>
  <c r="K25" i="1"/>
  <c r="K24" i="1"/>
  <c r="K23" i="1"/>
  <c r="K124" i="1" l="1"/>
  <c r="K123" i="1"/>
  <c r="L122" i="1"/>
  <c r="I122" i="1"/>
  <c r="K122" i="1"/>
  <c r="K121" i="1"/>
  <c r="K120" i="1"/>
  <c r="K119" i="1"/>
  <c r="K117" i="1"/>
  <c r="O116" i="1"/>
  <c r="L108" i="1"/>
  <c r="K102" i="1"/>
  <c r="K101" i="1"/>
  <c r="K100" i="1"/>
  <c r="K99" i="1"/>
  <c r="K98" i="1"/>
  <c r="K97" i="1" l="1"/>
  <c r="K95" i="1"/>
  <c r="K96" i="1"/>
  <c r="L94" i="1"/>
  <c r="L93" i="1"/>
  <c r="K92" i="1"/>
  <c r="K91" i="1"/>
  <c r="N23" i="1"/>
  <c r="K93" i="1"/>
  <c r="I94" i="1" s="1"/>
  <c r="K90" i="1"/>
  <c r="I39" i="1"/>
  <c r="K62" i="1"/>
  <c r="K61" i="1"/>
  <c r="K60" i="1"/>
  <c r="K94" i="1" l="1"/>
  <c r="N26" i="1"/>
  <c r="K56" i="1"/>
  <c r="K59" i="1" s="1"/>
  <c r="P23" i="1" l="1"/>
  <c r="K54" i="1"/>
  <c r="K55" i="1" s="1"/>
  <c r="K57" i="1" s="1"/>
  <c r="K58" i="1" s="1"/>
  <c r="L58" i="1" s="1"/>
  <c r="K63" i="1" l="1"/>
  <c r="K66" i="1"/>
  <c r="N24" i="1"/>
  <c r="N25" i="1" s="1"/>
  <c r="N27" i="1" s="1"/>
</calcChain>
</file>

<file path=xl/sharedStrings.xml><?xml version="1.0" encoding="utf-8"?>
<sst xmlns="http://schemas.openxmlformats.org/spreadsheetml/2006/main" count="232" uniqueCount="125">
  <si>
    <t>Q, м3/сут</t>
  </si>
  <si>
    <t>n</t>
  </si>
  <si>
    <t>qset, м3/ч</t>
  </si>
  <si>
    <t>Kset</t>
  </si>
  <si>
    <t>Hset, м</t>
  </si>
  <si>
    <t>Bset, м</t>
  </si>
  <si>
    <t>Vw, мм/с</t>
  </si>
  <si>
    <t>Э, %</t>
  </si>
  <si>
    <t>h1, м</t>
  </si>
  <si>
    <t>Cen, мг/л</t>
  </si>
  <si>
    <t>tset, с</t>
  </si>
  <si>
    <t>n2</t>
  </si>
  <si>
    <t>u0, мм/с</t>
  </si>
  <si>
    <t>v tb, мм/с</t>
  </si>
  <si>
    <t>Lset, м</t>
  </si>
  <si>
    <t>коэффициент использования объема проточной части отстойника</t>
  </si>
  <si>
    <t>глубина проточной части в отстойнике</t>
  </si>
  <si>
    <t>ширина секции, отделения</t>
  </si>
  <si>
    <t>скорость рабочего потока</t>
  </si>
  <si>
    <t>эффект отстаивания</t>
  </si>
  <si>
    <t>показатель степени, зависящий от агломерации взвеси в процессе осаждения</t>
  </si>
  <si>
    <t>гидравлическая крупность</t>
  </si>
  <si>
    <t>турбулентная составляющая скорости</t>
  </si>
  <si>
    <t xml:space="preserve">1 способ </t>
  </si>
  <si>
    <t xml:space="preserve">2 способ </t>
  </si>
  <si>
    <t>длина секции, отделения</t>
  </si>
  <si>
    <t>B сумм, м</t>
  </si>
  <si>
    <t>H, м</t>
  </si>
  <si>
    <t>H1, м</t>
  </si>
  <si>
    <t>H2, м</t>
  </si>
  <si>
    <t>p mud, %</t>
  </si>
  <si>
    <t>γ mud, г/см3</t>
  </si>
  <si>
    <t>Q mud, м3/сут</t>
  </si>
  <si>
    <t>α, град</t>
  </si>
  <si>
    <t>W mud, м3</t>
  </si>
  <si>
    <t>T, ч</t>
  </si>
  <si>
    <t>высота строительного борта</t>
  </si>
  <si>
    <t>высота нейтрального слоя</t>
  </si>
  <si>
    <t>влажность осадка</t>
  </si>
  <si>
    <t>плотность осадка</t>
  </si>
  <si>
    <t>угол наклона стенок илового приямка</t>
  </si>
  <si>
    <t>суммарная ширина всех отделений</t>
  </si>
  <si>
    <t>проверка рабочей скорости потока</t>
  </si>
  <si>
    <t>полная строительная высота отстойника на выходе</t>
  </si>
  <si>
    <t>количество осадка, выделяемого при отстаивании за сутки</t>
  </si>
  <si>
    <t>вместимость приямка одного отстойника для сбора осадка</t>
  </si>
  <si>
    <t>период между выгрузками осадка из отстойника</t>
  </si>
  <si>
    <t>Обозначения</t>
  </si>
  <si>
    <t>Надо принять:</t>
  </si>
  <si>
    <t>Вычислить:</t>
  </si>
  <si>
    <t>суточный расход воды</t>
  </si>
  <si>
    <t>число отстойников (отделений отстойника)</t>
  </si>
  <si>
    <t>продолжительность отстаивания взвешенных примесей, соответствующая Э</t>
  </si>
  <si>
    <t>толщина слоя воды в лабораторном цилиндре для определения tset</t>
  </si>
  <si>
    <t>концентриция взвешенных веществ в очищаемой воде</t>
  </si>
  <si>
    <t>В работе дано:</t>
  </si>
  <si>
    <t>Определить по таблицам и графику</t>
  </si>
  <si>
    <t>Дополнительные обозначения</t>
  </si>
  <si>
    <t>Остальное по методическому пособию</t>
  </si>
  <si>
    <t>В пределах от 200 до 400</t>
  </si>
  <si>
    <t>Выбрать из значений 94, 95, 96</t>
  </si>
  <si>
    <t>В пределах от 15000 до 100000</t>
  </si>
  <si>
    <t>В диапазоне от 15000 до 100000</t>
  </si>
  <si>
    <t>производительность одного отделения отстойника (часовая)</t>
  </si>
  <si>
    <t>секундный расход (всех отделений)</t>
  </si>
  <si>
    <r>
      <t>q</t>
    </r>
    <r>
      <rPr>
        <vertAlign val="subscript"/>
        <sz val="11"/>
        <color theme="1"/>
        <rFont val="Calibri"/>
        <family val="2"/>
        <charset val="204"/>
        <scheme val="minor"/>
      </rPr>
      <t>сумм</t>
    </r>
    <r>
      <rPr>
        <sz val="11"/>
        <color theme="1"/>
        <rFont val="Calibri"/>
        <family val="2"/>
        <scheme val="minor"/>
      </rPr>
      <t>, м3/c</t>
    </r>
  </si>
  <si>
    <r>
      <t>u</t>
    </r>
    <r>
      <rPr>
        <vertAlign val="subscript"/>
        <sz val="12"/>
        <color theme="1"/>
        <rFont val="Times New Roman"/>
        <family val="1"/>
        <charset val="204"/>
      </rPr>
      <t>0</t>
    </r>
    <r>
      <rPr>
        <sz val="12"/>
        <color theme="1"/>
        <rFont val="Times New Roman"/>
        <family val="1"/>
        <charset val="204"/>
      </rPr>
      <t>, мм/с</t>
    </r>
  </si>
  <si>
    <t>Для обоих способов</t>
  </si>
  <si>
    <t>den, м</t>
  </si>
  <si>
    <t>диаметр центральной трубы</t>
  </si>
  <si>
    <t xml:space="preserve">ven, м/с </t>
  </si>
  <si>
    <t>скорость движения рабочего потока в центральной трубе</t>
  </si>
  <si>
    <t>Dset, м</t>
  </si>
  <si>
    <t>диаметр отстойника</t>
  </si>
  <si>
    <t>dщ, м</t>
  </si>
  <si>
    <t>dp, м</t>
  </si>
  <si>
    <t>диаметр раструба</t>
  </si>
  <si>
    <t>диаметр отражательного щита</t>
  </si>
  <si>
    <t>поверхностью отражательного щита</t>
  </si>
  <si>
    <t>высота щели между низом центральной трубы и</t>
  </si>
  <si>
    <t xml:space="preserve">Vщ, м/с </t>
  </si>
  <si>
    <t>Н1, м</t>
  </si>
  <si>
    <t>скорость движения в щели</t>
  </si>
  <si>
    <t>Нц, м</t>
  </si>
  <si>
    <t>общая высота цилиндрической части отстойника</t>
  </si>
  <si>
    <t>высота нейтрального слоя между низом отражательного щита и</t>
  </si>
  <si>
    <t>слоем осадка</t>
  </si>
  <si>
    <t>H3, м</t>
  </si>
  <si>
    <t>высота борта отстойника</t>
  </si>
  <si>
    <t>Hк, м</t>
  </si>
  <si>
    <t>высота конусной части отстойника</t>
  </si>
  <si>
    <t>угол конического днища</t>
  </si>
  <si>
    <t>Н, м</t>
  </si>
  <si>
    <t>общая высота отстойника</t>
  </si>
  <si>
    <t>В работе дано и надо принять</t>
  </si>
  <si>
    <t>n, шт</t>
  </si>
  <si>
    <t>число отделений отстойника</t>
  </si>
  <si>
    <t>не менее 0,03 м/с</t>
  </si>
  <si>
    <t>Не более 20000 м3/сут</t>
  </si>
  <si>
    <r>
      <t>q</t>
    </r>
    <r>
      <rPr>
        <vertAlign val="subscript"/>
        <sz val="12"/>
        <color theme="1"/>
        <rFont val="Times New Roman"/>
        <family val="1"/>
        <charset val="204"/>
      </rPr>
      <t>max</t>
    </r>
    <r>
      <rPr>
        <sz val="12"/>
        <color theme="1"/>
        <rFont val="Times New Roman"/>
        <family val="1"/>
        <charset val="204"/>
      </rPr>
      <t>, м3/c</t>
    </r>
  </si>
  <si>
    <t>максимальный секундный расход сточных вод</t>
  </si>
  <si>
    <r>
      <rPr>
        <sz val="12"/>
        <color theme="1"/>
        <rFont val="Symbol"/>
        <family val="1"/>
        <charset val="2"/>
      </rPr>
      <t>a</t>
    </r>
    <r>
      <rPr>
        <sz val="12"/>
        <color theme="1"/>
        <rFont val="Times New Roman"/>
        <family val="1"/>
        <charset val="204"/>
      </rPr>
      <t>,°</t>
    </r>
  </si>
  <si>
    <t>Cex, мг/л</t>
  </si>
  <si>
    <t>Первичный радиальный отстойник</t>
  </si>
  <si>
    <t>Первичный вертикальный отстойник с центральным впуском</t>
  </si>
  <si>
    <r>
      <rPr>
        <i/>
        <sz val="11"/>
        <color theme="1"/>
        <rFont val="Times New Roman"/>
        <family val="1"/>
        <charset val="204"/>
      </rPr>
      <t>v</t>
    </r>
    <r>
      <rPr>
        <sz val="11"/>
        <color theme="1"/>
        <rFont val="Times New Roman"/>
        <family val="1"/>
        <charset val="204"/>
      </rPr>
      <t>, мм/с</t>
    </r>
  </si>
  <si>
    <t>скорость движения воды в зоне отстаивания</t>
  </si>
  <si>
    <r>
      <t xml:space="preserve">с учетом </t>
    </r>
    <r>
      <rPr>
        <i/>
        <sz val="12"/>
        <color theme="1"/>
        <rFont val="Times New Roman"/>
        <family val="1"/>
        <charset val="204"/>
      </rPr>
      <t>v</t>
    </r>
    <r>
      <rPr>
        <sz val="12"/>
        <color theme="1"/>
        <rFont val="Times New Roman"/>
        <family val="1"/>
        <charset val="204"/>
      </rPr>
      <t>=0,5-0,7 мм/с</t>
    </r>
  </si>
  <si>
    <t>v, м/с</t>
  </si>
  <si>
    <t>скорость на середине радиуса отстойника</t>
  </si>
  <si>
    <t>v, мм/с</t>
  </si>
  <si>
    <t>Kmax</t>
  </si>
  <si>
    <t>коэффициент неравномерности</t>
  </si>
  <si>
    <t>Можно определить с учетом часовой неравномерности</t>
  </si>
  <si>
    <t>qset (1отд), м3/ч</t>
  </si>
  <si>
    <t>qset.max (1отд), м3/ч</t>
  </si>
  <si>
    <t>qset.max, м3/ч</t>
  </si>
  <si>
    <t>48 час</t>
  </si>
  <si>
    <t>Сen-Cex</t>
  </si>
  <si>
    <t>800 мм</t>
  </si>
  <si>
    <t>15-50</t>
  </si>
  <si>
    <t>ФИО</t>
  </si>
  <si>
    <t>Группа</t>
  </si>
  <si>
    <t> 3140801/21702</t>
  </si>
  <si>
    <t>Забаровский Р.В.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</si>
</sst>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0"/>
    <numFmt numFmtId="166" formatCode="0.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vertAlign val="subscript"/>
      <sz val="11"/>
      <color theme="1"/>
      <name val="Calibri"/>
      <family val="2"/>
      <charset val="204"/>
      <scheme val="minor"/>
    </font>
    <font>
      <vertAlign val="subscript"/>
      <sz val="12"/>
      <color theme="1"/>
      <name val="Times New Roman"/>
      <family val="1"/>
      <charset val="204"/>
    </font>
    <font>
      <b/>
      <i/>
      <sz val="11"/>
      <color theme="1"/>
      <name val="Calibri"/>
      <family val="2"/>
      <charset val="204"/>
      <scheme val="minor"/>
    </font>
    <font>
      <b/>
      <i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Calibri"/>
      <family val="2"/>
      <scheme val="minor"/>
    </font>
    <font>
      <b/>
      <i/>
      <sz val="14"/>
      <color theme="1"/>
      <name val="Times New Roman"/>
      <family val="1"/>
      <charset val="204"/>
    </font>
    <font>
      <sz val="12"/>
      <color theme="1"/>
      <name val="Symbol"/>
      <family val="1"/>
      <charset val="2"/>
    </font>
    <font>
      <b/>
      <i/>
      <sz val="14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2" fillId="0" borderId="0" xfId="0" applyFont="1"/>
    <xf numFmtId="0" fontId="2" fillId="0" borderId="0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2" xfId="0" applyFont="1" applyBorder="1"/>
    <xf numFmtId="0" fontId="3" fillId="0" borderId="0" xfId="0" applyFont="1"/>
    <xf numFmtId="0" fontId="2" fillId="0" borderId="0" xfId="0" applyFont="1" applyFill="1" applyBorder="1" applyAlignment="1">
      <alignment horizontal="left" vertical="center"/>
    </xf>
    <xf numFmtId="0" fontId="0" fillId="0" borderId="4" xfId="0" applyBorder="1"/>
    <xf numFmtId="0" fontId="2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Fill="1" applyBorder="1"/>
    <xf numFmtId="0" fontId="2" fillId="0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Border="1"/>
    <xf numFmtId="0" fontId="2" fillId="0" borderId="5" xfId="0" applyFont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2" fillId="0" borderId="7" xfId="0" applyFont="1" applyFill="1" applyBorder="1" applyAlignment="1">
      <alignment horizontal="left" vertical="center"/>
    </xf>
    <xf numFmtId="164" fontId="2" fillId="0" borderId="7" xfId="0" applyNumberFormat="1" applyFont="1" applyFill="1" applyBorder="1" applyAlignment="1">
      <alignment horizontal="center" vertical="center"/>
    </xf>
    <xf numFmtId="0" fontId="2" fillId="0" borderId="8" xfId="0" applyFont="1" applyFill="1" applyBorder="1"/>
    <xf numFmtId="0" fontId="0" fillId="0" borderId="8" xfId="0" applyBorder="1"/>
    <xf numFmtId="0" fontId="2" fillId="2" borderId="0" xfId="0" applyFont="1" applyFill="1" applyBorder="1"/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2" fontId="2" fillId="2" borderId="0" xfId="0" applyNumberFormat="1" applyFont="1" applyFill="1" applyBorder="1" applyAlignment="1">
      <alignment horizontal="center" vertical="center"/>
    </xf>
    <xf numFmtId="0" fontId="6" fillId="0" borderId="0" xfId="0" applyFont="1"/>
    <xf numFmtId="0" fontId="7" fillId="0" borderId="0" xfId="0" applyFont="1" applyFill="1" applyBorder="1" applyAlignment="1">
      <alignment horizontal="left" vertical="center"/>
    </xf>
    <xf numFmtId="0" fontId="6" fillId="0" borderId="0" xfId="0" applyFont="1" applyBorder="1"/>
    <xf numFmtId="0" fontId="2" fillId="0" borderId="9" xfId="0" applyFont="1" applyFill="1" applyBorder="1" applyAlignment="1">
      <alignment horizontal="left" vertical="center"/>
    </xf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8" fillId="0" borderId="4" xfId="0" applyFont="1" applyBorder="1"/>
    <xf numFmtId="0" fontId="10" fillId="0" borderId="0" xfId="0" applyFont="1"/>
    <xf numFmtId="0" fontId="2" fillId="0" borderId="0" xfId="0" applyFont="1" applyBorder="1"/>
    <xf numFmtId="0" fontId="7" fillId="0" borderId="0" xfId="0" applyFont="1"/>
    <xf numFmtId="2" fontId="2" fillId="0" borderId="4" xfId="0" applyNumberFormat="1" applyFont="1" applyBorder="1" applyAlignment="1">
      <alignment horizontal="center"/>
    </xf>
    <xf numFmtId="166" fontId="2" fillId="0" borderId="4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7" fillId="0" borderId="0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0" fillId="0" borderId="9" xfId="0" applyBorder="1"/>
    <xf numFmtId="0" fontId="0" fillId="0" borderId="16" xfId="0" applyBorder="1"/>
    <xf numFmtId="0" fontId="0" fillId="0" borderId="17" xfId="0" applyBorder="1"/>
    <xf numFmtId="0" fontId="2" fillId="0" borderId="9" xfId="0" applyFont="1" applyBorder="1"/>
    <xf numFmtId="0" fontId="2" fillId="0" borderId="16" xfId="0" applyFont="1" applyBorder="1"/>
    <xf numFmtId="0" fontId="2" fillId="0" borderId="17" xfId="0" applyFont="1" applyBorder="1"/>
    <xf numFmtId="0" fontId="0" fillId="0" borderId="18" xfId="0" applyBorder="1"/>
    <xf numFmtId="0" fontId="2" fillId="0" borderId="18" xfId="0" applyFont="1" applyBorder="1"/>
    <xf numFmtId="0" fontId="12" fillId="0" borderId="0" xfId="0" applyFont="1"/>
    <xf numFmtId="0" fontId="2" fillId="0" borderId="19" xfId="0" applyFont="1" applyBorder="1" applyAlignment="1">
      <alignment vertical="center"/>
    </xf>
    <xf numFmtId="0" fontId="2" fillId="0" borderId="9" xfId="0" applyFont="1" applyFill="1" applyBorder="1"/>
    <xf numFmtId="0" fontId="9" fillId="0" borderId="16" xfId="0" applyFont="1" applyBorder="1"/>
    <xf numFmtId="0" fontId="9" fillId="0" borderId="17" xfId="0" applyFont="1" applyBorder="1"/>
    <xf numFmtId="164" fontId="2" fillId="0" borderId="0" xfId="0" applyNumberFormat="1" applyFont="1" applyFill="1" applyBorder="1" applyAlignment="1">
      <alignment horizontal="center" vertical="center"/>
    </xf>
    <xf numFmtId="0" fontId="0" fillId="0" borderId="0" xfId="0" applyFill="1"/>
    <xf numFmtId="2" fontId="2" fillId="0" borderId="4" xfId="0" applyNumberFormat="1" applyFont="1" applyFill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166" fontId="2" fillId="0" borderId="4" xfId="0" applyNumberFormat="1" applyFont="1" applyFill="1" applyBorder="1" applyAlignment="1">
      <alignment horizontal="center" vertical="center"/>
    </xf>
    <xf numFmtId="9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2" fillId="0" borderId="9" xfId="0" applyFont="1" applyFill="1" applyBorder="1" applyAlignment="1">
      <alignment horizontal="left"/>
    </xf>
    <xf numFmtId="0" fontId="15" fillId="0" borderId="4" xfId="0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0" fontId="1" fillId="0" borderId="4" xfId="0" applyFont="1" applyBorder="1" applyAlignment="1">
      <alignment horizontal="right"/>
    </xf>
    <xf numFmtId="0" fontId="16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5"/>
  <sheetViews>
    <sheetView tabSelected="1" topLeftCell="A108" zoomScale="89" zoomScaleNormal="55" workbookViewId="0">
      <selection activeCell="K87" sqref="K87"/>
    </sheetView>
  </sheetViews>
  <sheetFormatPr defaultRowHeight="15" x14ac:dyDescent="0.25"/>
  <cols>
    <col min="1" max="1" width="14.140625" customWidth="1"/>
    <col min="4" max="4" width="14.28515625" bestFit="1" customWidth="1"/>
    <col min="7" max="7" width="14.28515625" bestFit="1" customWidth="1"/>
    <col min="10" max="10" width="15.85546875" customWidth="1"/>
    <col min="11" max="11" width="16.140625" customWidth="1"/>
    <col min="12" max="12" width="11.85546875" customWidth="1"/>
    <col min="13" max="13" width="21" customWidth="1"/>
    <col min="16" max="16" width="10.28515625" customWidth="1"/>
  </cols>
  <sheetData>
    <row r="1" spans="1:14" x14ac:dyDescent="0.25">
      <c r="A1" t="s">
        <v>121</v>
      </c>
      <c r="B1" t="s">
        <v>124</v>
      </c>
    </row>
    <row r="2" spans="1:14" x14ac:dyDescent="0.25">
      <c r="A2" t="s">
        <v>122</v>
      </c>
      <c r="B2" t="s">
        <v>123</v>
      </c>
    </row>
    <row r="3" spans="1:14" ht="18.75" x14ac:dyDescent="0.3">
      <c r="A3" s="8" t="s">
        <v>23</v>
      </c>
      <c r="J3" s="33" t="s">
        <v>55</v>
      </c>
    </row>
    <row r="4" spans="1:14" ht="16.5" thickBot="1" x14ac:dyDescent="0.3">
      <c r="A4" s="33" t="s">
        <v>47</v>
      </c>
      <c r="J4" s="11" t="s">
        <v>3</v>
      </c>
      <c r="K4" s="12">
        <v>0.5</v>
      </c>
    </row>
    <row r="5" spans="1:14" ht="15.75" x14ac:dyDescent="0.25">
      <c r="A5" s="4" t="s">
        <v>0</v>
      </c>
      <c r="B5" s="2" t="s">
        <v>50</v>
      </c>
      <c r="J5" s="11" t="s">
        <v>8</v>
      </c>
      <c r="K5" s="12">
        <v>0.5</v>
      </c>
    </row>
    <row r="6" spans="1:14" ht="15.75" x14ac:dyDescent="0.25">
      <c r="A6" s="5" t="s">
        <v>1</v>
      </c>
      <c r="B6" s="2" t="s">
        <v>51</v>
      </c>
      <c r="J6" s="11" t="s">
        <v>7</v>
      </c>
      <c r="K6" s="12">
        <v>50</v>
      </c>
    </row>
    <row r="7" spans="1:14" ht="15.75" x14ac:dyDescent="0.25">
      <c r="A7" s="5" t="s">
        <v>3</v>
      </c>
      <c r="B7" s="2" t="s">
        <v>15</v>
      </c>
    </row>
    <row r="8" spans="1:14" ht="15.75" x14ac:dyDescent="0.25">
      <c r="A8" s="5" t="s">
        <v>4</v>
      </c>
      <c r="B8" s="2" t="s">
        <v>16</v>
      </c>
      <c r="J8" s="33" t="s">
        <v>48</v>
      </c>
    </row>
    <row r="9" spans="1:14" ht="15.75" x14ac:dyDescent="0.25">
      <c r="A9" s="5" t="s">
        <v>5</v>
      </c>
      <c r="B9" s="2" t="s">
        <v>17</v>
      </c>
      <c r="J9" s="11" t="s">
        <v>0</v>
      </c>
      <c r="K9" s="12">
        <v>50000</v>
      </c>
      <c r="L9" t="s">
        <v>61</v>
      </c>
    </row>
    <row r="10" spans="1:14" ht="15.75" x14ac:dyDescent="0.25">
      <c r="A10" s="5" t="s">
        <v>6</v>
      </c>
      <c r="B10" s="2" t="s">
        <v>18</v>
      </c>
      <c r="J10" s="11" t="s">
        <v>9</v>
      </c>
      <c r="K10" s="83">
        <v>300</v>
      </c>
      <c r="L10" t="s">
        <v>59</v>
      </c>
    </row>
    <row r="11" spans="1:14" ht="15.75" x14ac:dyDescent="0.25">
      <c r="A11" s="5" t="s">
        <v>7</v>
      </c>
      <c r="B11" s="3" t="s">
        <v>19</v>
      </c>
      <c r="J11" s="11" t="s">
        <v>1</v>
      </c>
      <c r="K11" s="12">
        <v>6</v>
      </c>
      <c r="L11" t="s">
        <v>58</v>
      </c>
    </row>
    <row r="12" spans="1:14" ht="15.75" x14ac:dyDescent="0.25">
      <c r="A12" s="5" t="s">
        <v>8</v>
      </c>
      <c r="B12" s="3" t="s">
        <v>53</v>
      </c>
      <c r="J12" s="11" t="s">
        <v>4</v>
      </c>
      <c r="K12" s="12">
        <v>3</v>
      </c>
    </row>
    <row r="13" spans="1:14" ht="15.75" x14ac:dyDescent="0.25">
      <c r="A13" s="5" t="s">
        <v>9</v>
      </c>
      <c r="B13" s="3" t="s">
        <v>54</v>
      </c>
      <c r="J13" s="11" t="s">
        <v>5</v>
      </c>
      <c r="K13" s="12">
        <v>9</v>
      </c>
      <c r="N13" s="16"/>
    </row>
    <row r="14" spans="1:14" ht="15.75" x14ac:dyDescent="0.25">
      <c r="A14" s="5" t="s">
        <v>10</v>
      </c>
      <c r="B14" s="3" t="s">
        <v>52</v>
      </c>
      <c r="J14" s="11" t="s">
        <v>6</v>
      </c>
      <c r="K14" s="12">
        <v>7</v>
      </c>
    </row>
    <row r="15" spans="1:14" ht="16.5" thickBot="1" x14ac:dyDescent="0.3">
      <c r="A15" s="6" t="s">
        <v>11</v>
      </c>
      <c r="B15" s="3" t="s">
        <v>20</v>
      </c>
    </row>
    <row r="16" spans="1:14" ht="15.75" x14ac:dyDescent="0.25">
      <c r="A16" s="4" t="s">
        <v>2</v>
      </c>
      <c r="B16" s="2" t="s">
        <v>63</v>
      </c>
      <c r="J16" s="34" t="s">
        <v>56</v>
      </c>
    </row>
    <row r="17" spans="1:16" ht="18.75" x14ac:dyDescent="0.25">
      <c r="A17" s="5" t="s">
        <v>66</v>
      </c>
      <c r="B17" s="3" t="s">
        <v>21</v>
      </c>
      <c r="J17" s="11" t="s">
        <v>10</v>
      </c>
      <c r="K17" s="12">
        <v>1800</v>
      </c>
    </row>
    <row r="18" spans="1:16" ht="15.75" x14ac:dyDescent="0.25">
      <c r="A18" s="7" t="s">
        <v>13</v>
      </c>
      <c r="B18" s="3" t="s">
        <v>22</v>
      </c>
      <c r="J18" s="11" t="s">
        <v>11</v>
      </c>
      <c r="K18" s="12">
        <v>0.2</v>
      </c>
    </row>
    <row r="19" spans="1:16" ht="16.5" thickBot="1" x14ac:dyDescent="0.3">
      <c r="A19" s="6" t="s">
        <v>14</v>
      </c>
      <c r="B19" s="3" t="s">
        <v>25</v>
      </c>
      <c r="J19" s="13" t="s">
        <v>13</v>
      </c>
      <c r="K19" s="14">
        <v>0.02</v>
      </c>
    </row>
    <row r="21" spans="1:16" x14ac:dyDescent="0.25">
      <c r="F21" s="35"/>
      <c r="G21" s="18"/>
    </row>
    <row r="22" spans="1:16" ht="15.75" x14ac:dyDescent="0.25">
      <c r="E22" s="1">
        <v>43200</v>
      </c>
      <c r="F22" s="9">
        <v>86400</v>
      </c>
      <c r="G22" s="18"/>
      <c r="J22" s="33" t="s">
        <v>49</v>
      </c>
      <c r="M22" t="s">
        <v>113</v>
      </c>
    </row>
    <row r="23" spans="1:16" ht="15.75" x14ac:dyDescent="0.25">
      <c r="E23" s="1">
        <v>1.5</v>
      </c>
      <c r="F23" s="41">
        <v>1.47</v>
      </c>
      <c r="G23" s="22"/>
      <c r="J23" s="15" t="s">
        <v>116</v>
      </c>
      <c r="K23" s="38">
        <f>K9/24*N23</f>
        <v>3115.1620370370365</v>
      </c>
      <c r="M23" s="10" t="s">
        <v>111</v>
      </c>
      <c r="N23" s="43">
        <f>_xlfn.FORECAST.LINEAR(K9,E23:F23,E22:F22)</f>
        <v>1.4952777777777775</v>
      </c>
      <c r="P23" s="76">
        <f>K9/24</f>
        <v>2083.3333333333335</v>
      </c>
    </row>
    <row r="24" spans="1:16" ht="15.75" x14ac:dyDescent="0.25">
      <c r="F24" s="41"/>
      <c r="G24" s="18"/>
      <c r="J24" s="15" t="s">
        <v>114</v>
      </c>
      <c r="K24" s="46">
        <f>K23/K11</f>
        <v>519.19367283950612</v>
      </c>
      <c r="M24" s="15" t="s">
        <v>116</v>
      </c>
      <c r="N24" s="38">
        <f>K9/24*N23</f>
        <v>3115.1620370370365</v>
      </c>
    </row>
    <row r="25" spans="1:16" ht="15.75" x14ac:dyDescent="0.25">
      <c r="F25" s="18"/>
      <c r="G25" s="18"/>
      <c r="J25" s="15" t="s">
        <v>12</v>
      </c>
      <c r="K25" s="43">
        <f>1000*K12*K4/(K17*POWER(K4*K12/K5,K18))</f>
        <v>0.66895130146685877</v>
      </c>
      <c r="M25" s="15" t="s">
        <v>115</v>
      </c>
      <c r="N25" s="46">
        <f>N24/K11</f>
        <v>519.19367283950612</v>
      </c>
    </row>
    <row r="26" spans="1:16" ht="15.75" x14ac:dyDescent="0.25">
      <c r="F26" s="9"/>
      <c r="G26" s="23"/>
      <c r="J26" s="15" t="s">
        <v>14</v>
      </c>
      <c r="K26" s="74">
        <f>N25/3.6/K4/K13/(N26-K19)</f>
        <v>49.385819980859544</v>
      </c>
      <c r="M26" s="15" t="s">
        <v>12</v>
      </c>
      <c r="N26" s="43">
        <f>1000*K12*K4/(K17*POWER(K4*K12/K5,K18))</f>
        <v>0.66895130146685877</v>
      </c>
    </row>
    <row r="27" spans="1:16" ht="15.75" x14ac:dyDescent="0.25">
      <c r="F27" s="9"/>
      <c r="G27" s="71"/>
      <c r="M27" s="15" t="s">
        <v>14</v>
      </c>
      <c r="N27" s="74">
        <f>N25/3.6/K4/K13/(N26-K19)</f>
        <v>49.385819980859544</v>
      </c>
    </row>
    <row r="28" spans="1:16" ht="18.75" x14ac:dyDescent="0.3">
      <c r="A28" s="8" t="s">
        <v>24</v>
      </c>
    </row>
    <row r="29" spans="1:16" ht="18.75" x14ac:dyDescent="0.3">
      <c r="A29" s="33" t="s">
        <v>57</v>
      </c>
      <c r="C29" s="1"/>
      <c r="F29" s="1"/>
      <c r="J29" s="8" t="s">
        <v>24</v>
      </c>
    </row>
    <row r="30" spans="1:16" ht="18" x14ac:dyDescent="0.35">
      <c r="A30" s="10" t="s">
        <v>65</v>
      </c>
      <c r="B30" t="s">
        <v>64</v>
      </c>
      <c r="J30" s="33" t="s">
        <v>55</v>
      </c>
    </row>
    <row r="31" spans="1:16" ht="15.75" x14ac:dyDescent="0.25">
      <c r="A31" s="15" t="s">
        <v>26</v>
      </c>
      <c r="B31" s="19" t="s">
        <v>41</v>
      </c>
      <c r="J31" s="11" t="s">
        <v>3</v>
      </c>
      <c r="K31" s="12">
        <v>0.5</v>
      </c>
    </row>
    <row r="32" spans="1:16" ht="15.75" x14ac:dyDescent="0.25">
      <c r="J32" s="11" t="s">
        <v>8</v>
      </c>
      <c r="K32" s="12">
        <v>0.5</v>
      </c>
    </row>
    <row r="33" spans="1:12" ht="15.75" x14ac:dyDescent="0.25">
      <c r="J33" s="11" t="s">
        <v>7</v>
      </c>
      <c r="K33" s="12">
        <v>50</v>
      </c>
    </row>
    <row r="34" spans="1:12" ht="15.75" x14ac:dyDescent="0.25">
      <c r="A34" s="33" t="s">
        <v>67</v>
      </c>
      <c r="B34" s="33"/>
      <c r="J34" s="15" t="s">
        <v>28</v>
      </c>
      <c r="K34" s="14">
        <v>0.4</v>
      </c>
    </row>
    <row r="35" spans="1:12" ht="15.75" x14ac:dyDescent="0.25">
      <c r="A35" s="15" t="s">
        <v>28</v>
      </c>
      <c r="B35" s="19" t="s">
        <v>36</v>
      </c>
      <c r="J35" s="15" t="s">
        <v>29</v>
      </c>
      <c r="K35" s="14">
        <v>0.3</v>
      </c>
    </row>
    <row r="36" spans="1:12" ht="15.75" x14ac:dyDescent="0.25">
      <c r="A36" s="15" t="s">
        <v>29</v>
      </c>
      <c r="B36" s="19" t="s">
        <v>37</v>
      </c>
      <c r="J36" s="11" t="s">
        <v>31</v>
      </c>
      <c r="K36" s="14">
        <v>1</v>
      </c>
    </row>
    <row r="37" spans="1:12" ht="15.75" x14ac:dyDescent="0.25">
      <c r="A37" s="13" t="s">
        <v>27</v>
      </c>
      <c r="B37" s="19" t="s">
        <v>43</v>
      </c>
      <c r="J37" s="18"/>
      <c r="K37" s="18"/>
    </row>
    <row r="38" spans="1:12" ht="15.75" x14ac:dyDescent="0.25">
      <c r="A38" s="15" t="s">
        <v>30</v>
      </c>
      <c r="B38" s="19" t="s">
        <v>38</v>
      </c>
      <c r="J38" s="35" t="s">
        <v>48</v>
      </c>
      <c r="K38" s="18"/>
    </row>
    <row r="39" spans="1:12" ht="15.75" x14ac:dyDescent="0.25">
      <c r="A39" s="11" t="s">
        <v>31</v>
      </c>
      <c r="B39" s="19" t="s">
        <v>39</v>
      </c>
      <c r="I39" s="45">
        <f>K39/24</f>
        <v>2083.3333333333335</v>
      </c>
      <c r="J39" s="15" t="s">
        <v>0</v>
      </c>
      <c r="K39" s="14">
        <v>50000</v>
      </c>
      <c r="L39" t="s">
        <v>62</v>
      </c>
    </row>
    <row r="40" spans="1:12" ht="15.75" x14ac:dyDescent="0.25">
      <c r="A40" s="11" t="s">
        <v>33</v>
      </c>
      <c r="B40" s="19" t="s">
        <v>40</v>
      </c>
      <c r="J40" s="15" t="s">
        <v>9</v>
      </c>
      <c r="K40" s="47">
        <v>300</v>
      </c>
      <c r="L40" t="s">
        <v>59</v>
      </c>
    </row>
    <row r="41" spans="1:12" ht="15.75" x14ac:dyDescent="0.25">
      <c r="A41" s="13" t="s">
        <v>32</v>
      </c>
      <c r="B41" s="19" t="s">
        <v>44</v>
      </c>
      <c r="F41" s="1"/>
      <c r="J41" s="15" t="s">
        <v>30</v>
      </c>
      <c r="K41" s="14">
        <v>95</v>
      </c>
      <c r="L41" t="s">
        <v>60</v>
      </c>
    </row>
    <row r="42" spans="1:12" ht="15.75" x14ac:dyDescent="0.25">
      <c r="A42" s="13" t="s">
        <v>34</v>
      </c>
      <c r="B42" s="19" t="s">
        <v>45</v>
      </c>
      <c r="J42" s="15" t="s">
        <v>4</v>
      </c>
      <c r="K42" s="14">
        <v>3</v>
      </c>
      <c r="L42" t="s">
        <v>58</v>
      </c>
    </row>
    <row r="43" spans="1:12" ht="15.75" x14ac:dyDescent="0.25">
      <c r="A43" s="13" t="s">
        <v>35</v>
      </c>
      <c r="B43" s="20" t="s">
        <v>46</v>
      </c>
      <c r="J43" s="15" t="s">
        <v>5</v>
      </c>
      <c r="K43" s="14">
        <v>9</v>
      </c>
    </row>
    <row r="44" spans="1:12" ht="15.75" x14ac:dyDescent="0.25">
      <c r="J44" s="15" t="s">
        <v>6</v>
      </c>
      <c r="K44" s="14">
        <v>6</v>
      </c>
    </row>
    <row r="45" spans="1:12" ht="15.75" x14ac:dyDescent="0.25">
      <c r="J45" s="15" t="s">
        <v>33</v>
      </c>
      <c r="K45" s="14">
        <v>50</v>
      </c>
    </row>
    <row r="46" spans="1:12" ht="15.75" x14ac:dyDescent="0.25">
      <c r="D46" s="17"/>
      <c r="E46" s="16"/>
    </row>
    <row r="47" spans="1:12" ht="15.75" x14ac:dyDescent="0.25">
      <c r="D47" s="17"/>
      <c r="E47" s="16"/>
    </row>
    <row r="48" spans="1:12" ht="15.75" x14ac:dyDescent="0.25">
      <c r="D48" s="17"/>
      <c r="E48" s="16"/>
      <c r="G48" s="24"/>
      <c r="H48" s="23"/>
      <c r="J48" s="34" t="s">
        <v>56</v>
      </c>
      <c r="K48" s="18"/>
    </row>
    <row r="49" spans="4:12" ht="15.75" x14ac:dyDescent="0.25">
      <c r="D49" s="17"/>
      <c r="E49" s="16"/>
      <c r="G49" s="21"/>
      <c r="H49" s="22"/>
      <c r="J49" s="11" t="s">
        <v>10</v>
      </c>
      <c r="K49" s="12">
        <v>1800</v>
      </c>
    </row>
    <row r="50" spans="4:12" ht="15.75" x14ac:dyDescent="0.25">
      <c r="D50" s="29"/>
      <c r="E50" s="30"/>
      <c r="G50" s="9"/>
      <c r="H50" s="22"/>
      <c r="J50" s="11" t="s">
        <v>11</v>
      </c>
      <c r="K50" s="12">
        <v>0.2</v>
      </c>
    </row>
    <row r="51" spans="4:12" ht="15.75" x14ac:dyDescent="0.25">
      <c r="D51" s="31"/>
      <c r="E51" s="32"/>
      <c r="G51" s="9"/>
      <c r="H51" s="22"/>
      <c r="J51" s="13" t="s">
        <v>13</v>
      </c>
      <c r="K51" s="14">
        <v>0.01</v>
      </c>
    </row>
    <row r="52" spans="4:12" ht="15.75" x14ac:dyDescent="0.25">
      <c r="G52" s="24"/>
      <c r="H52" s="22"/>
    </row>
    <row r="53" spans="4:12" ht="15.75" x14ac:dyDescent="0.25">
      <c r="G53" s="24"/>
      <c r="H53" s="22"/>
      <c r="J53" s="35" t="s">
        <v>49</v>
      </c>
      <c r="K53" s="18"/>
    </row>
    <row r="54" spans="4:12" ht="15.75" x14ac:dyDescent="0.25">
      <c r="G54" s="24"/>
      <c r="H54" s="22"/>
      <c r="J54" s="37" t="s">
        <v>111</v>
      </c>
      <c r="K54" s="44">
        <f>N23</f>
        <v>1.4952777777777775</v>
      </c>
      <c r="L54" s="1"/>
    </row>
    <row r="55" spans="4:12" ht="18.75" x14ac:dyDescent="0.35">
      <c r="G55" s="24"/>
      <c r="H55" s="22"/>
      <c r="J55" s="37" t="s">
        <v>99</v>
      </c>
      <c r="K55" s="77">
        <f>K39/24/3600*K54</f>
        <v>0.86532278806584351</v>
      </c>
      <c r="L55" s="1"/>
    </row>
    <row r="56" spans="4:12" ht="18.75" x14ac:dyDescent="0.25">
      <c r="D56" s="17"/>
      <c r="E56" s="22"/>
      <c r="I56" s="72"/>
      <c r="J56" s="15" t="s">
        <v>66</v>
      </c>
      <c r="K56" s="73">
        <f>1000*K42*K31/(K49*POWER(K31*K42/K32,K50))</f>
        <v>0.66895130146685877</v>
      </c>
      <c r="L56" s="1"/>
    </row>
    <row r="57" spans="4:12" ht="15.75" x14ac:dyDescent="0.25">
      <c r="D57" s="18"/>
      <c r="E57" s="18"/>
      <c r="J57" s="15" t="s">
        <v>26</v>
      </c>
      <c r="K57" s="43">
        <f>1000*K55/K44/K42</f>
        <v>48.073488225880197</v>
      </c>
      <c r="L57" s="1"/>
    </row>
    <row r="58" spans="4:12" ht="15.75" x14ac:dyDescent="0.25">
      <c r="D58" s="17"/>
      <c r="E58" s="16"/>
      <c r="J58" s="15" t="s">
        <v>1</v>
      </c>
      <c r="K58" s="73">
        <f>K57/K43</f>
        <v>5.3414986917644667</v>
      </c>
      <c r="L58" s="76">
        <f>ROUNDUP(K58,0)</f>
        <v>6</v>
      </c>
    </row>
    <row r="59" spans="4:12" ht="15.75" x14ac:dyDescent="0.25">
      <c r="J59" s="25" t="s">
        <v>14</v>
      </c>
      <c r="K59" s="26">
        <f>K44*K42/(K31*(K56-K51))</f>
        <v>54.632261776951026</v>
      </c>
      <c r="L59" s="1"/>
    </row>
    <row r="60" spans="4:12" ht="15.75" x14ac:dyDescent="0.25">
      <c r="J60" s="13" t="s">
        <v>27</v>
      </c>
      <c r="K60" s="47">
        <f>K42+K34+K35</f>
        <v>3.6999999999999997</v>
      </c>
      <c r="L60" s="1"/>
    </row>
    <row r="61" spans="4:12" ht="15.75" x14ac:dyDescent="0.25">
      <c r="J61" s="13" t="s">
        <v>32</v>
      </c>
      <c r="K61" s="47">
        <f>K39*(K40-150)/((100-K41)*K36*10^4)</f>
        <v>150</v>
      </c>
      <c r="L61" s="1" t="s">
        <v>118</v>
      </c>
    </row>
    <row r="62" spans="4:12" ht="15.75" x14ac:dyDescent="0.25">
      <c r="J62" s="27" t="s">
        <v>34</v>
      </c>
      <c r="K62" s="75">
        <f>1/6*(K43-0.5)*((K43^2)+0.5*K43+0.25)*TAN(K45*3.14/180)</f>
        <v>144.64322929063968</v>
      </c>
      <c r="L62" s="1"/>
    </row>
    <row r="63" spans="4:12" ht="15.75" x14ac:dyDescent="0.25">
      <c r="J63" s="13" t="s">
        <v>35</v>
      </c>
      <c r="K63" s="74">
        <f>24*L58*K62/K61</f>
        <v>138.85750011901411</v>
      </c>
      <c r="L63" s="84" t="s">
        <v>117</v>
      </c>
    </row>
    <row r="64" spans="4:12" x14ac:dyDescent="0.25">
      <c r="K64" s="18"/>
    </row>
    <row r="65" spans="1:15" ht="15.75" x14ac:dyDescent="0.25">
      <c r="J65" s="2" t="s">
        <v>42</v>
      </c>
      <c r="K65" s="28"/>
    </row>
    <row r="66" spans="1:15" ht="15.75" x14ac:dyDescent="0.25">
      <c r="J66" s="15" t="s">
        <v>6</v>
      </c>
      <c r="K66" s="46">
        <f>1000*K55/K42/K43/L58</f>
        <v>5.3414986917644667</v>
      </c>
    </row>
    <row r="67" spans="1:15" ht="18.75" x14ac:dyDescent="0.3">
      <c r="A67" s="66" t="s">
        <v>104</v>
      </c>
    </row>
    <row r="69" spans="1:15" ht="18.75" x14ac:dyDescent="0.35">
      <c r="A69" s="37" t="s">
        <v>99</v>
      </c>
      <c r="B69" s="58" t="s">
        <v>100</v>
      </c>
      <c r="C69" s="59"/>
      <c r="D69" s="59"/>
      <c r="E69" s="59"/>
      <c r="F69" s="59"/>
      <c r="G69" s="60"/>
      <c r="J69" s="42" t="s">
        <v>94</v>
      </c>
      <c r="K69" s="1"/>
    </row>
    <row r="70" spans="1:15" ht="15.75" x14ac:dyDescent="0.25">
      <c r="A70" s="5" t="s">
        <v>1</v>
      </c>
      <c r="B70" s="2" t="s">
        <v>96</v>
      </c>
      <c r="G70" s="64"/>
      <c r="J70" s="11" t="s">
        <v>3</v>
      </c>
      <c r="K70" s="12">
        <v>0.35</v>
      </c>
    </row>
    <row r="71" spans="1:15" ht="15.75" x14ac:dyDescent="0.25">
      <c r="A71" s="37" t="s">
        <v>68</v>
      </c>
      <c r="B71" s="61" t="s">
        <v>69</v>
      </c>
      <c r="C71" s="62"/>
      <c r="D71" s="62"/>
      <c r="E71" s="59"/>
      <c r="F71" s="59"/>
      <c r="G71" s="60"/>
      <c r="J71" s="11" t="s">
        <v>8</v>
      </c>
      <c r="K71" s="12">
        <v>0.5</v>
      </c>
      <c r="O71" s="1"/>
    </row>
    <row r="72" spans="1:15" ht="15.75" x14ac:dyDescent="0.25">
      <c r="A72" s="37" t="s">
        <v>70</v>
      </c>
      <c r="B72" s="1" t="s">
        <v>71</v>
      </c>
      <c r="C72" s="1"/>
      <c r="D72" s="1"/>
      <c r="G72" s="64"/>
      <c r="J72" s="11" t="s">
        <v>7</v>
      </c>
      <c r="K72" s="12">
        <v>40</v>
      </c>
      <c r="L72" s="45">
        <v>0.4</v>
      </c>
      <c r="O72" s="1"/>
    </row>
    <row r="73" spans="1:15" ht="15.75" x14ac:dyDescent="0.25">
      <c r="A73" s="37" t="s">
        <v>72</v>
      </c>
      <c r="B73" s="61" t="s">
        <v>73</v>
      </c>
      <c r="C73" s="62"/>
      <c r="D73" s="62"/>
      <c r="E73" s="59"/>
      <c r="F73" s="59"/>
      <c r="G73" s="60"/>
      <c r="J73" s="36" t="s">
        <v>9</v>
      </c>
      <c r="K73" s="38">
        <v>200</v>
      </c>
      <c r="L73" s="1" t="s">
        <v>59</v>
      </c>
      <c r="M73" s="1"/>
      <c r="O73" s="1"/>
    </row>
    <row r="74" spans="1:15" ht="15.75" x14ac:dyDescent="0.25">
      <c r="A74" s="37" t="s">
        <v>75</v>
      </c>
      <c r="B74" s="1" t="s">
        <v>76</v>
      </c>
      <c r="C74" s="1"/>
      <c r="D74" s="1"/>
      <c r="E74" s="1"/>
      <c r="F74" s="1"/>
      <c r="G74" s="65"/>
      <c r="J74" s="37" t="s">
        <v>4</v>
      </c>
      <c r="K74" s="38">
        <v>3</v>
      </c>
      <c r="L74" s="1"/>
      <c r="M74" s="1"/>
      <c r="N74" s="1"/>
      <c r="O74" s="1"/>
    </row>
    <row r="75" spans="1:15" ht="15.75" x14ac:dyDescent="0.25">
      <c r="A75" s="37" t="s">
        <v>74</v>
      </c>
      <c r="B75" s="61" t="s">
        <v>77</v>
      </c>
      <c r="C75" s="62"/>
      <c r="D75" s="62"/>
      <c r="E75" s="62"/>
      <c r="F75" s="62"/>
      <c r="G75" s="63"/>
      <c r="J75" s="15" t="s">
        <v>0</v>
      </c>
      <c r="K75" s="38">
        <v>10000</v>
      </c>
      <c r="L75" s="1" t="s">
        <v>98</v>
      </c>
      <c r="M75" s="1"/>
      <c r="N75" s="1"/>
      <c r="O75" s="1"/>
    </row>
    <row r="76" spans="1:15" ht="15.75" x14ac:dyDescent="0.25">
      <c r="A76" s="50" t="s">
        <v>81</v>
      </c>
      <c r="B76" s="52" t="s">
        <v>79</v>
      </c>
      <c r="C76" s="53"/>
      <c r="D76" s="53"/>
      <c r="E76" s="53"/>
      <c r="F76" s="53"/>
      <c r="G76" s="54"/>
      <c r="J76" s="15" t="s">
        <v>95</v>
      </c>
      <c r="K76" s="14">
        <v>14</v>
      </c>
      <c r="L76" s="1"/>
      <c r="M76" s="1"/>
      <c r="N76" s="1"/>
      <c r="O76" s="1"/>
    </row>
    <row r="77" spans="1:15" ht="15.75" x14ac:dyDescent="0.25">
      <c r="A77" s="51"/>
      <c r="B77" s="55" t="s">
        <v>78</v>
      </c>
      <c r="C77" s="56"/>
      <c r="D77" s="56"/>
      <c r="E77" s="56"/>
      <c r="F77" s="56"/>
      <c r="G77" s="57"/>
      <c r="J77" s="37" t="s">
        <v>70</v>
      </c>
      <c r="K77" s="14">
        <v>0.03</v>
      </c>
      <c r="L77" s="1" t="s">
        <v>97</v>
      </c>
      <c r="M77" s="1"/>
      <c r="N77" s="1"/>
      <c r="O77" s="1"/>
    </row>
    <row r="78" spans="1:15" ht="15.75" x14ac:dyDescent="0.25">
      <c r="A78" s="37" t="s">
        <v>80</v>
      </c>
      <c r="B78" s="1" t="s">
        <v>82</v>
      </c>
      <c r="C78" s="1"/>
      <c r="D78" s="1"/>
      <c r="E78" s="1"/>
      <c r="F78" s="1"/>
      <c r="G78" s="65"/>
      <c r="J78" s="37" t="s">
        <v>13</v>
      </c>
      <c r="K78" s="47"/>
      <c r="L78" s="1" t="s">
        <v>107</v>
      </c>
      <c r="M78" s="1"/>
      <c r="N78" s="1"/>
      <c r="O78" s="1"/>
    </row>
    <row r="79" spans="1:15" ht="15.75" x14ac:dyDescent="0.25">
      <c r="A79" s="37" t="s">
        <v>83</v>
      </c>
      <c r="B79" s="61" t="s">
        <v>84</v>
      </c>
      <c r="C79" s="62"/>
      <c r="D79" s="62"/>
      <c r="E79" s="62"/>
      <c r="F79" s="62"/>
      <c r="G79" s="63"/>
      <c r="J79" s="37" t="s">
        <v>80</v>
      </c>
      <c r="K79" s="38">
        <v>0.02</v>
      </c>
      <c r="L79" s="1"/>
      <c r="M79" s="1"/>
      <c r="N79" s="1"/>
      <c r="O79" s="1"/>
    </row>
    <row r="80" spans="1:15" ht="15.75" x14ac:dyDescent="0.25">
      <c r="A80" s="50" t="s">
        <v>29</v>
      </c>
      <c r="B80" s="52" t="s">
        <v>85</v>
      </c>
      <c r="C80" s="53"/>
      <c r="D80" s="53"/>
      <c r="E80" s="53"/>
      <c r="F80" s="53"/>
      <c r="G80" s="54"/>
      <c r="J80" s="37" t="s">
        <v>29</v>
      </c>
      <c r="K80" s="38">
        <v>0.3</v>
      </c>
      <c r="L80" s="1"/>
      <c r="M80" s="1"/>
      <c r="N80" s="1"/>
      <c r="O80" s="1"/>
    </row>
    <row r="81" spans="1:15" ht="15.75" x14ac:dyDescent="0.25">
      <c r="A81" s="51"/>
      <c r="B81" s="55" t="s">
        <v>86</v>
      </c>
      <c r="C81" s="56"/>
      <c r="D81" s="56"/>
      <c r="E81" s="56"/>
      <c r="F81" s="56"/>
      <c r="G81" s="57"/>
      <c r="J81" s="37" t="s">
        <v>87</v>
      </c>
      <c r="K81" s="38">
        <v>0.5</v>
      </c>
      <c r="L81" s="1"/>
      <c r="M81" s="1"/>
      <c r="N81" s="1"/>
      <c r="O81" s="1"/>
    </row>
    <row r="82" spans="1:15" ht="15.75" x14ac:dyDescent="0.25">
      <c r="A82" s="37" t="s">
        <v>87</v>
      </c>
      <c r="B82" s="1" t="s">
        <v>88</v>
      </c>
      <c r="C82" s="1"/>
      <c r="D82" s="1"/>
      <c r="E82" s="1"/>
      <c r="F82" s="1"/>
      <c r="G82" s="65"/>
      <c r="J82" s="37" t="s">
        <v>101</v>
      </c>
      <c r="K82" s="47">
        <v>50</v>
      </c>
      <c r="L82" s="1"/>
      <c r="M82" s="1"/>
      <c r="N82" s="1"/>
      <c r="O82" s="1"/>
    </row>
    <row r="83" spans="1:15" ht="15.75" x14ac:dyDescent="0.25">
      <c r="A83" s="37" t="s">
        <v>89</v>
      </c>
      <c r="B83" s="61" t="s">
        <v>90</v>
      </c>
      <c r="C83" s="62"/>
      <c r="D83" s="62"/>
      <c r="E83" s="62"/>
      <c r="F83" s="62"/>
      <c r="G83" s="63"/>
      <c r="J83" s="11" t="s">
        <v>31</v>
      </c>
      <c r="K83" s="14">
        <v>1</v>
      </c>
      <c r="L83" s="1"/>
      <c r="M83" s="1"/>
      <c r="N83" s="1"/>
      <c r="O83" s="1"/>
    </row>
    <row r="84" spans="1:15" ht="15.75" x14ac:dyDescent="0.25">
      <c r="A84" s="37" t="s">
        <v>101</v>
      </c>
      <c r="B84" s="1" t="s">
        <v>91</v>
      </c>
      <c r="C84" s="1"/>
      <c r="D84" s="1"/>
      <c r="E84" s="1"/>
      <c r="F84" s="1"/>
      <c r="G84" s="65"/>
      <c r="J84" s="15" t="s">
        <v>30</v>
      </c>
      <c r="K84" s="14">
        <v>95</v>
      </c>
      <c r="L84" s="1"/>
      <c r="M84" s="1"/>
      <c r="N84" s="1"/>
      <c r="O84" s="1"/>
    </row>
    <row r="85" spans="1:15" ht="15.75" x14ac:dyDescent="0.25">
      <c r="A85" s="37" t="s">
        <v>92</v>
      </c>
      <c r="B85" s="61" t="s">
        <v>93</v>
      </c>
      <c r="C85" s="62"/>
      <c r="D85" s="62"/>
      <c r="E85" s="62"/>
      <c r="F85" s="62"/>
      <c r="G85" s="63"/>
      <c r="N85" s="1"/>
    </row>
    <row r="86" spans="1:15" ht="15.75" x14ac:dyDescent="0.25">
      <c r="A86" s="13" t="s">
        <v>32</v>
      </c>
      <c r="B86" s="67" t="s">
        <v>44</v>
      </c>
      <c r="C86" s="62"/>
      <c r="D86" s="62"/>
      <c r="E86" s="62"/>
      <c r="F86" s="62"/>
      <c r="G86" s="63"/>
    </row>
    <row r="87" spans="1:15" ht="15.75" x14ac:dyDescent="0.25">
      <c r="A87" s="39" t="s">
        <v>105</v>
      </c>
      <c r="B87" s="68" t="s">
        <v>106</v>
      </c>
      <c r="C87" s="69"/>
      <c r="D87" s="69"/>
      <c r="E87" s="69"/>
      <c r="F87" s="69"/>
      <c r="G87" s="70"/>
      <c r="J87" s="49" t="s">
        <v>49</v>
      </c>
      <c r="K87" s="41"/>
      <c r="L87" s="1"/>
      <c r="M87" s="1"/>
      <c r="O87" s="1"/>
    </row>
    <row r="88" spans="1:15" ht="15.75" x14ac:dyDescent="0.25">
      <c r="I88" s="79"/>
      <c r="J88" s="11" t="s">
        <v>10</v>
      </c>
      <c r="K88" s="38">
        <v>1440</v>
      </c>
      <c r="L88" s="1"/>
      <c r="M88" s="1"/>
      <c r="N88" s="1"/>
      <c r="O88" s="1"/>
    </row>
    <row r="89" spans="1:15" ht="15.75" x14ac:dyDescent="0.25">
      <c r="I89" s="78">
        <v>0.5</v>
      </c>
      <c r="J89" s="11" t="s">
        <v>11</v>
      </c>
      <c r="K89" s="38">
        <v>0.31</v>
      </c>
      <c r="L89" s="1"/>
      <c r="M89" s="1"/>
      <c r="N89" s="1"/>
      <c r="O89" s="1"/>
    </row>
    <row r="90" spans="1:15" ht="18.75" x14ac:dyDescent="0.25">
      <c r="I90" s="79"/>
      <c r="J90" s="15" t="s">
        <v>66</v>
      </c>
      <c r="K90" s="43">
        <f>1000*K74*K70/K88/(K70*K74/K71)^K89</f>
        <v>0.57934708428622095</v>
      </c>
      <c r="L90" s="1"/>
      <c r="M90" s="1"/>
      <c r="N90" s="1"/>
      <c r="O90" s="1"/>
    </row>
    <row r="91" spans="1:15" ht="15.75" x14ac:dyDescent="0.25">
      <c r="I91" s="79"/>
      <c r="J91" s="37" t="s">
        <v>111</v>
      </c>
      <c r="K91" s="44">
        <f>_xlfn.FORECAST.LINEAR(K75,N92:O92,N91:O91)</f>
        <v>1.5960648148148151</v>
      </c>
      <c r="M91" s="1"/>
      <c r="N91" s="38">
        <v>8640</v>
      </c>
      <c r="O91" s="38">
        <v>25920</v>
      </c>
    </row>
    <row r="92" spans="1:15" ht="18.75" x14ac:dyDescent="0.35">
      <c r="I92" s="79"/>
      <c r="J92" s="37" t="s">
        <v>99</v>
      </c>
      <c r="K92" s="44">
        <f>K75/24/3600*K91</f>
        <v>0.1847297239368999</v>
      </c>
      <c r="L92" s="1"/>
      <c r="M92" s="1"/>
      <c r="N92" s="38">
        <v>1.6</v>
      </c>
      <c r="O92" s="38">
        <v>1.55</v>
      </c>
    </row>
    <row r="93" spans="1:15" ht="15.75" x14ac:dyDescent="0.25">
      <c r="I93" s="79"/>
      <c r="J93" s="37" t="s">
        <v>68</v>
      </c>
      <c r="K93" s="43">
        <f>(4*K92/3.14/K76/K77)^0.5</f>
        <v>0.74852949347305564</v>
      </c>
      <c r="L93" s="44">
        <f>ROUNDUP(K93,1)</f>
        <v>0.79999999999999993</v>
      </c>
      <c r="M93" s="45" t="s">
        <v>119</v>
      </c>
      <c r="N93" s="1"/>
      <c r="O93" s="1"/>
    </row>
    <row r="94" spans="1:15" ht="15.75" x14ac:dyDescent="0.25">
      <c r="I94" s="79">
        <f>(4000*K92/3.14/K76/K70/(K90-0.1)+K93^2)^0.5</f>
        <v>10.037405387703041</v>
      </c>
      <c r="J94" s="37" t="s">
        <v>72</v>
      </c>
      <c r="K94" s="46">
        <f>(4000*K92/3.14/K76/K70/(K90-0)+K93^2)^0.5</f>
        <v>9.1354276066398743</v>
      </c>
      <c r="L94" s="46">
        <f>ROUND(K94,0)</f>
        <v>9</v>
      </c>
      <c r="M94" s="1"/>
      <c r="N94" s="1"/>
      <c r="O94" s="1"/>
    </row>
    <row r="95" spans="1:15" ht="15.75" x14ac:dyDescent="0.25">
      <c r="I95" s="79"/>
      <c r="J95" s="37" t="s">
        <v>75</v>
      </c>
      <c r="K95" s="38">
        <f>1.35*L93</f>
        <v>1.08</v>
      </c>
      <c r="L95" s="1"/>
      <c r="M95" s="1"/>
      <c r="N95" s="1"/>
      <c r="O95" s="1"/>
    </row>
    <row r="96" spans="1:15" ht="15.75" x14ac:dyDescent="0.25">
      <c r="I96" s="79"/>
      <c r="J96" s="37" t="s">
        <v>74</v>
      </c>
      <c r="K96" s="43">
        <f>1.3*K95</f>
        <v>1.4040000000000001</v>
      </c>
      <c r="L96" s="1"/>
      <c r="M96" s="1"/>
      <c r="N96" s="1"/>
      <c r="O96" s="1"/>
    </row>
    <row r="97" spans="1:15" ht="15.75" x14ac:dyDescent="0.25">
      <c r="I97" s="79"/>
      <c r="J97" s="37" t="s">
        <v>81</v>
      </c>
      <c r="K97" s="43">
        <f>K92/3.14/K76/K95/K79</f>
        <v>0.19454736201355177</v>
      </c>
      <c r="L97" s="1"/>
      <c r="M97" s="1"/>
      <c r="N97" s="1"/>
      <c r="O97" s="1"/>
    </row>
    <row r="98" spans="1:15" ht="15.75" x14ac:dyDescent="0.25">
      <c r="I98" s="79"/>
      <c r="J98" s="37" t="s">
        <v>83</v>
      </c>
      <c r="K98" s="43">
        <f>K74+K97+K80+K81</f>
        <v>3.9945473620135514</v>
      </c>
      <c r="L98" s="1"/>
      <c r="M98" s="1"/>
      <c r="N98" s="1"/>
      <c r="O98" s="1"/>
    </row>
    <row r="99" spans="1:15" ht="15.75" x14ac:dyDescent="0.25">
      <c r="I99" s="79"/>
      <c r="J99" s="37" t="s">
        <v>89</v>
      </c>
      <c r="K99" s="43">
        <f>0.5*L94*TAN(K82*3.14/180)</f>
        <v>5.358075377598726</v>
      </c>
      <c r="L99" s="1"/>
      <c r="M99" s="1"/>
      <c r="N99" s="1"/>
      <c r="O99" s="1"/>
    </row>
    <row r="100" spans="1:15" ht="15.75" x14ac:dyDescent="0.25">
      <c r="I100" s="79"/>
      <c r="J100" s="37" t="s">
        <v>92</v>
      </c>
      <c r="K100" s="43">
        <f>K98+K99</f>
        <v>9.3526227396122774</v>
      </c>
      <c r="L100" s="1"/>
      <c r="M100" s="1"/>
      <c r="N100" s="1"/>
      <c r="O100" s="1"/>
    </row>
    <row r="101" spans="1:15" ht="15.75" x14ac:dyDescent="0.25">
      <c r="I101" s="79"/>
      <c r="J101" s="36" t="s">
        <v>102</v>
      </c>
      <c r="K101" s="38">
        <f>K73*(1-L72)</f>
        <v>120</v>
      </c>
      <c r="L101" s="1"/>
      <c r="M101" s="1"/>
      <c r="N101" s="1"/>
      <c r="O101" s="1"/>
    </row>
    <row r="102" spans="1:15" ht="15.75" x14ac:dyDescent="0.25">
      <c r="I102" s="79"/>
      <c r="J102" s="80" t="s">
        <v>32</v>
      </c>
      <c r="K102" s="38">
        <f>K75*K73*L72/(100-K84)*K83/10^4</f>
        <v>16</v>
      </c>
      <c r="L102" s="1"/>
      <c r="N102" s="1"/>
    </row>
    <row r="103" spans="1:15" ht="19.5" x14ac:dyDescent="0.35">
      <c r="A103" s="40" t="s">
        <v>103</v>
      </c>
      <c r="B103" s="1"/>
      <c r="C103" s="1"/>
      <c r="D103" s="1"/>
      <c r="E103" s="1"/>
      <c r="F103" s="1"/>
    </row>
    <row r="104" spans="1:15" ht="15.75" x14ac:dyDescent="0.25">
      <c r="A104" s="1" t="s">
        <v>111</v>
      </c>
      <c r="B104" s="1" t="s">
        <v>112</v>
      </c>
      <c r="C104" s="1"/>
      <c r="D104" s="1"/>
      <c r="E104" s="1"/>
      <c r="F104" s="1"/>
      <c r="J104" s="41"/>
      <c r="K104" s="41"/>
      <c r="L104" s="1"/>
    </row>
    <row r="105" spans="1:15" ht="15.75" x14ac:dyDescent="0.25">
      <c r="A105" s="11" t="s">
        <v>6</v>
      </c>
      <c r="B105" s="61" t="s">
        <v>106</v>
      </c>
      <c r="C105" s="62"/>
      <c r="D105" s="62"/>
      <c r="E105" s="62"/>
      <c r="F105" s="62"/>
      <c r="G105" s="18"/>
      <c r="J105" s="42" t="s">
        <v>94</v>
      </c>
      <c r="K105" s="41"/>
      <c r="L105" s="1"/>
    </row>
    <row r="106" spans="1:15" ht="15.75" x14ac:dyDescent="0.25">
      <c r="A106" s="37" t="s">
        <v>72</v>
      </c>
      <c r="B106" s="61" t="s">
        <v>73</v>
      </c>
      <c r="C106" s="62"/>
      <c r="D106" s="62"/>
      <c r="E106" s="59"/>
      <c r="F106" s="59"/>
      <c r="G106" s="18"/>
      <c r="J106" s="11" t="s">
        <v>3</v>
      </c>
      <c r="K106" s="12">
        <v>0.45</v>
      </c>
      <c r="L106" s="1"/>
    </row>
    <row r="107" spans="1:15" ht="15.75" x14ac:dyDescent="0.25">
      <c r="A107" s="37" t="s">
        <v>108</v>
      </c>
      <c r="B107" s="62" t="s">
        <v>109</v>
      </c>
      <c r="C107" s="62"/>
      <c r="D107" s="62"/>
      <c r="E107" s="62"/>
      <c r="F107" s="62"/>
      <c r="G107" s="18"/>
      <c r="J107" s="11" t="s">
        <v>8</v>
      </c>
      <c r="K107" s="12">
        <v>0.5</v>
      </c>
      <c r="L107" s="1"/>
    </row>
    <row r="108" spans="1:15" ht="15.75" x14ac:dyDescent="0.25">
      <c r="A108" s="1"/>
      <c r="B108" s="1"/>
      <c r="C108" s="1"/>
      <c r="D108" s="1"/>
      <c r="E108" s="1"/>
      <c r="F108" s="1"/>
      <c r="J108" s="11" t="s">
        <v>7</v>
      </c>
      <c r="K108" s="12">
        <v>60</v>
      </c>
      <c r="L108" s="45">
        <f>K108/100</f>
        <v>0.6</v>
      </c>
    </row>
    <row r="109" spans="1:15" ht="15.75" x14ac:dyDescent="0.25">
      <c r="A109" s="1"/>
      <c r="B109" s="1"/>
      <c r="C109" s="1"/>
      <c r="D109" s="1"/>
      <c r="E109" s="1"/>
      <c r="F109" s="1"/>
      <c r="J109" s="36" t="s">
        <v>9</v>
      </c>
      <c r="K109" s="38">
        <v>350</v>
      </c>
      <c r="L109" s="1"/>
    </row>
    <row r="110" spans="1:15" ht="15.75" x14ac:dyDescent="0.25">
      <c r="A110" s="1"/>
      <c r="B110" s="1"/>
      <c r="C110" s="1"/>
      <c r="D110" s="1"/>
      <c r="E110" s="1"/>
      <c r="F110" s="1"/>
      <c r="J110" s="37" t="s">
        <v>4</v>
      </c>
      <c r="K110" s="38">
        <v>4</v>
      </c>
      <c r="L110" s="1"/>
    </row>
    <row r="111" spans="1:15" ht="15.75" x14ac:dyDescent="0.25">
      <c r="A111" s="1"/>
      <c r="B111" s="1"/>
      <c r="C111" s="1"/>
      <c r="D111" s="1"/>
      <c r="E111" s="1"/>
      <c r="F111" s="1"/>
      <c r="J111" s="15" t="s">
        <v>0</v>
      </c>
      <c r="K111" s="38">
        <v>70000</v>
      </c>
      <c r="L111" s="1"/>
    </row>
    <row r="112" spans="1:15" ht="15.75" x14ac:dyDescent="0.25">
      <c r="A112" s="1"/>
      <c r="B112" s="1"/>
      <c r="C112" s="1"/>
      <c r="D112" s="1"/>
      <c r="E112" s="1"/>
      <c r="F112" s="1"/>
      <c r="J112" s="15" t="s">
        <v>95</v>
      </c>
      <c r="K112" s="14">
        <v>4</v>
      </c>
      <c r="L112" s="1"/>
    </row>
    <row r="113" spans="1:15" ht="15.75" x14ac:dyDescent="0.25">
      <c r="A113" s="1"/>
      <c r="B113" s="1"/>
      <c r="C113" s="1"/>
      <c r="D113" s="1"/>
      <c r="E113" s="1"/>
      <c r="F113" s="1"/>
      <c r="J113" s="11" t="s">
        <v>6</v>
      </c>
      <c r="K113" s="14">
        <v>7</v>
      </c>
      <c r="L113" s="1"/>
    </row>
    <row r="114" spans="1:15" ht="15.75" x14ac:dyDescent="0.25">
      <c r="A114" s="1"/>
      <c r="B114" s="1"/>
      <c r="C114" s="1"/>
      <c r="D114" s="1"/>
      <c r="E114" s="1"/>
      <c r="F114" s="1"/>
      <c r="J114" s="37" t="s">
        <v>13</v>
      </c>
      <c r="K114" s="47">
        <v>0.02</v>
      </c>
      <c r="L114" s="1"/>
      <c r="N114" s="38">
        <v>300</v>
      </c>
      <c r="O114" s="38">
        <v>400</v>
      </c>
    </row>
    <row r="115" spans="1:15" ht="15.75" x14ac:dyDescent="0.25">
      <c r="A115" s="1"/>
      <c r="B115" s="1"/>
      <c r="C115" s="1"/>
      <c r="D115" s="1"/>
      <c r="E115" s="1"/>
      <c r="F115" s="1"/>
      <c r="J115" s="41"/>
      <c r="K115" s="41"/>
      <c r="L115" s="1"/>
      <c r="N115" s="38">
        <v>3600</v>
      </c>
      <c r="O115" s="38">
        <v>2700</v>
      </c>
    </row>
    <row r="116" spans="1:15" ht="15.75" x14ac:dyDescent="0.25">
      <c r="J116" s="49" t="s">
        <v>49</v>
      </c>
      <c r="K116" s="41"/>
      <c r="L116" s="1"/>
      <c r="N116" s="10"/>
      <c r="O116" s="81">
        <f>(N115+O115)/2</f>
        <v>3150</v>
      </c>
    </row>
    <row r="117" spans="1:15" ht="15.75" x14ac:dyDescent="0.25">
      <c r="J117" s="11" t="s">
        <v>10</v>
      </c>
      <c r="K117" s="38">
        <f>O116</f>
        <v>3150</v>
      </c>
      <c r="L117" s="45"/>
    </row>
    <row r="118" spans="1:15" ht="15.75" x14ac:dyDescent="0.25">
      <c r="J118" s="11" t="s">
        <v>11</v>
      </c>
      <c r="K118" s="38">
        <v>0.24</v>
      </c>
      <c r="L118" s="45"/>
      <c r="O118" s="45"/>
    </row>
    <row r="119" spans="1:15" ht="18.75" x14ac:dyDescent="0.25">
      <c r="J119" s="15" t="s">
        <v>66</v>
      </c>
      <c r="K119" s="43">
        <f>1000*K110*K106/K117/(K106*K110/K107)^K118</f>
        <v>0.42019352045036923</v>
      </c>
      <c r="L119" s="45"/>
      <c r="N119" s="38">
        <v>43200</v>
      </c>
      <c r="O119" s="38">
        <v>86400</v>
      </c>
    </row>
    <row r="120" spans="1:15" ht="15.75" x14ac:dyDescent="0.25">
      <c r="J120" s="37" t="s">
        <v>111</v>
      </c>
      <c r="K120" s="43">
        <f>_xlfn.FORECAST.LINEAR(K111,N120:O120,N119:O119)</f>
        <v>1.4813888888888886</v>
      </c>
      <c r="N120" s="38">
        <v>1.5</v>
      </c>
      <c r="O120" s="38">
        <v>1.47</v>
      </c>
    </row>
    <row r="121" spans="1:15" ht="18.75" x14ac:dyDescent="0.35">
      <c r="J121" s="37" t="s">
        <v>99</v>
      </c>
      <c r="K121" s="44">
        <f>K111/24/3600*K120</f>
        <v>1.2001993312757198</v>
      </c>
      <c r="L121" s="45"/>
      <c r="O121" s="38"/>
    </row>
    <row r="122" spans="1:15" ht="15.75" x14ac:dyDescent="0.25">
      <c r="I122" s="45">
        <f>(4000*K121/3.14/K112/K106/(K119-K114))^(1/2)</f>
        <v>46.070251485808171</v>
      </c>
      <c r="J122" s="37" t="s">
        <v>72</v>
      </c>
      <c r="K122" s="46">
        <f>POWER(4000*K121/3.14/K112/K106/(K119-K114),1/2)</f>
        <v>46.070251485808171</v>
      </c>
      <c r="L122" s="82">
        <f>ROUND(K122,0)</f>
        <v>46</v>
      </c>
      <c r="M122" s="45" t="s">
        <v>120</v>
      </c>
      <c r="N122" s="45"/>
      <c r="O122" s="45"/>
    </row>
    <row r="123" spans="1:15" ht="15.75" x14ac:dyDescent="0.25">
      <c r="J123" s="37" t="s">
        <v>108</v>
      </c>
      <c r="K123" s="48">
        <f>2*K121/3.14/K112/L122/K110</f>
        <v>1.0386659956346232E-3</v>
      </c>
      <c r="L123" s="45"/>
    </row>
    <row r="124" spans="1:15" ht="15.75" x14ac:dyDescent="0.25">
      <c r="J124" s="37" t="s">
        <v>110</v>
      </c>
      <c r="K124" s="43">
        <f>K123*1000</f>
        <v>1.0386659956346231</v>
      </c>
      <c r="L124" s="45"/>
    </row>
    <row r="125" spans="1:15" ht="15.75" x14ac:dyDescent="0.25">
      <c r="J125" s="10"/>
      <c r="K125" s="38"/>
      <c r="L125" s="45"/>
    </row>
  </sheetData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2023-04-25T13:47:53Z</dcterms:modified>
</cp:coreProperties>
</file>