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2-term-of-SPBSTU\Сооружения очистки сточных вод\"/>
    </mc:Choice>
  </mc:AlternateContent>
  <bookViews>
    <workbookView xWindow="0" yWindow="0" windowWidth="12480" windowHeight="1149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103" i="1" l="1"/>
  <c r="H66" i="1"/>
  <c r="H67" i="1" s="1"/>
  <c r="H68" i="1" s="1"/>
  <c r="H69" i="1" l="1"/>
  <c r="H34" i="1"/>
  <c r="H26" i="1"/>
  <c r="H27" i="1" s="1"/>
  <c r="H22" i="1"/>
  <c r="H23" i="1" s="1"/>
  <c r="H24" i="1" s="1"/>
  <c r="H25" i="1" s="1"/>
  <c r="H21" i="1"/>
  <c r="I29" i="1" l="1"/>
  <c r="H30" i="1"/>
  <c r="H28" i="1"/>
  <c r="H33" i="1" s="1"/>
  <c r="I28" i="1"/>
  <c r="H29" i="1"/>
  <c r="H31" i="1"/>
  <c r="H32" i="1" s="1"/>
  <c r="H70" i="1"/>
  <c r="H71" i="1" s="1"/>
  <c r="H72" i="1" s="1"/>
  <c r="H73" i="1" l="1"/>
  <c r="H74" i="1"/>
  <c r="H75" i="1" s="1"/>
  <c r="H76" i="1" s="1"/>
  <c r="H85" i="1" l="1"/>
  <c r="H77" i="1"/>
  <c r="H86" i="1" l="1"/>
  <c r="H87" i="1" l="1"/>
  <c r="H88" i="1" s="1"/>
  <c r="H98" i="1" s="1"/>
  <c r="H89" i="1"/>
  <c r="H90" i="1" s="1"/>
  <c r="H91" i="1"/>
  <c r="H92" i="1" s="1"/>
  <c r="H93" i="1" s="1"/>
  <c r="H99" i="1" l="1"/>
  <c r="H94" i="1"/>
  <c r="H95" i="1" s="1"/>
  <c r="H96" i="1" s="1"/>
  <c r="H97" i="1" s="1"/>
  <c r="H100" i="1"/>
  <c r="H102" i="1" l="1"/>
  <c r="H101" i="1"/>
</calcChain>
</file>

<file path=xl/sharedStrings.xml><?xml version="1.0" encoding="utf-8"?>
<sst xmlns="http://schemas.openxmlformats.org/spreadsheetml/2006/main" count="183" uniqueCount="141">
  <si>
    <r>
      <rPr>
        <i/>
        <sz val="12"/>
        <color theme="1"/>
        <rFont val="Times New Roman"/>
        <charset val="204"/>
      </rPr>
      <t>Q</t>
    </r>
    <r>
      <rPr>
        <sz val="12"/>
        <color theme="1"/>
        <rFont val="Times New Roman"/>
        <charset val="204"/>
      </rPr>
      <t>, 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/сут</t>
    </r>
  </si>
  <si>
    <t>суточный расход воды</t>
  </si>
  <si>
    <t>Аэротенк-смеситель (с регенераторами)</t>
  </si>
  <si>
    <r>
      <rPr>
        <i/>
        <sz val="11"/>
        <color theme="1"/>
        <rFont val="Calibri"/>
        <charset val="204"/>
        <scheme val="minor"/>
      </rPr>
      <t>q</t>
    </r>
    <r>
      <rPr>
        <i/>
        <vertAlign val="subscript"/>
        <sz val="11"/>
        <color theme="1"/>
        <rFont val="Calibri"/>
        <charset val="204"/>
        <scheme val="minor"/>
      </rPr>
      <t>w</t>
    </r>
    <r>
      <rPr>
        <sz val="11"/>
        <color theme="1"/>
        <rFont val="Calibri"/>
        <charset val="204"/>
        <scheme val="minor"/>
      </rPr>
      <t>, м3/час</t>
    </r>
  </si>
  <si>
    <t>расчетный часовой расход</t>
  </si>
  <si>
    <t>Дано и задано</t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</si>
  <si>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i</t>
    </r>
    <r>
      <rPr>
        <sz val="12"/>
        <color theme="1"/>
        <rFont val="Times New Roman"/>
        <charset val="204"/>
      </rPr>
      <t>, г/л.</t>
    </r>
  </si>
  <si>
    <t>доза активного ила</t>
  </si>
  <si>
    <r>
      <rPr>
        <sz val="12"/>
        <color theme="1"/>
        <rFont val="Symbol"/>
        <charset val="2"/>
      </rPr>
      <t>a</t>
    </r>
    <r>
      <rPr>
        <i/>
        <vertAlign val="subscript"/>
        <sz val="12"/>
        <color theme="1"/>
        <rFont val="Times New Roman"/>
        <charset val="204"/>
      </rPr>
      <t>i mix</t>
    </r>
    <r>
      <rPr>
        <i/>
        <sz val="12"/>
        <color theme="1"/>
        <rFont val="Times New Roman"/>
        <charset val="204"/>
      </rPr>
      <t xml:space="preserve">, </t>
    </r>
    <r>
      <rPr>
        <sz val="12"/>
        <color theme="1"/>
        <rFont val="Times New Roman"/>
        <charset val="204"/>
      </rPr>
      <t>г/л</t>
    </r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</si>
  <si>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i mix</t>
    </r>
    <r>
      <rPr>
        <sz val="12"/>
        <color theme="1"/>
        <rFont val="Times New Roman"/>
        <charset val="204"/>
      </rPr>
      <t>, г/л.</t>
    </r>
  </si>
  <si>
    <t>средняя доза активного ила в аэротенке</t>
  </si>
  <si>
    <r>
      <rPr>
        <sz val="12"/>
        <color theme="1"/>
        <rFont val="Times New Roman"/>
        <charset val="204"/>
      </rPr>
      <t>Q, 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/сут</t>
    </r>
  </si>
  <si>
    <t>Rr</t>
  </si>
  <si>
    <t>степень регенерации (доля объема,</t>
  </si>
  <si>
    <t>занятая регенератором)</t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</si>
  <si>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en</t>
    </r>
    <r>
      <rPr>
        <sz val="12"/>
        <color theme="1"/>
        <rFont val="Times New Roman"/>
        <charset val="204"/>
      </rPr>
      <t>, мг/л</t>
    </r>
  </si>
  <si>
    <r>
      <rPr>
        <sz val="12"/>
        <color theme="1"/>
        <rFont val="Symbol"/>
        <charset val="2"/>
      </rPr>
      <t>r</t>
    </r>
    <r>
      <rPr>
        <b/>
        <sz val="12"/>
        <color theme="1"/>
        <rFont val="Times New Roman"/>
        <charset val="204"/>
      </rPr>
      <t>,</t>
    </r>
    <r>
      <rPr>
        <sz val="12"/>
        <color theme="1"/>
        <rFont val="Times New Roman"/>
        <charset val="204"/>
      </rPr>
      <t xml:space="preserve"> мг БПК</t>
    </r>
    <r>
      <rPr>
        <vertAlign val="subscript"/>
        <sz val="12"/>
        <color theme="1"/>
        <rFont val="Times New Roman"/>
        <charset val="204"/>
      </rPr>
      <t>полн</t>
    </r>
    <r>
      <rPr>
        <sz val="12"/>
        <color theme="1"/>
        <rFont val="Times New Roman"/>
        <charset val="204"/>
      </rPr>
      <t xml:space="preserve"> на 1 г </t>
    </r>
  </si>
  <si>
    <t xml:space="preserve">удельная скорость окисления </t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</si>
  <si>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ex</t>
    </r>
    <r>
      <rPr>
        <sz val="12"/>
        <color theme="1"/>
        <rFont val="Times New Roman"/>
        <charset val="204"/>
      </rPr>
      <t>, мг/л</t>
    </r>
  </si>
  <si>
    <t>qi</t>
  </si>
  <si>
    <t>Ji</t>
  </si>
  <si>
    <r>
      <rPr>
        <sz val="12"/>
        <color theme="1"/>
        <rFont val="Symbol"/>
        <charset val="2"/>
      </rPr>
      <t>r</t>
    </r>
    <r>
      <rPr>
        <vertAlign val="subscript"/>
        <sz val="12"/>
        <color theme="1"/>
        <rFont val="Times New Roman"/>
        <charset val="204"/>
      </rPr>
      <t>max,</t>
    </r>
    <r>
      <rPr>
        <sz val="12"/>
        <color theme="1"/>
        <rFont val="Times New Roman"/>
        <charset val="204"/>
      </rPr>
      <t xml:space="preserve"> мг/(г*ч)</t>
    </r>
  </si>
  <si>
    <t>максимальная скорость окисления</t>
  </si>
  <si>
    <r>
      <rPr>
        <sz val="12"/>
        <color theme="1"/>
        <rFont val="Times New Roman"/>
        <charset val="204"/>
      </rPr>
      <t>C</t>
    </r>
    <r>
      <rPr>
        <vertAlign val="subscript"/>
        <sz val="12"/>
        <color theme="1"/>
        <rFont val="Times New Roman"/>
        <charset val="204"/>
      </rPr>
      <t xml:space="preserve">O2, </t>
    </r>
    <r>
      <rPr>
        <sz val="12"/>
        <color theme="1"/>
        <rFont val="Times New Roman"/>
        <charset val="204"/>
      </rPr>
      <t>мг/л</t>
    </r>
  </si>
  <si>
    <r>
      <rPr>
        <i/>
        <sz val="12"/>
        <color theme="1"/>
        <rFont val="Times New Roman"/>
        <charset val="204"/>
      </rPr>
      <t>С</t>
    </r>
    <r>
      <rPr>
        <sz val="12"/>
        <color theme="1"/>
        <rFont val="Times New Roman"/>
        <charset val="204"/>
      </rPr>
      <t>о</t>
    </r>
    <r>
      <rPr>
        <vertAlign val="subscript"/>
        <sz val="12"/>
        <color theme="1"/>
        <rFont val="Times New Roman"/>
        <charset val="204"/>
      </rPr>
      <t xml:space="preserve">2 </t>
    </r>
    <r>
      <rPr>
        <sz val="12"/>
        <color theme="1"/>
        <rFont val="Times New Roman"/>
        <charset val="204"/>
      </rPr>
      <t>, мг/л</t>
    </r>
  </si>
  <si>
    <t>концентрация растворенного кислорода</t>
  </si>
  <si>
    <r>
      <rPr>
        <sz val="12"/>
        <color theme="1"/>
        <rFont val="Symbol"/>
        <charset val="2"/>
      </rPr>
      <t>r</t>
    </r>
    <r>
      <rPr>
        <vertAlign val="subscript"/>
        <sz val="12"/>
        <color theme="1"/>
        <rFont val="Times New Roman"/>
        <charset val="204"/>
      </rPr>
      <t>max</t>
    </r>
    <r>
      <rPr>
        <sz val="12"/>
        <color theme="1"/>
        <rFont val="Times New Roman"/>
        <charset val="204"/>
      </rPr>
      <t>, мг БПК</t>
    </r>
    <r>
      <rPr>
        <vertAlign val="subscript"/>
        <sz val="12"/>
        <color theme="1"/>
        <rFont val="Times New Roman"/>
        <charset val="204"/>
      </rPr>
      <t>полн</t>
    </r>
    <r>
      <rPr>
        <sz val="12"/>
        <color theme="1"/>
        <rFont val="Times New Roman"/>
        <charset val="204"/>
      </rPr>
      <t>/(г</t>
    </r>
    <r>
      <rPr>
        <sz val="12"/>
        <color theme="1"/>
        <rFont val="Symbol"/>
        <charset val="2"/>
      </rPr>
      <t>×</t>
    </r>
    <r>
      <rPr>
        <sz val="12"/>
        <color theme="1"/>
        <rFont val="Times New Roman"/>
        <charset val="204"/>
      </rPr>
      <t xml:space="preserve">ч) </t>
    </r>
  </si>
  <si>
    <r>
      <rPr>
        <i/>
        <sz val="12"/>
        <color theme="1"/>
        <rFont val="Times New Roman"/>
        <charset val="204"/>
      </rPr>
      <t>K</t>
    </r>
    <r>
      <rPr>
        <vertAlign val="subscript"/>
        <sz val="12"/>
        <color theme="1"/>
        <rFont val="Calibri"/>
        <charset val="204"/>
      </rPr>
      <t>ℓ</t>
    </r>
    <r>
      <rPr>
        <sz val="12"/>
        <color theme="1"/>
        <rFont val="Times New Roman"/>
        <charset val="204"/>
      </rPr>
      <t xml:space="preserve"> , мг БПКполн/л</t>
    </r>
  </si>
  <si>
    <t>конст, характ.св-ва орг. вещ-в</t>
  </si>
  <si>
    <r>
      <rPr>
        <i/>
        <sz val="12"/>
        <color theme="1"/>
        <rFont val="Times New Roman"/>
        <charset val="204"/>
      </rPr>
      <t>K</t>
    </r>
    <r>
      <rPr>
        <sz val="12"/>
        <color theme="1"/>
        <rFont val="Calibri"/>
        <charset val="204"/>
      </rPr>
      <t>ℓ, мг БПК</t>
    </r>
    <r>
      <rPr>
        <vertAlign val="subscript"/>
        <sz val="12"/>
        <color theme="1"/>
        <rFont val="Calibri"/>
        <charset val="204"/>
      </rPr>
      <t xml:space="preserve">полн </t>
    </r>
    <r>
      <rPr>
        <sz val="12"/>
        <color theme="1"/>
        <rFont val="Calibri"/>
        <charset val="204"/>
      </rPr>
      <t>/л</t>
    </r>
  </si>
  <si>
    <r>
      <rPr>
        <i/>
        <sz val="12"/>
        <color theme="1"/>
        <rFont val="Times New Roman"/>
        <charset val="204"/>
      </rPr>
      <t>K</t>
    </r>
    <r>
      <rPr>
        <sz val="12"/>
        <color theme="1"/>
        <rFont val="Times New Roman"/>
        <charset val="204"/>
      </rPr>
      <t>o</t>
    </r>
    <r>
      <rPr>
        <vertAlign val="subscript"/>
        <sz val="12"/>
        <color theme="1"/>
        <rFont val="Times New Roman"/>
        <charset val="204"/>
      </rPr>
      <t xml:space="preserve">2, </t>
    </r>
    <r>
      <rPr>
        <sz val="12"/>
        <color theme="1"/>
        <rFont val="Times New Roman"/>
        <charset val="204"/>
      </rPr>
      <t xml:space="preserve">мг О2/л </t>
    </r>
  </si>
  <si>
    <t>конст, характ.влияние кислорода</t>
  </si>
  <si>
    <r>
      <rPr>
        <i/>
        <sz val="12"/>
        <color theme="1"/>
        <rFont val="Times New Roman"/>
        <charset val="204"/>
      </rPr>
      <t>K</t>
    </r>
    <r>
      <rPr>
        <sz val="12"/>
        <color theme="1"/>
        <rFont val="Times New Roman"/>
        <charset val="204"/>
      </rPr>
      <t>O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, мг О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/л </t>
    </r>
  </si>
  <si>
    <r>
      <rPr>
        <sz val="12"/>
        <color theme="1"/>
        <rFont val="Symbol"/>
        <charset val="2"/>
      </rPr>
      <t>j</t>
    </r>
    <r>
      <rPr>
        <sz val="12"/>
        <color theme="1"/>
        <rFont val="Times New Roman"/>
        <charset val="204"/>
      </rPr>
      <t xml:space="preserve">, л/г </t>
    </r>
  </si>
  <si>
    <t>коэфф. ингибир прод-ми распада активного ила</t>
  </si>
  <si>
    <t>j</t>
  </si>
  <si>
    <r>
      <rPr>
        <i/>
        <sz val="12"/>
        <color theme="1"/>
        <rFont val="Times New Roman"/>
        <charset val="204"/>
      </rPr>
      <t>t</t>
    </r>
    <r>
      <rPr>
        <vertAlign val="subscript"/>
        <sz val="12"/>
        <color theme="1"/>
        <rFont val="Times New Roman"/>
        <charset val="204"/>
      </rPr>
      <t>atm</t>
    </r>
    <r>
      <rPr>
        <sz val="12"/>
        <color theme="1"/>
        <rFont val="Times New Roman"/>
        <charset val="204"/>
      </rPr>
      <t>, ч</t>
    </r>
  </si>
  <si>
    <t>период аэрации аэротенка-смесителя</t>
  </si>
  <si>
    <t>S</t>
  </si>
  <si>
    <r>
      <rPr>
        <i/>
        <sz val="12"/>
        <color theme="1"/>
        <rFont val="Times New Roman"/>
        <charset val="204"/>
      </rPr>
      <t>t</t>
    </r>
    <r>
      <rPr>
        <vertAlign val="subscript"/>
        <sz val="12"/>
        <color theme="1"/>
        <rFont val="Times New Roman"/>
        <charset val="204"/>
      </rPr>
      <t>atv</t>
    </r>
    <r>
      <rPr>
        <sz val="12"/>
        <color theme="1"/>
        <rFont val="Times New Roman"/>
        <charset val="204"/>
      </rPr>
      <t>, ч</t>
    </r>
  </si>
  <si>
    <t>период аэрации аэротенка-вытеснителя</t>
  </si>
  <si>
    <r>
      <rPr>
        <i/>
        <sz val="12"/>
        <color theme="1"/>
        <rFont val="Times New Roman"/>
        <charset val="204"/>
      </rPr>
      <t>n</t>
    </r>
    <r>
      <rPr>
        <i/>
        <vertAlign val="subscript"/>
        <sz val="12"/>
        <color theme="1"/>
        <rFont val="Times New Roman"/>
        <charset val="204"/>
      </rPr>
      <t>at</t>
    </r>
  </si>
  <si>
    <r>
      <rPr>
        <i/>
        <sz val="12"/>
        <color theme="1"/>
        <rFont val="Times New Roman"/>
        <charset val="204"/>
      </rPr>
      <t>L</t>
    </r>
    <r>
      <rPr>
        <vertAlign val="subscript"/>
        <sz val="12"/>
        <color theme="1"/>
        <rFont val="Times New Roman"/>
        <charset val="204"/>
      </rPr>
      <t>en</t>
    </r>
    <r>
      <rPr>
        <sz val="12"/>
        <color theme="1"/>
        <rFont val="Times New Roman"/>
        <charset val="204"/>
      </rPr>
      <t>, мг/л;</t>
    </r>
  </si>
  <si>
    <r>
      <rPr>
        <sz val="12"/>
        <color theme="1"/>
        <rFont val="Times New Roman"/>
        <charset val="204"/>
      </rPr>
      <t>БПК</t>
    </r>
    <r>
      <rPr>
        <vertAlign val="subscript"/>
        <sz val="12"/>
        <color theme="1"/>
        <rFont val="Times New Roman"/>
        <charset val="204"/>
      </rPr>
      <t>полн</t>
    </r>
    <r>
      <rPr>
        <sz val="12"/>
        <color theme="1"/>
        <rFont val="Times New Roman"/>
        <charset val="204"/>
      </rPr>
      <t xml:space="preserve"> на входе</t>
    </r>
  </si>
  <si>
    <r>
      <rPr>
        <i/>
        <sz val="12"/>
        <color theme="1"/>
        <rFont val="Times New Roman"/>
        <charset val="204"/>
      </rPr>
      <t>n</t>
    </r>
    <r>
      <rPr>
        <i/>
        <vertAlign val="subscript"/>
        <sz val="12"/>
        <color theme="1"/>
        <rFont val="Times New Roman"/>
        <charset val="204"/>
      </rPr>
      <t>cor</t>
    </r>
  </si>
  <si>
    <r>
      <rPr>
        <i/>
        <sz val="12"/>
        <color theme="1"/>
        <rFont val="Times New Roman"/>
        <charset val="204"/>
      </rPr>
      <t>L</t>
    </r>
    <r>
      <rPr>
        <vertAlign val="subscript"/>
        <sz val="12"/>
        <color theme="1"/>
        <rFont val="Times New Roman"/>
        <charset val="204"/>
      </rPr>
      <t>ex</t>
    </r>
    <r>
      <rPr>
        <sz val="12"/>
        <color theme="1"/>
        <rFont val="Times New Roman"/>
        <charset val="204"/>
      </rPr>
      <t>, мг/л;</t>
    </r>
  </si>
  <si>
    <r>
      <rPr>
        <sz val="12"/>
        <color theme="1"/>
        <rFont val="Times New Roman"/>
        <charset val="204"/>
      </rPr>
      <t>БПК</t>
    </r>
    <r>
      <rPr>
        <vertAlign val="subscript"/>
        <sz val="12"/>
        <color theme="1"/>
        <rFont val="Times New Roman"/>
        <charset val="204"/>
      </rPr>
      <t>полн</t>
    </r>
    <r>
      <rPr>
        <sz val="12"/>
        <color theme="1"/>
        <rFont val="Times New Roman"/>
        <charset val="204"/>
      </rPr>
      <t xml:space="preserve"> очищенной воды</t>
    </r>
  </si>
  <si>
    <r>
      <rPr>
        <i/>
        <sz val="12"/>
        <color theme="1"/>
        <rFont val="Times New Roman"/>
        <charset val="204"/>
      </rPr>
      <t>b</t>
    </r>
    <r>
      <rPr>
        <i/>
        <vertAlign val="subscript"/>
        <sz val="12"/>
        <color theme="1"/>
        <rFont val="Times New Roman"/>
        <charset val="204"/>
      </rPr>
      <t>cor</t>
    </r>
    <r>
      <rPr>
        <sz val="12"/>
        <color theme="1"/>
        <rFont val="Times New Roman"/>
        <charset val="204"/>
      </rPr>
      <t>, м</t>
    </r>
  </si>
  <si>
    <t xml:space="preserve">зольность ила </t>
  </si>
  <si>
    <r>
      <rPr>
        <i/>
        <sz val="12"/>
        <color theme="1"/>
        <rFont val="Times New Roman"/>
        <charset val="204"/>
      </rPr>
      <t>H</t>
    </r>
    <r>
      <rPr>
        <i/>
        <vertAlign val="subscript"/>
        <sz val="12"/>
        <color theme="1"/>
        <rFont val="Times New Roman"/>
        <charset val="204"/>
      </rPr>
      <t>at</t>
    </r>
    <r>
      <rPr>
        <sz val="12"/>
        <color theme="1"/>
        <rFont val="Times New Roman"/>
        <charset val="204"/>
      </rPr>
      <t>, м</t>
    </r>
  </si>
  <si>
    <r>
      <rPr>
        <i/>
        <sz val="12"/>
        <color theme="1"/>
        <rFont val="Times New Roman"/>
        <charset val="204"/>
      </rPr>
      <t xml:space="preserve">Ji, </t>
    </r>
    <r>
      <rPr>
        <sz val="12"/>
        <color theme="1"/>
        <rFont val="Times New Roman"/>
        <charset val="204"/>
      </rPr>
      <t>см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/г</t>
    </r>
  </si>
  <si>
    <t>иловый индекс</t>
  </si>
  <si>
    <r>
      <rPr>
        <i/>
        <sz val="12"/>
        <color theme="1"/>
        <rFont val="Times New Roman"/>
        <charset val="204"/>
      </rPr>
      <t>C</t>
    </r>
    <r>
      <rPr>
        <i/>
        <vertAlign val="subscript"/>
        <sz val="12"/>
        <color theme="1"/>
        <rFont val="Times New Roman"/>
        <charset val="204"/>
      </rPr>
      <t>cdp</t>
    </r>
    <r>
      <rPr>
        <sz val="12"/>
        <color theme="1"/>
        <rFont val="Times New Roman"/>
        <charset val="204"/>
      </rPr>
      <t>, мг/л</t>
    </r>
  </si>
  <si>
    <r>
      <rPr>
        <b/>
        <i/>
        <sz val="12"/>
        <color theme="1"/>
        <rFont val="Times New Roman"/>
        <charset val="204"/>
      </rPr>
      <t>q</t>
    </r>
    <r>
      <rPr>
        <b/>
        <i/>
        <vertAlign val="subscript"/>
        <sz val="12"/>
        <color theme="1"/>
        <rFont val="Times New Roman"/>
        <charset val="204"/>
      </rPr>
      <t>i</t>
    </r>
    <r>
      <rPr>
        <sz val="12"/>
        <color theme="1"/>
        <rFont val="Times New Roman"/>
        <charset val="204"/>
      </rPr>
      <t>,мг БПКполн/(г*сут)</t>
    </r>
  </si>
  <si>
    <t xml:space="preserve">нагрузка на активный ил </t>
  </si>
  <si>
    <r>
      <rPr>
        <i/>
        <sz val="12"/>
        <color theme="1"/>
        <rFont val="Times New Roman"/>
        <charset val="204"/>
      </rPr>
      <t>K</t>
    </r>
    <r>
      <rPr>
        <i/>
        <vertAlign val="subscript"/>
        <sz val="12"/>
        <color theme="1"/>
        <rFont val="Times New Roman"/>
        <charset val="204"/>
      </rPr>
      <t>g</t>
    </r>
  </si>
  <si>
    <r>
      <rPr>
        <i/>
        <sz val="12"/>
        <color theme="1"/>
        <rFont val="Times New Roman"/>
        <charset val="204"/>
      </rPr>
      <t>R</t>
    </r>
    <r>
      <rPr>
        <i/>
        <vertAlign val="subscript"/>
        <sz val="12"/>
        <color theme="1"/>
        <rFont val="Times New Roman"/>
        <charset val="204"/>
      </rPr>
      <t>i</t>
    </r>
  </si>
  <si>
    <t xml:space="preserve">степень рециркуляции активного ила </t>
  </si>
  <si>
    <t>Рассчитать</t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</si>
  <si>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atm</t>
    </r>
    <r>
      <rPr>
        <sz val="12"/>
        <color theme="1"/>
        <rFont val="Times New Roman"/>
        <charset val="204"/>
      </rPr>
      <t>, м</t>
    </r>
    <r>
      <rPr>
        <vertAlign val="superscript"/>
        <sz val="12"/>
        <color theme="1"/>
        <rFont val="Times New Roman"/>
        <charset val="204"/>
      </rPr>
      <t>3</t>
    </r>
  </si>
  <si>
    <t>объем аэротенка-смесителя</t>
  </si>
  <si>
    <r>
      <rPr>
        <sz val="12"/>
        <color theme="1"/>
        <rFont val="Symbol"/>
        <charset val="2"/>
      </rPr>
      <t xml:space="preserve">r, </t>
    </r>
    <r>
      <rPr>
        <sz val="12"/>
        <color theme="1"/>
        <rFont val="Times New Roman"/>
        <charset val="204"/>
      </rPr>
      <t xml:space="preserve">мг БПКполн/(г×ч) </t>
    </r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</si>
  <si>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 м</t>
    </r>
    <r>
      <rPr>
        <vertAlign val="superscript"/>
        <sz val="12"/>
        <color theme="1"/>
        <rFont val="Times New Roman"/>
        <charset val="204"/>
      </rPr>
      <t>3</t>
    </r>
  </si>
  <si>
    <t>объем регенератора</t>
  </si>
  <si>
    <r>
      <rPr>
        <i/>
        <sz val="12"/>
        <color theme="1"/>
        <rFont val="Times New Roman"/>
        <charset val="204"/>
      </rPr>
      <t>t</t>
    </r>
    <r>
      <rPr>
        <i/>
        <vertAlign val="subscript"/>
        <sz val="12"/>
        <color theme="1"/>
        <rFont val="Times New Roman"/>
        <charset val="204"/>
      </rPr>
      <t>atm</t>
    </r>
    <r>
      <rPr>
        <sz val="12"/>
        <color theme="1"/>
        <rFont val="Times New Roman"/>
        <charset val="204"/>
      </rPr>
      <t>, ч</t>
    </r>
  </si>
  <si>
    <r>
      <rPr>
        <i/>
        <sz val="12"/>
        <color theme="1"/>
        <rFont val="Times New Roman"/>
        <charset val="204"/>
      </rPr>
      <t>n</t>
    </r>
    <r>
      <rPr>
        <i/>
        <vertAlign val="subscript"/>
        <sz val="12"/>
        <color theme="1"/>
        <rFont val="Times New Roman"/>
        <charset val="204"/>
      </rPr>
      <t>at</t>
    </r>
    <r>
      <rPr>
        <sz val="12"/>
        <color theme="1"/>
        <rFont val="Times New Roman"/>
        <charset val="204"/>
      </rPr>
      <t xml:space="preserve"> </t>
    </r>
  </si>
  <si>
    <t>число секций аэротенка</t>
  </si>
  <si>
    <r>
      <rPr>
        <i/>
        <sz val="12"/>
        <color theme="1"/>
        <rFont val="Times New Roman"/>
        <charset val="204"/>
      </rPr>
      <t xml:space="preserve">qi, </t>
    </r>
    <r>
      <rPr>
        <sz val="12"/>
        <color theme="1"/>
        <rFont val="Times New Roman"/>
        <charset val="204"/>
      </rPr>
      <t>мг БПКполн/(г*сут)</t>
    </r>
  </si>
  <si>
    <r>
      <rPr>
        <i/>
        <sz val="12"/>
        <color theme="1"/>
        <rFont val="Times New Roman"/>
        <charset val="204"/>
      </rPr>
      <t>n</t>
    </r>
    <r>
      <rPr>
        <i/>
        <vertAlign val="subscript"/>
        <sz val="12"/>
        <color theme="1"/>
        <rFont val="Times New Roman"/>
        <charset val="204"/>
      </rPr>
      <t>cor</t>
    </r>
    <r>
      <rPr>
        <sz val="12"/>
        <color theme="1"/>
        <rFont val="Times New Roman"/>
        <charset val="204"/>
      </rPr>
      <t xml:space="preserve"> </t>
    </r>
  </si>
  <si>
    <t>число коридоров в одной секции</t>
  </si>
  <si>
    <r>
      <rPr>
        <i/>
        <sz val="12"/>
        <color theme="1"/>
        <rFont val="Times New Roman"/>
        <charset val="204"/>
      </rPr>
      <t>Ji</t>
    </r>
    <r>
      <rPr>
        <sz val="12"/>
        <color theme="1"/>
        <rFont val="Times New Roman"/>
        <charset val="204"/>
      </rPr>
      <t>, см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/г</t>
    </r>
  </si>
  <si>
    <t>Интерполяция (ПРЕДСКАЗ)</t>
  </si>
  <si>
    <r>
      <rPr>
        <sz val="12"/>
        <color theme="1"/>
        <rFont val="Times New Roman"/>
        <charset val="204"/>
      </rPr>
      <t>b</t>
    </r>
    <r>
      <rPr>
        <vertAlign val="subscript"/>
        <sz val="12"/>
        <color theme="1"/>
        <rFont val="Times New Roman"/>
        <charset val="204"/>
      </rPr>
      <t xml:space="preserve">cor, м </t>
    </r>
  </si>
  <si>
    <t xml:space="preserve"> ширина коридора</t>
  </si>
  <si>
    <t>Ri</t>
  </si>
  <si>
    <t xml:space="preserve"> рабочая глубина аэротенка</t>
  </si>
  <si>
    <r>
      <rPr>
        <sz val="12"/>
        <color theme="1"/>
        <rFont val="Times New Roman"/>
        <charset val="204"/>
      </rPr>
      <t>q</t>
    </r>
    <r>
      <rPr>
        <vertAlign val="subscript"/>
        <sz val="12"/>
        <color theme="1"/>
        <rFont val="Times New Roman"/>
        <charset val="204"/>
      </rPr>
      <t>w</t>
    </r>
    <r>
      <rPr>
        <sz val="12"/>
        <color theme="1"/>
        <rFont val="Times New Roman"/>
        <charset val="204"/>
      </rPr>
      <t>, 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/ч</t>
    </r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</si>
  <si>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at,</t>
    </r>
    <r>
      <rPr>
        <sz val="12"/>
        <color theme="1"/>
        <rFont val="Times New Roman"/>
        <charset val="204"/>
      </rPr>
      <t xml:space="preserve"> м</t>
    </r>
  </si>
  <si>
    <t xml:space="preserve">длина аэротенка </t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</si>
  <si>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atm</t>
    </r>
    <r>
      <rPr>
        <i/>
        <sz val="12"/>
        <color theme="1"/>
        <rFont val="Times New Roman"/>
        <charset val="204"/>
      </rPr>
      <t>+W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</si>
  <si>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>C</t>
    </r>
    <r>
      <rPr>
        <i/>
        <vertAlign val="subscript"/>
        <sz val="12"/>
        <color theme="1"/>
        <rFont val="Times New Roman"/>
        <charset val="204"/>
      </rPr>
      <t>cdp</t>
    </r>
    <r>
      <rPr>
        <sz val="12"/>
        <color theme="1"/>
        <rFont val="Times New Roman"/>
        <charset val="204"/>
      </rPr>
      <t xml:space="preserve"> , мг/л</t>
    </r>
  </si>
  <si>
    <t>конц взвеш веществ перед аэротенком</t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</si>
  <si>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atm</t>
    </r>
    <r>
      <rPr>
        <sz val="12"/>
        <color theme="1"/>
        <rFont val="Times New Roman"/>
        <charset val="204"/>
      </rPr>
      <t>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</si>
  <si>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>K</t>
    </r>
    <r>
      <rPr>
        <i/>
        <vertAlign val="subscript"/>
        <sz val="12"/>
        <color theme="1"/>
        <rFont val="Times New Roman"/>
        <charset val="204"/>
      </rPr>
      <t>g</t>
    </r>
    <r>
      <rPr>
        <sz val="12"/>
        <color theme="1"/>
        <rFont val="Times New Roman"/>
        <charset val="204"/>
      </rPr>
      <t xml:space="preserve"> </t>
    </r>
  </si>
  <si>
    <t>коэффициент прироста</t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</si>
  <si>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</si>
  <si>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 xml:space="preserve">Pi , </t>
    </r>
    <r>
      <rPr>
        <sz val="12"/>
        <color theme="1"/>
        <rFont val="Times New Roman"/>
        <charset val="204"/>
      </rPr>
      <t>мг/л</t>
    </r>
  </si>
  <si>
    <t>прирост активного ила</t>
  </si>
  <si>
    <r>
      <rPr>
        <sz val="12"/>
        <color theme="1"/>
        <rFont val="Times New Roman"/>
        <charset val="204"/>
      </rPr>
      <t>(</t>
    </r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atm</t>
    </r>
    <r>
      <rPr>
        <i/>
        <sz val="12"/>
        <color theme="1"/>
        <rFont val="Times New Roman"/>
        <charset val="204"/>
      </rPr>
      <t>+W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)(1),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</si>
  <si>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t xml:space="preserve">БПКполн поступающей в аэротенк </t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</si>
  <si>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 xml:space="preserve">atm, </t>
    </r>
    <r>
      <rPr>
        <sz val="12"/>
        <color theme="1"/>
        <rFont val="Times New Roman"/>
        <charset val="204"/>
      </rPr>
      <t>м</t>
    </r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</si>
  <si>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mix</t>
    </r>
    <r>
      <rPr>
        <sz val="12"/>
        <color theme="1"/>
        <rFont val="Times New Roman"/>
        <charset val="204"/>
      </rPr>
      <t>, мг/л</t>
    </r>
  </si>
  <si>
    <t>сточной воды с учетом разбавления</t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</si>
  <si>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 м</t>
    </r>
  </si>
  <si>
    <t xml:space="preserve"> рециркуляционным расходом</t>
  </si>
  <si>
    <r>
      <rPr>
        <sz val="12"/>
        <color theme="1"/>
        <rFont val="Symbol"/>
        <charset val="2"/>
      </rPr>
      <t>a</t>
    </r>
    <r>
      <rPr>
        <i/>
        <vertAlign val="subscript"/>
        <sz val="12"/>
        <color theme="1"/>
        <rFont val="Times New Roman"/>
        <charset val="204"/>
      </rPr>
      <t>i</t>
    </r>
    <r>
      <rPr>
        <i/>
        <sz val="12"/>
        <color theme="1"/>
        <rFont val="Times New Roman"/>
        <charset val="204"/>
      </rPr>
      <t xml:space="preserve"> ,</t>
    </r>
    <r>
      <rPr>
        <sz val="12"/>
        <color theme="1"/>
        <rFont val="Times New Roman"/>
        <charset val="204"/>
      </rPr>
      <t xml:space="preserve"> г/л</t>
    </r>
  </si>
  <si>
    <r>
      <rPr>
        <sz val="12"/>
        <color theme="1"/>
        <rFont val="Symbol"/>
        <charset val="2"/>
      </rPr>
      <t>a</t>
    </r>
    <r>
      <rPr>
        <i/>
        <vertAlign val="subscript"/>
        <sz val="12"/>
        <color theme="1"/>
        <rFont val="Times New Roman"/>
        <charset val="204"/>
      </rPr>
      <t>r,</t>
    </r>
    <r>
      <rPr>
        <i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 xml:space="preserve">г/л </t>
    </r>
  </si>
  <si>
    <t xml:space="preserve">доза активного ила в регенераторе </t>
  </si>
  <si>
    <r>
      <rPr>
        <i/>
        <sz val="12"/>
        <color theme="1"/>
        <rFont val="Times New Roman"/>
        <charset val="204"/>
      </rPr>
      <t>P</t>
    </r>
    <r>
      <rPr>
        <i/>
        <vertAlign val="subscript"/>
        <sz val="12"/>
        <color theme="1"/>
        <rFont val="Times New Roman"/>
        <charset val="204"/>
      </rPr>
      <t>i</t>
    </r>
    <r>
      <rPr>
        <sz val="12"/>
        <color theme="1"/>
        <rFont val="Times New Roman"/>
        <charset val="204"/>
      </rPr>
      <t>, мг/л</t>
    </r>
  </si>
  <si>
    <r>
      <rPr>
        <i/>
        <sz val="12"/>
        <color theme="1"/>
        <rFont val="Times New Roman"/>
        <charset val="204"/>
      </rPr>
      <t>t</t>
    </r>
    <r>
      <rPr>
        <i/>
        <vertAlign val="subscript"/>
        <sz val="12"/>
        <color theme="1"/>
        <rFont val="Times New Roman"/>
        <charset val="204"/>
      </rPr>
      <t>o</t>
    </r>
    <r>
      <rPr>
        <sz val="12"/>
        <color theme="1"/>
        <rFont val="Times New Roman"/>
        <charset val="204"/>
      </rPr>
      <t>, ч</t>
    </r>
  </si>
  <si>
    <t xml:space="preserve">общая продолжительность окисления </t>
  </si>
  <si>
    <t>органических загрязнителей</t>
  </si>
  <si>
    <r>
      <rPr>
        <i/>
        <sz val="12"/>
        <color theme="1"/>
        <rFont val="Times New Roman"/>
        <charset val="204"/>
      </rPr>
      <t>t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 ч</t>
    </r>
  </si>
  <si>
    <t xml:space="preserve">продолжительность регенерации </t>
  </si>
  <si>
    <r>
      <rPr>
        <i/>
        <sz val="12"/>
        <color theme="1"/>
        <rFont val="Times New Roman"/>
        <charset val="204"/>
      </rPr>
      <t>t</t>
    </r>
    <r>
      <rPr>
        <i/>
        <vertAlign val="subscript"/>
        <sz val="12"/>
        <color theme="1"/>
        <rFont val="Times New Roman"/>
        <charset val="204"/>
      </rPr>
      <t>a-r</t>
    </r>
    <r>
      <rPr>
        <sz val="12"/>
        <color theme="1"/>
        <rFont val="Times New Roman"/>
        <charset val="204"/>
      </rPr>
      <t>, ч</t>
    </r>
  </si>
  <si>
    <t xml:space="preserve">продолжительность пребывания в </t>
  </si>
  <si>
    <t>системе аэротенк-регенератор</t>
  </si>
  <si>
    <t xml:space="preserve">средняя доза активного ила в системе </t>
  </si>
  <si>
    <t>аэротенк-регенератор</t>
  </si>
  <si>
    <r>
      <rPr>
        <sz val="11"/>
        <color theme="1"/>
        <rFont val="Times New Roman"/>
        <charset val="204"/>
      </rPr>
      <t>(</t>
    </r>
    <r>
      <rPr>
        <i/>
        <sz val="11"/>
        <color theme="1"/>
        <rFont val="Times New Roman"/>
        <charset val="204"/>
      </rPr>
      <t>W</t>
    </r>
    <r>
      <rPr>
        <i/>
        <vertAlign val="subscript"/>
        <sz val="11"/>
        <color theme="1"/>
        <rFont val="Times New Roman"/>
        <charset val="204"/>
      </rPr>
      <t>atm</t>
    </r>
    <r>
      <rPr>
        <b/>
        <sz val="11"/>
        <color theme="1"/>
        <rFont val="Times New Roman"/>
        <charset val="204"/>
      </rPr>
      <t xml:space="preserve"> +</t>
    </r>
    <r>
      <rPr>
        <i/>
        <sz val="11"/>
        <color theme="1"/>
        <rFont val="Times New Roman"/>
        <charset val="204"/>
      </rPr>
      <t>W</t>
    </r>
    <r>
      <rPr>
        <i/>
        <vertAlign val="subscript"/>
        <sz val="11"/>
        <color theme="1"/>
        <rFont val="Times New Roman"/>
        <charset val="204"/>
      </rPr>
      <t>r</t>
    </r>
    <r>
      <rPr>
        <sz val="11"/>
        <color theme="1"/>
        <rFont val="Times New Roman"/>
        <charset val="204"/>
      </rPr>
      <t>)(1), м</t>
    </r>
    <r>
      <rPr>
        <sz val="8"/>
        <color theme="1"/>
        <rFont val="Times New Roman"/>
        <charset val="204"/>
      </rPr>
      <t>3</t>
    </r>
  </si>
  <si>
    <t>объем одной секции А-С</t>
  </si>
  <si>
    <r>
      <rPr>
        <sz val="11"/>
        <color theme="1"/>
        <rFont val="Times New Roman"/>
        <charset val="204"/>
      </rPr>
      <t>(</t>
    </r>
    <r>
      <rPr>
        <i/>
        <sz val="11"/>
        <color theme="1"/>
        <rFont val="Times New Roman"/>
        <charset val="204"/>
      </rPr>
      <t>W</t>
    </r>
    <r>
      <rPr>
        <i/>
        <vertAlign val="subscript"/>
        <sz val="11"/>
        <color theme="1"/>
        <rFont val="Times New Roman"/>
        <charset val="204"/>
      </rPr>
      <t>atv</t>
    </r>
    <r>
      <rPr>
        <b/>
        <sz val="11"/>
        <color theme="1"/>
        <rFont val="Times New Roman"/>
        <charset val="204"/>
      </rPr>
      <t xml:space="preserve"> +</t>
    </r>
    <r>
      <rPr>
        <i/>
        <sz val="11"/>
        <color theme="1"/>
        <rFont val="Times New Roman"/>
        <charset val="204"/>
      </rPr>
      <t>W</t>
    </r>
    <r>
      <rPr>
        <i/>
        <vertAlign val="subscript"/>
        <sz val="11"/>
        <color theme="1"/>
        <rFont val="Times New Roman"/>
        <charset val="204"/>
      </rPr>
      <t>r</t>
    </r>
    <r>
      <rPr>
        <sz val="11"/>
        <color theme="1"/>
        <rFont val="Times New Roman"/>
        <charset val="204"/>
      </rPr>
      <t>)(1), м</t>
    </r>
    <r>
      <rPr>
        <sz val="8"/>
        <color theme="1"/>
        <rFont val="Times New Roman"/>
        <charset val="204"/>
      </rPr>
      <t>3</t>
    </r>
  </si>
  <si>
    <t>объем одной секции А-В</t>
  </si>
  <si>
    <r>
      <rPr>
        <i/>
        <sz val="11"/>
        <color theme="1"/>
        <rFont val="Calibri"/>
        <charset val="204"/>
        <scheme val="minor"/>
      </rPr>
      <t>K</t>
    </r>
    <r>
      <rPr>
        <i/>
        <vertAlign val="subscript"/>
        <sz val="11"/>
        <color theme="1"/>
        <rFont val="Calibri"/>
        <charset val="204"/>
        <scheme val="minor"/>
      </rPr>
      <t>p</t>
    </r>
  </si>
  <si>
    <t xml:space="preserve">коэффициент, учитывающий влияние </t>
  </si>
  <si>
    <t>Аэротенк-вытеснитель (с регенераторами)</t>
  </si>
  <si>
    <t>продольного перемешивания</t>
  </si>
  <si>
    <r>
      <rPr>
        <i/>
        <sz val="12"/>
        <color theme="1"/>
        <rFont val="Times New Roman"/>
        <charset val="204"/>
      </rPr>
      <t>a</t>
    </r>
    <r>
      <rPr>
        <vertAlign val="subscript"/>
        <sz val="12"/>
        <color theme="1"/>
        <rFont val="Times New Roman"/>
        <charset val="204"/>
      </rPr>
      <t>i</t>
    </r>
    <r>
      <rPr>
        <sz val="12"/>
        <color theme="1"/>
        <rFont val="Times New Roman"/>
        <charset val="204"/>
      </rPr>
      <t>, г/л</t>
    </r>
  </si>
  <si>
    <r>
      <rPr>
        <i/>
        <sz val="12"/>
        <color theme="1"/>
        <rFont val="Times New Roman"/>
        <charset val="204"/>
      </rPr>
      <t>J</t>
    </r>
    <r>
      <rPr>
        <i/>
        <vertAlign val="subscript"/>
        <sz val="12"/>
        <color theme="1"/>
        <rFont val="Times New Roman"/>
        <charset val="204"/>
      </rPr>
      <t>i</t>
    </r>
    <r>
      <rPr>
        <sz val="12"/>
        <color theme="1"/>
        <rFont val="Times New Roman"/>
        <charset val="204"/>
      </rPr>
      <t>, см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/г</t>
    </r>
  </si>
  <si>
    <t>Задаем</t>
  </si>
  <si>
    <r>
      <rPr>
        <i/>
        <sz val="12"/>
        <color theme="1"/>
        <rFont val="Times New Roman"/>
        <charset val="204"/>
      </rPr>
      <t>Q,</t>
    </r>
    <r>
      <rPr>
        <sz val="12"/>
        <color theme="1"/>
        <rFont val="Times New Roman"/>
        <charset val="204"/>
      </rPr>
      <t xml:space="preserve"> 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/сут</t>
    </r>
  </si>
  <si>
    <r>
      <rPr>
        <i/>
        <sz val="12"/>
        <color theme="1"/>
        <rFont val="Times New Roman"/>
        <charset val="204"/>
      </rPr>
      <t>C</t>
    </r>
    <r>
      <rPr>
        <vertAlign val="subscript"/>
        <sz val="12"/>
        <color theme="1"/>
        <rFont val="Times New Roman"/>
        <charset val="204"/>
      </rPr>
      <t>O2,</t>
    </r>
    <r>
      <rPr>
        <sz val="12"/>
        <color theme="1"/>
        <rFont val="Times New Roman"/>
        <charset val="204"/>
      </rPr>
      <t xml:space="preserve"> мг/л</t>
    </r>
  </si>
  <si>
    <r>
      <rPr>
        <i/>
        <sz val="12"/>
        <color theme="1"/>
        <rFont val="Times New Roman"/>
        <charset val="204"/>
      </rPr>
      <t>b</t>
    </r>
    <r>
      <rPr>
        <i/>
        <vertAlign val="subscript"/>
        <sz val="12"/>
        <color theme="1"/>
        <rFont val="Times New Roman"/>
        <charset val="204"/>
      </rPr>
      <t>cor</t>
    </r>
    <r>
      <rPr>
        <vertAlign val="subscript"/>
        <sz val="12"/>
        <color theme="1"/>
        <rFont val="Times New Roman"/>
        <charset val="204"/>
      </rPr>
      <t xml:space="preserve">, </t>
    </r>
    <r>
      <rPr>
        <sz val="12"/>
        <color theme="1"/>
        <rFont val="Times New Roman"/>
        <charset val="204"/>
      </rPr>
      <t>м</t>
    </r>
  </si>
  <si>
    <r>
      <rPr>
        <i/>
        <sz val="12"/>
        <color theme="1"/>
        <rFont val="Times New Roman"/>
        <charset val="204"/>
      </rPr>
      <t>H</t>
    </r>
    <r>
      <rPr>
        <i/>
        <vertAlign val="subscript"/>
        <sz val="12"/>
        <color theme="1"/>
        <rFont val="Times New Roman"/>
        <charset val="204"/>
      </rPr>
      <t>at</t>
    </r>
    <r>
      <rPr>
        <vertAlign val="subscript"/>
        <sz val="12"/>
        <color theme="1"/>
        <rFont val="Times New Roman"/>
        <charset val="204"/>
      </rPr>
      <t xml:space="preserve">, </t>
    </r>
    <r>
      <rPr>
        <sz val="12"/>
        <color theme="1"/>
        <rFont val="Times New Roman"/>
        <charset val="204"/>
      </rPr>
      <t>м</t>
    </r>
  </si>
  <si>
    <r>
      <rPr>
        <i/>
        <sz val="12"/>
        <color theme="1"/>
        <rFont val="Times New Roman"/>
        <charset val="204"/>
      </rPr>
      <t xml:space="preserve">Ccdp, </t>
    </r>
    <r>
      <rPr>
        <sz val="12"/>
        <color theme="1"/>
        <rFont val="Times New Roman"/>
        <charset val="204"/>
      </rPr>
      <t>мг/л</t>
    </r>
  </si>
  <si>
    <t>Kg</t>
  </si>
  <si>
    <t>Расчет</t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</si>
  <si>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 xml:space="preserve">mix, </t>
    </r>
    <r>
      <rPr>
        <sz val="12"/>
        <color theme="1"/>
        <rFont val="Times New Roman"/>
        <charset val="204"/>
      </rPr>
      <t>мг/л</t>
    </r>
  </si>
  <si>
    <r>
      <rPr>
        <b/>
        <i/>
        <sz val="12"/>
        <color theme="1"/>
        <rFont val="Times New Roman"/>
        <charset val="204"/>
      </rPr>
      <t>t</t>
    </r>
    <r>
      <rPr>
        <b/>
        <i/>
        <vertAlign val="subscript"/>
        <sz val="12"/>
        <color theme="1"/>
        <rFont val="Times New Roman"/>
        <charset val="204"/>
      </rPr>
      <t xml:space="preserve">atv, </t>
    </r>
    <r>
      <rPr>
        <b/>
        <sz val="12"/>
        <color theme="1"/>
        <rFont val="Times New Roman"/>
        <charset val="204"/>
      </rPr>
      <t>ч</t>
    </r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</si>
  <si>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r</t>
    </r>
    <r>
      <rPr>
        <vertAlign val="subscript"/>
        <sz val="12"/>
        <color theme="1"/>
        <rFont val="Times New Roman"/>
        <charset val="204"/>
      </rPr>
      <t>,</t>
    </r>
    <r>
      <rPr>
        <sz val="12"/>
        <color theme="1"/>
        <rFont val="Times New Roman"/>
        <charset val="204"/>
      </rPr>
      <t xml:space="preserve"> г/л</t>
    </r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</si>
  <si>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i mix,</t>
    </r>
    <r>
      <rPr>
        <sz val="12"/>
        <color theme="1"/>
        <rFont val="Times New Roman"/>
        <charset val="204"/>
      </rPr>
      <t xml:space="preserve"> г/л</t>
    </r>
  </si>
  <si>
    <r>
      <rPr>
        <i/>
        <sz val="12"/>
        <color theme="1"/>
        <rFont val="Times New Roman"/>
        <charset val="204"/>
      </rPr>
      <t>Ji,</t>
    </r>
    <r>
      <rPr>
        <sz val="12"/>
        <color theme="1"/>
        <rFont val="Times New Roman"/>
        <charset val="204"/>
      </rPr>
      <t xml:space="preserve"> см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/г</t>
    </r>
  </si>
  <si>
    <r>
      <rPr>
        <sz val="12"/>
        <color theme="1"/>
        <rFont val="Symbol"/>
        <charset val="2"/>
      </rPr>
      <t>D</t>
    </r>
    <r>
      <rPr>
        <i/>
        <sz val="12"/>
        <color theme="1"/>
        <rFont val="Times New Roman"/>
        <charset val="204"/>
      </rPr>
      <t xml:space="preserve">Ji, </t>
    </r>
    <r>
      <rPr>
        <sz val="12"/>
        <color theme="1"/>
        <rFont val="Times New Roman"/>
        <charset val="204"/>
      </rPr>
      <t>%</t>
    </r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</si>
  <si>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atv</t>
    </r>
    <r>
      <rPr>
        <sz val="12"/>
        <color theme="1"/>
        <rFont val="Times New Roman"/>
        <charset val="204"/>
      </rPr>
      <t>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</si>
  <si>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r</t>
    </r>
    <r>
      <rPr>
        <i/>
        <sz val="12"/>
        <color theme="1"/>
        <rFont val="Times New Roman"/>
        <charset val="204"/>
      </rPr>
      <t xml:space="preserve">,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</si>
  <si>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atv</t>
    </r>
    <r>
      <rPr>
        <i/>
        <sz val="12"/>
        <color theme="1"/>
        <rFont val="Times New Roman"/>
        <charset val="204"/>
      </rPr>
      <t>+W</t>
    </r>
    <r>
      <rPr>
        <i/>
        <vertAlign val="subscript"/>
        <sz val="12"/>
        <color theme="1"/>
        <rFont val="Times New Roman"/>
        <charset val="204"/>
      </rPr>
      <t>r</t>
    </r>
    <r>
      <rPr>
        <sz val="12"/>
        <color theme="1"/>
        <rFont val="Times New Roman"/>
        <charset val="204"/>
      </rPr>
      <t>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</si>
  <si>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sz val="12"/>
        <color theme="1"/>
        <rFont val="Times New Roman"/>
        <charset val="204"/>
      </rPr>
      <t>(</t>
    </r>
    <r>
      <rPr>
        <i/>
        <sz val="12"/>
        <color theme="1"/>
        <rFont val="Times New Roman"/>
        <charset val="204"/>
      </rPr>
      <t>W</t>
    </r>
    <r>
      <rPr>
        <i/>
        <vertAlign val="subscript"/>
        <sz val="12"/>
        <color theme="1"/>
        <rFont val="Times New Roman"/>
        <charset val="204"/>
      </rPr>
      <t>atm</t>
    </r>
    <r>
      <rPr>
        <i/>
        <sz val="12"/>
        <color theme="1"/>
        <rFont val="Times New Roman"/>
        <charset val="204"/>
      </rPr>
      <t>+W</t>
    </r>
    <r>
      <rPr>
        <i/>
        <vertAlign val="subscript"/>
        <sz val="12"/>
        <color theme="1"/>
        <rFont val="Times New Roman"/>
        <charset val="204"/>
      </rPr>
      <t>r)</t>
    </r>
    <r>
      <rPr>
        <sz val="12"/>
        <color theme="1"/>
        <rFont val="Times New Roman"/>
        <charset val="204"/>
      </rPr>
      <t>(1),</t>
    </r>
    <r>
      <rPr>
        <vertAlign val="superscript"/>
        <sz val="12"/>
        <color theme="1"/>
        <rFont val="Times New Roman"/>
        <charset val="204"/>
      </rPr>
      <t xml:space="preserve"> </t>
    </r>
    <r>
      <rPr>
        <sz val="12"/>
        <color theme="1"/>
        <rFont val="Times New Roman"/>
        <charset val="204"/>
      </rPr>
      <t>м</t>
    </r>
    <r>
      <rPr>
        <vertAlign val="superscript"/>
        <sz val="12"/>
        <color theme="1"/>
        <rFont val="Times New Roman"/>
        <charset val="204"/>
      </rPr>
      <t>3</t>
    </r>
  </si>
  <si>
    <r>
      <rPr>
        <i/>
        <sz val="12"/>
        <color theme="1"/>
        <rFont val="Times New Roman"/>
        <charset val="204"/>
      </rPr>
      <t>L</t>
    </r>
    <r>
      <rPr>
        <i/>
        <vertAlign val="subscript"/>
        <sz val="12"/>
        <color theme="1"/>
        <rFont val="Times New Roman"/>
        <charset val="204"/>
      </rPr>
      <t>at</t>
    </r>
    <r>
      <rPr>
        <sz val="12"/>
        <color theme="1"/>
        <rFont val="Times New Roman"/>
        <charset val="204"/>
      </rPr>
      <t>, м</t>
    </r>
  </si>
  <si>
    <t>Повторный расчет</t>
  </si>
  <si>
    <t>При разнице &gt;10% расчет заново при новом илов.индексе:</t>
  </si>
  <si>
    <t>Забаровский Р.В. 21702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</si>
</sst>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i/>
      <sz val="12"/>
      <color theme="1"/>
      <name val="Times New Roman"/>
      <charset val="204"/>
    </font>
    <font>
      <sz val="12"/>
      <color theme="1"/>
      <name val="Symbol"/>
      <charset val="2"/>
    </font>
    <font>
      <b/>
      <i/>
      <sz val="12"/>
      <color theme="1"/>
      <name val="Times New Roman"/>
      <charset val="204"/>
    </font>
    <font>
      <sz val="11"/>
      <color theme="1"/>
      <name val="Times New Roman"/>
      <charset val="204"/>
    </font>
    <font>
      <i/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sz val="12"/>
      <color theme="1"/>
      <name val="Calibri"/>
      <charset val="204"/>
      <scheme val="minor"/>
    </font>
    <font>
      <vertAlign val="superscript"/>
      <sz val="12"/>
      <color theme="1"/>
      <name val="Times New Roman"/>
      <charset val="204"/>
    </font>
    <font>
      <i/>
      <vertAlign val="subscript"/>
      <sz val="11"/>
      <color theme="1"/>
      <name val="Calibri"/>
      <charset val="204"/>
      <scheme val="minor"/>
    </font>
    <font>
      <i/>
      <vertAlign val="subscript"/>
      <sz val="12"/>
      <color theme="1"/>
      <name val="Times New Roman"/>
      <charset val="204"/>
    </font>
    <font>
      <vertAlign val="subscript"/>
      <sz val="12"/>
      <color theme="1"/>
      <name val="Times New Roman"/>
      <charset val="204"/>
    </font>
    <font>
      <vertAlign val="subscript"/>
      <sz val="12"/>
      <color theme="1"/>
      <name val="Calibri"/>
      <charset val="204"/>
    </font>
    <font>
      <sz val="12"/>
      <color theme="1"/>
      <name val="Calibri"/>
      <charset val="204"/>
    </font>
    <font>
      <b/>
      <i/>
      <vertAlign val="subscript"/>
      <sz val="12"/>
      <color theme="1"/>
      <name val="Times New Roman"/>
      <charset val="204"/>
    </font>
    <font>
      <i/>
      <sz val="11"/>
      <color theme="1"/>
      <name val="Times New Roman"/>
      <charset val="204"/>
    </font>
    <font>
      <i/>
      <vertAlign val="subscript"/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sz val="8"/>
      <color theme="1"/>
      <name val="Times New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4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3" fillId="0" borderId="1" xfId="0" applyFont="1" applyBorder="1" applyAlignment="1">
      <alignment horizontal="left"/>
    </xf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0" fontId="1" fillId="0" borderId="0" xfId="0" applyFont="1" applyBorder="1"/>
    <xf numFmtId="0" fontId="0" fillId="0" borderId="0" xfId="0" applyBorder="1"/>
    <xf numFmtId="0" fontId="4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Fill="1" applyBorder="1"/>
    <xf numFmtId="0" fontId="0" fillId="0" borderId="3" xfId="0" applyBorder="1"/>
    <xf numFmtId="0" fontId="5" fillId="0" borderId="1" xfId="0" applyFont="1" applyBorder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1" xfId="0" applyFont="1" applyFill="1" applyBorder="1"/>
    <xf numFmtId="164" fontId="1" fillId="0" borderId="1" xfId="0" applyNumberFormat="1" applyFont="1" applyBorder="1" applyAlignment="1">
      <alignment horizontal="center"/>
    </xf>
    <xf numFmtId="0" fontId="1" fillId="0" borderId="12" xfId="0" applyFont="1" applyFill="1" applyBorder="1"/>
    <xf numFmtId="1" fontId="1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0" fontId="1" fillId="0" borderId="13" xfId="0" applyFont="1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3" fillId="0" borderId="6" xfId="0" applyFont="1" applyBorder="1"/>
    <xf numFmtId="0" fontId="1" fillId="0" borderId="1" xfId="0" applyFont="1" applyFill="1" applyBorder="1"/>
    <xf numFmtId="0" fontId="3" fillId="0" borderId="13" xfId="0" applyFont="1" applyFill="1" applyBorder="1"/>
    <xf numFmtId="0" fontId="1" fillId="0" borderId="3" xfId="0" applyFont="1" applyFill="1" applyBorder="1"/>
    <xf numFmtId="0" fontId="1" fillId="0" borderId="4" xfId="0" applyFont="1" applyBorder="1"/>
    <xf numFmtId="0" fontId="6" fillId="0" borderId="13" xfId="0" applyFont="1" applyBorder="1"/>
    <xf numFmtId="0" fontId="7" fillId="0" borderId="4" xfId="0" applyFont="1" applyBorder="1"/>
    <xf numFmtId="0" fontId="8" fillId="0" borderId="0" xfId="0" applyFont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Border="1"/>
    <xf numFmtId="164" fontId="1" fillId="0" borderId="0" xfId="0" applyNumberFormat="1" applyFont="1" applyBorder="1"/>
    <xf numFmtId="0" fontId="3" fillId="0" borderId="12" xfId="0" applyFont="1" applyFill="1" applyBorder="1"/>
    <xf numFmtId="0" fontId="3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2" fontId="9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21" fillId="0" borderId="1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Лист1!$N$7</c:f>
              <c:strCache>
                <c:ptCount val="1"/>
                <c:pt idx="0">
                  <c:v>Ji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Лист1!$M$8:$M$13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Лист1!$N$8:$N$13</c:f>
              <c:numCache>
                <c:formatCode>General</c:formatCode>
                <c:ptCount val="6"/>
                <c:pt idx="0">
                  <c:v>130</c:v>
                </c:pt>
                <c:pt idx="1">
                  <c:v>100</c:v>
                </c:pt>
                <c:pt idx="2">
                  <c:v>70</c:v>
                </c:pt>
                <c:pt idx="3">
                  <c:v>80</c:v>
                </c:pt>
                <c:pt idx="4">
                  <c:v>95</c:v>
                </c:pt>
                <c:pt idx="5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B-4C2F-AF14-9DB54B330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31552"/>
        <c:axId val="215632128"/>
      </c:scatterChart>
      <c:valAx>
        <c:axId val="2156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5632128"/>
        <c:crosses val="autoZero"/>
        <c:crossBetween val="midCat"/>
      </c:valAx>
      <c:valAx>
        <c:axId val="2156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56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ru-RU"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</xdr:colOff>
      <xdr:row>13</xdr:row>
      <xdr:rowOff>100012</xdr:rowOff>
    </xdr:from>
    <xdr:to>
      <xdr:col>19</xdr:col>
      <xdr:colOff>83343</xdr:colOff>
      <xdr:row>27</xdr:row>
      <xdr:rowOff>200024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zoomScale="55" zoomScaleNormal="55" workbookViewId="0">
      <selection activeCell="M2" sqref="M2"/>
    </sheetView>
  </sheetViews>
  <sheetFormatPr defaultColWidth="9" defaultRowHeight="15" x14ac:dyDescent="0.25"/>
  <cols>
    <col min="1" max="1" width="22.5703125" customWidth="1"/>
    <col min="6" max="6" width="14.42578125" customWidth="1"/>
    <col min="7" max="7" width="23.7109375" customWidth="1"/>
    <col min="8" max="8" width="13.140625" customWidth="1"/>
    <col min="9" max="9" width="10"/>
    <col min="11" max="11" width="10.28515625" customWidth="1"/>
    <col min="12" max="12" width="10.85546875" customWidth="1"/>
  </cols>
  <sheetData>
    <row r="1" spans="1:14" ht="18.75" x14ac:dyDescent="0.3">
      <c r="A1" s="1" t="s">
        <v>0</v>
      </c>
      <c r="B1" s="2" t="s">
        <v>1</v>
      </c>
      <c r="C1" s="3"/>
      <c r="D1" s="3"/>
      <c r="E1" s="3"/>
      <c r="G1" s="4" t="s">
        <v>2</v>
      </c>
      <c r="H1" s="5"/>
      <c r="M1" s="45" t="s">
        <v>140</v>
      </c>
    </row>
    <row r="2" spans="1:14" ht="18" x14ac:dyDescent="0.35">
      <c r="A2" s="6" t="s">
        <v>3</v>
      </c>
      <c r="B2" t="s">
        <v>4</v>
      </c>
      <c r="G2" s="4" t="s">
        <v>5</v>
      </c>
      <c r="H2" s="4"/>
    </row>
    <row r="3" spans="1:14" ht="18.75" x14ac:dyDescent="0.35">
      <c r="A3" s="7" t="s">
        <v>6</v>
      </c>
      <c r="B3" s="3" t="s">
        <v>7</v>
      </c>
      <c r="C3" s="3"/>
      <c r="D3" s="3"/>
      <c r="E3" s="3"/>
      <c r="G3" s="8" t="s">
        <v>8</v>
      </c>
      <c r="H3" s="9">
        <v>3</v>
      </c>
      <c r="I3" s="5"/>
      <c r="J3" s="5"/>
      <c r="K3" s="5"/>
    </row>
    <row r="4" spans="1:14" ht="20.25" x14ac:dyDescent="0.35">
      <c r="A4" s="7" t="s">
        <v>9</v>
      </c>
      <c r="B4" s="10" t="s">
        <v>10</v>
      </c>
      <c r="G4" s="8" t="s">
        <v>11</v>
      </c>
      <c r="H4" s="9">
        <v>100000</v>
      </c>
      <c r="I4" s="5"/>
      <c r="J4" s="5">
        <v>400</v>
      </c>
      <c r="K4" s="5">
        <v>80</v>
      </c>
    </row>
    <row r="5" spans="1:14" ht="15.75" x14ac:dyDescent="0.25">
      <c r="A5" s="11" t="s">
        <v>12</v>
      </c>
      <c r="B5" s="12" t="s">
        <v>13</v>
      </c>
      <c r="C5" s="10"/>
      <c r="D5" s="10"/>
      <c r="E5" s="10"/>
      <c r="G5" s="13" t="s">
        <v>12</v>
      </c>
      <c r="H5" s="9">
        <v>0.3</v>
      </c>
      <c r="I5" s="5"/>
      <c r="J5" s="5">
        <v>500</v>
      </c>
      <c r="K5" s="5">
        <v>95</v>
      </c>
    </row>
    <row r="6" spans="1:14" ht="18.75" x14ac:dyDescent="0.35">
      <c r="A6" s="14"/>
      <c r="B6" s="15" t="s">
        <v>14</v>
      </c>
      <c r="C6" s="16"/>
      <c r="D6" s="16"/>
      <c r="E6" s="16"/>
      <c r="G6" s="8" t="s">
        <v>15</v>
      </c>
      <c r="H6" s="9">
        <v>400</v>
      </c>
      <c r="I6" s="5"/>
      <c r="J6" s="5"/>
      <c r="K6" s="5"/>
    </row>
    <row r="7" spans="1:14" ht="18.75" x14ac:dyDescent="0.35">
      <c r="A7" s="17" t="s">
        <v>16</v>
      </c>
      <c r="B7" s="18" t="s">
        <v>17</v>
      </c>
      <c r="C7" s="3"/>
      <c r="D7" s="3"/>
      <c r="E7" s="3"/>
      <c r="G7" s="8" t="s">
        <v>18</v>
      </c>
      <c r="H7" s="9">
        <v>20</v>
      </c>
      <c r="I7" s="5"/>
      <c r="J7" s="5"/>
      <c r="K7" s="5"/>
      <c r="M7" s="46" t="s">
        <v>19</v>
      </c>
      <c r="N7" s="8" t="s">
        <v>20</v>
      </c>
    </row>
    <row r="8" spans="1:14" ht="18.75" x14ac:dyDescent="0.35">
      <c r="A8" s="8" t="s">
        <v>21</v>
      </c>
      <c r="B8" s="18" t="s">
        <v>22</v>
      </c>
      <c r="C8" s="3"/>
      <c r="D8" s="3"/>
      <c r="E8" s="3"/>
      <c r="G8" s="8" t="s">
        <v>23</v>
      </c>
      <c r="H8" s="9">
        <v>2</v>
      </c>
      <c r="I8" s="5"/>
      <c r="J8" s="5"/>
      <c r="K8" s="5"/>
      <c r="M8" s="47">
        <v>100</v>
      </c>
      <c r="N8" s="47">
        <v>130</v>
      </c>
    </row>
    <row r="9" spans="1:14" ht="18.75" x14ac:dyDescent="0.35">
      <c r="A9" s="7" t="s">
        <v>24</v>
      </c>
      <c r="B9" s="19" t="s">
        <v>25</v>
      </c>
      <c r="C9" s="20"/>
      <c r="D9" s="20"/>
      <c r="E9" s="20"/>
      <c r="G9" s="8" t="s">
        <v>26</v>
      </c>
      <c r="H9" s="9">
        <v>85</v>
      </c>
      <c r="I9" s="5"/>
      <c r="J9" s="5"/>
      <c r="K9" s="5"/>
      <c r="M9" s="47">
        <v>200</v>
      </c>
      <c r="N9" s="47">
        <v>100</v>
      </c>
    </row>
    <row r="10" spans="1:14" ht="18.75" x14ac:dyDescent="0.35">
      <c r="A10" s="7" t="s">
        <v>27</v>
      </c>
      <c r="B10" s="18" t="s">
        <v>28</v>
      </c>
      <c r="C10" s="3"/>
      <c r="D10" s="3"/>
      <c r="E10" s="3"/>
      <c r="G10" s="8" t="s">
        <v>29</v>
      </c>
      <c r="H10" s="9">
        <v>33</v>
      </c>
      <c r="I10" s="5"/>
      <c r="J10" s="5">
        <v>500</v>
      </c>
      <c r="K10" s="5">
        <v>95</v>
      </c>
      <c r="M10" s="47">
        <v>300</v>
      </c>
      <c r="N10" s="47">
        <v>70</v>
      </c>
    </row>
    <row r="11" spans="1:14" ht="18.75" x14ac:dyDescent="0.35">
      <c r="A11" s="7" t="s">
        <v>30</v>
      </c>
      <c r="B11" s="19" t="s">
        <v>31</v>
      </c>
      <c r="C11" s="20"/>
      <c r="D11" s="20"/>
      <c r="E11" s="20"/>
      <c r="G11" s="8" t="s">
        <v>32</v>
      </c>
      <c r="H11" s="9">
        <v>0.625</v>
      </c>
      <c r="I11" s="5"/>
      <c r="J11" s="5">
        <v>600</v>
      </c>
      <c r="K11" s="5">
        <v>130</v>
      </c>
      <c r="M11" s="47">
        <v>400</v>
      </c>
      <c r="N11" s="47">
        <v>80</v>
      </c>
    </row>
    <row r="12" spans="1:14" ht="15.75" x14ac:dyDescent="0.25">
      <c r="A12" s="8" t="s">
        <v>33</v>
      </c>
      <c r="B12" s="18" t="s">
        <v>34</v>
      </c>
      <c r="C12" s="3"/>
      <c r="D12" s="3"/>
      <c r="E12" s="3"/>
      <c r="F12" s="21"/>
      <c r="G12" s="22" t="s">
        <v>35</v>
      </c>
      <c r="H12" s="9">
        <v>7.0000000000000007E-2</v>
      </c>
      <c r="I12" s="5"/>
      <c r="J12" s="5"/>
      <c r="K12" s="5"/>
      <c r="M12" s="47">
        <v>500</v>
      </c>
      <c r="N12" s="47">
        <v>95</v>
      </c>
    </row>
    <row r="13" spans="1:14" ht="18.75" x14ac:dyDescent="0.35">
      <c r="A13" s="7" t="s">
        <v>36</v>
      </c>
      <c r="B13" s="18" t="s">
        <v>37</v>
      </c>
      <c r="C13" s="3"/>
      <c r="D13" s="3"/>
      <c r="E13" s="3"/>
      <c r="G13" s="8" t="s">
        <v>38</v>
      </c>
      <c r="H13" s="9">
        <v>0.3</v>
      </c>
      <c r="I13" s="5"/>
      <c r="J13" s="5"/>
      <c r="K13" s="5"/>
      <c r="M13" s="47">
        <v>600</v>
      </c>
      <c r="N13" s="47">
        <v>130</v>
      </c>
    </row>
    <row r="14" spans="1:14" ht="18.75" x14ac:dyDescent="0.35">
      <c r="A14" s="7" t="s">
        <v>39</v>
      </c>
      <c r="B14" s="19" t="s">
        <v>40</v>
      </c>
      <c r="G14" s="7" t="s">
        <v>41</v>
      </c>
      <c r="H14" s="9">
        <v>4</v>
      </c>
      <c r="I14" s="5"/>
      <c r="J14" s="5"/>
      <c r="K14" s="5"/>
    </row>
    <row r="15" spans="1:14" ht="18.75" x14ac:dyDescent="0.35">
      <c r="A15" s="7" t="s">
        <v>42</v>
      </c>
      <c r="B15" s="18" t="s">
        <v>43</v>
      </c>
      <c r="C15" s="3"/>
      <c r="D15" s="3"/>
      <c r="E15" s="3"/>
      <c r="G15" s="7" t="s">
        <v>44</v>
      </c>
      <c r="H15" s="9">
        <v>3</v>
      </c>
      <c r="I15" s="5"/>
      <c r="J15" s="5"/>
      <c r="K15" s="5"/>
    </row>
    <row r="16" spans="1:14" ht="18.75" x14ac:dyDescent="0.35">
      <c r="A16" s="23" t="s">
        <v>45</v>
      </c>
      <c r="B16" s="19" t="s">
        <v>46</v>
      </c>
      <c r="C16" s="20"/>
      <c r="D16" s="20"/>
      <c r="E16" s="20"/>
      <c r="G16" s="8" t="s">
        <v>47</v>
      </c>
      <c r="H16" s="9">
        <v>6</v>
      </c>
      <c r="I16" s="5"/>
      <c r="J16" s="5"/>
      <c r="K16" s="5"/>
    </row>
    <row r="17" spans="1:11" ht="18.75" x14ac:dyDescent="0.35">
      <c r="A17" s="7" t="s">
        <v>38</v>
      </c>
      <c r="B17" s="18" t="s">
        <v>48</v>
      </c>
      <c r="C17" s="3"/>
      <c r="D17" s="3"/>
      <c r="E17" s="3"/>
      <c r="G17" s="8" t="s">
        <v>49</v>
      </c>
      <c r="H17" s="9">
        <v>5</v>
      </c>
      <c r="I17" s="5"/>
      <c r="J17" s="5"/>
      <c r="K17" s="5"/>
    </row>
    <row r="18" spans="1:11" ht="20.25" x14ac:dyDescent="0.35">
      <c r="A18" s="7" t="s">
        <v>50</v>
      </c>
      <c r="B18" s="24" t="s">
        <v>51</v>
      </c>
      <c r="C18" s="25"/>
      <c r="D18" s="25"/>
      <c r="E18" s="25"/>
      <c r="G18" s="7" t="s">
        <v>52</v>
      </c>
      <c r="H18" s="9">
        <v>100</v>
      </c>
      <c r="I18" s="5"/>
      <c r="J18" s="5"/>
      <c r="K18" s="5"/>
    </row>
    <row r="19" spans="1:11" ht="18.75" x14ac:dyDescent="0.35">
      <c r="A19" s="26" t="s">
        <v>53</v>
      </c>
      <c r="B19" s="19" t="s">
        <v>54</v>
      </c>
      <c r="C19" s="20"/>
      <c r="D19" s="20"/>
      <c r="E19" s="20"/>
      <c r="G19" s="7" t="s">
        <v>55</v>
      </c>
      <c r="H19" s="9">
        <v>0.3</v>
      </c>
      <c r="I19" s="5"/>
      <c r="J19" s="5"/>
      <c r="K19" s="5"/>
    </row>
    <row r="20" spans="1:11" ht="18.75" x14ac:dyDescent="0.35">
      <c r="A20" s="7" t="s">
        <v>56</v>
      </c>
      <c r="B20" s="18" t="s">
        <v>57</v>
      </c>
      <c r="C20" s="3"/>
      <c r="D20" s="3"/>
      <c r="E20" s="3"/>
      <c r="G20" s="4" t="s">
        <v>58</v>
      </c>
      <c r="H20" s="27"/>
      <c r="I20" s="5"/>
      <c r="J20" s="5"/>
      <c r="K20" s="5"/>
    </row>
    <row r="21" spans="1:11" ht="20.25" x14ac:dyDescent="0.35">
      <c r="A21" s="8" t="s">
        <v>59</v>
      </c>
      <c r="B21" s="18" t="s">
        <v>60</v>
      </c>
      <c r="C21" s="3"/>
      <c r="D21" s="3"/>
      <c r="E21" s="3"/>
      <c r="G21" s="22" t="s">
        <v>61</v>
      </c>
      <c r="H21" s="28">
        <f>H9*H7*H8/(H7*H8+H10*H8+H11*H7)/(1+H12*H3)</f>
        <v>23.712382745754439</v>
      </c>
      <c r="I21" s="5"/>
      <c r="J21" s="5"/>
      <c r="K21" s="5"/>
    </row>
    <row r="22" spans="1:11" ht="20.25" x14ac:dyDescent="0.35">
      <c r="A22" s="5" t="s">
        <v>62</v>
      </c>
      <c r="B22" s="29" t="s">
        <v>63</v>
      </c>
      <c r="G22" s="8" t="s">
        <v>64</v>
      </c>
      <c r="H22" s="28">
        <f>(H6-H7)/H3/(1-H13)/H21</f>
        <v>7.6311344537815122</v>
      </c>
      <c r="I22" s="5"/>
      <c r="J22" s="5"/>
      <c r="K22" s="5"/>
    </row>
    <row r="23" spans="1:11" ht="18.75" x14ac:dyDescent="0.35">
      <c r="A23" s="7" t="s">
        <v>65</v>
      </c>
      <c r="B23" s="24" t="s">
        <v>66</v>
      </c>
      <c r="C23" s="25"/>
      <c r="D23" s="25"/>
      <c r="E23" s="25"/>
      <c r="G23" s="7" t="s">
        <v>67</v>
      </c>
      <c r="H23" s="30">
        <f>24*(H6-H7)/(H3*(1-H13)*H22)</f>
        <v>569.09718589810666</v>
      </c>
      <c r="I23" s="5"/>
      <c r="J23" s="5"/>
      <c r="K23" s="5"/>
    </row>
    <row r="24" spans="1:11" ht="20.25" x14ac:dyDescent="0.35">
      <c r="A24" s="7" t="s">
        <v>68</v>
      </c>
      <c r="B24" s="19" t="s">
        <v>69</v>
      </c>
      <c r="C24" s="20"/>
      <c r="D24" s="20"/>
      <c r="E24" s="20"/>
      <c r="G24" s="7" t="s">
        <v>70</v>
      </c>
      <c r="H24" s="28">
        <f>_xlfn.FORECAST.LINEAR(H23, K10:K11,J10:J11)</f>
        <v>119.18401506433733</v>
      </c>
      <c r="I24" s="5" t="s">
        <v>71</v>
      </c>
      <c r="J24" s="5"/>
      <c r="K24" s="5"/>
    </row>
    <row r="25" spans="1:11" ht="18.75" x14ac:dyDescent="0.35">
      <c r="A25" s="8" t="s">
        <v>72</v>
      </c>
      <c r="B25" s="18" t="s">
        <v>73</v>
      </c>
      <c r="C25" s="3"/>
      <c r="D25" s="3"/>
      <c r="E25" s="3"/>
      <c r="G25" s="7" t="s">
        <v>74</v>
      </c>
      <c r="H25" s="28">
        <f>H3/(1000/H24-H3)</f>
        <v>0.55654632023917339</v>
      </c>
      <c r="I25" s="5"/>
      <c r="J25" s="5"/>
      <c r="K25" s="5"/>
    </row>
    <row r="26" spans="1:11" ht="20.25" x14ac:dyDescent="0.35">
      <c r="A26" s="7" t="s">
        <v>49</v>
      </c>
      <c r="B26" s="19" t="s">
        <v>75</v>
      </c>
      <c r="C26" s="20"/>
      <c r="D26" s="20"/>
      <c r="E26" s="20"/>
      <c r="G26" s="31" t="s">
        <v>76</v>
      </c>
      <c r="H26" s="30">
        <f>H4/24</f>
        <v>4166.666666666667</v>
      </c>
      <c r="I26" s="5"/>
      <c r="J26" s="5"/>
      <c r="K26" s="5"/>
    </row>
    <row r="27" spans="1:11" ht="20.25" x14ac:dyDescent="0.35">
      <c r="A27" s="7" t="s">
        <v>77</v>
      </c>
      <c r="B27" s="18" t="s">
        <v>78</v>
      </c>
      <c r="C27" s="3"/>
      <c r="D27" s="3"/>
      <c r="E27" s="3"/>
      <c r="G27" s="8" t="s">
        <v>79</v>
      </c>
      <c r="H27" s="32">
        <f>H26*H22</f>
        <v>31796.393557422969</v>
      </c>
      <c r="I27" s="5"/>
      <c r="J27" s="5"/>
      <c r="K27" s="5"/>
    </row>
    <row r="28" spans="1:11" ht="20.25" x14ac:dyDescent="0.35">
      <c r="A28" s="7" t="s">
        <v>80</v>
      </c>
      <c r="B28" s="18" t="s">
        <v>81</v>
      </c>
      <c r="C28" s="3"/>
      <c r="D28" s="3"/>
      <c r="E28" s="3"/>
      <c r="G28" s="8" t="s">
        <v>82</v>
      </c>
      <c r="H28" s="30">
        <f>H27/(1+(H5/(1-H5)))</f>
        <v>22257.475490196077</v>
      </c>
      <c r="I28" s="49">
        <f>H27*(1-H13)</f>
        <v>22257.475490196077</v>
      </c>
      <c r="J28" s="48"/>
      <c r="K28" s="20"/>
    </row>
    <row r="29" spans="1:11" ht="20.25" x14ac:dyDescent="0.35">
      <c r="A29" s="7" t="s">
        <v>83</v>
      </c>
      <c r="B29" s="16" t="s">
        <v>84</v>
      </c>
      <c r="C29" s="16"/>
      <c r="D29" s="16"/>
      <c r="E29" s="20"/>
      <c r="G29" s="8" t="s">
        <v>85</v>
      </c>
      <c r="H29" s="30">
        <f>H27-H28</f>
        <v>9538.9180672268922</v>
      </c>
      <c r="I29" s="49">
        <f>H27*H13</f>
        <v>9538.9180672268903</v>
      </c>
      <c r="J29" s="20"/>
      <c r="K29" s="20"/>
    </row>
    <row r="30" spans="1:11" ht="20.25" x14ac:dyDescent="0.35">
      <c r="A30" s="33" t="s">
        <v>86</v>
      </c>
      <c r="B30" s="34" t="s">
        <v>87</v>
      </c>
      <c r="C30" s="35"/>
      <c r="D30" s="36"/>
      <c r="E30" s="25"/>
      <c r="G30" s="8" t="s">
        <v>88</v>
      </c>
      <c r="H30" s="30">
        <f>H27/H14</f>
        <v>7949.0983893557423</v>
      </c>
      <c r="I30" s="20"/>
      <c r="J30" s="20"/>
      <c r="K30" s="20"/>
    </row>
    <row r="31" spans="1:11" ht="18.75" x14ac:dyDescent="0.35">
      <c r="A31" s="11"/>
      <c r="B31" s="10" t="s">
        <v>89</v>
      </c>
      <c r="C31" s="37"/>
      <c r="D31" s="37"/>
      <c r="E31" s="37"/>
      <c r="G31" s="7" t="s">
        <v>90</v>
      </c>
      <c r="H31" s="30">
        <f>H27/H14/H15/H16/H17</f>
        <v>88.323315437286027</v>
      </c>
      <c r="I31" s="5"/>
      <c r="J31" s="5"/>
      <c r="K31" s="5"/>
    </row>
    <row r="32" spans="1:11" ht="18.75" x14ac:dyDescent="0.35">
      <c r="A32" s="38" t="s">
        <v>91</v>
      </c>
      <c r="B32" s="20" t="s">
        <v>92</v>
      </c>
      <c r="C32" s="20"/>
      <c r="D32" s="20"/>
      <c r="E32" s="20"/>
      <c r="F32" s="5"/>
      <c r="G32" s="39" t="s">
        <v>93</v>
      </c>
      <c r="H32" s="30">
        <f>H31*H15*H5</f>
        <v>79.490983893557413</v>
      </c>
    </row>
    <row r="33" spans="1:11" ht="18.75" x14ac:dyDescent="0.35">
      <c r="A33" s="11"/>
      <c r="B33" s="20" t="s">
        <v>94</v>
      </c>
      <c r="C33" s="20"/>
      <c r="D33" s="20"/>
      <c r="E33" s="20"/>
      <c r="F33" s="5"/>
      <c r="G33" s="8" t="s">
        <v>95</v>
      </c>
      <c r="H33" s="28">
        <f>(H27*H3/(H28+(1/2/H25+1)*H29))</f>
        <v>2.3630990819573294</v>
      </c>
    </row>
    <row r="34" spans="1:11" ht="18.75" x14ac:dyDescent="0.35">
      <c r="A34" s="40" t="s">
        <v>96</v>
      </c>
      <c r="B34" s="41" t="s">
        <v>97</v>
      </c>
      <c r="C34" s="3"/>
      <c r="D34" s="3"/>
      <c r="E34" s="3"/>
      <c r="F34" s="5"/>
      <c r="G34" s="7" t="s">
        <v>98</v>
      </c>
      <c r="H34" s="9">
        <f>0.8*H18+H19*H6</f>
        <v>200</v>
      </c>
    </row>
    <row r="35" spans="1:11" ht="18.75" x14ac:dyDescent="0.35">
      <c r="A35" s="42" t="s">
        <v>99</v>
      </c>
      <c r="B35" s="10" t="s">
        <v>100</v>
      </c>
      <c r="C35" s="10"/>
      <c r="D35" s="10"/>
      <c r="E35" s="10"/>
      <c r="F35" s="5"/>
    </row>
    <row r="36" spans="1:11" ht="15.75" x14ac:dyDescent="0.25">
      <c r="A36" s="14"/>
      <c r="B36" s="16" t="s">
        <v>101</v>
      </c>
      <c r="C36" s="16"/>
      <c r="D36" s="16"/>
      <c r="E36" s="16"/>
      <c r="F36" s="5"/>
    </row>
    <row r="37" spans="1:11" ht="18.75" x14ac:dyDescent="0.35">
      <c r="A37" s="42" t="s">
        <v>102</v>
      </c>
      <c r="B37" s="10" t="s">
        <v>103</v>
      </c>
      <c r="C37" s="10"/>
      <c r="D37" s="10"/>
      <c r="E37" s="10"/>
      <c r="F37" s="5"/>
    </row>
    <row r="38" spans="1:11" ht="18.75" x14ac:dyDescent="0.35">
      <c r="A38" s="42" t="s">
        <v>104</v>
      </c>
      <c r="B38" s="10" t="s">
        <v>105</v>
      </c>
      <c r="C38" s="10"/>
      <c r="D38" s="10"/>
      <c r="E38" s="10"/>
      <c r="F38" s="20"/>
    </row>
    <row r="39" spans="1:11" ht="15.75" x14ac:dyDescent="0.25">
      <c r="A39" s="14"/>
      <c r="B39" s="16" t="s">
        <v>106</v>
      </c>
      <c r="C39" s="16"/>
      <c r="D39" s="16"/>
      <c r="E39" s="16"/>
      <c r="F39" s="20"/>
    </row>
    <row r="40" spans="1:11" ht="18.75" x14ac:dyDescent="0.35">
      <c r="A40" s="7" t="s">
        <v>9</v>
      </c>
      <c r="B40" s="10" t="s">
        <v>107</v>
      </c>
      <c r="C40" s="10"/>
      <c r="D40" s="10"/>
      <c r="E40" s="10"/>
      <c r="F40" s="20"/>
    </row>
    <row r="41" spans="1:11" ht="15.75" x14ac:dyDescent="0.25">
      <c r="A41" s="14"/>
      <c r="B41" s="16" t="s">
        <v>108</v>
      </c>
      <c r="C41" s="16"/>
      <c r="D41" s="16"/>
      <c r="E41" s="16"/>
      <c r="F41" s="20"/>
    </row>
    <row r="42" spans="1:11" ht="16.5" x14ac:dyDescent="0.3">
      <c r="A42" s="43" t="s">
        <v>109</v>
      </c>
      <c r="B42" s="3" t="s">
        <v>110</v>
      </c>
      <c r="C42" s="3"/>
      <c r="D42" s="3"/>
      <c r="E42" s="3"/>
      <c r="F42" s="20"/>
    </row>
    <row r="43" spans="1:11" ht="16.5" x14ac:dyDescent="0.3">
      <c r="A43" s="43" t="s">
        <v>111</v>
      </c>
      <c r="B43" s="3" t="s">
        <v>112</v>
      </c>
      <c r="C43" s="3"/>
      <c r="D43" s="3"/>
      <c r="E43" s="3"/>
      <c r="F43" s="20"/>
    </row>
    <row r="44" spans="1:11" ht="18" x14ac:dyDescent="0.35">
      <c r="A44" s="44" t="s">
        <v>113</v>
      </c>
      <c r="B44" s="12" t="s">
        <v>114</v>
      </c>
      <c r="C44" s="10"/>
      <c r="D44" s="10"/>
      <c r="E44" s="10"/>
      <c r="F44" s="5"/>
      <c r="G44" s="4" t="s">
        <v>115</v>
      </c>
      <c r="H44" s="5"/>
      <c r="I44" s="5"/>
      <c r="J44" s="5"/>
      <c r="K44" s="5"/>
    </row>
    <row r="45" spans="1:11" ht="15.75" x14ac:dyDescent="0.25">
      <c r="A45" s="14"/>
      <c r="B45" s="15" t="s">
        <v>116</v>
      </c>
      <c r="C45" s="16"/>
      <c r="D45" s="16"/>
      <c r="E45" s="16"/>
      <c r="F45" s="5"/>
      <c r="G45" s="4" t="s">
        <v>5</v>
      </c>
      <c r="H45" s="5"/>
      <c r="I45" s="5"/>
      <c r="J45" s="5"/>
      <c r="K45" s="5"/>
    </row>
    <row r="46" spans="1:11" ht="18.75" x14ac:dyDescent="0.35">
      <c r="B46" s="5"/>
      <c r="C46" s="5"/>
      <c r="D46" s="5"/>
      <c r="E46" s="5"/>
      <c r="F46" s="5"/>
      <c r="G46" s="8" t="s">
        <v>117</v>
      </c>
      <c r="H46" s="9">
        <v>3</v>
      </c>
      <c r="I46" s="5"/>
      <c r="J46" s="5"/>
      <c r="K46" s="5"/>
    </row>
    <row r="47" spans="1:11" ht="20.25" x14ac:dyDescent="0.35">
      <c r="G47" s="8" t="s">
        <v>118</v>
      </c>
      <c r="H47" s="9">
        <v>100</v>
      </c>
      <c r="I47" s="5" t="s">
        <v>119</v>
      </c>
      <c r="J47" s="5"/>
      <c r="K47" s="5"/>
    </row>
    <row r="48" spans="1:11" ht="18.75" x14ac:dyDescent="0.25">
      <c r="G48" s="8" t="s">
        <v>120</v>
      </c>
      <c r="H48" s="9">
        <v>50000</v>
      </c>
      <c r="I48" s="5"/>
      <c r="J48" s="5"/>
      <c r="K48" s="5"/>
    </row>
    <row r="49" spans="7:11" ht="18.75" x14ac:dyDescent="0.35">
      <c r="G49" s="8" t="s">
        <v>15</v>
      </c>
      <c r="H49" s="9">
        <v>215</v>
      </c>
      <c r="I49" s="5"/>
      <c r="J49" s="5"/>
      <c r="K49" s="5"/>
    </row>
    <row r="50" spans="7:11" ht="18.75" x14ac:dyDescent="0.35">
      <c r="G50" s="8" t="s">
        <v>18</v>
      </c>
      <c r="H50" s="9">
        <v>15</v>
      </c>
      <c r="I50" s="5"/>
      <c r="J50" s="5"/>
      <c r="K50" s="5"/>
    </row>
    <row r="51" spans="7:11" ht="18.75" x14ac:dyDescent="0.35">
      <c r="G51" s="8" t="s">
        <v>121</v>
      </c>
      <c r="H51" s="9">
        <v>2</v>
      </c>
      <c r="I51" s="5"/>
      <c r="J51" s="5"/>
      <c r="K51" s="5"/>
    </row>
    <row r="52" spans="7:11" ht="18.75" x14ac:dyDescent="0.35">
      <c r="G52" s="8" t="s">
        <v>26</v>
      </c>
      <c r="H52" s="9">
        <v>85</v>
      </c>
      <c r="I52" s="5"/>
      <c r="J52" s="5"/>
      <c r="K52" s="5"/>
    </row>
    <row r="53" spans="7:11" ht="18.75" x14ac:dyDescent="0.35">
      <c r="G53" s="8" t="s">
        <v>29</v>
      </c>
      <c r="H53" s="9">
        <v>33</v>
      </c>
      <c r="I53" s="5"/>
      <c r="J53" s="5"/>
      <c r="K53" s="5"/>
    </row>
    <row r="54" spans="7:11" ht="18.75" x14ac:dyDescent="0.35">
      <c r="G54" s="8" t="s">
        <v>32</v>
      </c>
      <c r="H54" s="9">
        <v>0.625</v>
      </c>
      <c r="I54" s="5"/>
      <c r="J54" s="5"/>
      <c r="K54" s="5"/>
    </row>
    <row r="55" spans="7:11" ht="15.75" x14ac:dyDescent="0.25">
      <c r="G55" s="22" t="s">
        <v>35</v>
      </c>
      <c r="H55" s="9">
        <v>7.0000000000000007E-2</v>
      </c>
      <c r="I55" s="5"/>
      <c r="J55" s="5"/>
      <c r="K55" s="5"/>
    </row>
    <row r="56" spans="7:11" ht="15.75" x14ac:dyDescent="0.25">
      <c r="G56" s="7" t="s">
        <v>38</v>
      </c>
      <c r="H56" s="9">
        <v>0.3</v>
      </c>
      <c r="I56" s="5"/>
      <c r="J56" s="5"/>
      <c r="K56" s="5"/>
    </row>
    <row r="57" spans="7:11" ht="18.75" x14ac:dyDescent="0.35">
      <c r="G57" s="7" t="s">
        <v>41</v>
      </c>
      <c r="H57" s="9">
        <v>4</v>
      </c>
      <c r="I57" s="5"/>
      <c r="J57" s="5"/>
      <c r="K57" s="5"/>
    </row>
    <row r="58" spans="7:11" ht="18.75" x14ac:dyDescent="0.35">
      <c r="G58" s="7" t="s">
        <v>44</v>
      </c>
      <c r="H58" s="9">
        <v>2</v>
      </c>
      <c r="I58" s="5"/>
      <c r="J58" s="5"/>
      <c r="K58" s="5"/>
    </row>
    <row r="59" spans="7:11" ht="18.75" x14ac:dyDescent="0.35">
      <c r="G59" s="8" t="s">
        <v>122</v>
      </c>
      <c r="H59" s="9">
        <v>4.5</v>
      </c>
      <c r="I59" s="5"/>
      <c r="J59" s="5"/>
      <c r="K59" s="5"/>
    </row>
    <row r="60" spans="7:11" ht="18.75" x14ac:dyDescent="0.35">
      <c r="G60" s="8" t="s">
        <v>123</v>
      </c>
      <c r="H60" s="9">
        <v>4.4000000000000004</v>
      </c>
      <c r="I60" s="5"/>
      <c r="J60" s="5"/>
      <c r="K60" s="5"/>
    </row>
    <row r="61" spans="7:11" ht="15.75" x14ac:dyDescent="0.25">
      <c r="G61" s="7" t="s">
        <v>124</v>
      </c>
      <c r="H61" s="9">
        <v>100</v>
      </c>
      <c r="I61" s="5"/>
      <c r="J61" s="5"/>
      <c r="K61" s="5"/>
    </row>
    <row r="62" spans="7:11" ht="15.75" x14ac:dyDescent="0.25">
      <c r="G62" s="7" t="s">
        <v>125</v>
      </c>
      <c r="H62" s="9">
        <v>0.3</v>
      </c>
      <c r="I62" s="5"/>
      <c r="J62" s="5"/>
      <c r="K62" s="5"/>
    </row>
    <row r="63" spans="7:11" ht="15.75" x14ac:dyDescent="0.25">
      <c r="I63" s="5"/>
      <c r="J63" s="5"/>
      <c r="K63" s="5"/>
    </row>
    <row r="64" spans="7:11" ht="15.75" x14ac:dyDescent="0.25">
      <c r="G64" s="5"/>
      <c r="H64" s="5"/>
      <c r="I64" s="5"/>
      <c r="J64" s="5"/>
      <c r="K64" s="5"/>
    </row>
    <row r="65" spans="7:15" ht="15.75" x14ac:dyDescent="0.25">
      <c r="G65" s="4" t="s">
        <v>126</v>
      </c>
      <c r="H65" s="27"/>
      <c r="I65" s="5"/>
      <c r="J65" s="5"/>
      <c r="K65" s="5"/>
    </row>
    <row r="66" spans="7:15" ht="18.75" x14ac:dyDescent="0.35">
      <c r="G66" s="7" t="s">
        <v>56</v>
      </c>
      <c r="H66" s="28">
        <f>H46/(1000/H47-H46)</f>
        <v>0.42857142857142855</v>
      </c>
      <c r="I66" s="5"/>
      <c r="J66" s="5"/>
      <c r="K66" s="5"/>
    </row>
    <row r="67" spans="7:15" ht="18.75" x14ac:dyDescent="0.35">
      <c r="G67" s="7" t="s">
        <v>127</v>
      </c>
      <c r="H67" s="30">
        <f>(H49+H50*H66)/(1+H66)</f>
        <v>155</v>
      </c>
      <c r="I67" s="5"/>
      <c r="J67" s="5"/>
      <c r="K67" s="5"/>
    </row>
    <row r="68" spans="7:15" ht="18.75" x14ac:dyDescent="0.35">
      <c r="G68" s="26" t="s">
        <v>128</v>
      </c>
      <c r="H68" s="28">
        <f>2.5/H46^0.5*LOG(H67/H50,10)</f>
        <v>1.4639299763645612</v>
      </c>
      <c r="I68" s="5"/>
      <c r="J68" s="5"/>
      <c r="K68" s="5"/>
    </row>
    <row r="69" spans="7:15" ht="18.75" x14ac:dyDescent="0.35">
      <c r="G69" s="8" t="s">
        <v>129</v>
      </c>
      <c r="H69" s="30">
        <f>H46*(1/2/H66+1)</f>
        <v>6.5000000000000009</v>
      </c>
    </row>
    <row r="70" spans="7:15" ht="15.75" x14ac:dyDescent="0.25">
      <c r="G70" s="22" t="s">
        <v>61</v>
      </c>
      <c r="H70" s="28">
        <f>H52*H50*H51/(H50*H51+H53*H51+H54*H50)/(1+H55*H69)</f>
        <v>16.631813234520795</v>
      </c>
      <c r="K70" s="47">
        <v>300</v>
      </c>
      <c r="L70" s="47">
        <v>70</v>
      </c>
      <c r="N70" s="46" t="s">
        <v>19</v>
      </c>
      <c r="O70" s="8" t="s">
        <v>20</v>
      </c>
    </row>
    <row r="71" spans="7:15" ht="18.75" x14ac:dyDescent="0.35">
      <c r="G71" s="8" t="s">
        <v>99</v>
      </c>
      <c r="H71" s="28">
        <f>(H49-H50)/(H66*H69*(1-H56)*H70)</f>
        <v>6.1667420814479641</v>
      </c>
      <c r="K71" s="47">
        <v>400</v>
      </c>
      <c r="L71" s="47">
        <v>80</v>
      </c>
      <c r="N71" s="46">
        <v>100</v>
      </c>
      <c r="O71" s="46">
        <v>130</v>
      </c>
    </row>
    <row r="72" spans="7:15" ht="18.75" x14ac:dyDescent="0.35">
      <c r="G72" s="8" t="s">
        <v>102</v>
      </c>
      <c r="H72" s="28">
        <f>H71-H68</f>
        <v>4.7028121050834031</v>
      </c>
      <c r="N72" s="46">
        <v>200</v>
      </c>
      <c r="O72" s="46">
        <v>100</v>
      </c>
    </row>
    <row r="73" spans="7:15" ht="18.75" x14ac:dyDescent="0.35">
      <c r="G73" s="7" t="s">
        <v>104</v>
      </c>
      <c r="H73" s="28">
        <f>(1+H66)*H68+H66*H72</f>
        <v>4.1068194398422602</v>
      </c>
      <c r="I73" s="5"/>
      <c r="J73" s="5"/>
      <c r="K73" s="5"/>
      <c r="N73" s="46">
        <v>300</v>
      </c>
      <c r="O73" s="46">
        <v>70</v>
      </c>
    </row>
    <row r="74" spans="7:15" ht="18.75" x14ac:dyDescent="0.35">
      <c r="G74" s="7" t="s">
        <v>130</v>
      </c>
      <c r="H74" s="28">
        <f>((1+H66)*H68*H46+H66*H72*H69)/H73</f>
        <v>4.7176840279825045</v>
      </c>
      <c r="I74" s="5"/>
      <c r="J74" s="5"/>
      <c r="K74" s="5"/>
      <c r="N74" s="46">
        <v>400</v>
      </c>
      <c r="O74" s="46">
        <v>80</v>
      </c>
    </row>
    <row r="75" spans="7:15" ht="15.75" x14ac:dyDescent="0.25">
      <c r="G75" s="7" t="s">
        <v>67</v>
      </c>
      <c r="H75" s="28">
        <f>24*(H49-H50)/H74/(1-H56)/H73</f>
        <v>353.9229604803636</v>
      </c>
      <c r="J75" s="5"/>
      <c r="K75" s="5"/>
      <c r="N75" s="46">
        <v>500</v>
      </c>
      <c r="O75" s="46">
        <v>95</v>
      </c>
    </row>
    <row r="76" spans="7:15" ht="18.75" x14ac:dyDescent="0.25">
      <c r="G76" s="7" t="s">
        <v>131</v>
      </c>
      <c r="H76" s="30">
        <f>FORECAST(H75,O73:O74,N73:N74)</f>
        <v>75.392296048036371</v>
      </c>
      <c r="I76" s="5"/>
      <c r="N76" s="46">
        <v>600</v>
      </c>
      <c r="O76" s="46">
        <v>130</v>
      </c>
    </row>
    <row r="77" spans="7:15" ht="15.75" x14ac:dyDescent="0.25">
      <c r="G77" s="33" t="s">
        <v>132</v>
      </c>
      <c r="H77" s="30">
        <f>H47-H76/H47*100</f>
        <v>24.607703951963629</v>
      </c>
      <c r="I77" s="5" t="s">
        <v>139</v>
      </c>
    </row>
    <row r="78" spans="7:15" ht="20.25" x14ac:dyDescent="0.35">
      <c r="G78" s="8" t="s">
        <v>133</v>
      </c>
      <c r="H78" s="28"/>
      <c r="I78" s="5"/>
    </row>
    <row r="79" spans="7:15" ht="20.25" x14ac:dyDescent="0.35">
      <c r="G79" s="50" t="s">
        <v>134</v>
      </c>
      <c r="H79" s="28"/>
      <c r="I79" s="5"/>
    </row>
    <row r="80" spans="7:15" ht="20.25" x14ac:dyDescent="0.35">
      <c r="G80" s="8" t="s">
        <v>135</v>
      </c>
      <c r="H80" s="28"/>
      <c r="I80" s="5"/>
      <c r="L80" s="5"/>
    </row>
    <row r="81" spans="7:17" ht="20.25" x14ac:dyDescent="0.35">
      <c r="G81" s="8" t="s">
        <v>136</v>
      </c>
      <c r="H81" s="30"/>
      <c r="I81" s="5"/>
    </row>
    <row r="82" spans="7:17" ht="18.75" x14ac:dyDescent="0.35">
      <c r="G82" s="7" t="s">
        <v>137</v>
      </c>
      <c r="H82" s="32"/>
      <c r="I82" s="5"/>
      <c r="K82" s="51"/>
      <c r="L82" s="20"/>
    </row>
    <row r="83" spans="7:17" ht="18.75" x14ac:dyDescent="0.35">
      <c r="G83" s="8" t="s">
        <v>98</v>
      </c>
      <c r="H83" s="9"/>
      <c r="K83" s="20"/>
      <c r="L83" s="52"/>
      <c r="P83" s="20"/>
      <c r="Q83" s="52"/>
    </row>
    <row r="84" spans="7:17" ht="15.75" x14ac:dyDescent="0.25">
      <c r="G84" s="4" t="s">
        <v>138</v>
      </c>
      <c r="K84" s="51"/>
      <c r="L84" s="52"/>
      <c r="P84" s="51"/>
      <c r="Q84" s="52"/>
    </row>
    <row r="85" spans="7:17" ht="20.25" x14ac:dyDescent="0.35">
      <c r="G85" s="8" t="s">
        <v>118</v>
      </c>
      <c r="H85" s="30">
        <f>H76</f>
        <v>75.392296048036371</v>
      </c>
      <c r="K85" s="53"/>
      <c r="L85" s="52"/>
      <c r="P85" s="53"/>
      <c r="Q85" s="52"/>
    </row>
    <row r="86" spans="7:17" ht="18.75" x14ac:dyDescent="0.35">
      <c r="G86" s="7" t="s">
        <v>56</v>
      </c>
      <c r="H86" s="28">
        <f>H46/(1000/H85-H46)</f>
        <v>0.29228499986471074</v>
      </c>
      <c r="K86" s="20"/>
      <c r="L86" s="52"/>
      <c r="P86" s="51"/>
      <c r="Q86" s="52"/>
    </row>
    <row r="87" spans="7:17" ht="18.75" x14ac:dyDescent="0.35">
      <c r="G87" s="7" t="s">
        <v>127</v>
      </c>
      <c r="H87" s="28">
        <f>(H49+H50*H86)/(1+H86)</f>
        <v>169.76462237117818</v>
      </c>
      <c r="K87" s="54"/>
      <c r="L87" s="52"/>
      <c r="P87" s="21"/>
      <c r="Q87" s="21"/>
    </row>
    <row r="88" spans="7:17" ht="18.75" x14ac:dyDescent="0.35">
      <c r="G88" s="26" t="s">
        <v>128</v>
      </c>
      <c r="H88" s="28">
        <f>2.5/H46^0.5*LOG10((H87/H50))</f>
        <v>1.5209656784881733</v>
      </c>
      <c r="K88" s="20"/>
      <c r="L88" s="52"/>
      <c r="P88" s="55"/>
      <c r="Q88" s="20"/>
    </row>
    <row r="89" spans="7:17" ht="18.75" x14ac:dyDescent="0.35">
      <c r="G89" s="8" t="s">
        <v>129</v>
      </c>
      <c r="H89" s="28">
        <f>H46*(1/2/H86+1)</f>
        <v>8.1319773532487183</v>
      </c>
      <c r="K89" s="20"/>
      <c r="L89" s="52"/>
    </row>
    <row r="90" spans="7:17" ht="15.75" x14ac:dyDescent="0.25">
      <c r="G90" s="22" t="s">
        <v>61</v>
      </c>
      <c r="H90" s="28">
        <f>H52*H50*H51/(H50*H51+H53*H51+H54*H50)/(1+H55*H89)</f>
        <v>15.421039931928618</v>
      </c>
      <c r="K90" s="51"/>
      <c r="L90" s="56"/>
    </row>
    <row r="91" spans="7:17" ht="18.75" x14ac:dyDescent="0.35">
      <c r="G91" s="8" t="s">
        <v>99</v>
      </c>
      <c r="H91" s="28">
        <f>(H49-H50)/H86/H89/(1-H56)/H90</f>
        <v>7.7949907751608434</v>
      </c>
      <c r="K91" s="51"/>
      <c r="L91" s="56"/>
    </row>
    <row r="92" spans="7:17" ht="18.75" x14ac:dyDescent="0.35">
      <c r="G92" s="8" t="s">
        <v>102</v>
      </c>
      <c r="H92" s="60">
        <f>H91-H88</f>
        <v>6.2740250966726698</v>
      </c>
      <c r="K92" s="51"/>
      <c r="L92" s="52"/>
    </row>
    <row r="93" spans="7:17" ht="18.75" x14ac:dyDescent="0.35">
      <c r="G93" s="7" t="s">
        <v>104</v>
      </c>
      <c r="H93" s="60">
        <f>(1+H86)*H88+H86*H92</f>
        <v>3.7993245561514817</v>
      </c>
      <c r="K93" s="51"/>
      <c r="L93" s="57"/>
    </row>
    <row r="94" spans="7:17" ht="18.75" x14ac:dyDescent="0.35">
      <c r="G94" s="7" t="s">
        <v>130</v>
      </c>
      <c r="H94" s="60">
        <f>((1+H86)*H88*H46+H86*H92*H89)/H93</f>
        <v>5.4770291418698633</v>
      </c>
      <c r="K94" s="55"/>
      <c r="L94" s="57"/>
    </row>
    <row r="95" spans="7:17" ht="15.75" x14ac:dyDescent="0.25">
      <c r="G95" s="7" t="s">
        <v>67</v>
      </c>
      <c r="H95" s="60">
        <f>24*(H49-H50)/H94/(1-H56)/H93</f>
        <v>329.5275663916949</v>
      </c>
      <c r="K95" s="20"/>
      <c r="L95" s="52"/>
    </row>
    <row r="96" spans="7:17" ht="18.75" x14ac:dyDescent="0.25">
      <c r="G96" s="7" t="s">
        <v>131</v>
      </c>
      <c r="H96" s="61">
        <f>FORECAST(H95,O73:O74,N73:N74)</f>
        <v>72.952756639169493</v>
      </c>
      <c r="K96" s="48"/>
      <c r="L96" s="57"/>
    </row>
    <row r="97" spans="7:12" ht="15.75" x14ac:dyDescent="0.25">
      <c r="G97" s="33" t="s">
        <v>132</v>
      </c>
      <c r="H97" s="61">
        <f>(H85-H96)/H85*100</f>
        <v>3.2357940223925796</v>
      </c>
      <c r="K97" s="20"/>
      <c r="L97" s="58"/>
    </row>
    <row r="98" spans="7:12" ht="20.25" x14ac:dyDescent="0.35">
      <c r="G98" s="8" t="s">
        <v>133</v>
      </c>
      <c r="H98" s="60">
        <f>H88*(1+H86)*H48/24</f>
        <v>4094.8356908735809</v>
      </c>
      <c r="K98" s="51"/>
      <c r="L98" s="59"/>
    </row>
    <row r="99" spans="7:12" ht="20.25" x14ac:dyDescent="0.35">
      <c r="G99" s="50" t="s">
        <v>134</v>
      </c>
      <c r="H99" s="60">
        <f>H48/24*H86*H92</f>
        <v>3820.4238011086732</v>
      </c>
    </row>
    <row r="100" spans="7:12" ht="20.25" x14ac:dyDescent="0.35">
      <c r="G100" s="8" t="s">
        <v>135</v>
      </c>
      <c r="H100" s="60">
        <f>H98+H99</f>
        <v>7915.2594919822541</v>
      </c>
    </row>
    <row r="101" spans="7:12" ht="20.25" x14ac:dyDescent="0.35">
      <c r="G101" s="8" t="s">
        <v>136</v>
      </c>
      <c r="H101" s="61">
        <f>H100/H57</f>
        <v>1978.8148729955635</v>
      </c>
    </row>
    <row r="102" spans="7:12" ht="18.75" x14ac:dyDescent="0.35">
      <c r="G102" s="7" t="s">
        <v>137</v>
      </c>
      <c r="H102" s="62">
        <f>H100/H57/H58/H59/H60</f>
        <v>49.970072550393013</v>
      </c>
    </row>
    <row r="103" spans="7:12" ht="18.75" x14ac:dyDescent="0.35">
      <c r="G103" s="8" t="s">
        <v>98</v>
      </c>
      <c r="H103" s="63">
        <f>0.8*H61+H62*H49</f>
        <v>144.5</v>
      </c>
    </row>
  </sheetData>
  <pageMargins left="0.7" right="0.7" top="0.75" bottom="0.75" header="0.3" footer="0.3"/>
  <pageSetup paperSize="9" orientation="portrait" horizontalDpi="300" verticalDpi="300" r:id="rId1"/>
  <ignoredErrors>
    <ignoredError sqref="H76 H9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Экология</dc:creator>
  <cp:lastModifiedBy>D9O</cp:lastModifiedBy>
  <dcterms:created xsi:type="dcterms:W3CDTF">2019-04-26T09:36:00Z</dcterms:created>
  <dcterms:modified xsi:type="dcterms:W3CDTF">2023-06-09T10:11:36Z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dbedd88b-798b-4e10-83e5-e9f26159448e</vt:lpwstr>
  </property>
  <property fmtid="{D5CDD505-2E9C-101B-9397-08002B2CF9AE}" pid="3" name="ICV">
    <vt:lpwstr>65BD4DBF09F84A248EB82E81E86B0557</vt:lpwstr>
  </property>
  <property fmtid="{D5CDD505-2E9C-101B-9397-08002B2CF9AE}" pid="4" name="KSOProductBuildVer">
    <vt:lpwstr>1049-11.2.0.11042</vt:lpwstr>
  </property>
</Properties>
</file>