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amet\Documents\GitHub\3-term-of-SPBSTU\Бизнес-планирование в строительстве\"/>
    </mc:Choice>
  </mc:AlternateContent>
  <bookViews>
    <workbookView xWindow="0" yWindow="0" windowWidth="26475" windowHeight="10050" activeTab="1"/>
  </bookViews>
  <sheets>
    <sheet name="Задачи" sheetId="3" r:id="rId1"/>
    <sheet name="Весь проект" sheetId="1" r:id="rId2"/>
    <sheet name="Весь проект_эскроу" sheetId="2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</externalReferences>
  <definedNames>
    <definedName name="__INF_MEC">#N/A</definedName>
    <definedName name="_j1" localSheetId="2">#REF!</definedName>
    <definedName name="_j1" localSheetId="0">#REF!</definedName>
    <definedName name="_j1">#REF!</definedName>
    <definedName name="_PR1" localSheetId="1">#REF!</definedName>
    <definedName name="_PR1" localSheetId="2">#REF!</definedName>
    <definedName name="_PR1">#REF!</definedName>
    <definedName name="_PR2" localSheetId="1">#REF!</definedName>
    <definedName name="_PR2" localSheetId="2">#REF!</definedName>
    <definedName name="_PR2">#REF!</definedName>
    <definedName name="_PR3" localSheetId="1">#REF!</definedName>
    <definedName name="_PR3" localSheetId="2">#REF!</definedName>
    <definedName name="_PR3">#REF!</definedName>
    <definedName name="_PR4" localSheetId="1">#REF!</definedName>
    <definedName name="_PR4" localSheetId="2">#REF!</definedName>
    <definedName name="_PR4">#REF!</definedName>
    <definedName name="_PR5" localSheetId="1">#REF!</definedName>
    <definedName name="_PR5" localSheetId="2">#REF!</definedName>
    <definedName name="_PR5">#REF!</definedName>
    <definedName name="_RAC1" localSheetId="2" hidden="1">#REF!</definedName>
    <definedName name="_RAC1" hidden="1">#REF!</definedName>
    <definedName name="_RI1" localSheetId="1">#REF!</definedName>
    <definedName name="_RI1" localSheetId="2">#REF!</definedName>
    <definedName name="_RI1">#REF!</definedName>
    <definedName name="_RR1" localSheetId="1">#REF!</definedName>
    <definedName name="_RR1" localSheetId="2">#REF!</definedName>
    <definedName name="_RR1">#REF!</definedName>
    <definedName name="_usd1">'[1]общие сведения'!$B$6</definedName>
    <definedName name="_wrn2" localSheetId="1" hidden="1">{"glc1",#N/A,FALSE,"GLC";"glc2",#N/A,FALSE,"GLC";"glc3",#N/A,FALSE,"GLC";"glc4",#N/A,FALSE,"GLC";"glc5",#N/A,FALSE,"GLC"}</definedName>
    <definedName name="_wrn2" localSheetId="2" hidden="1">{"glc1",#N/A,FALSE,"GLC";"glc2",#N/A,FALSE,"GLC";"glc3",#N/A,FALSE,"GLC";"glc4",#N/A,FALSE,"GLC";"glc5",#N/A,FALSE,"GLC"}</definedName>
    <definedName name="_wrn2" localSheetId="0" hidden="1">{"glc1",#N/A,FALSE,"GLC";"glc2",#N/A,FALSE,"GLC";"glc3",#N/A,FALSE,"GLC";"glc4",#N/A,FALSE,"GLC";"glc5",#N/A,FALSE,"GLC"}</definedName>
    <definedName name="_wrn2" hidden="1">{"glc1",#N/A,FALSE,"GLC";"glc2",#N/A,FALSE,"GLC";"glc3",#N/A,FALSE,"GLC";"glc4",#N/A,FALSE,"GLC";"glc5",#N/A,FALSE,"GLC"}</definedName>
    <definedName name="a" localSheetId="2" hidden="1">#REF!</definedName>
    <definedName name="a" localSheetId="0" hidden="1">#REF!</definedName>
    <definedName name="a" hidden="1">#REF!</definedName>
    <definedName name="AccessDatabase" hidden="1">"C:\Мои документы\Книга расценок 3.mdb"</definedName>
    <definedName name="AS2DocOpenMode" hidden="1">"AS2DocumentEdit"</definedName>
    <definedName name="beginyear" localSheetId="2">#REF!</definedName>
    <definedName name="beginyear" localSheetId="0">#REF!</definedName>
    <definedName name="beginyear">#REF!</definedName>
    <definedName name="BLPH1" localSheetId="1" hidden="1">'[2]Read me first'!$D$15</definedName>
    <definedName name="BLPH1" localSheetId="2" hidden="1">'[2]Read me first'!$D$15</definedName>
    <definedName name="BLPH1" localSheetId="0" hidden="1">'[2]Read me first'!$D$15</definedName>
    <definedName name="BLPH1" hidden="1">'[3]Read me first'!$D$15</definedName>
    <definedName name="BLPH2" localSheetId="1" hidden="1">'[2]Read me first'!$Z$15</definedName>
    <definedName name="BLPH2" localSheetId="2" hidden="1">'[2]Read me first'!$Z$15</definedName>
    <definedName name="BLPH2" localSheetId="0" hidden="1">'[2]Read me first'!$Z$15</definedName>
    <definedName name="BLPH2" hidden="1">'[3]Read me first'!$Z$15</definedName>
    <definedName name="Cover">[4]Glossary!$B$46:$B$56</definedName>
    <definedName name="date" localSheetId="1">'[5]Master Inputs Start Here'!$D$12</definedName>
    <definedName name="date" localSheetId="2">'[5]Master Inputs Start Here'!$D$12</definedName>
    <definedName name="date" localSheetId="0">'[5]Master Inputs Start Here'!$D$12</definedName>
    <definedName name="date">'[6]Master Inputs Start Here'!$D$12</definedName>
    <definedName name="ddd" localSheetId="2">#REF!</definedName>
    <definedName name="ddd" localSheetId="0">#REF!</definedName>
    <definedName name="ddd">#REF!</definedName>
    <definedName name="dfg" localSheetId="2" hidden="1">#REF!</definedName>
    <definedName name="dfg" localSheetId="0" hidden="1">#REF!</definedName>
    <definedName name="dfg" hidden="1">#REF!</definedName>
    <definedName name="dol" localSheetId="1">#REF!</definedName>
    <definedName name="dol" localSheetId="2">#REF!</definedName>
    <definedName name="dol">#REF!</definedName>
    <definedName name="dolt" localSheetId="1">#REF!</definedName>
    <definedName name="dolt" localSheetId="2">#REF!</definedName>
    <definedName name="dolt">#REF!</definedName>
    <definedName name="Doors">[4]Glossary!$B$112:$B$117</definedName>
    <definedName name="DOR" localSheetId="1">#REF!</definedName>
    <definedName name="DOR" localSheetId="2">#REF!</definedName>
    <definedName name="DOR" localSheetId="0">#REF!</definedName>
    <definedName name="DOR">#REF!</definedName>
    <definedName name="dt" localSheetId="2">#REF!</definedName>
    <definedName name="dt">#REF!</definedName>
    <definedName name="Finising">[4]Glossary!$B$119:$B$128</definedName>
    <definedName name="FKdisk">"Диагр. 2"</definedName>
    <definedName name="Floors">[4]Glossary!$B$93:$B$103</definedName>
    <definedName name="Foundations">[4]Glossary!$B$2:$B$10</definedName>
    <definedName name="gh" localSheetId="1" hidden="1">{"glc1",#N/A,FALSE,"GLC";"glc2",#N/A,FALSE,"GLC";"glc3",#N/A,FALSE,"GLC";"glc4",#N/A,FALSE,"GLC";"glc5",#N/A,FALSE,"GLC"}</definedName>
    <definedName name="gh" localSheetId="2" hidden="1">{"glc1",#N/A,FALSE,"GLC";"glc2",#N/A,FALSE,"GLC";"glc3",#N/A,FALSE,"GLC";"glc4",#N/A,FALSE,"GLC";"glc5",#N/A,FALSE,"GLC"}</definedName>
    <definedName name="gh" localSheetId="0" hidden="1">{"glc1",#N/A,FALSE,"GLC";"glc2",#N/A,FALSE,"GLC";"glc3",#N/A,FALSE,"GLC";"glc4",#N/A,FALSE,"GLC";"glc5",#N/A,FALSE,"GLC"}</definedName>
    <definedName name="gh" hidden="1">{"glc1",#N/A,FALSE,"GLC";"glc2",#N/A,FALSE,"GLC";"glc3",#N/A,FALSE,"GLC";"glc4",#N/A,FALSE,"GLC";"glc5",#N/A,FALSE,"GLC"}</definedName>
    <definedName name="I" localSheetId="1">#REF!</definedName>
    <definedName name="I" localSheetId="2">#REF!</definedName>
    <definedName name="I">#REF!</definedName>
    <definedName name="I_1" localSheetId="1">#REF!</definedName>
    <definedName name="I_1" localSheetId="2">#REF!</definedName>
    <definedName name="I_1">#REF!</definedName>
    <definedName name="I_2" localSheetId="1">#REF!</definedName>
    <definedName name="I_2" localSheetId="2">#REF!</definedName>
    <definedName name="I_2">#REF!</definedName>
    <definedName name="II" localSheetId="1">#REF!</definedName>
    <definedName name="II" localSheetId="2">#REF!</definedName>
    <definedName name="II">#REF!</definedName>
    <definedName name="III" localSheetId="1">#REF!</definedName>
    <definedName name="III" localSheetId="2">#REF!</definedName>
    <definedName name="III">#REF!</definedName>
    <definedName name="IND_CMR_TEK">#N/A</definedName>
    <definedName name="IND_OB_TEK">#N/A</definedName>
    <definedName name="IV" localSheetId="1">#REF!</definedName>
    <definedName name="IV" localSheetId="2">#REF!</definedName>
    <definedName name="IV">#REF!</definedName>
    <definedName name="K_CMR_84">#N/A</definedName>
    <definedName name="K_CMR_91">#N/A</definedName>
    <definedName name="K_INF_PL">#N/A</definedName>
    <definedName name="K_INF_TEK">#N/A</definedName>
    <definedName name="K_OB_84">#N/A</definedName>
    <definedName name="K_OB_91">#N/A</definedName>
    <definedName name="K_PR_84">#N/A</definedName>
    <definedName name="K_PR_91">#N/A</definedName>
    <definedName name="K_UD_PR">#N/A</definedName>
    <definedName name="KIE" localSheetId="1">#REF!</definedName>
    <definedName name="KIE" localSheetId="2">#REF!</definedName>
    <definedName name="KIE">#REF!</definedName>
    <definedName name="KIM" localSheetId="1">#REF!</definedName>
    <definedName name="KIM" localSheetId="2">#REF!</definedName>
    <definedName name="KIM">#REF!</definedName>
    <definedName name="KIMM" localSheetId="1">#REF!</definedName>
    <definedName name="KIMM" localSheetId="2">#REF!</definedName>
    <definedName name="KIMM">#REF!</definedName>
    <definedName name="m1_0" localSheetId="1">[7]Смета!#REF!</definedName>
    <definedName name="m1_0" localSheetId="2">[7]Смета!#REF!</definedName>
    <definedName name="m1_0" localSheetId="0">[8]Смета!#REF!</definedName>
    <definedName name="m1_0">[7]Смета!#REF!</definedName>
    <definedName name="m1_1" localSheetId="1">[7]Смета!#REF!</definedName>
    <definedName name="m1_1" localSheetId="2">[7]Смета!#REF!</definedName>
    <definedName name="m1_1" localSheetId="0">[8]Смета!#REF!</definedName>
    <definedName name="m1_1">[7]Смета!#REF!</definedName>
    <definedName name="m10_0" localSheetId="1">[7]Смета!#REF!</definedName>
    <definedName name="m10_0" localSheetId="2">[7]Смета!#REF!</definedName>
    <definedName name="m10_0" localSheetId="0">[8]Смета!#REF!</definedName>
    <definedName name="m10_0">[7]Смета!#REF!</definedName>
    <definedName name="m10_1" localSheetId="1">[7]Смета!#REF!</definedName>
    <definedName name="m10_1" localSheetId="2">[7]Смета!#REF!</definedName>
    <definedName name="m10_1" localSheetId="0">[8]Смета!#REF!</definedName>
    <definedName name="m10_1">[7]Смета!#REF!</definedName>
    <definedName name="m11_0" localSheetId="1">[7]Смета!#REF!</definedName>
    <definedName name="m11_0" localSheetId="2">[7]Смета!#REF!</definedName>
    <definedName name="m11_0" localSheetId="0">[8]Смета!#REF!</definedName>
    <definedName name="m11_0">[7]Смета!#REF!</definedName>
    <definedName name="m11_1" localSheetId="1">[7]Смета!#REF!</definedName>
    <definedName name="m11_1" localSheetId="2">[7]Смета!#REF!</definedName>
    <definedName name="m11_1" localSheetId="0">[8]Смета!#REF!</definedName>
    <definedName name="m11_1">[7]Смета!#REF!</definedName>
    <definedName name="m12_0" localSheetId="1">[7]Смета!#REF!</definedName>
    <definedName name="m12_0" localSheetId="2">[7]Смета!#REF!</definedName>
    <definedName name="m12_0" localSheetId="0">[8]Смета!#REF!</definedName>
    <definedName name="m12_0">[7]Смета!#REF!</definedName>
    <definedName name="m12_1" localSheetId="1">[7]Смета!#REF!</definedName>
    <definedName name="m12_1" localSheetId="2">[7]Смета!#REF!</definedName>
    <definedName name="m12_1" localSheetId="0">[8]Смета!#REF!</definedName>
    <definedName name="m12_1">[7]Смета!#REF!</definedName>
    <definedName name="m2_0" localSheetId="1">[7]Смета!#REF!</definedName>
    <definedName name="m2_0" localSheetId="2">[7]Смета!#REF!</definedName>
    <definedName name="m2_0" localSheetId="0">[8]Смета!#REF!</definedName>
    <definedName name="m2_0">[7]Смета!#REF!</definedName>
    <definedName name="m2_1" localSheetId="1">[7]Смета!#REF!</definedName>
    <definedName name="m2_1" localSheetId="2">[7]Смета!#REF!</definedName>
    <definedName name="m2_1" localSheetId="0">[8]Смета!#REF!</definedName>
    <definedName name="m2_1">[7]Смета!#REF!</definedName>
    <definedName name="m3_0" localSheetId="1">[7]Смета!#REF!</definedName>
    <definedName name="m3_0" localSheetId="2">[7]Смета!#REF!</definedName>
    <definedName name="m3_0" localSheetId="0">[8]Смета!#REF!</definedName>
    <definedName name="m3_0">[7]Смета!#REF!</definedName>
    <definedName name="m3_1" localSheetId="1">[7]Смета!#REF!</definedName>
    <definedName name="m3_1" localSheetId="2">[7]Смета!#REF!</definedName>
    <definedName name="m3_1" localSheetId="0">[8]Смета!#REF!</definedName>
    <definedName name="m3_1">[7]Смета!#REF!</definedName>
    <definedName name="m4_0" localSheetId="1">[7]Смета!#REF!</definedName>
    <definedName name="m4_0" localSheetId="2">[7]Смета!#REF!</definedName>
    <definedName name="m4_0" localSheetId="0">[8]Смета!#REF!</definedName>
    <definedName name="m4_0">[7]Смета!#REF!</definedName>
    <definedName name="m4_1" localSheetId="1">[7]Смета!#REF!</definedName>
    <definedName name="m4_1" localSheetId="2">[7]Смета!#REF!</definedName>
    <definedName name="m4_1" localSheetId="0">[8]Смета!#REF!</definedName>
    <definedName name="m4_1">[7]Смета!#REF!</definedName>
    <definedName name="m5_0" localSheetId="1">[7]Смета!#REF!</definedName>
    <definedName name="m5_0" localSheetId="2">[7]Смета!#REF!</definedName>
    <definedName name="m5_0" localSheetId="0">[8]Смета!#REF!</definedName>
    <definedName name="m5_0">[7]Смета!#REF!</definedName>
    <definedName name="m5_1" localSheetId="1">[7]Смета!#REF!</definedName>
    <definedName name="m5_1" localSheetId="2">[7]Смета!#REF!</definedName>
    <definedName name="m5_1" localSheetId="0">[8]Смета!#REF!</definedName>
    <definedName name="m5_1">[7]Смета!#REF!</definedName>
    <definedName name="m6_0" localSheetId="1">[7]Смета!#REF!</definedName>
    <definedName name="m6_0" localSheetId="2">[7]Смета!#REF!</definedName>
    <definedName name="m6_0" localSheetId="0">[8]Смета!#REF!</definedName>
    <definedName name="m6_0">[7]Смета!#REF!</definedName>
    <definedName name="m6_1" localSheetId="1">[7]Смета!#REF!</definedName>
    <definedName name="m6_1" localSheetId="2">[7]Смета!#REF!</definedName>
    <definedName name="m6_1" localSheetId="0">[8]Смета!#REF!</definedName>
    <definedName name="m6_1">[7]Смета!#REF!</definedName>
    <definedName name="m7_0" localSheetId="1">[7]Смета!#REF!</definedName>
    <definedName name="m7_0" localSheetId="2">[7]Смета!#REF!</definedName>
    <definedName name="m7_0" localSheetId="0">[8]Смета!#REF!</definedName>
    <definedName name="m7_0">[7]Смета!#REF!</definedName>
    <definedName name="m7_1" localSheetId="1">[7]Смета!#REF!</definedName>
    <definedName name="m7_1" localSheetId="2">[7]Смета!#REF!</definedName>
    <definedName name="m7_1" localSheetId="0">[8]Смета!#REF!</definedName>
    <definedName name="m7_1">[7]Смета!#REF!</definedName>
    <definedName name="m8_0" localSheetId="1">[7]Смета!#REF!</definedName>
    <definedName name="m8_0" localSheetId="2">[7]Смета!#REF!</definedName>
    <definedName name="m8_0" localSheetId="0">[8]Смета!#REF!</definedName>
    <definedName name="m8_0">[7]Смета!#REF!</definedName>
    <definedName name="m8_1" localSheetId="1">[7]Смета!#REF!</definedName>
    <definedName name="m8_1" localSheetId="2">[7]Смета!#REF!</definedName>
    <definedName name="m8_1" localSheetId="0">[8]Смета!#REF!</definedName>
    <definedName name="m8_1">[7]Смета!#REF!</definedName>
    <definedName name="m9_0" localSheetId="1">[7]Смета!#REF!</definedName>
    <definedName name="m9_0" localSheetId="2">[7]Смета!#REF!</definedName>
    <definedName name="m9_0" localSheetId="0">[8]Смета!#REF!</definedName>
    <definedName name="m9_0">[7]Смета!#REF!</definedName>
    <definedName name="m9_1" localSheetId="1">[7]Смета!#REF!</definedName>
    <definedName name="m9_1" localSheetId="2">[7]Смета!#REF!</definedName>
    <definedName name="m9_1" localSheetId="0">[8]Смета!#REF!</definedName>
    <definedName name="m9_1">[7]Смета!#REF!</definedName>
    <definedName name="name" localSheetId="1">'[5]Master Inputs Start Here'!$D$10</definedName>
    <definedName name="name" localSheetId="2">'[5]Master Inputs Start Here'!$D$10</definedName>
    <definedName name="name" localSheetId="0">'[5]Master Inputs Start Here'!$D$10</definedName>
    <definedName name="name">'[6]Master Inputs Start Here'!$D$10</definedName>
    <definedName name="NDS" localSheetId="1">#REF!</definedName>
    <definedName name="NDS" localSheetId="2">#REF!</definedName>
    <definedName name="NDS" localSheetId="0">#REF!</definedName>
    <definedName name="NDS">#REF!</definedName>
    <definedName name="No.10" localSheetId="2">#REF!</definedName>
    <definedName name="No.10">#REF!</definedName>
    <definedName name="No.12" localSheetId="2">#REF!</definedName>
    <definedName name="No.12">#REF!</definedName>
    <definedName name="No.13" localSheetId="2">#REF!</definedName>
    <definedName name="No.13">#REF!</definedName>
    <definedName name="No.14" localSheetId="2">#REF!</definedName>
    <definedName name="No.14">#REF!</definedName>
    <definedName name="No.15" localSheetId="2">#REF!</definedName>
    <definedName name="No.15">#REF!</definedName>
    <definedName name="No.22" localSheetId="1">'[5]HBS initial'!#REF!</definedName>
    <definedName name="No.22" localSheetId="2">'[5]HBS initial'!#REF!</definedName>
    <definedName name="No.22" localSheetId="0">'[5]HBS initial'!#REF!</definedName>
    <definedName name="No.22">'[6]HBS initial'!#REF!</definedName>
    <definedName name="NPR" localSheetId="1">#REF!</definedName>
    <definedName name="NPR" localSheetId="2">#REF!</definedName>
    <definedName name="NPR" localSheetId="0">#REF!</definedName>
    <definedName name="NPR">#REF!</definedName>
    <definedName name="NR" localSheetId="1">#REF!</definedName>
    <definedName name="NR" localSheetId="2">#REF!</definedName>
    <definedName name="NR">#REF!</definedName>
    <definedName name="PAC_MEC">#N/A</definedName>
    <definedName name="Partitions">[4]Glossary!$B$35:$B$44</definedName>
    <definedName name="Pavement">[4]Glossary!$B$142:$B$157</definedName>
    <definedName name="Peaks">[4]Glossary!$B$66:$B$71</definedName>
    <definedName name="Pillars">[4]Glossary!$B$27:$B$33</definedName>
    <definedName name="Plumbing">[4]Glossary!$B$130:$B$140</definedName>
    <definedName name="PN" localSheetId="1">#REF!</definedName>
    <definedName name="PN" localSheetId="2">#REF!</definedName>
    <definedName name="PN" localSheetId="0">#REF!</definedName>
    <definedName name="PN">#REF!</definedName>
    <definedName name="PR" localSheetId="1">#REF!</definedName>
    <definedName name="PR" localSheetId="2">#REF!</definedName>
    <definedName name="PR">#REF!</definedName>
    <definedName name="pr_z" localSheetId="2">#REF!</definedName>
    <definedName name="pr_z">#REF!</definedName>
    <definedName name="pr_z1" localSheetId="2">#REF!</definedName>
    <definedName name="pr_z1">#REF!</definedName>
    <definedName name="pr_z2" localSheetId="2">#REF!</definedName>
    <definedName name="pr_z2">#REF!</definedName>
    <definedName name="pr_z3" localSheetId="2">#REF!</definedName>
    <definedName name="pr_z3">#REF!</definedName>
    <definedName name="pr_z4" localSheetId="2">#REF!</definedName>
    <definedName name="pr_z4">#REF!</definedName>
    <definedName name="PRM" localSheetId="1">#REF!</definedName>
    <definedName name="PRM" localSheetId="2">#REF!</definedName>
    <definedName name="PRM">#REF!</definedName>
    <definedName name="PRZ" localSheetId="1">#REF!</definedName>
    <definedName name="PRZ" localSheetId="2">#REF!</definedName>
    <definedName name="PRZ">#REF!</definedName>
    <definedName name="PSR" localSheetId="1">#REF!</definedName>
    <definedName name="PSR" localSheetId="2">#REF!</definedName>
    <definedName name="PSR">#REF!</definedName>
    <definedName name="rasr">[9]разряд!$A$1:$B$53</definedName>
    <definedName name="RGd">"Диагр. 5"</definedName>
    <definedName name="Roofing">[4]Glossary!$B$81:$B$91</definedName>
    <definedName name="Roofs">[4]Glossary!$B$73:$B$79</definedName>
    <definedName name="ST" localSheetId="1">#REF!</definedName>
    <definedName name="ST" localSheetId="2">#REF!</definedName>
    <definedName name="ST" localSheetId="0">#REF!</definedName>
    <definedName name="ST">#REF!</definedName>
    <definedName name="Stairs">[4]Glossary!$B$58:$B$64</definedName>
    <definedName name="stoim_gar" localSheetId="2">#REF!</definedName>
    <definedName name="stoim_gar" localSheetId="0">#REF!</definedName>
    <definedName name="stoim_gar">#REF!</definedName>
    <definedName name="stoim_gar1" localSheetId="2">#REF!</definedName>
    <definedName name="stoim_gar1" localSheetId="0">#REF!</definedName>
    <definedName name="stoim_gar1">#REF!</definedName>
    <definedName name="TSR" localSheetId="1">#REF!</definedName>
    <definedName name="TSR" localSheetId="2">#REF!</definedName>
    <definedName name="TSR">#REF!</definedName>
    <definedName name="UD" localSheetId="1">#REF!</definedName>
    <definedName name="UD" localSheetId="2">#REF!</definedName>
    <definedName name="UD">#REF!</definedName>
    <definedName name="UGP" localSheetId="1">#REF!</definedName>
    <definedName name="UGP" localSheetId="2">#REF!</definedName>
    <definedName name="UGP">#REF!</definedName>
    <definedName name="usd">[10]общий!$E$3</definedName>
    <definedName name="VR" localSheetId="1">#REF!</definedName>
    <definedName name="VR" localSheetId="2">#REF!</definedName>
    <definedName name="VR" localSheetId="0">#REF!</definedName>
    <definedName name="VR">#REF!</definedName>
    <definedName name="Walls">[4]Glossary!$B$12:$B$25</definedName>
    <definedName name="wert" localSheetId="1" hidden="1">{"glc1",#N/A,FALSE,"GLC";"glc2",#N/A,FALSE,"GLC";"glc3",#N/A,FALSE,"GLC";"glc4",#N/A,FALSE,"GLC";"glc5",#N/A,FALSE,"GLC"}</definedName>
    <definedName name="wert" localSheetId="2" hidden="1">{"glc1",#N/A,FALSE,"GLC";"glc2",#N/A,FALSE,"GLC";"glc3",#N/A,FALSE,"GLC";"glc4",#N/A,FALSE,"GLC";"glc5",#N/A,FALSE,"GLC"}</definedName>
    <definedName name="wert" localSheetId="0" hidden="1">{"glc1",#N/A,FALSE,"GLC";"glc2",#N/A,FALSE,"GLC";"glc3",#N/A,FALSE,"GLC";"glc4",#N/A,FALSE,"GLC";"glc5",#N/A,FALSE,"GLC"}</definedName>
    <definedName name="wert" hidden="1">{"glc1",#N/A,FALSE,"GLC";"glc2",#N/A,FALSE,"GLC";"glc3",#N/A,FALSE,"GLC";"glc4",#N/A,FALSE,"GLC";"glc5",#N/A,FALSE,"GLC"}</definedName>
    <definedName name="Windows">[4]Glossary!$B$105:$B$110</definedName>
    <definedName name="wrn" localSheetId="1" hidden="1">{"glc1",#N/A,FALSE,"GLC";"glc2",#N/A,FALSE,"GLC";"glc3",#N/A,FALSE,"GLC";"glc4",#N/A,FALSE,"GLC";"glc5",#N/A,FALSE,"GLC"}</definedName>
    <definedName name="wrn" localSheetId="2" hidden="1">{"glc1",#N/A,FALSE,"GLC";"glc2",#N/A,FALSE,"GLC";"glc3",#N/A,FALSE,"GLC";"glc4",#N/A,FALSE,"GLC";"glc5",#N/A,FALSE,"GLC"}</definedName>
    <definedName name="wrn" localSheetId="0" hidden="1">{"glc1",#N/A,FALSE,"GLC";"glc2",#N/A,FALSE,"GLC";"glc3",#N/A,FALSE,"GLC";"glc4",#N/A,FALSE,"GLC";"glc5",#N/A,FALSE,"GLC"}</definedName>
    <definedName name="wrn" hidden="1">{"glc1",#N/A,FALSE,"GLC";"glc2",#N/A,FALSE,"GLC";"glc3",#N/A,FALSE,"GLC";"glc4",#N/A,FALSE,"GLC";"glc5",#N/A,FALSE,"GLC"}</definedName>
    <definedName name="wrn.Aging._.and._.Trend._.Analysis." localSheetId="1" hidden="1">{#N/A,#N/A,FALSE,"Aging Summary";#N/A,#N/A,FALSE,"Ratio Analysis";#N/A,#N/A,FALSE,"Test 120 Day Accts";#N/A,#N/A,FALSE,"Tickmarks"}</definedName>
    <definedName name="wrn.Aging._.and._.Trend._.Analysis." localSheetId="2" hidden="1">{#N/A,#N/A,FALSE,"Aging Summary";#N/A,#N/A,FALSE,"Ratio Analysis";#N/A,#N/A,FALSE,"Test 120 Day Accts";#N/A,#N/A,FALSE,"Tickmarks"}</definedName>
    <definedName name="wrn.Aging._.and._.Trend._.Analysis." localSheetId="0" hidden="1">{#N/A,#N/A,FALSE,"Aging Summary";#N/A,#N/A,FALSE,"Ratio Analysis";#N/A,#N/A,FALSE,"Test 120 Day Accts";#N/A,#N/A,FALSE,"Tickmarks"}</definedName>
    <definedName name="wrn.Aging._.and._.Trend._.Analysis." hidden="1">{#N/A,#N/A,FALSE,"Aging Summary";#N/A,#N/A,FALSE,"Ratio Analysis";#N/A,#N/A,FALSE,"Test 120 Day Accts";#N/A,#N/A,FALSE,"Tickmarks"}</definedName>
    <definedName name="wrn.Aging.and._Trend._.Analysis.2" localSheetId="1" hidden="1">{#N/A,#N/A,FALSE,"Aging Summary";#N/A,#N/A,FALSE,"Ratio Analysis";#N/A,#N/A,FALSE,"Test 120 Day Accts";#N/A,#N/A,FALSE,"Tickmarks"}</definedName>
    <definedName name="wrn.Aging.and._Trend._.Analysis.2" localSheetId="2" hidden="1">{#N/A,#N/A,FALSE,"Aging Summary";#N/A,#N/A,FALSE,"Ratio Analysis";#N/A,#N/A,FALSE,"Test 120 Day Accts";#N/A,#N/A,FALSE,"Tickmarks"}</definedName>
    <definedName name="wrn.Aging.and._Trend._.Analysis.2" localSheetId="0" hidden="1">{#N/A,#N/A,FALSE,"Aging Summary";#N/A,#N/A,FALSE,"Ratio Analysis";#N/A,#N/A,FALSE,"Test 120 Day Accts";#N/A,#N/A,FALSE,"Tickmarks"}</definedName>
    <definedName name="wrn.Aging.and._Trend._.Analysis.2" hidden="1">{#N/A,#N/A,FALSE,"Aging Summary";#N/A,#N/A,FALSE,"Ratio Analysis";#N/A,#N/A,FALSE,"Test 120 Day Accts";#N/A,#N/A,FALSE,"Tickmarks"}</definedName>
    <definedName name="wrn.basicfin." localSheetId="1" hidden="1">{"assets",#N/A,FALSE,"historicBS";"liab",#N/A,FALSE,"historicBS";"is",#N/A,FALSE,"historicIS";"ratios",#N/A,FALSE,"ratios"}</definedName>
    <definedName name="wrn.basicfin." localSheetId="2" hidden="1">{"assets",#N/A,FALSE,"historicBS";"liab",#N/A,FALSE,"historicBS";"is",#N/A,FALSE,"historicIS";"ratios",#N/A,FALSE,"ratios"}</definedName>
    <definedName name="wrn.basicfin." localSheetId="0" hidden="1">{"assets",#N/A,FALSE,"historicBS";"liab",#N/A,FALSE,"historicBS";"is",#N/A,FALSE,"historicIS";"ratios",#N/A,FALSE,"ratios"}</definedName>
    <definedName name="wrn.basicfin." hidden="1">{"assets",#N/A,FALSE,"historicBS";"liab",#N/A,FALSE,"historicBS";"is",#N/A,FALSE,"historicIS";"ratios",#N/A,FALSE,"ratios"}</definedName>
    <definedName name="wrn.basicfin.2" localSheetId="1" hidden="1">{"assets",#N/A,FALSE,"historicBS";"liab",#N/A,FALSE,"historicBS";"is",#N/A,FALSE,"historicIS";"ratios",#N/A,FALSE,"ratios"}</definedName>
    <definedName name="wrn.basicfin.2" localSheetId="2" hidden="1">{"assets",#N/A,FALSE,"historicBS";"liab",#N/A,FALSE,"historicBS";"is",#N/A,FALSE,"historicIS";"ratios",#N/A,FALSE,"ratios"}</definedName>
    <definedName name="wrn.basicfin.2" localSheetId="0" hidden="1">{"assets",#N/A,FALSE,"historicBS";"liab",#N/A,FALSE,"historicBS";"is",#N/A,FALSE,"historicIS";"ratios",#N/A,FALSE,"ratios"}</definedName>
    <definedName name="wrn.basicfin.2" hidden="1">{"assets",#N/A,FALSE,"historicBS";"liab",#N/A,FALSE,"historicBS";"is",#N/A,FALSE,"historicIS";"ratios",#N/A,FALSE,"ratios"}</definedName>
    <definedName name="wrn.glc." localSheetId="1" hidden="1">{"glcbs",#N/A,FALSE,"GLCBS";"glccsbs",#N/A,FALSE,"GLCCSBS";"glcis",#N/A,FALSE,"GLCIS";"glccsis",#N/A,FALSE,"GLCCSIS";"glcrat1",#N/A,FALSE,"GLC-ratios1"}</definedName>
    <definedName name="wrn.glc." localSheetId="2" hidden="1">{"glcbs",#N/A,FALSE,"GLCBS";"glccsbs",#N/A,FALSE,"GLCCSBS";"glcis",#N/A,FALSE,"GLCIS";"glccsis",#N/A,FALSE,"GLCCSIS";"glcrat1",#N/A,FALSE,"GLC-ratios1"}</definedName>
    <definedName name="wrn.glc." localSheetId="0" hidden="1">{"glcbs",#N/A,FALSE,"GLCBS";"glccsbs",#N/A,FALSE,"GLCCSBS";"glcis",#N/A,FALSE,"GLCIS";"glccsis",#N/A,FALSE,"GLCCSIS";"glcrat1",#N/A,FALSE,"GLC-ratios1"}</definedName>
    <definedName name="wrn.glc." hidden="1">{"glcbs",#N/A,FALSE,"GLCBS";"glccsbs",#N/A,FALSE,"GLCCSBS";"glcis",#N/A,FALSE,"GLCIS";"glccsis",#N/A,FALSE,"GLCCSIS";"glcrat1",#N/A,FALSE,"GLC-ratios1"}</definedName>
    <definedName name="wrn.glcpromonte." localSheetId="1" hidden="1">{"glc1",#N/A,FALSE,"GLC";"glc2",#N/A,FALSE,"GLC";"glc3",#N/A,FALSE,"GLC";"glc4",#N/A,FALSE,"GLC";"glc5",#N/A,FALSE,"GLC"}</definedName>
    <definedName name="wrn.glcpromonte." localSheetId="2" hidden="1">{"glc1",#N/A,FALSE,"GLC";"glc2",#N/A,FALSE,"GLC";"glc3",#N/A,FALSE,"GLC";"glc4",#N/A,FALSE,"GLC";"glc5",#N/A,FALSE,"GLC"}</definedName>
    <definedName name="wrn.glcpromonte." localSheetId="0" hidden="1">{"glc1",#N/A,FALSE,"GLC";"glc2",#N/A,FALSE,"GLC";"glc3",#N/A,FALSE,"GLC";"glc4",#N/A,FALSE,"GLC";"glc5",#N/A,FALSE,"GLC"}</definedName>
    <definedName name="wrn.glcpromonte." hidden="1">{"glc1",#N/A,FALSE,"GLC";"glc2",#N/A,FALSE,"GLC";"glc3",#N/A,FALSE,"GLC";"glc4",#N/A,FALSE,"GLC";"glc5",#N/A,FALSE,"GLC"}</definedName>
    <definedName name="wrn.print." localSheetId="1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2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0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ZIM" localSheetId="1">#REF!</definedName>
    <definedName name="ZIM" localSheetId="2">#REF!</definedName>
    <definedName name="ZIM">#REF!</definedName>
    <definedName name="авы">'[11]1'!$K$1</definedName>
    <definedName name="ар">'[12]исход-итог'!$C$2</definedName>
    <definedName name="ар3" localSheetId="1" hidden="1">{"assets",#N/A,FALSE,"historicBS";"liab",#N/A,FALSE,"historicBS";"is",#N/A,FALSE,"historicIS";"ratios",#N/A,FALSE,"ratios"}</definedName>
    <definedName name="ар3" localSheetId="2" hidden="1">{"assets",#N/A,FALSE,"historicBS";"liab",#N/A,FALSE,"historicBS";"is",#N/A,FALSE,"historicIS";"ratios",#N/A,FALSE,"ratios"}</definedName>
    <definedName name="ар3" localSheetId="0" hidden="1">{"assets",#N/A,FALSE,"historicBS";"liab",#N/A,FALSE,"historicBS";"is",#N/A,FALSE,"historicIS";"ratios",#N/A,FALSE,"ratios"}</definedName>
    <definedName name="ар3" hidden="1">{"assets",#N/A,FALSE,"historicBS";"liab",#N/A,FALSE,"historicBS";"is",#N/A,FALSE,"historicIS";"ratios",#N/A,FALSE,"ratios"}</definedName>
    <definedName name="аренда2" localSheetId="2">#REF!</definedName>
    <definedName name="аренда2" localSheetId="0">#REF!</definedName>
    <definedName name="аренда2">#REF!</definedName>
    <definedName name="ариври" localSheetId="2">#REF!</definedName>
    <definedName name="ариври" localSheetId="0">#REF!</definedName>
    <definedName name="ариври">#REF!</definedName>
    <definedName name="арт" localSheetId="2">#REF!</definedName>
    <definedName name="арт" localSheetId="0">#REF!</definedName>
    <definedName name="арт">#REF!</definedName>
    <definedName name="_xlnm.Database" localSheetId="2">#REF!</definedName>
    <definedName name="_xlnm.Database">#REF!</definedName>
    <definedName name="Бал">[13]Параметры!$C$5</definedName>
    <definedName name="БалКК">[14]ЛитБ!$G$351</definedName>
    <definedName name="вввввввв" localSheetId="1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2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0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п" localSheetId="2">#REF!</definedName>
    <definedName name="вп" localSheetId="0">#REF!</definedName>
    <definedName name="вп">#REF!</definedName>
    <definedName name="вс" localSheetId="1" hidden="1">{#N/A,#N/A,FALSE,"Aging Summary";#N/A,#N/A,FALSE,"Ratio Analysis";#N/A,#N/A,FALSE,"Test 120 Day Accts";#N/A,#N/A,FALSE,"Tickmarks"}</definedName>
    <definedName name="вс" localSheetId="2" hidden="1">{#N/A,#N/A,FALSE,"Aging Summary";#N/A,#N/A,FALSE,"Ratio Analysis";#N/A,#N/A,FALSE,"Test 120 Day Accts";#N/A,#N/A,FALSE,"Tickmarks"}</definedName>
    <definedName name="вс" localSheetId="0" hidden="1">{#N/A,#N/A,FALSE,"Aging Summary";#N/A,#N/A,FALSE,"Ratio Analysis";#N/A,#N/A,FALSE,"Test 120 Day Accts";#N/A,#N/A,FALSE,"Tickmarks"}</definedName>
    <definedName name="вс" hidden="1">{#N/A,#N/A,FALSE,"Aging Summary";#N/A,#N/A,FALSE,"Ratio Analysis";#N/A,#N/A,FALSE,"Test 120 Day Accts";#N/A,#N/A,FALSE,"Tickmarks"}</definedName>
    <definedName name="год">[15]свед!$B$2</definedName>
    <definedName name="д">'[16]общие сведения'!$B$7</definedName>
    <definedName name="ДБ" localSheetId="2">#REF!</definedName>
    <definedName name="ДБ" localSheetId="0">#REF!</definedName>
    <definedName name="ДБ">#REF!</definedName>
    <definedName name="дис" localSheetId="2">#REF!</definedName>
    <definedName name="дис" localSheetId="0">#REF!</definedName>
    <definedName name="дис">#REF!</definedName>
    <definedName name="дис1">[1]свед!$B$14</definedName>
    <definedName name="долл">'[12]исход-итог'!$C$2</definedName>
    <definedName name="долл1">'[16]общие сведения'!$B$7</definedName>
    <definedName name="Доллар">[14]Исходные!$B$12</definedName>
    <definedName name="доллар1">[17]общее!$H$2</definedName>
    <definedName name="доллар2">[17]общее!$H$2</definedName>
    <definedName name="дор">[1]свед!$B$14</definedName>
    <definedName name="дос" localSheetId="2">#REF!</definedName>
    <definedName name="дос" localSheetId="0">#REF!</definedName>
    <definedName name="дос">#REF!</definedName>
    <definedName name="дох" localSheetId="2">#REF!</definedName>
    <definedName name="дох" localSheetId="0">#REF!</definedName>
    <definedName name="дох">#REF!</definedName>
    <definedName name="дшщ" localSheetId="2">#REF!</definedName>
    <definedName name="дшщ" localSheetId="0">#REF!</definedName>
    <definedName name="дшщ">#REF!</definedName>
    <definedName name="ен" localSheetId="2">#REF!</definedName>
    <definedName name="ен">#REF!</definedName>
    <definedName name="жж" localSheetId="2">#REF!</definedName>
    <definedName name="жж">#REF!</definedName>
    <definedName name="затраты" localSheetId="2">#REF!</definedName>
    <definedName name="затраты">#REF!</definedName>
    <definedName name="затраты_труда" localSheetId="1">#REF!</definedName>
    <definedName name="затраты_труда" localSheetId="2">#REF!</definedName>
    <definedName name="затраты_труда">#REF!</definedName>
    <definedName name="Затрнов">'[16]общие сведения'!$B$7</definedName>
    <definedName name="ззд" localSheetId="2">#REF!</definedName>
    <definedName name="ззд" localSheetId="0">#REF!</definedName>
    <definedName name="ззд">#REF!</definedName>
    <definedName name="инд">[18]график01.09.02!$D$3</definedName>
    <definedName name="индекс">'[19]график строительства'!$D$3</definedName>
    <definedName name="Индекс_стоимости">[20]Служебный!$J$18</definedName>
    <definedName name="исх" localSheetId="2">#REF!</definedName>
    <definedName name="исх" localSheetId="0">#REF!</definedName>
    <definedName name="исх">#REF!</definedName>
    <definedName name="й" localSheetId="2">#REF!</definedName>
    <definedName name="й" localSheetId="0">#REF!</definedName>
    <definedName name="й">#REF!</definedName>
    <definedName name="йег" localSheetId="1">#REF!</definedName>
    <definedName name="йег" localSheetId="2">#REF!</definedName>
    <definedName name="йег">#REF!</definedName>
    <definedName name="йц" localSheetId="2">#REF!</definedName>
    <definedName name="йц">#REF!</definedName>
    <definedName name="ке" localSheetId="2">#REF!</definedName>
    <definedName name="ке">#REF!</definedName>
    <definedName name="КИС1" localSheetId="2">#REF!</definedName>
    <definedName name="КИС1">#REF!</definedName>
    <definedName name="кор">'[1]общие сведения'!$B$14</definedName>
    <definedName name="кс80м">'[21]общие данные'!$J$3</definedName>
    <definedName name="ку" localSheetId="2">#REF!</definedName>
    <definedName name="ку" localSheetId="0">#REF!</definedName>
    <definedName name="ку">#REF!</definedName>
    <definedName name="курс" localSheetId="1">#REF!</definedName>
    <definedName name="курс" localSheetId="2">#REF!</definedName>
    <definedName name="Курс">[22]Содержание!$J$15</definedName>
    <definedName name="куц" localSheetId="2">#REF!</definedName>
    <definedName name="куц" localSheetId="0">#REF!</definedName>
    <definedName name="куц">#REF!</definedName>
    <definedName name="ллл">'[12]исход-итог'!$C$2</definedName>
    <definedName name="лоир" localSheetId="2">#REF!</definedName>
    <definedName name="лоир" localSheetId="0">#REF!</definedName>
    <definedName name="лоир">#REF!</definedName>
    <definedName name="м" localSheetId="1">#REF!</definedName>
    <definedName name="м" localSheetId="2">#REF!</definedName>
    <definedName name="м">#REF!</definedName>
    <definedName name="Ни" localSheetId="2">#REF!</definedName>
    <definedName name="Ни">#REF!</definedName>
    <definedName name="ниц" localSheetId="2">#REF!</definedName>
    <definedName name="ниц">#REF!</definedName>
    <definedName name="нк" localSheetId="1">#REF!</definedName>
    <definedName name="нк" localSheetId="2">#REF!</definedName>
    <definedName name="нк">#REF!</definedName>
    <definedName name="_xlnm.Print_Area" localSheetId="1">'Весь проект'!$A$1:$L$119</definedName>
    <definedName name="_xlnm.Print_Area" localSheetId="2">'Весь проект_эскроу'!$A$1:$L$117</definedName>
    <definedName name="пао" localSheetId="2">#REF!</definedName>
    <definedName name="пао" localSheetId="0">#REF!</definedName>
    <definedName name="пао">#REF!</definedName>
    <definedName name="пп" localSheetId="1" hidden="1">{"assets",#N/A,FALSE,"historicBS";"liab",#N/A,FALSE,"historicBS";"is",#N/A,FALSE,"historicIS";"ratios",#N/A,FALSE,"ratios"}</definedName>
    <definedName name="пп" localSheetId="2" hidden="1">{"assets",#N/A,FALSE,"historicBS";"liab",#N/A,FALSE,"historicBS";"is",#N/A,FALSE,"historicIS";"ratios",#N/A,FALSE,"ratios"}</definedName>
    <definedName name="пп" localSheetId="0" hidden="1">{"assets",#N/A,FALSE,"historicBS";"liab",#N/A,FALSE,"historicBS";"is",#N/A,FALSE,"historicIS";"ratios",#N/A,FALSE,"ratios"}</definedName>
    <definedName name="пп" hidden="1">{"assets",#N/A,FALSE,"historicBS";"liab",#N/A,FALSE,"historicBS";"is",#N/A,FALSE,"historicIS";"ratios",#N/A,FALSE,"ratios"}</definedName>
    <definedName name="Пробивка_борозд_в_кирпичных_стенах_для_прокладки_трубных_подводок_сечением_борозд_40х40мм" localSheetId="1">#REF!</definedName>
    <definedName name="Пробивка_борозд_в_кирпичных_стенах_для_прокладки_трубных_подводок_сечением_борозд_40х40мм" localSheetId="2">#REF!</definedName>
    <definedName name="Пробивка_борозд_в_кирпичных_стенах_для_прокладки_трубных_подводок_сечением_борозд_40х40мм">#REF!</definedName>
    <definedName name="Процент_себестомость">[20]Служебный!$J$7</definedName>
    <definedName name="Разборка_полов_с_лагами_и_дощатым_основанием" localSheetId="1">#REF!</definedName>
    <definedName name="Разборка_полов_с_лагами_и_дощатым_основанием" localSheetId="2">#REF!</definedName>
    <definedName name="Разборка_полов_с_лагами_и_дощатым_основанием" localSheetId="0">#REF!</definedName>
    <definedName name="Разборка_полов_с_лагами_и_дощатым_основанием">#REF!</definedName>
    <definedName name="рез" localSheetId="2">#REF!</definedName>
    <definedName name="рез">#REF!</definedName>
    <definedName name="роа" localSheetId="2">#REF!</definedName>
    <definedName name="роа">#REF!</definedName>
    <definedName name="рок">[14]ЛитБ!$G$351</definedName>
    <definedName name="рпа" localSheetId="1">#REF!</definedName>
    <definedName name="рпа" localSheetId="2">#REF!</definedName>
    <definedName name="рпа" localSheetId="0">#REF!</definedName>
    <definedName name="рпа">#REF!</definedName>
    <definedName name="Рыночный" localSheetId="2">#REF!</definedName>
    <definedName name="Рыночный" localSheetId="0">#REF!</definedName>
    <definedName name="Рыночный">#REF!</definedName>
    <definedName name="с17">[23]затр_подх!$A$16</definedName>
    <definedName name="св">[24]восст!$L$403</definedName>
    <definedName name="ск4">'[21]общие данные'!$F$3</definedName>
    <definedName name="ск62">'[21]общие данные'!$G$3</definedName>
    <definedName name="ск79">'[21]общие данные'!$H$3</definedName>
    <definedName name="ск80б">'[21]общие данные'!$K$3</definedName>
    <definedName name="ск80к">'[21]общие данные'!$I$3</definedName>
    <definedName name="скид" localSheetId="2">#REF!</definedName>
    <definedName name="скид" localSheetId="0">#REF!</definedName>
    <definedName name="скид">#REF!</definedName>
    <definedName name="Скидка" localSheetId="2">#REF!</definedName>
    <definedName name="Скидка" localSheetId="0">#REF!</definedName>
    <definedName name="Скидка">#REF!</definedName>
    <definedName name="скидка3" localSheetId="2">#REF!</definedName>
    <definedName name="скидка3" localSheetId="0">#REF!</definedName>
    <definedName name="скидка3">#REF!</definedName>
    <definedName name="скпл">'[21]общие данные'!$L$3</definedName>
    <definedName name="сор" localSheetId="2">#REF!</definedName>
    <definedName name="сор" localSheetId="0">#REF!</definedName>
    <definedName name="сор">#REF!</definedName>
    <definedName name="строительство" localSheetId="2">#REF!</definedName>
    <definedName name="строительство" localSheetId="0">#REF!</definedName>
    <definedName name="строительство">#REF!</definedName>
    <definedName name="тим" localSheetId="1">#REF!</definedName>
    <definedName name="тим" localSheetId="2">#REF!</definedName>
    <definedName name="тим">#REF!</definedName>
    <definedName name="у" localSheetId="1" hidden="1">{"glc1",#N/A,FALSE,"GLC";"glc2",#N/A,FALSE,"GLC";"glc3",#N/A,FALSE,"GLC";"glc4",#N/A,FALSE,"GLC";"glc5",#N/A,FALSE,"GLC"}</definedName>
    <definedName name="у" localSheetId="2" hidden="1">{"glc1",#N/A,FALSE,"GLC";"glc2",#N/A,FALSE,"GLC";"glc3",#N/A,FALSE,"GLC";"glc4",#N/A,FALSE,"GLC";"glc5",#N/A,FALSE,"GLC"}</definedName>
    <definedName name="у" localSheetId="0" hidden="1">{"glc1",#N/A,FALSE,"GLC";"glc2",#N/A,FALSE,"GLC";"glc3",#N/A,FALSE,"GLC";"glc4",#N/A,FALSE,"GLC";"glc5",#N/A,FALSE,"GLC"}</definedName>
    <definedName name="у" hidden="1">{"glc1",#N/A,FALSE,"GLC";"glc2",#N/A,FALSE,"GLC";"glc3",#N/A,FALSE,"GLC";"glc4",#N/A,FALSE,"GLC";"glc5",#N/A,FALSE,"GLC"}</definedName>
    <definedName name="угол" localSheetId="1">#REF!</definedName>
    <definedName name="угол" localSheetId="2">#REF!</definedName>
    <definedName name="угол">#REF!</definedName>
    <definedName name="удор">[24]восст!$L$403</definedName>
    <definedName name="ук" localSheetId="2">#REF!</definedName>
    <definedName name="ук" localSheetId="0">#REF!</definedName>
    <definedName name="ук">#REF!</definedName>
    <definedName name="уко" localSheetId="2">#REF!</definedName>
    <definedName name="уко" localSheetId="0">#REF!</definedName>
    <definedName name="уко">#REF!</definedName>
    <definedName name="х">[14]ЛитБ!$G$351</definedName>
    <definedName name="ценакойкодня" localSheetId="1">'[25]Средняя стоимость'!#REF!</definedName>
    <definedName name="ценакойкодня" localSheetId="2">'[25]Средняя стоимость'!#REF!</definedName>
    <definedName name="ценакойкодня" localSheetId="0">'[26]Средняя стоимость'!#REF!</definedName>
    <definedName name="ценакойкодня">'[25]Средняя стоимость'!#REF!</definedName>
    <definedName name="цу" localSheetId="2">#REF!</definedName>
    <definedName name="цу" localSheetId="0">#REF!</definedName>
    <definedName name="цу">#REF!</definedName>
    <definedName name="цуе" localSheetId="1">#REF!</definedName>
    <definedName name="цуе" localSheetId="2">#REF!</definedName>
    <definedName name="цуе" localSheetId="0">#REF!</definedName>
    <definedName name="цуе">#REF!</definedName>
    <definedName name="ццц" localSheetId="1">[27]Смета!#REF!</definedName>
    <definedName name="ццц" localSheetId="2">[27]Смета!#REF!</definedName>
    <definedName name="ццц" localSheetId="0">[28]Смета!#REF!</definedName>
    <definedName name="ццц">[29]Смета!#REF!</definedName>
    <definedName name="шг" localSheetId="2">#REF!</definedName>
    <definedName name="шг" localSheetId="0">#REF!</definedName>
    <definedName name="шг">#REF!</definedName>
    <definedName name="шщ" localSheetId="2">#REF!</definedName>
    <definedName name="шщ" localSheetId="0">#REF!</definedName>
    <definedName name="шщ">#REF!</definedName>
    <definedName name="щш" localSheetId="2">#REF!</definedName>
    <definedName name="щш" localSheetId="0">#REF!</definedName>
    <definedName name="щш">#REF!</definedName>
    <definedName name="щщщш" localSheetId="2">#REF!</definedName>
    <definedName name="щщщш">#REF!</definedName>
    <definedName name="электроинструмент" localSheetId="1">#REF!</definedName>
    <definedName name="электроинструмент" localSheetId="2">#REF!</definedName>
    <definedName name="электроинструмент">#REF!</definedName>
    <definedName name="ээ" localSheetId="2">#REF!</definedName>
    <definedName name="ээ">#REF!</definedName>
  </definedNames>
  <calcPr calcId="162913"/>
</workbook>
</file>

<file path=xl/calcChain.xml><?xml version="1.0" encoding="utf-8"?>
<calcChain xmlns="http://schemas.openxmlformats.org/spreadsheetml/2006/main">
  <c r="D96" i="1" l="1"/>
  <c r="E96" i="1" s="1"/>
  <c r="D97" i="1"/>
  <c r="E97" i="1"/>
  <c r="B86" i="1"/>
  <c r="N67" i="2"/>
  <c r="B125" i="1" l="1"/>
  <c r="C125" i="1"/>
  <c r="D125" i="1"/>
  <c r="E125" i="1"/>
  <c r="F39" i="3" l="1"/>
  <c r="F38" i="3" l="1"/>
  <c r="N71" i="1"/>
  <c r="N79" i="1" s="1"/>
  <c r="O71" i="1"/>
  <c r="O79" i="1" s="1"/>
  <c r="P71" i="1"/>
  <c r="P79" i="1" s="1"/>
  <c r="C77" i="1"/>
  <c r="J77" i="1" s="1"/>
  <c r="E70" i="1"/>
  <c r="E71" i="1" s="1"/>
  <c r="D70" i="1"/>
  <c r="B70" i="1" s="1"/>
  <c r="M27" i="1"/>
  <c r="L27" i="1"/>
  <c r="K27" i="1"/>
  <c r="C71" i="2"/>
  <c r="Q70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C69" i="2"/>
  <c r="N68" i="1"/>
  <c r="O68" i="1"/>
  <c r="P68" i="1"/>
  <c r="C71" i="1"/>
  <c r="F71" i="1"/>
  <c r="G71" i="1"/>
  <c r="H71" i="1"/>
  <c r="H79" i="1" s="1"/>
  <c r="I71" i="1"/>
  <c r="I79" i="1" s="1"/>
  <c r="J71" i="1"/>
  <c r="J79" i="1" s="1"/>
  <c r="K71" i="1"/>
  <c r="K79" i="1" s="1"/>
  <c r="L71" i="1"/>
  <c r="M71" i="1"/>
  <c r="B74" i="1"/>
  <c r="C75" i="1"/>
  <c r="D75" i="1"/>
  <c r="E75" i="1"/>
  <c r="F75" i="1"/>
  <c r="G75" i="1"/>
  <c r="L75" i="1"/>
  <c r="M75" i="1"/>
  <c r="D71" i="1" l="1"/>
  <c r="I77" i="1"/>
  <c r="H77" i="1"/>
  <c r="B75" i="1"/>
  <c r="D77" i="1"/>
  <c r="N77" i="1"/>
  <c r="N78" i="1" s="1"/>
  <c r="M124" i="1" s="1"/>
  <c r="F77" i="1"/>
  <c r="E77" i="1"/>
  <c r="O77" i="1"/>
  <c r="O78" i="1" s="1"/>
  <c r="N124" i="1" s="1"/>
  <c r="P77" i="1"/>
  <c r="P78" i="1" s="1"/>
  <c r="O124" i="1" s="1"/>
  <c r="M77" i="1"/>
  <c r="G77" i="1"/>
  <c r="L77" i="1"/>
  <c r="K77" i="1"/>
  <c r="C78" i="1"/>
  <c r="B124" i="1" s="1"/>
  <c r="B126" i="1" l="1"/>
  <c r="B77" i="1"/>
  <c r="Q70" i="1"/>
  <c r="E69" i="1"/>
  <c r="F69" i="1"/>
  <c r="G69" i="1"/>
  <c r="I69" i="1"/>
  <c r="J69" i="1"/>
  <c r="L69" i="1"/>
  <c r="O69" i="1"/>
  <c r="P69" i="1"/>
  <c r="C69" i="1"/>
  <c r="D69" i="1"/>
  <c r="H69" i="1"/>
  <c r="K69" i="1"/>
  <c r="M69" i="1"/>
  <c r="N69" i="1"/>
  <c r="B127" i="1" l="1"/>
  <c r="B69" i="1"/>
  <c r="Q69" i="1" s="1"/>
  <c r="B83" i="2" l="1"/>
  <c r="E70" i="2" l="1"/>
  <c r="N79" i="2" l="1"/>
  <c r="O79" i="2"/>
  <c r="P79" i="2"/>
  <c r="O71" i="2"/>
  <c r="P71" i="2"/>
  <c r="N71" i="2"/>
  <c r="D70" i="2"/>
  <c r="B70" i="2"/>
  <c r="C77" i="2"/>
  <c r="D77" i="2" l="1"/>
  <c r="O77" i="2"/>
  <c r="O78" i="2" s="1"/>
  <c r="E77" i="2"/>
  <c r="F77" i="2"/>
  <c r="H77" i="2"/>
  <c r="J77" i="2"/>
  <c r="K77" i="2"/>
  <c r="N77" i="2"/>
  <c r="N78" i="2" s="1"/>
  <c r="P77" i="2"/>
  <c r="P78" i="2" s="1"/>
  <c r="G77" i="2"/>
  <c r="I77" i="2"/>
  <c r="L77" i="2"/>
  <c r="M77" i="2"/>
  <c r="P44" i="2"/>
  <c r="P40" i="2"/>
  <c r="P42" i="2"/>
  <c r="O42" i="2"/>
  <c r="P62" i="2"/>
  <c r="O38" i="2"/>
  <c r="P38" i="2"/>
  <c r="O40" i="2"/>
  <c r="N40" i="2"/>
  <c r="N36" i="2"/>
  <c r="O36" i="2"/>
  <c r="P36" i="2"/>
  <c r="N38" i="2"/>
  <c r="M38" i="2"/>
  <c r="M34" i="2"/>
  <c r="N34" i="2"/>
  <c r="O34" i="2"/>
  <c r="P34" i="2"/>
  <c r="M36" i="2"/>
  <c r="L36" i="2"/>
  <c r="L32" i="2"/>
  <c r="M32" i="2"/>
  <c r="N32" i="2"/>
  <c r="O32" i="2"/>
  <c r="P32" i="2"/>
  <c r="L34" i="2"/>
  <c r="K34" i="2"/>
  <c r="K30" i="2"/>
  <c r="L30" i="2"/>
  <c r="M30" i="2"/>
  <c r="N30" i="2"/>
  <c r="O30" i="2"/>
  <c r="P30" i="2"/>
  <c r="K32" i="2"/>
  <c r="J32" i="2"/>
  <c r="N28" i="2"/>
  <c r="O28" i="2"/>
  <c r="P28" i="2"/>
  <c r="P20" i="2"/>
  <c r="P21" i="2"/>
  <c r="P22" i="2"/>
  <c r="P23" i="2"/>
  <c r="P26" i="2" s="1"/>
  <c r="P24" i="2"/>
  <c r="P60" i="2"/>
  <c r="P61" i="2"/>
  <c r="P68" i="2"/>
  <c r="P102" i="2"/>
  <c r="P105" i="2"/>
  <c r="P107" i="2" s="1"/>
  <c r="P106" i="2"/>
  <c r="P63" i="2" l="1"/>
  <c r="P20" i="1" l="1"/>
  <c r="P62" i="1"/>
  <c r="C88" i="3" l="1"/>
  <c r="G81" i="3"/>
  <c r="H80" i="3"/>
  <c r="G80" i="3"/>
  <c r="F80" i="3"/>
  <c r="C79" i="3"/>
  <c r="O55" i="3"/>
  <c r="N55" i="3"/>
  <c r="M55" i="3"/>
  <c r="L55" i="3"/>
  <c r="K55" i="3"/>
  <c r="J55" i="3"/>
  <c r="I55" i="3"/>
  <c r="H55" i="3"/>
  <c r="G55" i="3"/>
  <c r="F55" i="3"/>
  <c r="C23" i="3"/>
  <c r="O18" i="3"/>
  <c r="O81" i="3" s="1"/>
  <c r="N18" i="3"/>
  <c r="N81" i="3" s="1"/>
  <c r="M18" i="3"/>
  <c r="M81" i="3" s="1"/>
  <c r="L18" i="3"/>
  <c r="L81" i="3" s="1"/>
  <c r="K18" i="3"/>
  <c r="K81" i="3" s="1"/>
  <c r="J18" i="3"/>
  <c r="J81" i="3" s="1"/>
  <c r="I18" i="3"/>
  <c r="I81" i="3" s="1"/>
  <c r="H18" i="3"/>
  <c r="H81" i="3" s="1"/>
  <c r="G18" i="3"/>
  <c r="F18" i="3"/>
  <c r="F81" i="3" s="1"/>
  <c r="I16" i="3"/>
  <c r="I17" i="3" s="1"/>
  <c r="F15" i="3"/>
  <c r="I19" i="3" l="1"/>
  <c r="I53" i="3"/>
  <c r="I56" i="3" s="1"/>
  <c r="F17" i="3"/>
  <c r="G15" i="3"/>
  <c r="J16" i="3"/>
  <c r="F79" i="3"/>
  <c r="F83" i="3" s="1"/>
  <c r="I80" i="3"/>
  <c r="I82" i="3" s="1"/>
  <c r="D102" i="2"/>
  <c r="E102" i="2"/>
  <c r="F102" i="2"/>
  <c r="G102" i="2"/>
  <c r="H102" i="2"/>
  <c r="I102" i="2"/>
  <c r="J102" i="2"/>
  <c r="K102" i="2"/>
  <c r="L102" i="2"/>
  <c r="M102" i="2"/>
  <c r="N102" i="2"/>
  <c r="O102" i="2"/>
  <c r="C102" i="2"/>
  <c r="F53" i="3" l="1"/>
  <c r="F35" i="3"/>
  <c r="F19" i="3"/>
  <c r="J80" i="3"/>
  <c r="J82" i="3" s="1"/>
  <c r="K16" i="3"/>
  <c r="J17" i="3"/>
  <c r="G79" i="3"/>
  <c r="G83" i="3" s="1"/>
  <c r="H15" i="3"/>
  <c r="G17" i="3"/>
  <c r="P15" i="3"/>
  <c r="M105" i="2"/>
  <c r="N105" i="2" s="1"/>
  <c r="O105" i="2" s="1"/>
  <c r="Q105" i="2" s="1"/>
  <c r="L105" i="2"/>
  <c r="K105" i="2"/>
  <c r="J105" i="2"/>
  <c r="I105" i="2"/>
  <c r="H105" i="2"/>
  <c r="G105" i="2"/>
  <c r="F105" i="2"/>
  <c r="E105" i="2"/>
  <c r="D105" i="2"/>
  <c r="C105" i="2"/>
  <c r="M75" i="2"/>
  <c r="L75" i="2"/>
  <c r="G75" i="2"/>
  <c r="F75" i="2"/>
  <c r="E75" i="2"/>
  <c r="D75" i="2"/>
  <c r="C75" i="2"/>
  <c r="B74" i="2"/>
  <c r="M71" i="2"/>
  <c r="K71" i="2"/>
  <c r="K79" i="2" s="1"/>
  <c r="J71" i="2"/>
  <c r="J79" i="2" s="1"/>
  <c r="I71" i="2"/>
  <c r="I79" i="2" s="1"/>
  <c r="G71" i="2"/>
  <c r="F71" i="2"/>
  <c r="E71" i="2"/>
  <c r="O68" i="2"/>
  <c r="N68" i="2"/>
  <c r="F61" i="2"/>
  <c r="E61" i="2"/>
  <c r="M57" i="2"/>
  <c r="L57" i="2"/>
  <c r="K57" i="2"/>
  <c r="J57" i="2"/>
  <c r="I57" i="2"/>
  <c r="H57" i="2"/>
  <c r="G57" i="2"/>
  <c r="B51" i="2"/>
  <c r="F50" i="2"/>
  <c r="E50" i="2"/>
  <c r="D50" i="2"/>
  <c r="D65" i="2" s="1"/>
  <c r="C50" i="2"/>
  <c r="C72" i="2" s="1"/>
  <c r="B40" i="2"/>
  <c r="B38" i="2"/>
  <c r="B36" i="2"/>
  <c r="B34" i="2"/>
  <c r="B32" i="2"/>
  <c r="O62" i="2"/>
  <c r="N62" i="2"/>
  <c r="M27" i="2"/>
  <c r="M62" i="2" s="1"/>
  <c r="L27" i="2"/>
  <c r="L62" i="2" s="1"/>
  <c r="K27" i="2"/>
  <c r="J62" i="2"/>
  <c r="I62" i="2"/>
  <c r="H62" i="2"/>
  <c r="G62" i="2"/>
  <c r="F27" i="2"/>
  <c r="F55" i="2" s="1"/>
  <c r="E27" i="2"/>
  <c r="E55" i="2" s="1"/>
  <c r="D27" i="2"/>
  <c r="C27" i="2"/>
  <c r="O21" i="2"/>
  <c r="C20" i="2"/>
  <c r="G20" i="2" s="1"/>
  <c r="K20" i="2" s="1"/>
  <c r="R19" i="2"/>
  <c r="B24" i="2" s="1"/>
  <c r="Q19" i="2"/>
  <c r="C21" i="2" s="1"/>
  <c r="C22" i="2" s="1"/>
  <c r="M18" i="2"/>
  <c r="M68" i="2" s="1"/>
  <c r="L18" i="2"/>
  <c r="L68" i="2" s="1"/>
  <c r="K18" i="2"/>
  <c r="K68" i="2" s="1"/>
  <c r="J18" i="2"/>
  <c r="J68" i="2" s="1"/>
  <c r="I18" i="2"/>
  <c r="I68" i="2" s="1"/>
  <c r="H18" i="2"/>
  <c r="H68" i="2" s="1"/>
  <c r="G18" i="2"/>
  <c r="G68" i="2" s="1"/>
  <c r="F18" i="2"/>
  <c r="F68" i="2" s="1"/>
  <c r="E18" i="2"/>
  <c r="E68" i="2" s="1"/>
  <c r="D18" i="2"/>
  <c r="D68" i="2" s="1"/>
  <c r="C18" i="2"/>
  <c r="C68" i="2" s="1"/>
  <c r="D17" i="2"/>
  <c r="E17" i="2" s="1"/>
  <c r="F17" i="2" s="1"/>
  <c r="G17" i="2" s="1"/>
  <c r="H17" i="2" s="1"/>
  <c r="I17" i="2" s="1"/>
  <c r="J17" i="2" s="1"/>
  <c r="K17" i="2" s="1"/>
  <c r="L17" i="2" s="1"/>
  <c r="M17" i="2" s="1"/>
  <c r="B6" i="2"/>
  <c r="B10" i="2" s="1"/>
  <c r="B5" i="2"/>
  <c r="B4" i="2"/>
  <c r="B3" i="2"/>
  <c r="B27" i="2" l="1"/>
  <c r="P49" i="2"/>
  <c r="P47" i="2"/>
  <c r="B47" i="2" s="1"/>
  <c r="K62" i="2"/>
  <c r="Q27" i="2"/>
  <c r="G35" i="3"/>
  <c r="J53" i="3"/>
  <c r="J56" i="3" s="1"/>
  <c r="J19" i="3"/>
  <c r="G53" i="3"/>
  <c r="G56" i="3" s="1"/>
  <c r="G19" i="3"/>
  <c r="L16" i="3"/>
  <c r="K80" i="3"/>
  <c r="K82" i="3" s="1"/>
  <c r="K17" i="3"/>
  <c r="F56" i="3"/>
  <c r="H17" i="3"/>
  <c r="H79" i="3"/>
  <c r="H83" i="3" s="1"/>
  <c r="F36" i="3"/>
  <c r="G36" i="3" s="1"/>
  <c r="N20" i="2"/>
  <c r="B75" i="2"/>
  <c r="C106" i="2"/>
  <c r="C23" i="2"/>
  <c r="I30" i="2"/>
  <c r="J30" i="2"/>
  <c r="M28" i="2"/>
  <c r="I28" i="2"/>
  <c r="L28" i="2"/>
  <c r="H28" i="2"/>
  <c r="J28" i="2"/>
  <c r="K28" i="2"/>
  <c r="B60" i="2"/>
  <c r="B53" i="2"/>
  <c r="G24" i="2"/>
  <c r="C73" i="2"/>
  <c r="O20" i="2"/>
  <c r="E56" i="2"/>
  <c r="B55" i="2"/>
  <c r="E62" i="2"/>
  <c r="D66" i="2"/>
  <c r="D76" i="2"/>
  <c r="D21" i="2"/>
  <c r="E21" i="2" s="1"/>
  <c r="F21" i="2" s="1"/>
  <c r="G21" i="2" s="1"/>
  <c r="H21" i="2" s="1"/>
  <c r="I21" i="2" s="1"/>
  <c r="J21" i="2" s="1"/>
  <c r="K21" i="2" s="1"/>
  <c r="L21" i="2" s="1"/>
  <c r="M21" i="2" s="1"/>
  <c r="B12" i="2"/>
  <c r="B14" i="2"/>
  <c r="F62" i="2"/>
  <c r="F63" i="2" s="1"/>
  <c r="F64" i="2" s="1"/>
  <c r="F56" i="2"/>
  <c r="F57" i="2" s="1"/>
  <c r="C65" i="2"/>
  <c r="D71" i="2"/>
  <c r="H71" i="2"/>
  <c r="H79" i="2" s="1"/>
  <c r="L71" i="2"/>
  <c r="D72" i="2"/>
  <c r="D73" i="2" s="1"/>
  <c r="E72" i="2"/>
  <c r="E73" i="2" s="1"/>
  <c r="E79" i="2" s="1"/>
  <c r="F72" i="2"/>
  <c r="F73" i="2" s="1"/>
  <c r="F79" i="2" s="1"/>
  <c r="C78" i="2"/>
  <c r="M88" i="1"/>
  <c r="N88" i="1" s="1"/>
  <c r="O88" i="1" s="1"/>
  <c r="L88" i="1"/>
  <c r="K88" i="1"/>
  <c r="J88" i="1"/>
  <c r="I88" i="1"/>
  <c r="H88" i="1"/>
  <c r="G88" i="1"/>
  <c r="F88" i="1"/>
  <c r="E88" i="1"/>
  <c r="D88" i="1"/>
  <c r="C88" i="1"/>
  <c r="C89" i="1" s="1"/>
  <c r="B128" i="1" s="1"/>
  <c r="F61" i="1"/>
  <c r="E61" i="1"/>
  <c r="M57" i="1"/>
  <c r="L57" i="1"/>
  <c r="K57" i="1"/>
  <c r="J57" i="1"/>
  <c r="I57" i="1"/>
  <c r="H57" i="1"/>
  <c r="G57" i="1"/>
  <c r="B51" i="1"/>
  <c r="F50" i="1"/>
  <c r="F72" i="1" s="1"/>
  <c r="F73" i="1" s="1"/>
  <c r="F79" i="1" s="1"/>
  <c r="E50" i="1"/>
  <c r="E72" i="1" s="1"/>
  <c r="E73" i="1" s="1"/>
  <c r="E79" i="1" s="1"/>
  <c r="D50" i="1"/>
  <c r="D72" i="1" s="1"/>
  <c r="C50" i="1"/>
  <c r="C72" i="1" s="1"/>
  <c r="C73" i="1" s="1"/>
  <c r="C79" i="1" s="1"/>
  <c r="B40" i="1"/>
  <c r="B38" i="1"/>
  <c r="B36" i="1"/>
  <c r="B34" i="1"/>
  <c r="B32" i="1"/>
  <c r="O62" i="1"/>
  <c r="N62" i="1"/>
  <c r="M62" i="1"/>
  <c r="L62" i="1"/>
  <c r="K62" i="1"/>
  <c r="J62" i="1"/>
  <c r="I62" i="1"/>
  <c r="H62" i="1"/>
  <c r="G62" i="1"/>
  <c r="F27" i="1"/>
  <c r="F55" i="1" s="1"/>
  <c r="E27" i="1"/>
  <c r="E55" i="1" s="1"/>
  <c r="D27" i="1"/>
  <c r="C27" i="1"/>
  <c r="O21" i="1"/>
  <c r="C20" i="1"/>
  <c r="G20" i="1" s="1"/>
  <c r="K20" i="1" s="1"/>
  <c r="R19" i="1"/>
  <c r="B24" i="1" s="1"/>
  <c r="Q19" i="1"/>
  <c r="C21" i="1" s="1"/>
  <c r="C22" i="1" s="1"/>
  <c r="M18" i="1"/>
  <c r="M68" i="1" s="1"/>
  <c r="L18" i="1"/>
  <c r="L68" i="1" s="1"/>
  <c r="K18" i="1"/>
  <c r="K68" i="1" s="1"/>
  <c r="J18" i="1"/>
  <c r="J68" i="1" s="1"/>
  <c r="I18" i="1"/>
  <c r="I68" i="1" s="1"/>
  <c r="H18" i="1"/>
  <c r="G18" i="1"/>
  <c r="F18" i="1"/>
  <c r="E18" i="1"/>
  <c r="E68" i="1" s="1"/>
  <c r="D18" i="1"/>
  <c r="D68" i="1" s="1"/>
  <c r="C18" i="1"/>
  <c r="C68" i="1" s="1"/>
  <c r="D17" i="1"/>
  <c r="E17" i="1" s="1"/>
  <c r="F17" i="1" s="1"/>
  <c r="G17" i="1" s="1"/>
  <c r="H17" i="1" s="1"/>
  <c r="I17" i="1" s="1"/>
  <c r="J17" i="1" s="1"/>
  <c r="K17" i="1" s="1"/>
  <c r="L17" i="1" s="1"/>
  <c r="M17" i="1" s="1"/>
  <c r="B6" i="1"/>
  <c r="B10" i="1" s="1"/>
  <c r="B5" i="1"/>
  <c r="B4" i="1"/>
  <c r="B3" i="1"/>
  <c r="B131" i="1" l="1"/>
  <c r="B132" i="1"/>
  <c r="B129" i="1"/>
  <c r="B130" i="1" s="1"/>
  <c r="D73" i="1"/>
  <c r="D79" i="1" s="1"/>
  <c r="Q88" i="1"/>
  <c r="P88" i="1"/>
  <c r="B14" i="1"/>
  <c r="B62" i="2"/>
  <c r="P50" i="2"/>
  <c r="P65" i="2" s="1"/>
  <c r="B77" i="2"/>
  <c r="C79" i="2"/>
  <c r="B69" i="2"/>
  <c r="Q69" i="2" s="1"/>
  <c r="P96" i="2"/>
  <c r="P98" i="2"/>
  <c r="E62" i="1"/>
  <c r="H35" i="3"/>
  <c r="I35" i="3" s="1"/>
  <c r="K53" i="3"/>
  <c r="K56" i="3" s="1"/>
  <c r="K19" i="3"/>
  <c r="L80" i="3"/>
  <c r="L82" i="3" s="1"/>
  <c r="L17" i="3"/>
  <c r="M16" i="3"/>
  <c r="H53" i="3"/>
  <c r="H56" i="3" s="1"/>
  <c r="H19" i="3"/>
  <c r="C98" i="2"/>
  <c r="D106" i="2"/>
  <c r="E106" i="2" s="1"/>
  <c r="F106" i="2" s="1"/>
  <c r="G106" i="2" s="1"/>
  <c r="H106" i="2" s="1"/>
  <c r="I106" i="2" s="1"/>
  <c r="J106" i="2" s="1"/>
  <c r="K106" i="2" s="1"/>
  <c r="L106" i="2" s="1"/>
  <c r="M106" i="2" s="1"/>
  <c r="N106" i="2" s="1"/>
  <c r="O106" i="2" s="1"/>
  <c r="Q106" i="2" s="1"/>
  <c r="C107" i="2"/>
  <c r="D107" i="2" s="1"/>
  <c r="E107" i="2" s="1"/>
  <c r="F107" i="2" s="1"/>
  <c r="G107" i="2" s="1"/>
  <c r="H107" i="2" s="1"/>
  <c r="I107" i="2" s="1"/>
  <c r="J107" i="2" s="1"/>
  <c r="K107" i="2" s="1"/>
  <c r="L107" i="2" s="1"/>
  <c r="M107" i="2" s="1"/>
  <c r="N107" i="2" s="1"/>
  <c r="O107" i="2" s="1"/>
  <c r="Q107" i="2" s="1"/>
  <c r="F65" i="2"/>
  <c r="F66" i="2" s="1"/>
  <c r="D79" i="2"/>
  <c r="D78" i="2"/>
  <c r="D94" i="2" s="1"/>
  <c r="B30" i="2"/>
  <c r="C66" i="2"/>
  <c r="C76" i="2"/>
  <c r="E57" i="2"/>
  <c r="B56" i="2"/>
  <c r="G53" i="2"/>
  <c r="H24" i="2"/>
  <c r="B28" i="2"/>
  <c r="D22" i="2"/>
  <c r="E63" i="2"/>
  <c r="B27" i="1"/>
  <c r="E56" i="1"/>
  <c r="E57" i="1" s="1"/>
  <c r="D89" i="1"/>
  <c r="F56" i="1"/>
  <c r="F57" i="1" s="1"/>
  <c r="F62" i="1"/>
  <c r="F63" i="1" s="1"/>
  <c r="F64" i="1" s="1"/>
  <c r="B55" i="1"/>
  <c r="J30" i="1"/>
  <c r="I30" i="1"/>
  <c r="M28" i="1"/>
  <c r="I28" i="1"/>
  <c r="M30" i="1"/>
  <c r="L28" i="1"/>
  <c r="H28" i="1"/>
  <c r="K30" i="1"/>
  <c r="J28" i="1"/>
  <c r="L30" i="1"/>
  <c r="K28" i="1"/>
  <c r="C23" i="1"/>
  <c r="B53" i="1"/>
  <c r="G24" i="1"/>
  <c r="B60" i="1"/>
  <c r="B12" i="1"/>
  <c r="N20" i="1"/>
  <c r="D21" i="1"/>
  <c r="E21" i="1" s="1"/>
  <c r="F21" i="1" s="1"/>
  <c r="G21" i="1" s="1"/>
  <c r="H21" i="1" s="1"/>
  <c r="I21" i="1" s="1"/>
  <c r="J21" i="1" s="1"/>
  <c r="K21" i="1" s="1"/>
  <c r="L21" i="1" s="1"/>
  <c r="M21" i="1" s="1"/>
  <c r="O20" i="1"/>
  <c r="E89" i="1" l="1"/>
  <c r="C128" i="1"/>
  <c r="C131" i="1" s="1"/>
  <c r="P66" i="2"/>
  <c r="P67" i="2"/>
  <c r="D76" i="1"/>
  <c r="D78" i="1" s="1"/>
  <c r="C76" i="1"/>
  <c r="E63" i="1"/>
  <c r="B62" i="1"/>
  <c r="D100" i="2"/>
  <c r="J35" i="3"/>
  <c r="K35" i="3" s="1"/>
  <c r="L35" i="3" s="1"/>
  <c r="M17" i="3"/>
  <c r="N16" i="3"/>
  <c r="M80" i="3"/>
  <c r="M82" i="3" s="1"/>
  <c r="H36" i="3"/>
  <c r="I36" i="3" s="1"/>
  <c r="J36" i="3" s="1"/>
  <c r="K36" i="3" s="1"/>
  <c r="L53" i="3"/>
  <c r="L56" i="3" s="1"/>
  <c r="L19" i="3"/>
  <c r="F76" i="2"/>
  <c r="F78" i="2" s="1"/>
  <c r="F94" i="2" s="1"/>
  <c r="D98" i="2"/>
  <c r="E64" i="2"/>
  <c r="B64" i="2" s="1"/>
  <c r="H53" i="2"/>
  <c r="I24" i="2"/>
  <c r="B57" i="2"/>
  <c r="D23" i="2"/>
  <c r="E22" i="2"/>
  <c r="B57" i="1"/>
  <c r="B56" i="1"/>
  <c r="D66" i="1"/>
  <c r="C81" i="1"/>
  <c r="C82" i="1"/>
  <c r="C66" i="1"/>
  <c r="B30" i="1"/>
  <c r="H24" i="1"/>
  <c r="G53" i="1"/>
  <c r="D22" i="1"/>
  <c r="B28" i="1"/>
  <c r="F89" i="1" l="1"/>
  <c r="D128" i="1"/>
  <c r="D131" i="1" s="1"/>
  <c r="D82" i="1"/>
  <c r="C124" i="1"/>
  <c r="F76" i="1"/>
  <c r="F78" i="1" s="1"/>
  <c r="F81" i="1" s="1"/>
  <c r="E64" i="1"/>
  <c r="D95" i="2"/>
  <c r="D108" i="2" s="1"/>
  <c r="M19" i="3"/>
  <c r="M53" i="3"/>
  <c r="M56" i="3" s="1"/>
  <c r="O16" i="3"/>
  <c r="N80" i="3"/>
  <c r="N82" i="3" s="1"/>
  <c r="N17" i="3"/>
  <c r="P16" i="3"/>
  <c r="L36" i="3"/>
  <c r="M36" i="3" s="1"/>
  <c r="M35" i="3"/>
  <c r="N35" i="3" s="1"/>
  <c r="F98" i="2"/>
  <c r="F100" i="2"/>
  <c r="F95" i="2"/>
  <c r="F108" i="2" s="1"/>
  <c r="E65" i="2"/>
  <c r="I53" i="2"/>
  <c r="J24" i="2"/>
  <c r="E23" i="2"/>
  <c r="F22" i="2"/>
  <c r="D23" i="1"/>
  <c r="E22" i="1"/>
  <c r="H53" i="1"/>
  <c r="I24" i="1"/>
  <c r="F66" i="1"/>
  <c r="C84" i="1"/>
  <c r="D81" i="1"/>
  <c r="D84" i="1" s="1"/>
  <c r="D86" i="1" s="1"/>
  <c r="G89" i="1" l="1"/>
  <c r="E128" i="1"/>
  <c r="E131" i="1" s="1"/>
  <c r="C132" i="1"/>
  <c r="C126" i="1"/>
  <c r="E124" i="1"/>
  <c r="F84" i="1"/>
  <c r="F86" i="1" s="1"/>
  <c r="F90" i="1" s="1"/>
  <c r="B64" i="1"/>
  <c r="E76" i="2"/>
  <c r="E78" i="2" s="1"/>
  <c r="N53" i="3"/>
  <c r="N19" i="3"/>
  <c r="N36" i="3" s="1"/>
  <c r="O80" i="3"/>
  <c r="O82" i="3" s="1"/>
  <c r="F85" i="3" s="1"/>
  <c r="O17" i="3"/>
  <c r="E66" i="2"/>
  <c r="F23" i="2"/>
  <c r="G22" i="2"/>
  <c r="J53" i="2"/>
  <c r="K24" i="2"/>
  <c r="F82" i="1"/>
  <c r="C86" i="1"/>
  <c r="D87" i="1"/>
  <c r="D90" i="1"/>
  <c r="E23" i="1"/>
  <c r="F22" i="1"/>
  <c r="I53" i="1"/>
  <c r="J24" i="1"/>
  <c r="H89" i="1" l="1"/>
  <c r="F128" i="1"/>
  <c r="F87" i="1"/>
  <c r="E132" i="1"/>
  <c r="E126" i="1"/>
  <c r="E129" i="1" s="1"/>
  <c r="C129" i="1"/>
  <c r="C130" i="1" s="1"/>
  <c r="C127" i="1"/>
  <c r="E66" i="1"/>
  <c r="E76" i="1"/>
  <c r="E78" i="1" s="1"/>
  <c r="D124" i="1" s="1"/>
  <c r="E94" i="2"/>
  <c r="O53" i="3"/>
  <c r="O56" i="3" s="1"/>
  <c r="O19" i="3"/>
  <c r="F22" i="3" s="1"/>
  <c r="F21" i="3"/>
  <c r="N56" i="3"/>
  <c r="F59" i="3"/>
  <c r="O35" i="3"/>
  <c r="G23" i="2"/>
  <c r="H22" i="2"/>
  <c r="G52" i="2"/>
  <c r="E98" i="2"/>
  <c r="K53" i="2"/>
  <c r="L24" i="2"/>
  <c r="C87" i="1"/>
  <c r="C90" i="1"/>
  <c r="J53" i="1"/>
  <c r="K24" i="1"/>
  <c r="F23" i="1"/>
  <c r="G22" i="1"/>
  <c r="I89" i="1" l="1"/>
  <c r="G128" i="1"/>
  <c r="D132" i="1"/>
  <c r="D126" i="1"/>
  <c r="D127" i="1"/>
  <c r="E127" i="1" s="1"/>
  <c r="E82" i="1"/>
  <c r="E81" i="1"/>
  <c r="E95" i="2"/>
  <c r="E108" i="2" s="1"/>
  <c r="F57" i="3"/>
  <c r="P35" i="3"/>
  <c r="O36" i="3"/>
  <c r="P36" i="3" s="1"/>
  <c r="H52" i="2"/>
  <c r="H23" i="2"/>
  <c r="I22" i="2"/>
  <c r="E100" i="2"/>
  <c r="L53" i="2"/>
  <c r="M24" i="2"/>
  <c r="K53" i="1"/>
  <c r="L24" i="1"/>
  <c r="H22" i="1"/>
  <c r="G52" i="1"/>
  <c r="G23" i="1"/>
  <c r="J89" i="1" l="1"/>
  <c r="H128" i="1"/>
  <c r="D129" i="1"/>
  <c r="D130" i="1" s="1"/>
  <c r="E84" i="1"/>
  <c r="E86" i="1" s="1"/>
  <c r="M53" i="2"/>
  <c r="M25" i="2"/>
  <c r="N24" i="2"/>
  <c r="O24" i="2" s="1"/>
  <c r="I52" i="2"/>
  <c r="I23" i="2"/>
  <c r="J22" i="2"/>
  <c r="L53" i="1"/>
  <c r="M24" i="1"/>
  <c r="H23" i="1"/>
  <c r="I22" i="1"/>
  <c r="H52" i="1"/>
  <c r="K89" i="1" l="1"/>
  <c r="I128" i="1"/>
  <c r="E130" i="1"/>
  <c r="E90" i="1"/>
  <c r="E87" i="1"/>
  <c r="L25" i="2"/>
  <c r="J23" i="2"/>
  <c r="K22" i="2"/>
  <c r="J52" i="2"/>
  <c r="M53" i="1"/>
  <c r="M25" i="1"/>
  <c r="N24" i="1"/>
  <c r="O24" i="1" s="1"/>
  <c r="P24" i="1" s="1"/>
  <c r="I52" i="1"/>
  <c r="I23" i="1"/>
  <c r="J22" i="1"/>
  <c r="L89" i="1" l="1"/>
  <c r="J128" i="1"/>
  <c r="K23" i="2"/>
  <c r="L22" i="2"/>
  <c r="K52" i="2"/>
  <c r="K25" i="2"/>
  <c r="J23" i="1"/>
  <c r="K22" i="1"/>
  <c r="J52" i="1"/>
  <c r="L25" i="1"/>
  <c r="M89" i="1" l="1"/>
  <c r="K128" i="1"/>
  <c r="K60" i="2"/>
  <c r="K61" i="2" s="1"/>
  <c r="K63" i="2" s="1"/>
  <c r="J25" i="2"/>
  <c r="K26" i="2"/>
  <c r="K37" i="2" s="1"/>
  <c r="L52" i="2"/>
  <c r="L54" i="2" s="1"/>
  <c r="L23" i="2"/>
  <c r="L26" i="2" s="1"/>
  <c r="L39" i="2" s="1"/>
  <c r="M22" i="2"/>
  <c r="L60" i="2"/>
  <c r="L61" i="2" s="1"/>
  <c r="L63" i="2" s="1"/>
  <c r="K54" i="2"/>
  <c r="K52" i="1"/>
  <c r="K23" i="1"/>
  <c r="L22" i="1"/>
  <c r="K25" i="1"/>
  <c r="N89" i="1" l="1"/>
  <c r="L128" i="1"/>
  <c r="K50" i="2"/>
  <c r="K65" i="2" s="1"/>
  <c r="M52" i="2"/>
  <c r="M54" i="2" s="1"/>
  <c r="M23" i="2"/>
  <c r="M26" i="2" s="1"/>
  <c r="M41" i="2" s="1"/>
  <c r="N22" i="2"/>
  <c r="M60" i="2"/>
  <c r="M61" i="2" s="1"/>
  <c r="M63" i="2" s="1"/>
  <c r="J60" i="2"/>
  <c r="J61" i="2" s="1"/>
  <c r="J63" i="2" s="1"/>
  <c r="I25" i="2"/>
  <c r="J54" i="2"/>
  <c r="J26" i="2"/>
  <c r="J35" i="2" s="1"/>
  <c r="L50" i="2"/>
  <c r="K60" i="1"/>
  <c r="K61" i="1" s="1"/>
  <c r="K63" i="1" s="1"/>
  <c r="J25" i="1"/>
  <c r="K26" i="1"/>
  <c r="K37" i="1" s="1"/>
  <c r="L23" i="1"/>
  <c r="L26" i="1" s="1"/>
  <c r="L39" i="1" s="1"/>
  <c r="M22" i="1"/>
  <c r="L52" i="1"/>
  <c r="L54" i="1" s="1"/>
  <c r="L60" i="1"/>
  <c r="L61" i="1" s="1"/>
  <c r="L63" i="1" s="1"/>
  <c r="K54" i="1"/>
  <c r="O89" i="1" l="1"/>
  <c r="M128" i="1"/>
  <c r="M132" i="1" s="1"/>
  <c r="I60" i="2"/>
  <c r="I61" i="2" s="1"/>
  <c r="I63" i="2" s="1"/>
  <c r="H25" i="2"/>
  <c r="I54" i="2"/>
  <c r="I26" i="2"/>
  <c r="I33" i="2" s="1"/>
  <c r="L65" i="2"/>
  <c r="L72" i="2"/>
  <c r="J50" i="2"/>
  <c r="J65" i="2" s="1"/>
  <c r="N60" i="2"/>
  <c r="N61" i="2" s="1"/>
  <c r="N63" i="2" s="1"/>
  <c r="N23" i="2"/>
  <c r="N26" i="2" s="1"/>
  <c r="N43" i="2" s="1"/>
  <c r="O22" i="2"/>
  <c r="K66" i="2"/>
  <c r="K76" i="2"/>
  <c r="K78" i="2" s="1"/>
  <c r="B37" i="1"/>
  <c r="K50" i="1"/>
  <c r="K65" i="1" s="1"/>
  <c r="J125" i="1" s="1"/>
  <c r="J60" i="1"/>
  <c r="J61" i="1" s="1"/>
  <c r="J63" i="1" s="1"/>
  <c r="I25" i="1"/>
  <c r="J26" i="1"/>
  <c r="J35" i="1" s="1"/>
  <c r="J54" i="1"/>
  <c r="L50" i="1"/>
  <c r="L72" i="1" s="1"/>
  <c r="B39" i="1"/>
  <c r="M23" i="1"/>
  <c r="M26" i="1" s="1"/>
  <c r="M41" i="1" s="1"/>
  <c r="N22" i="1"/>
  <c r="M52" i="1"/>
  <c r="M54" i="1" s="1"/>
  <c r="M60" i="1"/>
  <c r="M61" i="1" s="1"/>
  <c r="M63" i="1" s="1"/>
  <c r="Q89" i="1" l="1"/>
  <c r="N128" i="1"/>
  <c r="N132" i="1" s="1"/>
  <c r="P89" i="1"/>
  <c r="O128" i="1" s="1"/>
  <c r="O132" i="1" s="1"/>
  <c r="J131" i="1"/>
  <c r="K76" i="1"/>
  <c r="K78" i="1" s="1"/>
  <c r="J124" i="1" s="1"/>
  <c r="J132" i="1" s="1"/>
  <c r="L73" i="1"/>
  <c r="L79" i="1" s="1"/>
  <c r="K98" i="2"/>
  <c r="K94" i="2"/>
  <c r="I50" i="2"/>
  <c r="I65" i="2" s="1"/>
  <c r="L73" i="2"/>
  <c r="L79" i="2" s="1"/>
  <c r="H60" i="2"/>
  <c r="H61" i="2" s="1"/>
  <c r="H63" i="2" s="1"/>
  <c r="G25" i="2"/>
  <c r="H54" i="2"/>
  <c r="H26" i="2"/>
  <c r="N50" i="2"/>
  <c r="N65" i="2" s="1"/>
  <c r="B43" i="2"/>
  <c r="O60" i="2"/>
  <c r="O61" i="2" s="1"/>
  <c r="O63" i="2" s="1"/>
  <c r="O23" i="2"/>
  <c r="O26" i="2" s="1"/>
  <c r="O45" i="2" s="1"/>
  <c r="J76" i="2"/>
  <c r="J78" i="2" s="1"/>
  <c r="J94" i="2" s="1"/>
  <c r="J66" i="2"/>
  <c r="L66" i="2"/>
  <c r="L76" i="2"/>
  <c r="L78" i="2" s="1"/>
  <c r="L94" i="2" s="1"/>
  <c r="B41" i="1"/>
  <c r="M50" i="1"/>
  <c r="M72" i="1" s="1"/>
  <c r="J50" i="1"/>
  <c r="J65" i="1" s="1"/>
  <c r="I125" i="1" s="1"/>
  <c r="B35" i="1"/>
  <c r="I60" i="1"/>
  <c r="I61" i="1" s="1"/>
  <c r="I63" i="1" s="1"/>
  <c r="H25" i="1"/>
  <c r="I54" i="1"/>
  <c r="I26" i="1"/>
  <c r="I33" i="1" s="1"/>
  <c r="L65" i="1"/>
  <c r="K125" i="1" s="1"/>
  <c r="N23" i="1"/>
  <c r="N26" i="1" s="1"/>
  <c r="N43" i="1" s="1"/>
  <c r="O22" i="1"/>
  <c r="P22" i="1" s="1"/>
  <c r="N60" i="1"/>
  <c r="N61" i="1" s="1"/>
  <c r="N63" i="1" s="1"/>
  <c r="K81" i="1"/>
  <c r="K84" i="1" s="1"/>
  <c r="K86" i="1" s="1"/>
  <c r="K66" i="1"/>
  <c r="I131" i="1" l="1"/>
  <c r="K131" i="1"/>
  <c r="J126" i="1"/>
  <c r="J129" i="1" s="1"/>
  <c r="L76" i="1"/>
  <c r="L78" i="1" s="1"/>
  <c r="J76" i="1"/>
  <c r="J78" i="1" s="1"/>
  <c r="P23" i="1"/>
  <c r="P26" i="1" s="1"/>
  <c r="P60" i="1"/>
  <c r="P61" i="1" s="1"/>
  <c r="P63" i="1" s="1"/>
  <c r="M73" i="1"/>
  <c r="M79" i="1" s="1"/>
  <c r="P41" i="2"/>
  <c r="J33" i="2"/>
  <c r="N35" i="2"/>
  <c r="O37" i="2"/>
  <c r="O39" i="2"/>
  <c r="N31" i="2"/>
  <c r="O43" i="2"/>
  <c r="N41" i="2"/>
  <c r="K35" i="2"/>
  <c r="P37" i="2"/>
  <c r="O35" i="2"/>
  <c r="P39" i="2"/>
  <c r="N33" i="2"/>
  <c r="M33" i="2"/>
  <c r="M39" i="2"/>
  <c r="B39" i="2" s="1"/>
  <c r="L35" i="2"/>
  <c r="M31" i="2"/>
  <c r="P43" i="2"/>
  <c r="P35" i="2"/>
  <c r="O31" i="2"/>
  <c r="P33" i="2"/>
  <c r="M35" i="2"/>
  <c r="N39" i="2"/>
  <c r="K31" i="2"/>
  <c r="L37" i="2"/>
  <c r="K33" i="2"/>
  <c r="L31" i="2"/>
  <c r="N37" i="2"/>
  <c r="L33" i="2"/>
  <c r="M37" i="2"/>
  <c r="P45" i="2"/>
  <c r="O33" i="2"/>
  <c r="P31" i="2"/>
  <c r="O41" i="2"/>
  <c r="O50" i="2"/>
  <c r="B45" i="2"/>
  <c r="N50" i="1"/>
  <c r="N65" i="1" s="1"/>
  <c r="J100" i="2"/>
  <c r="J95" i="2"/>
  <c r="J108" i="2" s="1"/>
  <c r="K100" i="2"/>
  <c r="K95" i="2"/>
  <c r="K108" i="2" s="1"/>
  <c r="J98" i="2"/>
  <c r="L98" i="2"/>
  <c r="J31" i="2"/>
  <c r="I31" i="2"/>
  <c r="H31" i="2"/>
  <c r="G60" i="2"/>
  <c r="G61" i="2" s="1"/>
  <c r="G63" i="2" s="1"/>
  <c r="B63" i="2" s="1"/>
  <c r="G54" i="2"/>
  <c r="G26" i="2"/>
  <c r="N98" i="2"/>
  <c r="N66" i="2"/>
  <c r="I76" i="2"/>
  <c r="I78" i="2" s="1"/>
  <c r="I94" i="2" s="1"/>
  <c r="I66" i="2"/>
  <c r="K82" i="1"/>
  <c r="K87" i="1"/>
  <c r="K90" i="1"/>
  <c r="O60" i="1"/>
  <c r="O61" i="1" s="1"/>
  <c r="O63" i="1" s="1"/>
  <c r="O23" i="1"/>
  <c r="O26" i="1" s="1"/>
  <c r="B33" i="1"/>
  <c r="I50" i="1"/>
  <c r="I65" i="1" s="1"/>
  <c r="H125" i="1" s="1"/>
  <c r="J82" i="1"/>
  <c r="J66" i="1"/>
  <c r="L66" i="1"/>
  <c r="G25" i="1"/>
  <c r="H60" i="1"/>
  <c r="H61" i="1" s="1"/>
  <c r="H63" i="1" s="1"/>
  <c r="H54" i="1"/>
  <c r="H26" i="1"/>
  <c r="M65" i="1"/>
  <c r="L125" i="1" s="1"/>
  <c r="H131" i="1" l="1"/>
  <c r="L131" i="1"/>
  <c r="I124" i="1"/>
  <c r="M125" i="1"/>
  <c r="K124" i="1"/>
  <c r="M76" i="1"/>
  <c r="M78" i="1" s="1"/>
  <c r="I76" i="1"/>
  <c r="I78" i="1" s="1"/>
  <c r="P49" i="1"/>
  <c r="P47" i="1"/>
  <c r="B35" i="2"/>
  <c r="N29" i="2"/>
  <c r="P29" i="2"/>
  <c r="O29" i="2"/>
  <c r="B33" i="2"/>
  <c r="B37" i="2"/>
  <c r="B43" i="1"/>
  <c r="I100" i="2"/>
  <c r="I95" i="2"/>
  <c r="I108" i="2" s="1"/>
  <c r="L100" i="2"/>
  <c r="L95" i="2"/>
  <c r="L108" i="2" s="1"/>
  <c r="I98" i="2"/>
  <c r="O65" i="2"/>
  <c r="B31" i="2"/>
  <c r="J29" i="2"/>
  <c r="L29" i="2"/>
  <c r="G29" i="2"/>
  <c r="H29" i="2"/>
  <c r="H50" i="2" s="1"/>
  <c r="H65" i="2" s="1"/>
  <c r="K29" i="2"/>
  <c r="M29" i="2"/>
  <c r="I29" i="2"/>
  <c r="J81" i="1"/>
  <c r="J84" i="1" s="1"/>
  <c r="J86" i="1" s="1"/>
  <c r="J90" i="1" s="1"/>
  <c r="L82" i="1"/>
  <c r="L81" i="1"/>
  <c r="L84" i="1" s="1"/>
  <c r="L86" i="1" s="1"/>
  <c r="L31" i="1"/>
  <c r="I31" i="1"/>
  <c r="K31" i="1"/>
  <c r="H31" i="1"/>
  <c r="J31" i="1"/>
  <c r="M31" i="1"/>
  <c r="I66" i="1"/>
  <c r="M66" i="1"/>
  <c r="G60" i="1"/>
  <c r="G61" i="1" s="1"/>
  <c r="G63" i="1" s="1"/>
  <c r="B63" i="1" s="1"/>
  <c r="G54" i="1"/>
  <c r="G26" i="1"/>
  <c r="O45" i="1"/>
  <c r="N81" i="1"/>
  <c r="N84" i="1" s="1"/>
  <c r="N86" i="1" s="1"/>
  <c r="N66" i="1"/>
  <c r="N82" i="1"/>
  <c r="M126" i="1" l="1"/>
  <c r="M129" i="1" s="1"/>
  <c r="M131" i="1"/>
  <c r="K132" i="1"/>
  <c r="K126" i="1"/>
  <c r="K129" i="1" s="1"/>
  <c r="I132" i="1"/>
  <c r="I126" i="1"/>
  <c r="I129" i="1" s="1"/>
  <c r="L124" i="1"/>
  <c r="H124" i="1"/>
  <c r="I81" i="1"/>
  <c r="I84" i="1" s="1"/>
  <c r="I86" i="1" s="1"/>
  <c r="I87" i="1" s="1"/>
  <c r="O67" i="2"/>
  <c r="O96" i="2"/>
  <c r="P50" i="1"/>
  <c r="P65" i="1" s="1"/>
  <c r="B47" i="1"/>
  <c r="H66" i="2"/>
  <c r="H76" i="2"/>
  <c r="H78" i="2" s="1"/>
  <c r="H94" i="2" s="1"/>
  <c r="G50" i="2"/>
  <c r="B29" i="2"/>
  <c r="O66" i="2"/>
  <c r="I82" i="1"/>
  <c r="J87" i="1"/>
  <c r="M82" i="1"/>
  <c r="M81" i="1"/>
  <c r="M84" i="1" s="1"/>
  <c r="M86" i="1" s="1"/>
  <c r="B45" i="1"/>
  <c r="O50" i="1"/>
  <c r="O65" i="1" s="1"/>
  <c r="I29" i="1"/>
  <c r="K29" i="1"/>
  <c r="G29" i="1"/>
  <c r="J29" i="1"/>
  <c r="H29" i="1"/>
  <c r="H50" i="1" s="1"/>
  <c r="H65" i="1" s="1"/>
  <c r="G125" i="1" s="1"/>
  <c r="M29" i="1"/>
  <c r="L29" i="1"/>
  <c r="N90" i="1"/>
  <c r="N87" i="1"/>
  <c r="B31" i="1"/>
  <c r="L87" i="1"/>
  <c r="L90" i="1"/>
  <c r="I90" i="1" l="1"/>
  <c r="L132" i="1"/>
  <c r="L126" i="1"/>
  <c r="L129" i="1" s="1"/>
  <c r="G131" i="1"/>
  <c r="H132" i="1"/>
  <c r="H126" i="1"/>
  <c r="H129" i="1" s="1"/>
  <c r="N125" i="1"/>
  <c r="O125" i="1"/>
  <c r="H76" i="1"/>
  <c r="H78" i="1" s="1"/>
  <c r="G124" i="1" s="1"/>
  <c r="G132" i="1" s="1"/>
  <c r="P66" i="1"/>
  <c r="P81" i="1"/>
  <c r="P84" i="1" s="1"/>
  <c r="P86" i="1" s="1"/>
  <c r="P82" i="1"/>
  <c r="H100" i="2"/>
  <c r="H95" i="2"/>
  <c r="H108" i="2" s="1"/>
  <c r="G72" i="2"/>
  <c r="G65" i="2"/>
  <c r="H98" i="2"/>
  <c r="H66" i="1"/>
  <c r="O81" i="1"/>
  <c r="O84" i="1" s="1"/>
  <c r="O86" i="1" s="1"/>
  <c r="O82" i="1"/>
  <c r="O66" i="1"/>
  <c r="M90" i="1"/>
  <c r="M87" i="1"/>
  <c r="G50" i="1"/>
  <c r="B29" i="1"/>
  <c r="B49" i="1" s="1"/>
  <c r="O131" i="1" l="1"/>
  <c r="O126" i="1"/>
  <c r="O129" i="1" s="1"/>
  <c r="N131" i="1"/>
  <c r="N126" i="1"/>
  <c r="N129" i="1" s="1"/>
  <c r="G126" i="1"/>
  <c r="G129" i="1" s="1"/>
  <c r="H81" i="1"/>
  <c r="H84" i="1" s="1"/>
  <c r="H86" i="1" s="1"/>
  <c r="H87" i="1" s="1"/>
  <c r="P90" i="1"/>
  <c r="P87" i="1"/>
  <c r="G72" i="1"/>
  <c r="B50" i="1"/>
  <c r="G73" i="1"/>
  <c r="B72" i="1"/>
  <c r="G66" i="2"/>
  <c r="G76" i="2"/>
  <c r="G73" i="2"/>
  <c r="G65" i="1"/>
  <c r="F125" i="1" s="1"/>
  <c r="H82" i="1"/>
  <c r="O87" i="1"/>
  <c r="O90" i="1"/>
  <c r="F131" i="1" l="1"/>
  <c r="H90" i="1"/>
  <c r="G76" i="1"/>
  <c r="B76" i="1" s="1"/>
  <c r="B65" i="1"/>
  <c r="G78" i="1"/>
  <c r="F124" i="1" s="1"/>
  <c r="F132" i="1" s="1"/>
  <c r="G79" i="1"/>
  <c r="B79" i="1" s="1"/>
  <c r="B73" i="1"/>
  <c r="G78" i="2"/>
  <c r="G98" i="2" s="1"/>
  <c r="G79" i="2"/>
  <c r="G66" i="1"/>
  <c r="B66" i="1" s="1"/>
  <c r="F126" i="1" l="1"/>
  <c r="D99" i="1"/>
  <c r="B78" i="1"/>
  <c r="B71" i="1"/>
  <c r="G94" i="2"/>
  <c r="F129" i="1" l="1"/>
  <c r="F130" i="1" s="1"/>
  <c r="F127" i="1"/>
  <c r="P126" i="1"/>
  <c r="D98" i="1"/>
  <c r="G95" i="2"/>
  <c r="G108" i="2" s="1"/>
  <c r="G100" i="2"/>
  <c r="G82" i="1"/>
  <c r="B82" i="1" s="1"/>
  <c r="Q83" i="1" s="1"/>
  <c r="Q84" i="1" s="1"/>
  <c r="G81" i="1"/>
  <c r="G130" i="1" l="1"/>
  <c r="G127" i="1"/>
  <c r="H127" i="1" s="1"/>
  <c r="I127" i="1" s="1"/>
  <c r="J127" i="1" s="1"/>
  <c r="K127" i="1" s="1"/>
  <c r="L127" i="1" s="1"/>
  <c r="M127" i="1" s="1"/>
  <c r="N127" i="1" s="1"/>
  <c r="O127" i="1" s="1"/>
  <c r="P127" i="1" s="1"/>
  <c r="B81" i="1"/>
  <c r="E98" i="1"/>
  <c r="G84" i="1"/>
  <c r="H130" i="1" l="1"/>
  <c r="G86" i="1"/>
  <c r="B84" i="1"/>
  <c r="Q85" i="1" s="1"/>
  <c r="Q86" i="1" s="1"/>
  <c r="Q90" i="1" s="1"/>
  <c r="I130" i="1" l="1"/>
  <c r="J130" i="1" s="1"/>
  <c r="K130" i="1" s="1"/>
  <c r="L130" i="1" s="1"/>
  <c r="M130" i="1" s="1"/>
  <c r="N130" i="1" s="1"/>
  <c r="O130" i="1" s="1"/>
  <c r="G87" i="1"/>
  <c r="B87" i="1" s="1"/>
  <c r="G90" i="1"/>
  <c r="D94" i="1"/>
  <c r="B41" i="2"/>
  <c r="B49" i="2" s="1"/>
  <c r="M50" i="2"/>
  <c r="B50" i="2" s="1"/>
  <c r="B90" i="1" l="1"/>
  <c r="D95" i="1" s="1"/>
  <c r="M65" i="2"/>
  <c r="N94" i="2" s="1"/>
  <c r="N95" i="2" s="1"/>
  <c r="N108" i="2" s="1"/>
  <c r="N96" i="2"/>
  <c r="B65" i="2"/>
  <c r="M72" i="2"/>
  <c r="M66" i="2"/>
  <c r="B66" i="2" s="1"/>
  <c r="M76" i="2"/>
  <c r="B76" i="2" s="1"/>
  <c r="N100" i="2" l="1"/>
  <c r="B72" i="2"/>
  <c r="M73" i="2"/>
  <c r="M78" i="2"/>
  <c r="B71" i="2" l="1"/>
  <c r="M79" i="2"/>
  <c r="B79" i="2" s="1"/>
  <c r="B73" i="2"/>
  <c r="M98" i="2"/>
  <c r="M94" i="2"/>
  <c r="M100" i="2" l="1"/>
  <c r="M95" i="2"/>
  <c r="M108" i="2" s="1"/>
  <c r="B78" i="2"/>
  <c r="U69" i="2" s="1"/>
  <c r="U71" i="2" s="1"/>
  <c r="B81" i="2" s="1"/>
  <c r="C84" i="2" s="1"/>
  <c r="C93" i="2" s="1"/>
  <c r="O98" i="2"/>
  <c r="B98" i="2" s="1"/>
  <c r="Q99" i="2" s="1"/>
  <c r="Q100" i="2" s="1"/>
  <c r="C94" i="2" l="1"/>
  <c r="C85" i="2"/>
  <c r="U70" i="2"/>
  <c r="C86" i="2" l="1"/>
  <c r="C89" i="2" s="1"/>
  <c r="C100" i="2"/>
  <c r="C95" i="2"/>
  <c r="C108" i="2" s="1"/>
  <c r="D89" i="2" l="1"/>
  <c r="D90" i="2"/>
  <c r="D85" i="2"/>
  <c r="D86" i="2" s="1"/>
  <c r="E85" i="2" l="1"/>
  <c r="E86" i="2" s="1"/>
  <c r="E89" i="2"/>
  <c r="F89" i="2" l="1"/>
  <c r="F85" i="2"/>
  <c r="F86" i="2" s="1"/>
  <c r="G89" i="2" l="1"/>
  <c r="G85" i="2"/>
  <c r="G86" i="2" s="1"/>
  <c r="H85" i="2" l="1"/>
  <c r="H86" i="2" s="1"/>
  <c r="H89" i="2"/>
  <c r="I89" i="2" l="1"/>
  <c r="I85" i="2"/>
  <c r="I86" i="2" s="1"/>
  <c r="J89" i="2" l="1"/>
  <c r="J85" i="2"/>
  <c r="J86" i="2" s="1"/>
  <c r="K85" i="2" l="1"/>
  <c r="K86" i="2" s="1"/>
  <c r="K89" i="2"/>
  <c r="L89" i="2" l="1"/>
  <c r="L85" i="2"/>
  <c r="L86" i="2" s="1"/>
  <c r="M85" i="2" l="1"/>
  <c r="M86" i="2" s="1"/>
  <c r="M89" i="2"/>
  <c r="N85" i="2" l="1"/>
  <c r="N86" i="2" s="1"/>
  <c r="N89" i="2"/>
  <c r="O85" i="2" l="1"/>
  <c r="O87" i="2" s="1"/>
  <c r="O88" i="2" s="1"/>
  <c r="O92" i="2" s="1"/>
  <c r="O94" i="2" l="1"/>
  <c r="O89" i="2"/>
  <c r="O95" i="2" l="1"/>
  <c r="O108" i="2" s="1"/>
  <c r="O100" i="2"/>
  <c r="P85" i="2"/>
  <c r="P87" i="2" s="1"/>
  <c r="P88" i="2" s="1"/>
  <c r="P92" i="2" s="1"/>
  <c r="P94" i="2" l="1"/>
  <c r="Q92" i="2"/>
  <c r="D93" i="2" s="1"/>
  <c r="B93" i="2" s="1"/>
  <c r="P89" i="2"/>
  <c r="P91" i="2" s="1"/>
  <c r="P95" i="2" l="1"/>
  <c r="P100" i="2"/>
  <c r="B100" i="2" s="1"/>
  <c r="Q101" i="2" s="1"/>
  <c r="Q102" i="2" s="1"/>
  <c r="B94" i="2"/>
  <c r="P108" i="2" l="1"/>
  <c r="Q108" i="2"/>
  <c r="B108" i="2" l="1"/>
</calcChain>
</file>

<file path=xl/comments1.xml><?xml version="1.0" encoding="utf-8"?>
<comments xmlns="http://schemas.openxmlformats.org/spreadsheetml/2006/main">
  <authors>
    <author>Verter</author>
    <author>N.V.Braila</author>
  </authors>
  <commentList>
    <comment ref="C77" authorId="0" shapeId="0">
      <text>
        <r>
          <rPr>
            <sz val="9"/>
            <color indexed="81"/>
            <rFont val="Tahoma"/>
            <family val="2"/>
            <charset val="204"/>
          </rPr>
          <t>Сюда включена покупка участка (единовременный платёж)</t>
        </r>
      </text>
    </comment>
    <comment ref="D77" authorId="0" shapeId="0">
      <text>
        <r>
          <rPr>
            <sz val="9"/>
            <color indexed="81"/>
            <rFont val="Tahoma"/>
            <family val="2"/>
            <charset val="204"/>
          </rPr>
          <t>В течение всего строительства платим налог в двойном размере. После завершения строительства - в одинарном.</t>
        </r>
      </text>
    </comment>
    <comment ref="E98" authorId="1" shapeId="0">
      <text>
        <r>
          <rPr>
            <b/>
            <sz val="11"/>
            <color indexed="81"/>
            <rFont val="Tahoma"/>
            <family val="2"/>
            <charset val="204"/>
          </rPr>
          <t>N.V.Braila:</t>
        </r>
        <r>
          <rPr>
            <sz val="11"/>
            <color indexed="81"/>
            <rFont val="Tahoma"/>
            <family val="2"/>
            <charset val="204"/>
          </rPr>
          <t xml:space="preserve">
Расчет ИСП ведется по кварталам (см. заголовок таблицы выше), значит, при расчете IRR Вы получите квартальный IRR. 
В этой ячейке уже вбита формула для перехода к годовому IRR, не меняйте ее.
Для анализа эффективности проекта по критерию IRR следует сравнивать годовой IRR c годовой ставкой дисконтирования.</t>
        </r>
      </text>
    </comment>
    <comment ref="A100" authorId="1" shapeId="0">
      <text>
        <r>
          <rPr>
            <b/>
            <sz val="11"/>
            <color indexed="81"/>
            <rFont val="Tahoma"/>
            <family val="2"/>
            <charset val="204"/>
          </rPr>
          <t>N.V.Braila:</t>
        </r>
        <r>
          <rPr>
            <sz val="11"/>
            <color indexed="81"/>
            <rFont val="Tahoma"/>
            <family val="2"/>
            <charset val="204"/>
          </rPr>
          <t xml:space="preserve">
Проанализировать полученные значения показателей экономической эффективности ИСП и сделать вывод о целесообразности его реализации.</t>
        </r>
      </text>
    </comment>
  </commentList>
</comments>
</file>

<file path=xl/comments2.xml><?xml version="1.0" encoding="utf-8"?>
<comments xmlns="http://schemas.openxmlformats.org/spreadsheetml/2006/main">
  <authors>
    <author>N.V.Braila</author>
    <author>Verter</author>
  </authors>
  <commentList>
    <comment ref="U69" authorId="0" shapeId="0">
      <text>
        <r>
          <rPr>
            <b/>
            <sz val="9"/>
            <color indexed="81"/>
            <rFont val="Tahoma"/>
            <family val="2"/>
            <charset val="204"/>
          </rPr>
          <t>N.V.Braila:</t>
        </r>
        <r>
          <rPr>
            <sz val="9"/>
            <color indexed="81"/>
            <rFont val="Tahoma"/>
            <family val="2"/>
            <charset val="204"/>
          </rPr>
          <t xml:space="preserve">
общая сумма инвестиций с учетом индексов изменения стоимости строительства</t>
        </r>
      </text>
    </comment>
    <comment ref="U70" authorId="0" shapeId="0">
      <text>
        <r>
          <rPr>
            <b/>
            <sz val="9"/>
            <color indexed="81"/>
            <rFont val="Tahoma"/>
            <family val="2"/>
            <charset val="204"/>
          </rPr>
          <t>N.V.Braila:</t>
        </r>
        <r>
          <rPr>
            <sz val="9"/>
            <color indexed="81"/>
            <rFont val="Tahoma"/>
            <family val="2"/>
            <charset val="204"/>
          </rPr>
          <t xml:space="preserve">
Вспоминаем или смотрим лекцию о финансировании проектов (там нужно найти инфо о минимальной доле собственных средств, см. лист "Российская практика".
Собственные средства лучше использовать на первых этапах проекта, например, приобретение земельного участка и проектирование/согласование проекта, строительные работы нулевого цикла.
Все зависит от того, сколько вы закладывается собственных средств в проект.</t>
        </r>
      </text>
    </comment>
    <comment ref="C77" authorId="1" shapeId="0">
      <text>
        <r>
          <rPr>
            <sz val="9"/>
            <color indexed="81"/>
            <rFont val="Tahoma"/>
            <family val="2"/>
            <charset val="204"/>
          </rPr>
          <t>Сюда включена покупка участка (единовременный платёж)</t>
        </r>
      </text>
    </comment>
    <comment ref="D77" authorId="1" shapeId="0">
      <text>
        <r>
          <rPr>
            <sz val="9"/>
            <color indexed="81"/>
            <rFont val="Tahoma"/>
            <family val="2"/>
            <charset val="204"/>
          </rPr>
          <t>В течение всего строительства платим налог в двойном размере. После завершения строительства - в одинарном.</t>
        </r>
      </text>
    </comment>
  </commentList>
</comments>
</file>

<file path=xl/sharedStrings.xml><?xml version="1.0" encoding="utf-8"?>
<sst xmlns="http://schemas.openxmlformats.org/spreadsheetml/2006/main" count="313" uniqueCount="195">
  <si>
    <t>!!! Цена продажи м.-мест растет в том же темпе, что и квартиры</t>
  </si>
  <si>
    <t>Основные показатели проекта</t>
  </si>
  <si>
    <t>Площадь земельного участка, кв. м</t>
  </si>
  <si>
    <t>Общая площадь жилого здания, кв. м</t>
  </si>
  <si>
    <t>!!! График продажи можно взять таким же как и для квартир или другим</t>
  </si>
  <si>
    <t>Общая площадь квартир, кв. м</t>
  </si>
  <si>
    <t>Общая площадь нежилых помещений, кв.м.</t>
  </si>
  <si>
    <t xml:space="preserve">Количество машиномест </t>
  </si>
  <si>
    <t>Доля Инвестора в нежилых помещениях</t>
  </si>
  <si>
    <t>Доля Инвестора по жилью в построенном комплексе</t>
  </si>
  <si>
    <t>Доля по жилью Правообладателя объекта в построенном доме</t>
  </si>
  <si>
    <t>Прогнозный период</t>
  </si>
  <si>
    <t>1 прогнозный год</t>
  </si>
  <si>
    <t>2 прогнозный год</t>
  </si>
  <si>
    <t>3 прогнозный год</t>
  </si>
  <si>
    <t>Доходная часть проекта</t>
  </si>
  <si>
    <t>12 квартал</t>
  </si>
  <si>
    <t>13 квартал</t>
  </si>
  <si>
    <t>Рост рынка</t>
  </si>
  <si>
    <t>Рост от готовности</t>
  </si>
  <si>
    <t>Цена  жилья в готовом доме на дату оценки, руб/ кв. м с НДС</t>
  </si>
  <si>
    <t>Рост цен на жилье в год</t>
  </si>
  <si>
    <t>Рост цен на жилье в квартал, %</t>
  </si>
  <si>
    <t>Коэффициент увеличения цены</t>
  </si>
  <si>
    <t>Цена квартир в готовом доме на момент продажи, руб/кв. м</t>
  </si>
  <si>
    <t>Изменение цены продажи квартир в зависимости от готовности, %</t>
  </si>
  <si>
    <t>Скидка на готовность дома, %</t>
  </si>
  <si>
    <t>Цена продажи квартир (с НДС), руб/кв. м</t>
  </si>
  <si>
    <t>График продажи квартир Инвестора, %</t>
  </si>
  <si>
    <t>Условия оплаты в 5 квартале, %</t>
  </si>
  <si>
    <t>Поступление средств от продажи по условиям 5 квартала, руб</t>
  </si>
  <si>
    <t>Условия оплаты в 6 квартале, %</t>
  </si>
  <si>
    <t>Поступление средств от продажи по условиям 6 квартала, руб</t>
  </si>
  <si>
    <t>Условия оплаты во 7 квартале, %</t>
  </si>
  <si>
    <t>Поступление средств от продажи по условиям 7 квартала, руб</t>
  </si>
  <si>
    <t>Условия оплаты в 8 квартале, %</t>
  </si>
  <si>
    <t>Поступление средств от продажи по условиям 8 квартала, руб</t>
  </si>
  <si>
    <t>Условия оплаты в 9 квартале, %</t>
  </si>
  <si>
    <t>Поступление средств от продажи по условиям 9 квартала, руб</t>
  </si>
  <si>
    <t>Условия оплаты в 10 квартале, %</t>
  </si>
  <si>
    <t>Поступление средств от продажи по условиям 10 квартала, руб</t>
  </si>
  <si>
    <t>Условия оплаты в 11 квартале, %</t>
  </si>
  <si>
    <t>Поступление средств от продажи по условиям 11 квартала, руб</t>
  </si>
  <si>
    <t>Условия оплаты в 12 квартале, %</t>
  </si>
  <si>
    <t>Поступление средств от продажи по условиям 12 квартала, руб</t>
  </si>
  <si>
    <t>Условия оплаты в 13 квартале, %</t>
  </si>
  <si>
    <t>Поступление средств от продажи по условиям 13 квартала, руб</t>
  </si>
  <si>
    <t xml:space="preserve">График реализации квартир правообладателя , % </t>
  </si>
  <si>
    <t>Поступление средств за квартиры РФ, руб</t>
  </si>
  <si>
    <t>Итого поступления от продажи квартир (с НДС), руб</t>
  </si>
  <si>
    <t>Цена продажи нежилых помещений на дату оценки, руб/ кв. м</t>
  </si>
  <si>
    <t>Цена продажи помещений общественного назначения, $/ кв. м</t>
  </si>
  <si>
    <t>Изменение цены продажи помещений общественного назначения в квартал, %</t>
  </si>
  <si>
    <t>!!! Цена продажи коммерч.помещений растет в том же темпе, что и квартиры</t>
  </si>
  <si>
    <t>Цена продажи нежилых помещений, $/ кв. м</t>
  </si>
  <si>
    <t>График продажи нежилых помещений, %</t>
  </si>
  <si>
    <t>Поступление средств от продажи нежилых помещений, $</t>
  </si>
  <si>
    <t>Итого поступления от продажи нежилых помещений, $</t>
  </si>
  <si>
    <t>Цена продажи машиномест на дату оценки, руб/кв. м</t>
  </si>
  <si>
    <t>Изменение цены продажи машиномест в квартал, %</t>
  </si>
  <si>
    <t>Цена продажи машиномест, руб/кв. м</t>
  </si>
  <si>
    <t>График продажи машиномест, %</t>
  </si>
  <si>
    <t>Поступление средств от продажи машиномест, руб</t>
  </si>
  <si>
    <t>Итого поступления от продажи машиномест, руб</t>
  </si>
  <si>
    <t>Всего доходы по проекту, руб с НДС</t>
  </si>
  <si>
    <t>в том числе НДС</t>
  </si>
  <si>
    <t>Наименование показателей</t>
  </si>
  <si>
    <t>Расходная часть проекта</t>
  </si>
  <si>
    <t>Итого</t>
  </si>
  <si>
    <t>14 квартал</t>
  </si>
  <si>
    <t>График строительства, %</t>
  </si>
  <si>
    <t>Затраты на проектирование и строительство, руб с НДС, в том числе:</t>
  </si>
  <si>
    <t>НДС по строительству в целом</t>
  </si>
  <si>
    <t>Затраты на управление проектом, $ с НДС</t>
  </si>
  <si>
    <t>НДС</t>
  </si>
  <si>
    <t>Затраты на управление (5% от выручки), $ c НДС</t>
  </si>
  <si>
    <t>Затраты Инвестора на управление проектом (% от выручки), $ c НДС</t>
  </si>
  <si>
    <t>Земельные платежи, руб</t>
  </si>
  <si>
    <t>Итого расходы по проекту, руб с НДС</t>
  </si>
  <si>
    <t>Денежный поток при реализации проекта, руб с НДС</t>
  </si>
  <si>
    <t>База для расчета НДС</t>
  </si>
  <si>
    <t>НДС (уплачивается в последнем квартале), руб</t>
  </si>
  <si>
    <t>Денежный поток при реализации проекта, руб, без НДС</t>
  </si>
  <si>
    <t>Налог на прибыль (уплачивается в последнем квартале), руб</t>
  </si>
  <si>
    <t>Чистый денежный поток, руб, без НДС</t>
  </si>
  <si>
    <t>всд</t>
  </si>
  <si>
    <t>Ставка дисконта годовая / квартальная, %</t>
  </si>
  <si>
    <t>Фактор дисконтирования денежных потоков</t>
  </si>
  <si>
    <t>Пример расчета показателей эффективности см. в задачах</t>
  </si>
  <si>
    <t>Суммарные поступления средств от продаж  Инвестору, руб.</t>
  </si>
  <si>
    <t>Фактор дисконтирования денежных потоков (квартальный, на середину периода)</t>
  </si>
  <si>
    <t>Фактор дисконтирования денежных потоков (квартальный, на конец периода в квартал поступления средств с эскроу счетов на счет Инвестора)</t>
  </si>
  <si>
    <t>Денежный поток при реализации проекта, руб. (без поступлений с эскроу-счетов)</t>
  </si>
  <si>
    <t>Поступления средств от продаж  на эскроу-счет, руб.</t>
  </si>
  <si>
    <t>Итого поступления от продажи квартир, руб</t>
  </si>
  <si>
    <t>Денежный поток при реализации проекта, руб. (поступления с эскроу-счетов)</t>
  </si>
  <si>
    <t>Итого налоги</t>
  </si>
  <si>
    <t>Налоги</t>
  </si>
  <si>
    <t>Дтисконтирование денежного потока</t>
  </si>
  <si>
    <t>Настоящая стоимость денежных потоков (NPV), руб.</t>
  </si>
  <si>
    <t>Настоящая стоимость денежных потоков (NPV), руб без НДС</t>
  </si>
  <si>
    <t>Показатели экономической эффективности строительства жилого дома с коммерческими помещениями и паркингом</t>
  </si>
  <si>
    <t>Чистая стоимость проекта NV, руб.</t>
  </si>
  <si>
    <t>Чистый дисконтированный доход по проекту, NPV</t>
  </si>
  <si>
    <t>Простой срок окупаемости, кварталов/ лет</t>
  </si>
  <si>
    <t>Дисконтированный срок окупаемости, кварталов/ лет</t>
  </si>
  <si>
    <t>IRR квартальная/ годовая</t>
  </si>
  <si>
    <t>DPI</t>
  </si>
  <si>
    <t>Выводы по проекту:</t>
  </si>
  <si>
    <t>Исходные данные для всех задач:</t>
  </si>
  <si>
    <t xml:space="preserve">Инвестиционно-строительный проект (ИСП) рассчитан на 10 лет. Из них 1 год отводится на разработку и согласование проекта (5% от совокупных затрат) и еще 2 года на строительcтво (распределение капитальных вложений по годам равномерное). </t>
  </si>
  <si>
    <t xml:space="preserve">  Совокупные затраты составят</t>
  </si>
  <si>
    <t>руб.</t>
  </si>
  <si>
    <t xml:space="preserve">После ввода объекта в эксплуатацию ежегодный доход составит </t>
  </si>
  <si>
    <t>Задача 1.</t>
  </si>
  <si>
    <t>(заполнять только серые поля)</t>
  </si>
  <si>
    <t xml:space="preserve">Определите чистую стоимость проекта и чистый дисконтированный доход, если ставка дисконтирования составляет </t>
  </si>
  <si>
    <t>(По умолчанию все платежи осуществляются в конце периода)</t>
  </si>
  <si>
    <t>Постройте объемную гистограмму с группировкой, на которой будут отображены: NV, NPV, Чистая стоимость проекта и чистый дисконтированный доход по проекту.</t>
  </si>
  <si>
    <t>Стоит ли принимать такой проект к рассмотрению?</t>
  </si>
  <si>
    <t>Решение:</t>
  </si>
  <si>
    <t>№ п/п</t>
  </si>
  <si>
    <t>Год</t>
  </si>
  <si>
    <t>Затраты на осуществление ИСП (IC), руб.</t>
  </si>
  <si>
    <t>Чистый операционный доход (CF), руб.</t>
  </si>
  <si>
    <t>Итого денежный поток проекта (=CF-IC), руб.</t>
  </si>
  <si>
    <t>Коэффициент дисконтирования</t>
  </si>
  <si>
    <t>Дисконтированный денежный поток</t>
  </si>
  <si>
    <t xml:space="preserve">                Ответ:</t>
  </si>
  <si>
    <t xml:space="preserve">Гистограмма </t>
  </si>
  <si>
    <t>да</t>
  </si>
  <si>
    <t>Задача 2.</t>
  </si>
  <si>
    <t xml:space="preserve">Определите простой и дисконтированный срок окупаемости расчетным и графическим методом. </t>
  </si>
  <si>
    <t>Денежный поток накопительным итогом, руб.</t>
  </si>
  <si>
    <t>Дисконтированный денежный поток накопительным итогом, руб.</t>
  </si>
  <si>
    <t>Простой срок окупаемости, лет.</t>
  </si>
  <si>
    <t xml:space="preserve">График </t>
  </si>
  <si>
    <t>Дисконтированный срок окупаемости</t>
  </si>
  <si>
    <r>
      <rPr>
        <b/>
        <sz val="11"/>
        <color theme="1"/>
        <rFont val="Calibri"/>
        <family val="2"/>
        <charset val="204"/>
        <scheme val="minor"/>
      </rPr>
      <t xml:space="preserve">Примечание: </t>
    </r>
    <r>
      <rPr>
        <sz val="11"/>
        <color theme="1"/>
        <rFont val="Calibri"/>
        <family val="2"/>
        <charset val="204"/>
        <scheme val="minor"/>
      </rPr>
      <t>если Вы все сделали правильно, то ответы по расчетному и графическому методу совпадут.</t>
    </r>
  </si>
  <si>
    <t>Задача 3.</t>
  </si>
  <si>
    <t>Определите внутренню норму доходности инвестиционно-строительного проекта (IRR).</t>
  </si>
  <si>
    <t>Сделайте вывод об экономической эффективности проекта по этому показателю.</t>
  </si>
  <si>
    <t>IRR (подбираемое значение)</t>
  </si>
  <si>
    <t>эта ячейка Вам нужна, если Вы решаете задачу методом 1 или 3 (см. ниже).</t>
  </si>
  <si>
    <t>IRR</t>
  </si>
  <si>
    <t xml:space="preserve">У Вас  3 варианта расчета:
1. вручную: подобрать такое значение IRR, чтобы NPV было равно 0;
2. воспользоваться формулой Excel  - ВСД(значения;предположение). Значения - это денежный поток проекта (до лисконтирования, в задаче это строка 1). Поле "предположение" оставляем пустым;
3. Воспользоваться подбором параметра в Excel (Данные/ Анализ "что если"/ подбор параметра). </t>
  </si>
  <si>
    <t>Стоит ли принимать этот проект к рассмотрению по критерию величины IRR</t>
  </si>
  <si>
    <t xml:space="preserve"> - NPV</t>
  </si>
  <si>
    <t>ноль</t>
  </si>
  <si>
    <t xml:space="preserve"> - IRR</t>
  </si>
  <si>
    <t>Задача 4.</t>
  </si>
  <si>
    <t>Определить дисконтированный индекс рентабельности  (DPI) проекта</t>
  </si>
  <si>
    <t>Сколько копеек приносит каждый рубль, вложенный в этот ИСП?</t>
  </si>
  <si>
    <t>Сделать вывод об экономической эффективности проекта по показателю PI.</t>
  </si>
  <si>
    <t>Почему для данного проекта нельзя использовать оценку экономической эффективности по PI?</t>
  </si>
  <si>
    <t>Чистый операционный доход (CF) дисконтированный, руб.</t>
  </si>
  <si>
    <t>Дисконтированные расходы, руб.</t>
  </si>
  <si>
    <t>Стоит ли принимать этот проект к рассмотрению по критерию величины PI и DPI</t>
  </si>
  <si>
    <t>Здравствуйте! 
1. Продублируйте, пожалуйста, ответ на это задание в новый мудл, из которого Вы входили в кабинет MS Team.
2. В задаче №4 на вопрос "Сколько копеек приносит каждый рубль, вложенный в этот ИСП?" правильным ответом будет "31 коп.".</t>
  </si>
  <si>
    <t>110 = 100 * (1+10%)^1</t>
  </si>
  <si>
    <t>110/ (1+10%)^1</t>
  </si>
  <si>
    <r>
      <t xml:space="preserve">Цена квартир в готовом доме </t>
    </r>
    <r>
      <rPr>
        <b/>
        <sz val="10"/>
        <color indexed="8"/>
        <rFont val="Times New Roman"/>
        <family val="1"/>
        <charset val="204"/>
      </rPr>
      <t>на момент продажи</t>
    </r>
    <r>
      <rPr>
        <sz val="10"/>
        <color indexed="8"/>
        <rFont val="Times New Roman"/>
        <family val="1"/>
        <charset val="204"/>
      </rPr>
      <t>, руб/кв. м</t>
    </r>
  </si>
  <si>
    <t>Условия оплаты в 14 квартале, %</t>
  </si>
  <si>
    <t>Поступление средств от продажи по условиям 14 квартала, руб</t>
  </si>
  <si>
    <t>15 кваптал</t>
  </si>
  <si>
    <t>Кредит</t>
  </si>
  <si>
    <t>процентная ставка</t>
  </si>
  <si>
    <t>Срок погашения, кварталов</t>
  </si>
  <si>
    <t>Сумма кредита (основной долг)</t>
  </si>
  <si>
    <t>Величина долга  на начало квартала</t>
  </si>
  <si>
    <t>капитализация процентов</t>
  </si>
  <si>
    <t>Уплата процентов (текущих)</t>
  </si>
  <si>
    <t>Погашение долга</t>
  </si>
  <si>
    <t>Остаток долга на конец квартала</t>
  </si>
  <si>
    <t>Периодическая выплата суммы долга (аннуитетный платеж)</t>
  </si>
  <si>
    <t>Объём финансирования</t>
  </si>
  <si>
    <t>Собственные средства</t>
  </si>
  <si>
    <t>Средства в кредит</t>
  </si>
  <si>
    <t>проверка (доходы - расходы)</t>
  </si>
  <si>
    <t>поступления</t>
  </si>
  <si>
    <t>расходы</t>
  </si>
  <si>
    <t>ВТБ</t>
  </si>
  <si>
    <t>разница</t>
  </si>
  <si>
    <t xml:space="preserve"> + V</t>
  </si>
  <si>
    <t xml:space="preserve"> + ^</t>
  </si>
  <si>
    <t>15 квартал</t>
  </si>
  <si>
    <t>чистый доход</t>
  </si>
  <si>
    <t>итог</t>
  </si>
  <si>
    <t>коэф. Дисконтирования</t>
  </si>
  <si>
    <t>чистый доход дисконтированный</t>
  </si>
  <si>
    <t>дисконтированные расходы</t>
  </si>
  <si>
    <t>ИСП проходит по данным критериям и может рассматриваться в
дальнейшем</t>
  </si>
  <si>
    <t>денежный поток проекта</t>
  </si>
  <si>
    <t>квартал</t>
  </si>
  <si>
    <t>год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</si>
</sst>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4">
    <numFmt numFmtId="164" formatCode="_-* #,##0_р_._-;\-* #,##0_р_._-;_-* &quot;-&quot;_р_._-;_-@_-"/>
    <numFmt numFmtId="165" formatCode="0.0%"/>
    <numFmt numFmtId="166" formatCode="#,##0_ ;\-#,##0\ "/>
    <numFmt numFmtId="167" formatCode="#,##0.0_ ;\-#,##0.0\ "/>
    <numFmt numFmtId="168" formatCode="_-* #,##0.00_р_._-;\-* #,##0.00_р_._-;_-* &quot;-&quot;??_р_._-;_-@_-"/>
    <numFmt numFmtId="169" formatCode="#,##0.00_ ;\-#,##0.00\ "/>
    <numFmt numFmtId="170" formatCode="#,##0.0"/>
    <numFmt numFmtId="171" formatCode="#,##0.0000"/>
    <numFmt numFmtId="172" formatCode="_-* #,##0.000_р_._-;\-* #,##0.000_р_._-;_-* &quot;-&quot;_р_._-;_-@_-"/>
    <numFmt numFmtId="173" formatCode="0.000%"/>
    <numFmt numFmtId="174" formatCode="#,##0.00&quot;р.&quot;;[Red]\-#,##0.00&quot;р.&quot;"/>
    <numFmt numFmtId="175" formatCode="0.0_)"/>
    <numFmt numFmtId="176" formatCode="General_)"/>
    <numFmt numFmtId="177" formatCode="_-* #,##0.00[$€-1]_-;\-* #,##0.00[$€-1]_-;_-* &quot;-&quot;??[$€-1]_-"/>
    <numFmt numFmtId="178" formatCode="_(&quot;$&quot;* #,##0_);_(&quot;$&quot;* \(#,##0\);_(&quot;$&quot;* &quot;-&quot;_);_(@_)"/>
    <numFmt numFmtId="179" formatCode="_(&quot;$&quot;* #,##0.00_);_(&quot;$&quot;* \(#,##0.00\);_(&quot;$&quot;* &quot;-&quot;??_);_(@_)"/>
    <numFmt numFmtId="180" formatCode="&quot;$&quot;#,##0_);[Red]\(&quot;$&quot;#,##0\)"/>
    <numFmt numFmtId="181" formatCode="&quot;$&quot;#,##0.00_);[Red]\(&quot;$&quot;#,##0.00\)"/>
    <numFmt numFmtId="182" formatCode="_-* #,##0_р_._-;\-* #,##0_р_._-;_-* &quot;-&quot;??_р_._-;_-@_-"/>
    <numFmt numFmtId="183" formatCode="_-* #,##0.000_р_._-;\-* #,##0.000_р_._-;_-* &quot;-&quot;??_р_._-;_-@_-"/>
    <numFmt numFmtId="184" formatCode="0.000000%"/>
    <numFmt numFmtId="185" formatCode="_-* #,##0\ _₽_-;\-* #,##0\ _₽_-;_-* &quot;-&quot;??\ _₽_-;_-@_-"/>
    <numFmt numFmtId="186" formatCode="_-* #,##0.0000_р_._-;\-* #,##0.0000_р_._-;_-* &quot;-&quot;??_р_._-;_-@_-"/>
    <numFmt numFmtId="187" formatCode="_-* #,##0\ _₽_-;\-* #,##0\ _₽_-;_-* &quot;-&quot;????\ _₽_-;_-@_-"/>
  </numFmts>
  <fonts count="5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0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0"/>
      <name val="Times New Roman"/>
      <family val="1"/>
      <charset val="204"/>
    </font>
    <font>
      <b/>
      <sz val="10"/>
      <color rgb="FFFF0000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Times New Roman Cyr"/>
      <family val="1"/>
      <charset val="204"/>
    </font>
    <font>
      <sz val="10"/>
      <name val="Times New Roman Cyr"/>
      <charset val="204"/>
    </font>
    <font>
      <sz val="10"/>
      <name val="Times New Roman"/>
      <family val="1"/>
      <charset val="204"/>
    </font>
    <font>
      <sz val="12"/>
      <name val="Times New Roman"/>
      <family val="1"/>
      <charset val="204"/>
    </font>
    <font>
      <b/>
      <sz val="10"/>
      <color indexed="62"/>
      <name val="Times New Roman"/>
      <family val="1"/>
      <charset val="204"/>
    </font>
    <font>
      <b/>
      <sz val="10"/>
      <name val="Times New Roman Cyr"/>
      <family val="1"/>
      <charset val="204"/>
    </font>
    <font>
      <sz val="10"/>
      <color indexed="10"/>
      <name val="Times New Roman"/>
      <family val="1"/>
      <charset val="204"/>
    </font>
    <font>
      <sz val="10"/>
      <color indexed="9"/>
      <name val="Times New Roman"/>
      <family val="1"/>
      <charset val="204"/>
    </font>
    <font>
      <sz val="14"/>
      <color indexed="8"/>
      <name val="Times New Roman"/>
      <family val="1"/>
      <charset val="204"/>
    </font>
    <font>
      <sz val="14"/>
      <name val="Times New Roman"/>
      <family val="1"/>
      <charset val="204"/>
    </font>
    <font>
      <sz val="9"/>
      <color indexed="81"/>
      <name val="Tahoma"/>
      <family val="2"/>
      <charset val="204"/>
    </font>
    <font>
      <sz val="10"/>
      <name val="Helv"/>
    </font>
    <font>
      <sz val="10"/>
      <color indexed="8"/>
      <name val="MS Sans Serif"/>
    </font>
    <font>
      <sz val="10"/>
      <name val="Courier New"/>
      <family val="3"/>
      <charset val="204"/>
    </font>
    <font>
      <sz val="8"/>
      <name val="Arial Cyr"/>
      <family val="2"/>
      <charset val="204"/>
    </font>
    <font>
      <sz val="10"/>
      <name val="Arial"/>
      <family val="2"/>
      <charset val="204"/>
    </font>
    <font>
      <sz val="10"/>
      <color indexed="22"/>
      <name val="Arial"/>
      <family val="2"/>
      <charset val="204"/>
    </font>
    <font>
      <i/>
      <sz val="10"/>
      <name val="Arial"/>
      <family val="2"/>
      <charset val="204"/>
    </font>
    <font>
      <sz val="10"/>
      <name val="MS Sans Serif"/>
    </font>
    <font>
      <sz val="10"/>
      <name val="Times New Roman CE"/>
    </font>
    <font>
      <sz val="8"/>
      <name val="Arial"/>
      <family val="2"/>
    </font>
    <font>
      <b/>
      <sz val="12"/>
      <name val="Arial"/>
      <family val="2"/>
    </font>
    <font>
      <sz val="10"/>
      <name val="MS Serif"/>
      <charset val="186"/>
    </font>
    <font>
      <sz val="10"/>
      <name val="Arial CE"/>
      <charset val="238"/>
    </font>
    <font>
      <sz val="8"/>
      <name val="Arial CE"/>
    </font>
    <font>
      <sz val="10"/>
      <name val="Courier"/>
      <charset val="238"/>
    </font>
    <font>
      <b/>
      <sz val="12"/>
      <color theme="0"/>
      <name val="Times New Roman"/>
      <family val="1"/>
      <charset val="204"/>
    </font>
    <font>
      <b/>
      <sz val="10"/>
      <color theme="0"/>
      <name val="Times New Roman"/>
      <family val="1"/>
      <charset val="204"/>
    </font>
    <font>
      <sz val="10"/>
      <color theme="0"/>
      <name val="Times New Roman"/>
      <family val="1"/>
      <charset val="204"/>
    </font>
    <font>
      <sz val="32"/>
      <color theme="0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b/>
      <sz val="11"/>
      <color theme="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2"/>
      <color theme="0"/>
      <name val="Calibri"/>
      <family val="2"/>
      <charset val="204"/>
      <scheme val="minor"/>
    </font>
    <font>
      <sz val="12"/>
      <color theme="0"/>
      <name val="Times New Roman"/>
      <family val="1"/>
      <charset val="204"/>
    </font>
    <font>
      <sz val="11"/>
      <name val="Calibri"/>
      <family val="2"/>
      <charset val="204"/>
      <scheme val="minor"/>
    </font>
    <font>
      <b/>
      <sz val="11"/>
      <color indexed="81"/>
      <name val="Tahoma"/>
      <family val="2"/>
      <charset val="204"/>
    </font>
    <font>
      <sz val="11"/>
      <color indexed="81"/>
      <name val="Tahoma"/>
      <family val="2"/>
      <charset val="204"/>
    </font>
    <font>
      <b/>
      <sz val="18"/>
      <color theme="0"/>
      <name val="Times New Roman"/>
      <family val="1"/>
      <charset val="204"/>
    </font>
    <font>
      <b/>
      <sz val="9"/>
      <color indexed="81"/>
      <name val="Tahoma"/>
      <family val="2"/>
      <charset val="204"/>
    </font>
  </fonts>
  <fills count="2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7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theme="1"/>
      </left>
      <right style="thin">
        <color theme="1"/>
      </right>
      <top style="thick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ck">
        <color theme="1"/>
      </top>
      <bottom style="thin">
        <color theme="1"/>
      </bottom>
      <diagonal/>
    </border>
    <border>
      <left style="thin">
        <color theme="1"/>
      </left>
      <right style="thick">
        <color theme="1"/>
      </right>
      <top style="thick">
        <color theme="1"/>
      </top>
      <bottom style="thin">
        <color theme="1"/>
      </bottom>
      <diagonal/>
    </border>
    <border>
      <left style="thick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ck">
        <color theme="1"/>
      </right>
      <top style="thin">
        <color theme="1"/>
      </top>
      <bottom style="thin">
        <color theme="1"/>
      </bottom>
      <diagonal/>
    </border>
    <border>
      <left style="thick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ck">
        <color theme="1"/>
      </right>
      <top style="thin">
        <color theme="1"/>
      </top>
      <bottom/>
      <diagonal/>
    </border>
    <border>
      <left style="thick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thick">
        <color theme="1"/>
      </right>
      <top style="medium">
        <color theme="1"/>
      </top>
      <bottom style="thin">
        <color theme="1"/>
      </bottom>
      <diagonal/>
    </border>
    <border>
      <left style="thick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thick">
        <color theme="1"/>
      </right>
      <top style="thin">
        <color theme="1"/>
      </top>
      <bottom style="medium">
        <color theme="1"/>
      </bottom>
      <diagonal/>
    </border>
    <border>
      <left style="thick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ck">
        <color theme="1"/>
      </right>
      <top/>
      <bottom style="thin">
        <color theme="1"/>
      </bottom>
      <diagonal/>
    </border>
    <border>
      <left style="thick">
        <color theme="1"/>
      </left>
      <right style="thin">
        <color theme="1"/>
      </right>
      <top style="thin">
        <color theme="1"/>
      </top>
      <bottom style="thick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ck">
        <color theme="1"/>
      </bottom>
      <diagonal/>
    </border>
    <border>
      <left style="thin">
        <color theme="1"/>
      </left>
      <right style="thick">
        <color theme="1"/>
      </right>
      <top style="thin">
        <color theme="1"/>
      </top>
      <bottom style="thick">
        <color theme="1"/>
      </bottom>
      <diagonal/>
    </border>
    <border>
      <left style="thin">
        <color theme="2" tint="-9.9948118533890809E-2"/>
      </left>
      <right style="thin">
        <color theme="2" tint="-9.9948118533890809E-2"/>
      </right>
      <top/>
      <bottom style="thin">
        <color theme="2" tint="-9.9948118533890809E-2"/>
      </bottom>
      <diagonal/>
    </border>
    <border>
      <left style="thin">
        <color theme="2" tint="-9.9948118533890809E-2"/>
      </left>
      <right style="thin">
        <color theme="2" tint="-9.9948118533890809E-2"/>
      </right>
      <top style="thin">
        <color theme="2" tint="-9.9948118533890809E-2"/>
      </top>
      <bottom style="thin">
        <color theme="2" tint="-9.9948118533890809E-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theme="1"/>
      </right>
      <top style="medium">
        <color indexed="64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medium">
        <color indexed="64"/>
      </top>
      <bottom style="thin">
        <color theme="1"/>
      </bottom>
      <diagonal/>
    </border>
    <border>
      <left style="thin">
        <color theme="1"/>
      </left>
      <right style="medium">
        <color indexed="64"/>
      </right>
      <top style="medium">
        <color indexed="64"/>
      </top>
      <bottom style="thin">
        <color theme="1"/>
      </bottom>
      <diagonal/>
    </border>
    <border>
      <left style="medium">
        <color indexed="64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indexed="64"/>
      </right>
      <top style="thin">
        <color theme="1"/>
      </top>
      <bottom style="thin">
        <color theme="1"/>
      </bottom>
      <diagonal/>
    </border>
    <border>
      <left style="medium">
        <color indexed="64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medium">
        <color indexed="64"/>
      </right>
      <top style="thin">
        <color theme="1"/>
      </top>
      <bottom/>
      <diagonal/>
    </border>
    <border>
      <left style="medium">
        <color indexed="64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medium">
        <color indexed="64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medium">
        <color indexed="64"/>
      </right>
      <top style="thin">
        <color theme="1"/>
      </top>
      <bottom style="medium">
        <color theme="1"/>
      </bottom>
      <diagonal/>
    </border>
    <border>
      <left style="medium">
        <color indexed="64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medium">
        <color indexed="64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B050"/>
      </left>
      <right/>
      <top style="medium">
        <color rgb="FF00B050"/>
      </top>
      <bottom/>
      <diagonal/>
    </border>
    <border>
      <left/>
      <right/>
      <top style="medium">
        <color rgb="FF00B050"/>
      </top>
      <bottom/>
      <diagonal/>
    </border>
    <border>
      <left/>
      <right style="medium">
        <color rgb="FF00B050"/>
      </right>
      <top style="medium">
        <color rgb="FF00B050"/>
      </top>
      <bottom/>
      <diagonal/>
    </border>
    <border>
      <left style="medium">
        <color rgb="FF00B050"/>
      </left>
      <right/>
      <top/>
      <bottom/>
      <diagonal/>
    </border>
    <border>
      <left/>
      <right style="medium">
        <color rgb="FF00B050"/>
      </right>
      <top/>
      <bottom/>
      <diagonal/>
    </border>
    <border>
      <left style="medium">
        <color rgb="FF00B050"/>
      </left>
      <right/>
      <top/>
      <bottom style="medium">
        <color rgb="FF00B050"/>
      </bottom>
      <diagonal/>
    </border>
    <border>
      <left/>
      <right/>
      <top/>
      <bottom style="medium">
        <color rgb="FF00B050"/>
      </bottom>
      <diagonal/>
    </border>
    <border>
      <left/>
      <right style="medium">
        <color rgb="FF00B050"/>
      </right>
      <top/>
      <bottom style="medium">
        <color rgb="FF00B050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/>
      <top style="medium">
        <color theme="1"/>
      </top>
      <bottom style="thin">
        <color theme="1"/>
      </bottom>
      <diagonal/>
    </border>
    <border>
      <left style="thin">
        <color theme="1"/>
      </left>
      <right/>
      <top/>
      <bottom/>
      <diagonal/>
    </border>
    <border>
      <left style="thin">
        <color theme="1"/>
      </left>
      <right style="medium">
        <color indexed="64"/>
      </right>
      <top/>
      <bottom style="medium">
        <color theme="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</borders>
  <cellStyleXfs count="37">
    <xf numFmtId="0" fontId="0" fillId="0" borderId="0"/>
    <xf numFmtId="0" fontId="2" fillId="0" borderId="0"/>
    <xf numFmtId="0" fontId="2" fillId="0" borderId="0"/>
    <xf numFmtId="164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0" fontId="20" fillId="0" borderId="0"/>
    <xf numFmtId="0" fontId="21" fillId="0" borderId="0"/>
    <xf numFmtId="175" fontId="22" fillId="0" borderId="0">
      <alignment horizontal="left"/>
    </xf>
    <xf numFmtId="0" fontId="23" fillId="0" borderId="0" applyNumberFormat="0" applyFill="0" applyBorder="0" applyAlignment="0" applyProtection="0"/>
    <xf numFmtId="0" fontId="24" fillId="0" borderId="0" applyFont="0" applyFill="0" applyBorder="0" applyAlignment="0" applyProtection="0"/>
    <xf numFmtId="3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176" fontId="26" fillId="0" borderId="0">
      <alignment horizontal="center"/>
    </xf>
    <xf numFmtId="38" fontId="27" fillId="0" borderId="0" applyFont="0" applyFill="0" applyBorder="0" applyAlignment="0" applyProtection="0"/>
    <xf numFmtId="0" fontId="28" fillId="0" borderId="0" applyFont="0" applyFill="0" applyBorder="0" applyAlignment="0" applyProtection="0"/>
    <xf numFmtId="177" fontId="10" fillId="0" borderId="0" applyFont="0" applyFill="0" applyBorder="0" applyAlignment="0" applyProtection="0"/>
    <xf numFmtId="38" fontId="29" fillId="9" borderId="0" applyNumberFormat="0" applyBorder="0" applyAlignment="0" applyProtection="0"/>
    <xf numFmtId="0" fontId="30" fillId="0" borderId="37" applyNumberFormat="0" applyAlignment="0" applyProtection="0">
      <alignment horizontal="left" vertical="center"/>
    </xf>
    <xf numFmtId="0" fontId="30" fillId="0" borderId="38">
      <alignment horizontal="left" vertical="center"/>
    </xf>
    <xf numFmtId="10" fontId="29" fillId="10" borderId="5" applyNumberFormat="0" applyBorder="0" applyAlignment="0" applyProtection="0"/>
    <xf numFmtId="0" fontId="24" fillId="0" borderId="0"/>
    <xf numFmtId="0" fontId="31" fillId="0" borderId="0"/>
    <xf numFmtId="0" fontId="32" fillId="0" borderId="0"/>
    <xf numFmtId="0" fontId="33" fillId="0" borderId="0"/>
    <xf numFmtId="0" fontId="20" fillId="0" borderId="0"/>
    <xf numFmtId="10" fontId="24" fillId="0" borderId="0" applyFont="0" applyFill="0" applyBorder="0" applyAlignment="0" applyProtection="0"/>
    <xf numFmtId="0" fontId="34" fillId="0" borderId="0"/>
    <xf numFmtId="178" fontId="24" fillId="0" borderId="0" applyFont="0" applyFill="0" applyBorder="0" applyAlignment="0" applyProtection="0"/>
    <xf numFmtId="179" fontId="24" fillId="0" borderId="0" applyFont="0" applyFill="0" applyBorder="0" applyAlignment="0" applyProtection="0"/>
    <xf numFmtId="180" fontId="27" fillId="0" borderId="0" applyFont="0" applyFill="0" applyBorder="0" applyAlignment="0" applyProtection="0"/>
    <xf numFmtId="181" fontId="27" fillId="0" borderId="0" applyFont="0" applyFill="0" applyBorder="0" applyAlignment="0" applyProtection="0"/>
    <xf numFmtId="0" fontId="2" fillId="0" borderId="0"/>
    <xf numFmtId="0" fontId="10" fillId="0" borderId="0"/>
    <xf numFmtId="9" fontId="1" fillId="0" borderId="0" applyFont="0" applyFill="0" applyBorder="0" applyAlignment="0" applyProtection="0"/>
    <xf numFmtId="0" fontId="20" fillId="0" borderId="0"/>
    <xf numFmtId="38" fontId="27" fillId="0" borderId="0" applyFont="0" applyFill="0" applyBorder="0" applyAlignment="0" applyProtection="0"/>
  </cellStyleXfs>
  <cellXfs count="552">
    <xf numFmtId="0" fontId="0" fillId="0" borderId="0" xfId="0"/>
    <xf numFmtId="0" fontId="3" fillId="2" borderId="0" xfId="1" applyFont="1" applyFill="1" applyAlignment="1">
      <alignment horizontal="left" vertical="center"/>
    </xf>
    <xf numFmtId="0" fontId="3" fillId="2" borderId="0" xfId="1" applyFont="1" applyFill="1" applyAlignment="1">
      <alignment horizontal="centerContinuous" vertical="center"/>
    </xf>
    <xf numFmtId="0" fontId="3" fillId="2" borderId="0" xfId="1" applyFont="1" applyFill="1" applyBorder="1" applyAlignment="1">
      <alignment horizontal="left" vertical="center"/>
    </xf>
    <xf numFmtId="0" fontId="4" fillId="2" borderId="0" xfId="1" applyFont="1" applyFill="1" applyAlignment="1">
      <alignment horizontal="center" vertical="center"/>
    </xf>
    <xf numFmtId="0" fontId="3" fillId="2" borderId="0" xfId="1" applyFont="1" applyFill="1" applyAlignment="1">
      <alignment horizontal="center" vertical="center"/>
    </xf>
    <xf numFmtId="0" fontId="5" fillId="2" borderId="0" xfId="1" applyFont="1" applyFill="1"/>
    <xf numFmtId="0" fontId="5" fillId="2" borderId="0" xfId="1" applyFont="1" applyFill="1" applyBorder="1"/>
    <xf numFmtId="0" fontId="7" fillId="2" borderId="0" xfId="1" applyFont="1" applyFill="1" applyBorder="1" applyAlignment="1">
      <alignment horizontal="left" vertical="center"/>
    </xf>
    <xf numFmtId="0" fontId="4" fillId="2" borderId="0" xfId="1" applyFont="1" applyFill="1" applyBorder="1" applyAlignment="1">
      <alignment horizontal="center" vertical="center"/>
    </xf>
    <xf numFmtId="0" fontId="8" fillId="2" borderId="0" xfId="1" applyFont="1" applyFill="1"/>
    <xf numFmtId="0" fontId="9" fillId="2" borderId="5" xfId="2" applyFont="1" applyFill="1" applyBorder="1" applyAlignment="1">
      <alignment vertical="center"/>
    </xf>
    <xf numFmtId="3" fontId="4" fillId="2" borderId="5" xfId="3" applyNumberFormat="1" applyFont="1" applyFill="1" applyBorder="1" applyAlignment="1">
      <alignment horizontal="center" vertical="center"/>
    </xf>
    <xf numFmtId="3" fontId="4" fillId="2" borderId="0" xfId="1" applyNumberFormat="1" applyFont="1" applyFill="1" applyBorder="1" applyAlignment="1">
      <alignment horizontal="center" vertical="center"/>
    </xf>
    <xf numFmtId="0" fontId="11" fillId="2" borderId="0" xfId="1" applyFont="1" applyFill="1" applyBorder="1"/>
    <xf numFmtId="0" fontId="11" fillId="2" borderId="0" xfId="1" applyFont="1" applyFill="1"/>
    <xf numFmtId="0" fontId="10" fillId="2" borderId="6" xfId="1" applyFont="1" applyFill="1" applyBorder="1" applyAlignment="1">
      <alignment horizontal="left" vertical="center" wrapText="1"/>
    </xf>
    <xf numFmtId="3" fontId="11" fillId="2" borderId="6" xfId="3" applyNumberFormat="1" applyFont="1" applyFill="1" applyBorder="1" applyAlignment="1">
      <alignment horizontal="center" vertical="center"/>
    </xf>
    <xf numFmtId="0" fontId="11" fillId="2" borderId="5" xfId="1" applyFont="1" applyFill="1" applyBorder="1" applyAlignment="1">
      <alignment horizontal="left" vertical="center" wrapText="1"/>
    </xf>
    <xf numFmtId="3" fontId="11" fillId="2" borderId="5" xfId="1" applyNumberFormat="1" applyFont="1" applyFill="1" applyBorder="1" applyAlignment="1">
      <alignment horizontal="center" vertical="center" wrapText="1"/>
    </xf>
    <xf numFmtId="0" fontId="11" fillId="2" borderId="5" xfId="2" applyFont="1" applyFill="1" applyBorder="1"/>
    <xf numFmtId="9" fontId="5" fillId="2" borderId="11" xfId="4" applyFont="1" applyFill="1" applyBorder="1" applyAlignment="1">
      <alignment horizontal="center" vertical="center"/>
    </xf>
    <xf numFmtId="0" fontId="11" fillId="2" borderId="0" xfId="1" applyFont="1" applyFill="1" applyAlignment="1">
      <alignment horizontal="center"/>
    </xf>
    <xf numFmtId="3" fontId="5" fillId="2" borderId="13" xfId="3" applyNumberFormat="1" applyFont="1" applyFill="1" applyBorder="1" applyAlignment="1">
      <alignment horizontal="center" vertical="center"/>
    </xf>
    <xf numFmtId="165" fontId="3" fillId="2" borderId="11" xfId="4" applyNumberFormat="1" applyFont="1" applyFill="1" applyBorder="1" applyAlignment="1">
      <alignment horizontal="center" vertical="center"/>
    </xf>
    <xf numFmtId="10" fontId="4" fillId="2" borderId="0" xfId="1" applyNumberFormat="1" applyFont="1" applyFill="1" applyBorder="1" applyAlignment="1">
      <alignment horizontal="right" vertical="center"/>
    </xf>
    <xf numFmtId="0" fontId="4" fillId="2" borderId="0" xfId="1" applyFont="1" applyFill="1" applyBorder="1" applyAlignment="1">
      <alignment horizontal="right" vertical="center"/>
    </xf>
    <xf numFmtId="0" fontId="4" fillId="2" borderId="0" xfId="1" applyFont="1" applyFill="1" applyBorder="1" applyAlignment="1">
      <alignment horizontal="left" vertical="center"/>
    </xf>
    <xf numFmtId="0" fontId="3" fillId="2" borderId="0" xfId="1" applyFont="1" applyFill="1" applyBorder="1" applyAlignment="1">
      <alignment horizontal="center" vertical="center"/>
    </xf>
    <xf numFmtId="3" fontId="5" fillId="2" borderId="0" xfId="3" applyNumberFormat="1" applyFont="1" applyFill="1" applyBorder="1" applyAlignment="1">
      <alignment horizontal="center" vertical="center"/>
    </xf>
    <xf numFmtId="0" fontId="3" fillId="2" borderId="0" xfId="2" applyFont="1" applyFill="1" applyBorder="1" applyAlignment="1">
      <alignment wrapText="1"/>
    </xf>
    <xf numFmtId="0" fontId="3" fillId="2" borderId="4" xfId="2" applyFont="1" applyFill="1" applyBorder="1" applyAlignment="1">
      <alignment horizontal="center" vertical="center" wrapText="1"/>
    </xf>
    <xf numFmtId="0" fontId="3" fillId="2" borderId="5" xfId="2" applyFont="1" applyFill="1" applyBorder="1" applyAlignment="1">
      <alignment horizontal="center" vertical="center" wrapText="1"/>
    </xf>
    <xf numFmtId="0" fontId="12" fillId="2" borderId="0" xfId="1" applyFont="1" applyFill="1"/>
    <xf numFmtId="0" fontId="4" fillId="2" borderId="17" xfId="1" applyFont="1" applyFill="1" applyBorder="1" applyAlignment="1">
      <alignment vertical="center" wrapText="1"/>
    </xf>
    <xf numFmtId="0" fontId="11" fillId="2" borderId="18" xfId="1" applyFont="1" applyFill="1" applyBorder="1" applyAlignment="1"/>
    <xf numFmtId="0" fontId="4" fillId="2" borderId="18" xfId="1" applyFont="1" applyFill="1" applyBorder="1" applyAlignment="1">
      <alignment horizontal="center" vertical="center"/>
    </xf>
    <xf numFmtId="0" fontId="4" fillId="2" borderId="19" xfId="1" applyFont="1" applyFill="1" applyBorder="1" applyAlignment="1">
      <alignment horizontal="center" vertical="center"/>
    </xf>
    <xf numFmtId="10" fontId="3" fillId="7" borderId="4" xfId="4" applyNumberFormat="1" applyFont="1" applyFill="1" applyBorder="1" applyAlignment="1">
      <alignment horizontal="center"/>
    </xf>
    <xf numFmtId="10" fontId="3" fillId="7" borderId="5" xfId="4" applyNumberFormat="1" applyFont="1" applyFill="1" applyBorder="1" applyAlignment="1">
      <alignment horizontal="center"/>
    </xf>
    <xf numFmtId="0" fontId="4" fillId="2" borderId="17" xfId="1" applyFont="1" applyFill="1" applyBorder="1" applyAlignment="1">
      <alignment vertical="center"/>
    </xf>
    <xf numFmtId="167" fontId="3" fillId="0" borderId="18" xfId="3" applyNumberFormat="1" applyFont="1" applyFill="1" applyBorder="1" applyAlignment="1">
      <alignment horizontal="center" vertical="center"/>
    </xf>
    <xf numFmtId="165" fontId="11" fillId="2" borderId="4" xfId="1" applyNumberFormat="1" applyFont="1" applyFill="1" applyBorder="1" applyAlignment="1">
      <alignment horizontal="center"/>
    </xf>
    <xf numFmtId="165" fontId="11" fillId="2" borderId="5" xfId="1" applyNumberFormat="1" applyFont="1" applyFill="1" applyBorder="1" applyAlignment="1">
      <alignment horizontal="center"/>
    </xf>
    <xf numFmtId="165" fontId="3" fillId="0" borderId="18" xfId="4" applyNumberFormat="1" applyFont="1" applyFill="1" applyBorder="1" applyAlignment="1">
      <alignment horizontal="center" vertical="center"/>
    </xf>
    <xf numFmtId="10" fontId="4" fillId="0" borderId="18" xfId="4" applyNumberFormat="1" applyFont="1" applyFill="1" applyBorder="1" applyAlignment="1">
      <alignment horizontal="center" vertical="center"/>
    </xf>
    <xf numFmtId="10" fontId="4" fillId="2" borderId="18" xfId="1" applyNumberFormat="1" applyFont="1" applyFill="1" applyBorder="1" applyAlignment="1">
      <alignment horizontal="center" vertical="center"/>
    </xf>
    <xf numFmtId="10" fontId="4" fillId="2" borderId="19" xfId="1" applyNumberFormat="1" applyFont="1" applyFill="1" applyBorder="1" applyAlignment="1">
      <alignment horizontal="center" vertical="center"/>
    </xf>
    <xf numFmtId="168" fontId="3" fillId="0" borderId="18" xfId="5" applyFont="1" applyFill="1" applyBorder="1" applyAlignment="1">
      <alignment horizontal="center" vertical="center"/>
    </xf>
    <xf numFmtId="2" fontId="3" fillId="2" borderId="18" xfId="1" applyNumberFormat="1" applyFont="1" applyFill="1" applyBorder="1" applyAlignment="1">
      <alignment horizontal="center" vertical="center"/>
    </xf>
    <xf numFmtId="2" fontId="3" fillId="2" borderId="19" xfId="1" applyNumberFormat="1" applyFont="1" applyFill="1" applyBorder="1" applyAlignment="1">
      <alignment horizontal="center" vertical="center"/>
    </xf>
    <xf numFmtId="0" fontId="13" fillId="2" borderId="18" xfId="1" applyFont="1" applyFill="1" applyBorder="1" applyAlignment="1">
      <alignment horizontal="center"/>
    </xf>
    <xf numFmtId="3" fontId="4" fillId="2" borderId="18" xfId="3" applyNumberFormat="1" applyFont="1" applyFill="1" applyBorder="1" applyAlignment="1">
      <alignment horizontal="center" vertical="center"/>
    </xf>
    <xf numFmtId="3" fontId="4" fillId="2" borderId="19" xfId="3" applyNumberFormat="1" applyFont="1" applyFill="1" applyBorder="1" applyAlignment="1">
      <alignment horizontal="center" vertical="center"/>
    </xf>
    <xf numFmtId="169" fontId="14" fillId="2" borderId="18" xfId="3" applyNumberFormat="1" applyFont="1" applyFill="1" applyBorder="1" applyAlignment="1">
      <alignment horizontal="center" vertical="center"/>
    </xf>
    <xf numFmtId="165" fontId="3" fillId="2" borderId="18" xfId="4" applyNumberFormat="1" applyFont="1" applyFill="1" applyBorder="1" applyAlignment="1">
      <alignment horizontal="center" vertical="center"/>
    </xf>
    <xf numFmtId="4" fontId="3" fillId="0" borderId="18" xfId="3" applyNumberFormat="1" applyFont="1" applyFill="1" applyBorder="1" applyAlignment="1">
      <alignment horizontal="center" vertical="center"/>
    </xf>
    <xf numFmtId="4" fontId="3" fillId="0" borderId="19" xfId="3" applyNumberFormat="1" applyFont="1" applyFill="1" applyBorder="1" applyAlignment="1">
      <alignment horizontal="center" vertical="center"/>
    </xf>
    <xf numFmtId="9" fontId="4" fillId="2" borderId="18" xfId="4" applyFont="1" applyFill="1" applyBorder="1" applyAlignment="1">
      <alignment horizontal="center" vertical="center"/>
    </xf>
    <xf numFmtId="9" fontId="4" fillId="2" borderId="18" xfId="3" applyNumberFormat="1" applyFont="1" applyFill="1" applyBorder="1" applyAlignment="1">
      <alignment horizontal="center" vertical="center"/>
    </xf>
    <xf numFmtId="9" fontId="4" fillId="2" borderId="19" xfId="3" applyNumberFormat="1" applyFont="1" applyFill="1" applyBorder="1" applyAlignment="1">
      <alignment horizontal="center" vertical="center"/>
    </xf>
    <xf numFmtId="166" fontId="3" fillId="2" borderId="18" xfId="3" applyNumberFormat="1" applyFont="1" applyFill="1" applyBorder="1" applyAlignment="1">
      <alignment horizontal="center" vertical="center"/>
    </xf>
    <xf numFmtId="166" fontId="4" fillId="2" borderId="18" xfId="3" applyNumberFormat="1" applyFont="1" applyFill="1" applyBorder="1" applyAlignment="1">
      <alignment horizontal="center" vertical="center"/>
    </xf>
    <xf numFmtId="166" fontId="4" fillId="2" borderId="19" xfId="3" applyNumberFormat="1" applyFont="1" applyFill="1" applyBorder="1" applyAlignment="1">
      <alignment horizontal="center" vertical="center"/>
    </xf>
    <xf numFmtId="10" fontId="11" fillId="2" borderId="0" xfId="1" applyNumberFormat="1" applyFont="1" applyFill="1"/>
    <xf numFmtId="0" fontId="4" fillId="2" borderId="23" xfId="1" applyFont="1" applyFill="1" applyBorder="1" applyAlignment="1">
      <alignment horizontal="right" vertical="center"/>
    </xf>
    <xf numFmtId="166" fontId="11" fillId="2" borderId="24" xfId="3" applyNumberFormat="1" applyFont="1" applyFill="1" applyBorder="1" applyAlignment="1">
      <alignment horizontal="center" vertical="center"/>
    </xf>
    <xf numFmtId="166" fontId="5" fillId="2" borderId="24" xfId="3" applyNumberFormat="1" applyFont="1" applyFill="1" applyBorder="1" applyAlignment="1">
      <alignment horizontal="center" vertical="center"/>
    </xf>
    <xf numFmtId="170" fontId="4" fillId="2" borderId="24" xfId="3" applyNumberFormat="1" applyFont="1" applyFill="1" applyBorder="1" applyAlignment="1">
      <alignment horizontal="center" vertical="center"/>
    </xf>
    <xf numFmtId="170" fontId="4" fillId="2" borderId="25" xfId="3" applyNumberFormat="1" applyFont="1" applyFill="1" applyBorder="1" applyAlignment="1">
      <alignment horizontal="center" vertical="center"/>
    </xf>
    <xf numFmtId="10" fontId="15" fillId="2" borderId="0" xfId="4" applyNumberFormat="1" applyFont="1" applyFill="1"/>
    <xf numFmtId="0" fontId="4" fillId="2" borderId="26" xfId="1" applyFont="1" applyFill="1" applyBorder="1" applyAlignment="1">
      <alignment horizontal="right" vertical="center"/>
    </xf>
    <xf numFmtId="166" fontId="11" fillId="2" borderId="27" xfId="3" applyNumberFormat="1" applyFont="1" applyFill="1" applyBorder="1" applyAlignment="1">
      <alignment horizontal="center" vertical="center"/>
    </xf>
    <xf numFmtId="166" fontId="5" fillId="2" borderId="27" xfId="3" applyNumberFormat="1" applyFont="1" applyFill="1" applyBorder="1" applyAlignment="1">
      <alignment horizontal="center" vertical="center"/>
    </xf>
    <xf numFmtId="3" fontId="4" fillId="2" borderId="27" xfId="3" applyNumberFormat="1" applyFont="1" applyFill="1" applyBorder="1" applyAlignment="1">
      <alignment horizontal="center" vertical="center"/>
    </xf>
    <xf numFmtId="3" fontId="4" fillId="0" borderId="27" xfId="3" applyNumberFormat="1" applyFont="1" applyFill="1" applyBorder="1" applyAlignment="1">
      <alignment horizontal="center" vertical="center"/>
    </xf>
    <xf numFmtId="3" fontId="4" fillId="2" borderId="28" xfId="3" applyNumberFormat="1" applyFont="1" applyFill="1" applyBorder="1" applyAlignment="1">
      <alignment horizontal="center" vertical="center"/>
    </xf>
    <xf numFmtId="170" fontId="16" fillId="2" borderId="24" xfId="3" applyNumberFormat="1" applyFont="1" applyFill="1" applyBorder="1" applyAlignment="1">
      <alignment horizontal="center" vertical="center"/>
    </xf>
    <xf numFmtId="3" fontId="16" fillId="2" borderId="27" xfId="3" applyNumberFormat="1" applyFont="1" applyFill="1" applyBorder="1" applyAlignment="1">
      <alignment horizontal="center" vertical="center"/>
    </xf>
    <xf numFmtId="3" fontId="16" fillId="2" borderId="24" xfId="3" applyNumberFormat="1" applyFont="1" applyFill="1" applyBorder="1" applyAlignment="1">
      <alignment horizontal="center" vertical="center"/>
    </xf>
    <xf numFmtId="3" fontId="4" fillId="2" borderId="24" xfId="3" applyNumberFormat="1" applyFont="1" applyFill="1" applyBorder="1" applyAlignment="1">
      <alignment horizontal="center" vertical="center"/>
    </xf>
    <xf numFmtId="3" fontId="4" fillId="2" borderId="25" xfId="3" applyNumberFormat="1" applyFont="1" applyFill="1" applyBorder="1" applyAlignment="1">
      <alignment horizontal="center" vertical="center"/>
    </xf>
    <xf numFmtId="0" fontId="3" fillId="2" borderId="29" xfId="1" applyFont="1" applyFill="1" applyBorder="1" applyAlignment="1">
      <alignment horizontal="left" vertical="center"/>
    </xf>
    <xf numFmtId="166" fontId="11" fillId="2" borderId="30" xfId="3" applyNumberFormat="1" applyFont="1" applyFill="1" applyBorder="1" applyAlignment="1">
      <alignment horizontal="center" vertical="center"/>
    </xf>
    <xf numFmtId="166" fontId="5" fillId="2" borderId="30" xfId="3" applyNumberFormat="1" applyFont="1" applyFill="1" applyBorder="1" applyAlignment="1">
      <alignment horizontal="center" vertical="center"/>
    </xf>
    <xf numFmtId="170" fontId="16" fillId="2" borderId="30" xfId="3" applyNumberFormat="1" applyFont="1" applyFill="1" applyBorder="1" applyAlignment="1">
      <alignment horizontal="center" vertical="center"/>
    </xf>
    <xf numFmtId="165" fontId="5" fillId="2" borderId="30" xfId="4" applyNumberFormat="1" applyFont="1" applyFill="1" applyBorder="1" applyAlignment="1">
      <alignment horizontal="center" vertical="center"/>
    </xf>
    <xf numFmtId="170" fontId="4" fillId="2" borderId="30" xfId="3" applyNumberFormat="1" applyFont="1" applyFill="1" applyBorder="1" applyAlignment="1">
      <alignment horizontal="center" vertical="center"/>
    </xf>
    <xf numFmtId="165" fontId="3" fillId="2" borderId="31" xfId="3" applyNumberFormat="1" applyFont="1" applyFill="1" applyBorder="1" applyAlignment="1">
      <alignment horizontal="center" vertical="center"/>
    </xf>
    <xf numFmtId="0" fontId="4" fillId="2" borderId="17" xfId="1" applyFont="1" applyFill="1" applyBorder="1" applyAlignment="1">
      <alignment horizontal="right" vertical="center"/>
    </xf>
    <xf numFmtId="166" fontId="11" fillId="2" borderId="18" xfId="3" applyNumberFormat="1" applyFont="1" applyFill="1" applyBorder="1" applyAlignment="1">
      <alignment horizontal="center" vertical="center"/>
    </xf>
    <xf numFmtId="166" fontId="5" fillId="2" borderId="18" xfId="3" applyNumberFormat="1" applyFont="1" applyFill="1" applyBorder="1" applyAlignment="1">
      <alignment horizontal="center" vertical="center"/>
    </xf>
    <xf numFmtId="3" fontId="16" fillId="2" borderId="18" xfId="3" applyNumberFormat="1" applyFont="1" applyFill="1" applyBorder="1" applyAlignment="1">
      <alignment horizontal="center" vertical="center"/>
    </xf>
    <xf numFmtId="3" fontId="11" fillId="2" borderId="18" xfId="3" applyNumberFormat="1" applyFont="1" applyFill="1" applyBorder="1" applyAlignment="1">
      <alignment horizontal="center" vertical="center"/>
    </xf>
    <xf numFmtId="3" fontId="3" fillId="2" borderId="19" xfId="3" applyNumberFormat="1" applyFont="1" applyFill="1" applyBorder="1" applyAlignment="1">
      <alignment horizontal="center" vertical="center"/>
    </xf>
    <xf numFmtId="166" fontId="5" fillId="5" borderId="18" xfId="3" applyNumberFormat="1" applyFont="1" applyFill="1" applyBorder="1" applyAlignment="1">
      <alignment horizontal="center" vertical="center"/>
    </xf>
    <xf numFmtId="0" fontId="9" fillId="2" borderId="17" xfId="2" applyFont="1" applyFill="1" applyBorder="1" applyAlignment="1">
      <alignment vertical="center" wrapText="1"/>
    </xf>
    <xf numFmtId="166" fontId="5" fillId="6" borderId="18" xfId="3" applyNumberFormat="1" applyFont="1" applyFill="1" applyBorder="1" applyAlignment="1">
      <alignment horizontal="center" vertical="center"/>
    </xf>
    <xf numFmtId="167" fontId="14" fillId="2" borderId="18" xfId="3" applyNumberFormat="1" applyFont="1" applyFill="1" applyBorder="1" applyAlignment="1">
      <alignment horizontal="center" vertical="center"/>
    </xf>
    <xf numFmtId="3" fontId="3" fillId="6" borderId="18" xfId="3" applyNumberFormat="1" applyFont="1" applyFill="1" applyBorder="1" applyAlignment="1">
      <alignment horizontal="center" vertical="center"/>
    </xf>
    <xf numFmtId="167" fontId="3" fillId="2" borderId="18" xfId="3" applyNumberFormat="1" applyFont="1" applyFill="1" applyBorder="1" applyAlignment="1">
      <alignment horizontal="center" vertical="center"/>
    </xf>
    <xf numFmtId="3" fontId="4" fillId="6" borderId="18" xfId="3" applyNumberFormat="1" applyFont="1" applyFill="1" applyBorder="1" applyAlignment="1">
      <alignment horizontal="center" vertical="center"/>
    </xf>
    <xf numFmtId="170" fontId="4" fillId="2" borderId="18" xfId="3" applyNumberFormat="1" applyFont="1" applyFill="1" applyBorder="1" applyAlignment="1">
      <alignment horizontal="center" vertical="center"/>
    </xf>
    <xf numFmtId="170" fontId="4" fillId="2" borderId="19" xfId="3" applyNumberFormat="1" applyFont="1" applyFill="1" applyBorder="1" applyAlignment="1">
      <alignment horizontal="center" vertical="center"/>
    </xf>
    <xf numFmtId="0" fontId="14" fillId="7" borderId="17" xfId="2" applyFont="1" applyFill="1" applyBorder="1" applyAlignment="1">
      <alignment vertical="center" wrapText="1"/>
    </xf>
    <xf numFmtId="166" fontId="5" fillId="7" borderId="18" xfId="1" applyNumberFormat="1" applyFont="1" applyFill="1" applyBorder="1" applyAlignment="1">
      <alignment horizontal="center" vertical="center"/>
    </xf>
    <xf numFmtId="166" fontId="3" fillId="7" borderId="18" xfId="3" applyNumberFormat="1" applyFont="1" applyFill="1" applyBorder="1" applyAlignment="1">
      <alignment horizontal="center" vertical="center"/>
    </xf>
    <xf numFmtId="168" fontId="3" fillId="7" borderId="18" xfId="5" applyFont="1" applyFill="1" applyBorder="1" applyAlignment="1">
      <alignment horizontal="center" vertical="center"/>
    </xf>
    <xf numFmtId="0" fontId="9" fillId="2" borderId="17" xfId="2" applyFont="1" applyFill="1" applyBorder="1" applyAlignment="1">
      <alignment horizontal="right" vertical="center" wrapText="1"/>
    </xf>
    <xf numFmtId="168" fontId="3" fillId="2" borderId="18" xfId="5" applyFont="1" applyFill="1" applyBorder="1" applyAlignment="1">
      <alignment horizontal="center" vertical="center"/>
    </xf>
    <xf numFmtId="0" fontId="6" fillId="2" borderId="0" xfId="1" applyFont="1" applyFill="1"/>
    <xf numFmtId="0" fontId="14" fillId="5" borderId="17" xfId="2" applyFont="1" applyFill="1" applyBorder="1" applyAlignment="1">
      <alignment vertical="center" wrapText="1"/>
    </xf>
    <xf numFmtId="168" fontId="5" fillId="5" borderId="18" xfId="5" applyFont="1" applyFill="1" applyBorder="1" applyAlignment="1">
      <alignment horizontal="center" vertical="center"/>
    </xf>
    <xf numFmtId="3" fontId="5" fillId="7" borderId="18" xfId="3" applyNumberFormat="1" applyFont="1" applyFill="1" applyBorder="1" applyAlignment="1">
      <alignment horizontal="center" vertical="center"/>
    </xf>
    <xf numFmtId="3" fontId="5" fillId="7" borderId="19" xfId="3" applyNumberFormat="1" applyFont="1" applyFill="1" applyBorder="1" applyAlignment="1">
      <alignment horizontal="center" vertical="center"/>
    </xf>
    <xf numFmtId="3" fontId="5" fillId="2" borderId="0" xfId="1" applyNumberFormat="1" applyFont="1" applyFill="1"/>
    <xf numFmtId="9" fontId="3" fillId="2" borderId="18" xfId="4" applyNumberFormat="1" applyFont="1" applyFill="1" applyBorder="1" applyAlignment="1">
      <alignment horizontal="center" vertical="center"/>
    </xf>
    <xf numFmtId="9" fontId="3" fillId="0" borderId="18" xfId="3" applyNumberFormat="1" applyFont="1" applyFill="1" applyBorder="1" applyAlignment="1">
      <alignment horizontal="center" vertical="center"/>
    </xf>
    <xf numFmtId="9" fontId="4" fillId="2" borderId="18" xfId="1" applyNumberFormat="1" applyFont="1" applyFill="1" applyBorder="1" applyAlignment="1">
      <alignment horizontal="center" vertical="center"/>
    </xf>
    <xf numFmtId="9" fontId="4" fillId="2" borderId="19" xfId="1" applyNumberFormat="1" applyFont="1" applyFill="1" applyBorder="1" applyAlignment="1">
      <alignment horizontal="center" vertical="center"/>
    </xf>
    <xf numFmtId="168" fontId="4" fillId="2" borderId="18" xfId="5" applyFont="1" applyFill="1" applyBorder="1" applyAlignment="1">
      <alignment horizontal="center" vertical="center"/>
    </xf>
    <xf numFmtId="1" fontId="11" fillId="2" borderId="18" xfId="1" applyNumberFormat="1" applyFont="1" applyFill="1" applyBorder="1" applyAlignment="1">
      <alignment horizontal="center"/>
    </xf>
    <xf numFmtId="1" fontId="11" fillId="2" borderId="19" xfId="1" applyNumberFormat="1" applyFont="1" applyFill="1" applyBorder="1" applyAlignment="1">
      <alignment horizontal="center"/>
    </xf>
    <xf numFmtId="0" fontId="11" fillId="4" borderId="0" xfId="1" applyFont="1" applyFill="1"/>
    <xf numFmtId="0" fontId="3" fillId="2" borderId="17" xfId="1" applyFont="1" applyFill="1" applyBorder="1" applyAlignment="1">
      <alignment horizontal="right" vertical="center"/>
    </xf>
    <xf numFmtId="168" fontId="5" fillId="2" borderId="18" xfId="5" applyFont="1" applyFill="1" applyBorder="1" applyAlignment="1">
      <alignment horizontal="center" vertical="center"/>
    </xf>
    <xf numFmtId="166" fontId="5" fillId="2" borderId="19" xfId="3" applyNumberFormat="1" applyFont="1" applyFill="1" applyBorder="1" applyAlignment="1">
      <alignment horizontal="center" vertical="center"/>
    </xf>
    <xf numFmtId="0" fontId="5" fillId="2" borderId="17" xfId="1" applyFont="1" applyFill="1" applyBorder="1" applyAlignment="1">
      <alignment vertical="center"/>
    </xf>
    <xf numFmtId="164" fontId="5" fillId="2" borderId="18" xfId="1" applyNumberFormat="1" applyFont="1" applyFill="1" applyBorder="1" applyAlignment="1">
      <alignment horizontal="center" wrapText="1"/>
    </xf>
    <xf numFmtId="164" fontId="5" fillId="2" borderId="19" xfId="1" applyNumberFormat="1" applyFont="1" applyFill="1" applyBorder="1" applyAlignment="1">
      <alignment horizontal="center" wrapText="1"/>
    </xf>
    <xf numFmtId="0" fontId="5" fillId="8" borderId="4" xfId="1" applyFont="1" applyFill="1" applyBorder="1" applyAlignment="1">
      <alignment horizontal="center"/>
    </xf>
    <xf numFmtId="0" fontId="11" fillId="2" borderId="17" xfId="1" applyFont="1" applyFill="1" applyBorder="1" applyAlignment="1">
      <alignment vertical="center"/>
    </xf>
    <xf numFmtId="9" fontId="5" fillId="2" borderId="18" xfId="4" applyNumberFormat="1" applyFont="1" applyFill="1" applyBorder="1" applyAlignment="1">
      <alignment horizontal="center" vertical="center"/>
    </xf>
    <xf numFmtId="10" fontId="11" fillId="2" borderId="18" xfId="4" applyNumberFormat="1" applyFont="1" applyFill="1" applyBorder="1" applyAlignment="1">
      <alignment horizontal="center" vertical="center"/>
    </xf>
    <xf numFmtId="0" fontId="5" fillId="0" borderId="4" xfId="1" applyFont="1" applyFill="1" applyBorder="1"/>
    <xf numFmtId="0" fontId="5" fillId="2" borderId="17" xfId="1" applyFont="1" applyFill="1" applyBorder="1" applyAlignment="1">
      <alignment vertical="center" wrapText="1"/>
    </xf>
    <xf numFmtId="166" fontId="11" fillId="2" borderId="19" xfId="3" applyNumberFormat="1" applyFont="1" applyFill="1" applyBorder="1" applyAlignment="1">
      <alignment horizontal="center" vertical="center"/>
    </xf>
    <xf numFmtId="0" fontId="5" fillId="2" borderId="4" xfId="1" applyFont="1" applyFill="1" applyBorder="1"/>
    <xf numFmtId="0" fontId="11" fillId="2" borderId="17" xfId="1" applyFont="1" applyFill="1" applyBorder="1" applyAlignment="1">
      <alignment horizontal="right" vertical="center"/>
    </xf>
    <xf numFmtId="0" fontId="3" fillId="2" borderId="17" xfId="1" applyFont="1" applyFill="1" applyBorder="1" applyAlignment="1">
      <alignment vertical="center"/>
    </xf>
    <xf numFmtId="0" fontId="3" fillId="0" borderId="17" xfId="1" applyFont="1" applyFill="1" applyBorder="1" applyAlignment="1">
      <alignment vertical="center" wrapText="1"/>
    </xf>
    <xf numFmtId="166" fontId="5" fillId="0" borderId="18" xfId="3" applyNumberFormat="1" applyFont="1" applyFill="1" applyBorder="1" applyAlignment="1">
      <alignment horizontal="center" vertical="center"/>
    </xf>
    <xf numFmtId="169" fontId="5" fillId="0" borderId="18" xfId="3" applyNumberFormat="1" applyFont="1" applyFill="1" applyBorder="1" applyAlignment="1">
      <alignment horizontal="center" vertical="center"/>
    </xf>
    <xf numFmtId="169" fontId="11" fillId="2" borderId="18" xfId="3" applyNumberFormat="1" applyFont="1" applyFill="1" applyBorder="1" applyAlignment="1">
      <alignment horizontal="center" vertical="center"/>
    </xf>
    <xf numFmtId="166" fontId="11" fillId="0" borderId="18" xfId="3" applyNumberFormat="1" applyFont="1" applyFill="1" applyBorder="1" applyAlignment="1">
      <alignment horizontal="center" vertical="center"/>
    </xf>
    <xf numFmtId="0" fontId="5" fillId="0" borderId="17" xfId="1" applyFont="1" applyFill="1" applyBorder="1" applyAlignment="1">
      <alignment vertical="center"/>
    </xf>
    <xf numFmtId="164" fontId="5" fillId="0" borderId="18" xfId="3" applyNumberFormat="1" applyFont="1" applyFill="1" applyBorder="1" applyAlignment="1">
      <alignment horizontal="center" vertical="center"/>
    </xf>
    <xf numFmtId="0" fontId="5" fillId="0" borderId="18" xfId="1" applyFont="1" applyFill="1" applyBorder="1"/>
    <xf numFmtId="0" fontId="5" fillId="0" borderId="19" xfId="1" applyFont="1" applyFill="1" applyBorder="1"/>
    <xf numFmtId="0" fontId="5" fillId="0" borderId="0" xfId="1" applyFont="1" applyFill="1" applyBorder="1"/>
    <xf numFmtId="4" fontId="5" fillId="2" borderId="4" xfId="1" applyNumberFormat="1" applyFont="1" applyFill="1" applyBorder="1"/>
    <xf numFmtId="4" fontId="5" fillId="2" borderId="0" xfId="1" applyNumberFormat="1" applyFont="1" applyFill="1"/>
    <xf numFmtId="3" fontId="5" fillId="3" borderId="17" xfId="1" applyNumberFormat="1" applyFont="1" applyFill="1" applyBorder="1" applyAlignment="1">
      <alignment vertical="center"/>
    </xf>
    <xf numFmtId="9" fontId="5" fillId="3" borderId="18" xfId="4" applyFont="1" applyFill="1" applyBorder="1" applyAlignment="1">
      <alignment horizontal="center" vertical="center"/>
    </xf>
    <xf numFmtId="3" fontId="5" fillId="3" borderId="18" xfId="3" applyNumberFormat="1" applyFont="1" applyFill="1" applyBorder="1" applyAlignment="1">
      <alignment horizontal="center" vertical="center"/>
    </xf>
    <xf numFmtId="3" fontId="5" fillId="3" borderId="19" xfId="3" applyNumberFormat="1" applyFont="1" applyFill="1" applyBorder="1" applyAlignment="1">
      <alignment horizontal="center" vertical="center"/>
    </xf>
    <xf numFmtId="169" fontId="3" fillId="2" borderId="18" xfId="3" applyNumberFormat="1" applyFont="1" applyFill="1" applyBorder="1" applyAlignment="1">
      <alignment horizontal="center" vertical="center"/>
    </xf>
    <xf numFmtId="4" fontId="4" fillId="2" borderId="18" xfId="3" applyNumberFormat="1" applyFont="1" applyFill="1" applyBorder="1" applyAlignment="1">
      <alignment horizontal="center" vertical="center"/>
    </xf>
    <xf numFmtId="4" fontId="4" fillId="2" borderId="19" xfId="3" applyNumberFormat="1" applyFont="1" applyFill="1" applyBorder="1" applyAlignment="1">
      <alignment horizontal="center" vertical="center"/>
    </xf>
    <xf numFmtId="4" fontId="4" fillId="2" borderId="4" xfId="3" applyNumberFormat="1" applyFont="1" applyFill="1" applyBorder="1" applyAlignment="1">
      <alignment horizontal="center" vertical="center"/>
    </xf>
    <xf numFmtId="164" fontId="3" fillId="2" borderId="18" xfId="3" applyNumberFormat="1" applyFont="1" applyFill="1" applyBorder="1" applyAlignment="1">
      <alignment horizontal="center" vertical="center"/>
    </xf>
    <xf numFmtId="171" fontId="4" fillId="2" borderId="18" xfId="3" applyNumberFormat="1" applyFont="1" applyFill="1" applyBorder="1" applyAlignment="1">
      <alignment horizontal="center" vertical="center"/>
    </xf>
    <xf numFmtId="171" fontId="4" fillId="2" borderId="19" xfId="3" applyNumberFormat="1" applyFont="1" applyFill="1" applyBorder="1" applyAlignment="1">
      <alignment horizontal="center" vertical="center"/>
    </xf>
    <xf numFmtId="171" fontId="4" fillId="2" borderId="4" xfId="3" applyNumberFormat="1" applyFont="1" applyFill="1" applyBorder="1" applyAlignment="1">
      <alignment horizontal="center" vertical="center"/>
    </xf>
    <xf numFmtId="0" fontId="4" fillId="2" borderId="32" xfId="1" applyFont="1" applyFill="1" applyBorder="1" applyAlignment="1">
      <alignment vertical="center" wrapText="1"/>
    </xf>
    <xf numFmtId="166" fontId="3" fillId="2" borderId="33" xfId="3" applyNumberFormat="1" applyFont="1" applyFill="1" applyBorder="1" applyAlignment="1">
      <alignment horizontal="center" vertical="center"/>
    </xf>
    <xf numFmtId="166" fontId="4" fillId="2" borderId="33" xfId="3" applyNumberFormat="1" applyFont="1" applyFill="1" applyBorder="1" applyAlignment="1">
      <alignment horizontal="center" vertical="center"/>
    </xf>
    <xf numFmtId="166" fontId="4" fillId="2" borderId="34" xfId="3" applyNumberFormat="1" applyFont="1" applyFill="1" applyBorder="1" applyAlignment="1">
      <alignment horizontal="center" vertical="center"/>
    </xf>
    <xf numFmtId="166" fontId="4" fillId="2" borderId="4" xfId="3" applyNumberFormat="1" applyFont="1" applyFill="1" applyBorder="1" applyAlignment="1">
      <alignment horizontal="center" vertical="center"/>
    </xf>
    <xf numFmtId="0" fontId="4" fillId="2" borderId="0" xfId="1" applyFont="1" applyFill="1" applyBorder="1" applyAlignment="1">
      <alignment vertical="center"/>
    </xf>
    <xf numFmtId="0" fontId="4" fillId="2" borderId="35" xfId="1" applyFont="1" applyFill="1" applyBorder="1" applyAlignment="1">
      <alignment vertical="center"/>
    </xf>
    <xf numFmtId="0" fontId="4" fillId="2" borderId="36" xfId="1" applyFont="1" applyFill="1" applyBorder="1" applyAlignment="1">
      <alignment vertical="center"/>
    </xf>
    <xf numFmtId="164" fontId="4" fillId="2" borderId="36" xfId="3" applyNumberFormat="1" applyFont="1" applyFill="1" applyBorder="1" applyAlignment="1">
      <alignment horizontal="center" vertical="center"/>
    </xf>
    <xf numFmtId="0" fontId="11" fillId="2" borderId="36" xfId="1" applyFont="1" applyFill="1" applyBorder="1"/>
    <xf numFmtId="0" fontId="4" fillId="0" borderId="0" xfId="1" applyFont="1" applyFill="1" applyBorder="1" applyAlignment="1">
      <alignment vertical="center"/>
    </xf>
    <xf numFmtId="0" fontId="3" fillId="0" borderId="36" xfId="1" applyFont="1" applyFill="1" applyBorder="1" applyAlignment="1">
      <alignment horizontal="left" vertical="center" wrapText="1"/>
    </xf>
    <xf numFmtId="0" fontId="3" fillId="0" borderId="36" xfId="1" applyFont="1" applyFill="1" applyBorder="1" applyAlignment="1">
      <alignment horizontal="center" vertical="center"/>
    </xf>
    <xf numFmtId="0" fontId="11" fillId="0" borderId="0" xfId="1" applyFont="1" applyFill="1" applyBorder="1"/>
    <xf numFmtId="170" fontId="5" fillId="0" borderId="0" xfId="3" applyNumberFormat="1" applyFont="1" applyFill="1" applyBorder="1" applyAlignment="1">
      <alignment horizontal="center" vertical="center"/>
    </xf>
    <xf numFmtId="3" fontId="4" fillId="0" borderId="0" xfId="3" applyNumberFormat="1" applyFont="1" applyFill="1" applyBorder="1" applyAlignment="1">
      <alignment horizontal="center" vertical="center"/>
    </xf>
    <xf numFmtId="164" fontId="4" fillId="0" borderId="0" xfId="3" applyNumberFormat="1" applyFont="1" applyFill="1" applyBorder="1" applyAlignment="1">
      <alignment horizontal="center" vertical="center"/>
    </xf>
    <xf numFmtId="172" fontId="17" fillId="0" borderId="0" xfId="3" applyNumberFormat="1" applyFont="1" applyFill="1" applyBorder="1" applyAlignment="1">
      <alignment horizontal="center" vertical="center"/>
    </xf>
    <xf numFmtId="0" fontId="18" fillId="0" borderId="0" xfId="1" applyFont="1" applyFill="1" applyBorder="1"/>
    <xf numFmtId="0" fontId="18" fillId="2" borderId="0" xfId="1" applyFont="1" applyFill="1" applyBorder="1"/>
    <xf numFmtId="164" fontId="17" fillId="2" borderId="0" xfId="3" applyNumberFormat="1" applyFont="1" applyFill="1" applyBorder="1" applyAlignment="1">
      <alignment horizontal="center" vertical="center"/>
    </xf>
    <xf numFmtId="0" fontId="13" fillId="2" borderId="0" xfId="1" applyFont="1" applyFill="1" applyBorder="1" applyAlignment="1">
      <alignment horizontal="center"/>
    </xf>
    <xf numFmtId="0" fontId="11" fillId="2" borderId="0" xfId="1" applyFont="1" applyFill="1" applyBorder="1" applyAlignment="1">
      <alignment horizontal="center"/>
    </xf>
    <xf numFmtId="164" fontId="13" fillId="2" borderId="0" xfId="1" applyNumberFormat="1" applyFont="1" applyFill="1" applyAlignment="1">
      <alignment horizontal="center"/>
    </xf>
    <xf numFmtId="0" fontId="13" fillId="2" borderId="0" xfId="1" applyFont="1" applyFill="1" applyAlignment="1">
      <alignment horizontal="center"/>
    </xf>
    <xf numFmtId="10" fontId="11" fillId="2" borderId="0" xfId="1" applyNumberFormat="1" applyFont="1" applyFill="1" applyAlignment="1">
      <alignment horizontal="center"/>
    </xf>
    <xf numFmtId="173" fontId="11" fillId="2" borderId="0" xfId="4" applyNumberFormat="1" applyFont="1" applyFill="1"/>
    <xf numFmtId="174" fontId="11" fillId="2" borderId="0" xfId="1" applyNumberFormat="1" applyFont="1" applyFill="1" applyAlignment="1">
      <alignment horizontal="center"/>
    </xf>
    <xf numFmtId="0" fontId="37" fillId="12" borderId="15" xfId="1" applyFont="1" applyFill="1" applyBorder="1" applyAlignment="1">
      <alignment horizontal="center" vertical="center"/>
    </xf>
    <xf numFmtId="0" fontId="37" fillId="12" borderId="16" xfId="1" applyFont="1" applyFill="1" applyBorder="1" applyAlignment="1">
      <alignment horizontal="center" vertical="center"/>
    </xf>
    <xf numFmtId="166" fontId="37" fillId="12" borderId="18" xfId="1" applyNumberFormat="1" applyFont="1" applyFill="1" applyBorder="1" applyAlignment="1">
      <alignment horizontal="center" vertical="center"/>
    </xf>
    <xf numFmtId="0" fontId="36" fillId="12" borderId="18" xfId="1" applyFont="1" applyFill="1" applyBorder="1"/>
    <xf numFmtId="0" fontId="36" fillId="12" borderId="19" xfId="1" applyFont="1" applyFill="1" applyBorder="1"/>
    <xf numFmtId="0" fontId="35" fillId="12" borderId="18" xfId="1" applyFont="1" applyFill="1" applyBorder="1" applyAlignment="1">
      <alignment horizontal="center" vertical="center"/>
    </xf>
    <xf numFmtId="0" fontId="36" fillId="12" borderId="18" xfId="1" applyFont="1" applyFill="1" applyBorder="1" applyAlignment="1">
      <alignment horizontal="center" vertical="center"/>
    </xf>
    <xf numFmtId="0" fontId="36" fillId="12" borderId="19" xfId="1" applyFont="1" applyFill="1" applyBorder="1" applyAlignment="1">
      <alignment horizontal="center" vertical="center"/>
    </xf>
    <xf numFmtId="0" fontId="36" fillId="12" borderId="17" xfId="1" applyFont="1" applyFill="1" applyBorder="1" applyAlignment="1">
      <alignment vertical="center"/>
    </xf>
    <xf numFmtId="3" fontId="36" fillId="12" borderId="18" xfId="3" applyNumberFormat="1" applyFont="1" applyFill="1" applyBorder="1" applyAlignment="1">
      <alignment horizontal="center" vertical="center"/>
    </xf>
    <xf numFmtId="3" fontId="36" fillId="12" borderId="19" xfId="3" applyNumberFormat="1" applyFont="1" applyFill="1" applyBorder="1" applyAlignment="1">
      <alignment horizontal="center" vertical="center"/>
    </xf>
    <xf numFmtId="9" fontId="36" fillId="12" borderId="18" xfId="3" applyNumberFormat="1" applyFont="1" applyFill="1" applyBorder="1" applyAlignment="1">
      <alignment horizontal="center" vertical="center"/>
    </xf>
    <xf numFmtId="4" fontId="36" fillId="12" borderId="17" xfId="1" applyNumberFormat="1" applyFont="1" applyFill="1" applyBorder="1" applyAlignment="1">
      <alignment vertical="center"/>
    </xf>
    <xf numFmtId="4" fontId="36" fillId="12" borderId="18" xfId="3" applyNumberFormat="1" applyFont="1" applyFill="1" applyBorder="1" applyAlignment="1">
      <alignment horizontal="center" vertical="center"/>
    </xf>
    <xf numFmtId="4" fontId="36" fillId="12" borderId="19" xfId="3" applyNumberFormat="1" applyFont="1" applyFill="1" applyBorder="1" applyAlignment="1">
      <alignment horizontal="center" vertical="center"/>
    </xf>
    <xf numFmtId="0" fontId="36" fillId="11" borderId="17" xfId="1" applyFont="1" applyFill="1" applyBorder="1" applyAlignment="1">
      <alignment vertical="center"/>
    </xf>
    <xf numFmtId="166" fontId="36" fillId="11" borderId="18" xfId="3" applyNumberFormat="1" applyFont="1" applyFill="1" applyBorder="1" applyAlignment="1">
      <alignment horizontal="center" vertical="center"/>
    </xf>
    <xf numFmtId="168" fontId="36" fillId="11" borderId="18" xfId="5" applyFont="1" applyFill="1" applyBorder="1" applyAlignment="1">
      <alignment horizontal="center" vertical="center"/>
    </xf>
    <xf numFmtId="166" fontId="36" fillId="11" borderId="19" xfId="3" applyNumberFormat="1" applyFont="1" applyFill="1" applyBorder="1" applyAlignment="1">
      <alignment horizontal="center" vertical="center"/>
    </xf>
    <xf numFmtId="0" fontId="36" fillId="11" borderId="17" xfId="1" applyNumberFormat="1" applyFont="1" applyFill="1" applyBorder="1" applyAlignment="1">
      <alignment vertical="center" wrapText="1"/>
    </xf>
    <xf numFmtId="166" fontId="5" fillId="14" borderId="18" xfId="3" applyNumberFormat="1" applyFont="1" applyFill="1" applyBorder="1" applyAlignment="1">
      <alignment horizontal="center" vertical="center"/>
    </xf>
    <xf numFmtId="166" fontId="3" fillId="14" borderId="18" xfId="3" applyNumberFormat="1" applyFont="1" applyFill="1" applyBorder="1" applyAlignment="1">
      <alignment horizontal="center" vertical="center"/>
    </xf>
    <xf numFmtId="10" fontId="4" fillId="14" borderId="18" xfId="4" applyNumberFormat="1" applyFont="1" applyFill="1" applyBorder="1" applyAlignment="1">
      <alignment horizontal="center" vertical="center"/>
    </xf>
    <xf numFmtId="10" fontId="4" fillId="14" borderId="19" xfId="4" applyNumberFormat="1" applyFont="1" applyFill="1" applyBorder="1" applyAlignment="1">
      <alignment horizontal="center" vertical="center"/>
    </xf>
    <xf numFmtId="170" fontId="4" fillId="14" borderId="24" xfId="3" applyNumberFormat="1" applyFont="1" applyFill="1" applyBorder="1" applyAlignment="1">
      <alignment horizontal="center" vertical="center"/>
    </xf>
    <xf numFmtId="170" fontId="4" fillId="14" borderId="25" xfId="3" applyNumberFormat="1" applyFont="1" applyFill="1" applyBorder="1" applyAlignment="1">
      <alignment horizontal="center" vertical="center"/>
    </xf>
    <xf numFmtId="0" fontId="5" fillId="13" borderId="20" xfId="1" applyFont="1" applyFill="1" applyBorder="1" applyAlignment="1">
      <alignment vertical="center"/>
    </xf>
    <xf numFmtId="167" fontId="5" fillId="13" borderId="21" xfId="3" applyNumberFormat="1" applyFont="1" applyFill="1" applyBorder="1" applyAlignment="1">
      <alignment horizontal="center" vertical="center"/>
    </xf>
    <xf numFmtId="168" fontId="14" fillId="13" borderId="21" xfId="5" applyFont="1" applyFill="1" applyBorder="1" applyAlignment="1">
      <alignment horizontal="center" vertical="center"/>
    </xf>
    <xf numFmtId="0" fontId="3" fillId="13" borderId="17" xfId="1" applyFont="1" applyFill="1" applyBorder="1" applyAlignment="1">
      <alignment vertical="center"/>
    </xf>
    <xf numFmtId="166" fontId="5" fillId="13" borderId="18" xfId="3" applyNumberFormat="1" applyFont="1" applyFill="1" applyBorder="1" applyAlignment="1">
      <alignment horizontal="center" vertical="center"/>
    </xf>
    <xf numFmtId="168" fontId="3" fillId="13" borderId="18" xfId="5" applyFont="1" applyFill="1" applyBorder="1" applyAlignment="1">
      <alignment horizontal="center" vertical="center"/>
    </xf>
    <xf numFmtId="3" fontId="3" fillId="13" borderId="18" xfId="3" applyNumberFormat="1" applyFont="1" applyFill="1" applyBorder="1" applyAlignment="1">
      <alignment horizontal="center" vertical="center"/>
    </xf>
    <xf numFmtId="3" fontId="3" fillId="13" borderId="19" xfId="3" applyNumberFormat="1" applyFont="1" applyFill="1" applyBorder="1" applyAlignment="1">
      <alignment horizontal="center" vertical="center"/>
    </xf>
    <xf numFmtId="0" fontId="14" fillId="13" borderId="17" xfId="2" applyFont="1" applyFill="1" applyBorder="1" applyAlignment="1">
      <alignment vertical="center" wrapText="1"/>
    </xf>
    <xf numFmtId="166" fontId="5" fillId="13" borderId="18" xfId="1" applyNumberFormat="1" applyFont="1" applyFill="1" applyBorder="1" applyAlignment="1">
      <alignment horizontal="center"/>
    </xf>
    <xf numFmtId="166" fontId="3" fillId="13" borderId="18" xfId="3" applyNumberFormat="1" applyFont="1" applyFill="1" applyBorder="1" applyAlignment="1">
      <alignment horizontal="center" vertical="center"/>
    </xf>
    <xf numFmtId="168" fontId="5" fillId="13" borderId="18" xfId="5" applyFont="1" applyFill="1" applyBorder="1" applyAlignment="1">
      <alignment horizontal="center" vertical="center"/>
    </xf>
    <xf numFmtId="4" fontId="5" fillId="13" borderId="18" xfId="3" applyNumberFormat="1" applyFont="1" applyFill="1" applyBorder="1" applyAlignment="1">
      <alignment horizontal="center" vertical="center"/>
    </xf>
    <xf numFmtId="4" fontId="5" fillId="13" borderId="19" xfId="3" applyNumberFormat="1" applyFont="1" applyFill="1" applyBorder="1" applyAlignment="1">
      <alignment horizontal="center" vertical="center"/>
    </xf>
    <xf numFmtId="0" fontId="9" fillId="13" borderId="17" xfId="2" applyFont="1" applyFill="1" applyBorder="1" applyAlignment="1">
      <alignment horizontal="left" vertical="center" wrapText="1"/>
    </xf>
    <xf numFmtId="166" fontId="3" fillId="13" borderId="19" xfId="3" applyNumberFormat="1" applyFont="1" applyFill="1" applyBorder="1" applyAlignment="1">
      <alignment horizontal="center" vertical="center"/>
    </xf>
    <xf numFmtId="4" fontId="36" fillId="12" borderId="4" xfId="3" applyNumberFormat="1" applyFont="1" applyFill="1" applyBorder="1" applyAlignment="1">
      <alignment horizontal="center" vertical="center"/>
    </xf>
    <xf numFmtId="4" fontId="36" fillId="12" borderId="4" xfId="1" applyNumberFormat="1" applyFont="1" applyFill="1" applyBorder="1"/>
    <xf numFmtId="166" fontId="3" fillId="4" borderId="18" xfId="3" applyNumberFormat="1" applyFont="1" applyFill="1" applyBorder="1" applyAlignment="1">
      <alignment horizontal="center" vertical="center"/>
    </xf>
    <xf numFmtId="166" fontId="5" fillId="4" borderId="18" xfId="3" applyNumberFormat="1" applyFont="1" applyFill="1" applyBorder="1" applyAlignment="1">
      <alignment horizontal="center" vertical="center"/>
    </xf>
    <xf numFmtId="4" fontId="5" fillId="2" borderId="9" xfId="1" applyNumberFormat="1" applyFont="1" applyFill="1" applyBorder="1"/>
    <xf numFmtId="166" fontId="5" fillId="4" borderId="0" xfId="3" applyNumberFormat="1" applyFont="1" applyFill="1" applyBorder="1" applyAlignment="1">
      <alignment horizontal="center" vertical="center"/>
    </xf>
    <xf numFmtId="164" fontId="5" fillId="4" borderId="0" xfId="3" applyNumberFormat="1" applyFont="1" applyFill="1" applyBorder="1" applyAlignment="1">
      <alignment horizontal="center" vertical="center"/>
    </xf>
    <xf numFmtId="0" fontId="5" fillId="4" borderId="0" xfId="1" applyFont="1" applyFill="1" applyBorder="1"/>
    <xf numFmtId="166" fontId="11" fillId="0" borderId="21" xfId="3" applyNumberFormat="1" applyFont="1" applyFill="1" applyBorder="1" applyAlignment="1">
      <alignment horizontal="center" vertical="center"/>
    </xf>
    <xf numFmtId="0" fontId="5" fillId="2" borderId="39" xfId="1" applyFont="1" applyFill="1" applyBorder="1"/>
    <xf numFmtId="0" fontId="37" fillId="12" borderId="41" xfId="1" applyFont="1" applyFill="1" applyBorder="1" applyAlignment="1">
      <alignment horizontal="center" vertical="center"/>
    </xf>
    <xf numFmtId="0" fontId="37" fillId="12" borderId="42" xfId="1" applyFont="1" applyFill="1" applyBorder="1" applyAlignment="1">
      <alignment horizontal="center" vertical="center"/>
    </xf>
    <xf numFmtId="0" fontId="36" fillId="12" borderId="44" xfId="1" applyFont="1" applyFill="1" applyBorder="1"/>
    <xf numFmtId="0" fontId="35" fillId="12" borderId="43" xfId="1" applyFont="1" applyFill="1" applyBorder="1" applyAlignment="1">
      <alignment horizontal="left" vertical="center"/>
    </xf>
    <xf numFmtId="0" fontId="36" fillId="12" borderId="44" xfId="1" applyFont="1" applyFill="1" applyBorder="1" applyAlignment="1">
      <alignment horizontal="center" vertical="center"/>
    </xf>
    <xf numFmtId="0" fontId="4" fillId="2" borderId="43" xfId="1" applyFont="1" applyFill="1" applyBorder="1" applyAlignment="1">
      <alignment vertical="center" wrapText="1"/>
    </xf>
    <xf numFmtId="0" fontId="4" fillId="2" borderId="44" xfId="1" applyFont="1" applyFill="1" applyBorder="1" applyAlignment="1">
      <alignment horizontal="center" vertical="center"/>
    </xf>
    <xf numFmtId="0" fontId="4" fillId="2" borderId="43" xfId="1" applyFont="1" applyFill="1" applyBorder="1" applyAlignment="1">
      <alignment vertical="center"/>
    </xf>
    <xf numFmtId="10" fontId="4" fillId="14" borderId="44" xfId="4" applyNumberFormat="1" applyFont="1" applyFill="1" applyBorder="1" applyAlignment="1">
      <alignment horizontal="center" vertical="center"/>
    </xf>
    <xf numFmtId="10" fontId="4" fillId="2" borderId="44" xfId="1" applyNumberFormat="1" applyFont="1" applyFill="1" applyBorder="1" applyAlignment="1">
      <alignment horizontal="center" vertical="center"/>
    </xf>
    <xf numFmtId="2" fontId="3" fillId="2" borderId="44" xfId="1" applyNumberFormat="1" applyFont="1" applyFill="1" applyBorder="1" applyAlignment="1">
      <alignment horizontal="center" vertical="center"/>
    </xf>
    <xf numFmtId="3" fontId="4" fillId="2" borderId="44" xfId="3" applyNumberFormat="1" applyFont="1" applyFill="1" applyBorder="1" applyAlignment="1">
      <alignment horizontal="center" vertical="center"/>
    </xf>
    <xf numFmtId="4" fontId="3" fillId="0" borderId="44" xfId="3" applyNumberFormat="1" applyFont="1" applyFill="1" applyBorder="1" applyAlignment="1">
      <alignment horizontal="center" vertical="center"/>
    </xf>
    <xf numFmtId="9" fontId="4" fillId="2" borderId="44" xfId="3" applyNumberFormat="1" applyFont="1" applyFill="1" applyBorder="1" applyAlignment="1">
      <alignment horizontal="center" vertical="center"/>
    </xf>
    <xf numFmtId="166" fontId="4" fillId="2" borderId="44" xfId="3" applyNumberFormat="1" applyFont="1" applyFill="1" applyBorder="1" applyAlignment="1">
      <alignment horizontal="center" vertical="center"/>
    </xf>
    <xf numFmtId="0" fontId="4" fillId="2" borderId="47" xfId="1" applyFont="1" applyFill="1" applyBorder="1" applyAlignment="1">
      <alignment horizontal="right" vertical="center"/>
    </xf>
    <xf numFmtId="0" fontId="4" fillId="2" borderId="48" xfId="1" applyFont="1" applyFill="1" applyBorder="1" applyAlignment="1">
      <alignment horizontal="right" vertical="center"/>
    </xf>
    <xf numFmtId="3" fontId="4" fillId="2" borderId="49" xfId="3" applyNumberFormat="1" applyFont="1" applyFill="1" applyBorder="1" applyAlignment="1">
      <alignment horizontal="center" vertical="center"/>
    </xf>
    <xf numFmtId="0" fontId="3" fillId="2" borderId="50" xfId="1" applyFont="1" applyFill="1" applyBorder="1" applyAlignment="1">
      <alignment horizontal="left" vertical="center"/>
    </xf>
    <xf numFmtId="165" fontId="3" fillId="2" borderId="51" xfId="3" applyNumberFormat="1" applyFont="1" applyFill="1" applyBorder="1" applyAlignment="1">
      <alignment horizontal="center" vertical="center"/>
    </xf>
    <xf numFmtId="0" fontId="4" fillId="2" borderId="43" xfId="1" applyFont="1" applyFill="1" applyBorder="1" applyAlignment="1">
      <alignment horizontal="right" vertical="center"/>
    </xf>
    <xf numFmtId="3" fontId="3" fillId="2" borderId="44" xfId="3" applyNumberFormat="1" applyFont="1" applyFill="1" applyBorder="1" applyAlignment="1">
      <alignment horizontal="center" vertical="center"/>
    </xf>
    <xf numFmtId="0" fontId="9" fillId="2" borderId="43" xfId="2" applyFont="1" applyFill="1" applyBorder="1" applyAlignment="1">
      <alignment vertical="center" wrapText="1"/>
    </xf>
    <xf numFmtId="170" fontId="4" fillId="2" borderId="44" xfId="3" applyNumberFormat="1" applyFont="1" applyFill="1" applyBorder="1" applyAlignment="1">
      <alignment horizontal="center" vertical="center"/>
    </xf>
    <xf numFmtId="0" fontId="14" fillId="7" borderId="43" xfId="2" applyFont="1" applyFill="1" applyBorder="1" applyAlignment="1">
      <alignment vertical="center" wrapText="1"/>
    </xf>
    <xf numFmtId="0" fontId="9" fillId="2" borderId="43" xfId="2" applyFont="1" applyFill="1" applyBorder="1" applyAlignment="1">
      <alignment horizontal="right" vertical="center" wrapText="1"/>
    </xf>
    <xf numFmtId="0" fontId="14" fillId="5" borderId="43" xfId="2" applyFont="1" applyFill="1" applyBorder="1" applyAlignment="1">
      <alignment vertical="center" wrapText="1"/>
    </xf>
    <xf numFmtId="3" fontId="5" fillId="7" borderId="44" xfId="3" applyNumberFormat="1" applyFont="1" applyFill="1" applyBorder="1" applyAlignment="1">
      <alignment horizontal="center" vertical="center"/>
    </xf>
    <xf numFmtId="9" fontId="4" fillId="2" borderId="44" xfId="1" applyNumberFormat="1" applyFont="1" applyFill="1" applyBorder="1" applyAlignment="1">
      <alignment horizontal="center" vertical="center"/>
    </xf>
    <xf numFmtId="1" fontId="11" fillId="2" borderId="44" xfId="1" applyNumberFormat="1" applyFont="1" applyFill="1" applyBorder="1" applyAlignment="1">
      <alignment horizontal="center"/>
    </xf>
    <xf numFmtId="0" fontId="9" fillId="13" borderId="43" xfId="2" applyFont="1" applyFill="1" applyBorder="1" applyAlignment="1">
      <alignment horizontal="left" vertical="center" wrapText="1"/>
    </xf>
    <xf numFmtId="0" fontId="36" fillId="11" borderId="43" xfId="1" applyFont="1" applyFill="1" applyBorder="1" applyAlignment="1">
      <alignment vertical="center"/>
    </xf>
    <xf numFmtId="166" fontId="36" fillId="11" borderId="44" xfId="3" applyNumberFormat="1" applyFont="1" applyFill="1" applyBorder="1" applyAlignment="1">
      <alignment horizontal="center" vertical="center"/>
    </xf>
    <xf numFmtId="0" fontId="3" fillId="2" borderId="43" xfId="1" applyFont="1" applyFill="1" applyBorder="1" applyAlignment="1">
      <alignment horizontal="right" vertical="center"/>
    </xf>
    <xf numFmtId="166" fontId="5" fillId="2" borderId="44" xfId="3" applyNumberFormat="1" applyFont="1" applyFill="1" applyBorder="1" applyAlignment="1">
      <alignment horizontal="center" vertical="center"/>
    </xf>
    <xf numFmtId="0" fontId="11" fillId="2" borderId="43" xfId="1" applyFont="1" applyFill="1" applyBorder="1" applyAlignment="1">
      <alignment vertical="center"/>
    </xf>
    <xf numFmtId="0" fontId="5" fillId="2" borderId="43" xfId="1" applyFont="1" applyFill="1" applyBorder="1" applyAlignment="1">
      <alignment vertical="center" wrapText="1"/>
    </xf>
    <xf numFmtId="166" fontId="11" fillId="2" borderId="44" xfId="3" applyNumberFormat="1" applyFont="1" applyFill="1" applyBorder="1" applyAlignment="1">
      <alignment horizontal="center" vertical="center"/>
    </xf>
    <xf numFmtId="0" fontId="11" fillId="2" borderId="43" xfId="1" applyFont="1" applyFill="1" applyBorder="1" applyAlignment="1">
      <alignment horizontal="right" vertical="center"/>
    </xf>
    <xf numFmtId="0" fontId="3" fillId="2" borderId="43" xfId="1" applyFont="1" applyFill="1" applyBorder="1" applyAlignment="1">
      <alignment vertical="center"/>
    </xf>
    <xf numFmtId="0" fontId="3" fillId="0" borderId="43" xfId="1" applyFont="1" applyFill="1" applyBorder="1" applyAlignment="1">
      <alignment vertical="center" wrapText="1"/>
    </xf>
    <xf numFmtId="0" fontId="36" fillId="11" borderId="43" xfId="1" applyNumberFormat="1" applyFont="1" applyFill="1" applyBorder="1" applyAlignment="1">
      <alignment vertical="center" wrapText="1"/>
    </xf>
    <xf numFmtId="0" fontId="4" fillId="2" borderId="45" xfId="1" applyFont="1" applyFill="1" applyBorder="1" applyAlignment="1">
      <alignment horizontal="right" vertical="center"/>
    </xf>
    <xf numFmtId="0" fontId="5" fillId="0" borderId="0" xfId="1" applyFont="1" applyFill="1" applyBorder="1" applyAlignment="1">
      <alignment vertical="center"/>
    </xf>
    <xf numFmtId="166" fontId="5" fillId="0" borderId="0" xfId="3" applyNumberFormat="1" applyFont="1" applyFill="1" applyBorder="1" applyAlignment="1">
      <alignment horizontal="center" vertical="center"/>
    </xf>
    <xf numFmtId="164" fontId="5" fillId="0" borderId="0" xfId="3" applyNumberFormat="1" applyFont="1" applyFill="1" applyBorder="1" applyAlignment="1">
      <alignment horizontal="center" vertical="center"/>
    </xf>
    <xf numFmtId="164" fontId="4" fillId="2" borderId="35" xfId="3" applyNumberFormat="1" applyFont="1" applyFill="1" applyBorder="1" applyAlignment="1">
      <alignment horizontal="center" vertical="center"/>
    </xf>
    <xf numFmtId="0" fontId="11" fillId="2" borderId="35" xfId="1" applyFont="1" applyFill="1" applyBorder="1"/>
    <xf numFmtId="0" fontId="36" fillId="12" borderId="40" xfId="1" applyFont="1" applyFill="1" applyBorder="1" applyAlignment="1">
      <alignment vertical="center"/>
    </xf>
    <xf numFmtId="3" fontId="36" fillId="12" borderId="41" xfId="3" applyNumberFormat="1" applyFont="1" applyFill="1" applyBorder="1" applyAlignment="1">
      <alignment horizontal="center" vertical="center"/>
    </xf>
    <xf numFmtId="4" fontId="4" fillId="2" borderId="44" xfId="3" applyNumberFormat="1" applyFont="1" applyFill="1" applyBorder="1" applyAlignment="1">
      <alignment horizontal="center" vertical="center"/>
    </xf>
    <xf numFmtId="171" fontId="4" fillId="2" borderId="44" xfId="3" applyNumberFormat="1" applyFont="1" applyFill="1" applyBorder="1" applyAlignment="1">
      <alignment horizontal="center" vertical="center"/>
    </xf>
    <xf numFmtId="166" fontId="3" fillId="2" borderId="52" xfId="3" applyNumberFormat="1" applyFont="1" applyFill="1" applyBorder="1" applyAlignment="1">
      <alignment horizontal="center" vertical="center"/>
    </xf>
    <xf numFmtId="166" fontId="4" fillId="2" borderId="52" xfId="3" applyNumberFormat="1" applyFont="1" applyFill="1" applyBorder="1" applyAlignment="1">
      <alignment horizontal="center" vertical="center"/>
    </xf>
    <xf numFmtId="4" fontId="5" fillId="4" borderId="18" xfId="3" applyNumberFormat="1" applyFont="1" applyFill="1" applyBorder="1" applyAlignment="1">
      <alignment horizontal="center" vertical="center"/>
    </xf>
    <xf numFmtId="4" fontId="5" fillId="4" borderId="44" xfId="3" applyNumberFormat="1" applyFont="1" applyFill="1" applyBorder="1" applyAlignment="1">
      <alignment horizontal="center" vertical="center"/>
    </xf>
    <xf numFmtId="0" fontId="5" fillId="4" borderId="45" xfId="1" applyFont="1" applyFill="1" applyBorder="1" applyAlignment="1">
      <alignment vertical="center"/>
    </xf>
    <xf numFmtId="167" fontId="5" fillId="4" borderId="21" xfId="3" applyNumberFormat="1" applyFont="1" applyFill="1" applyBorder="1" applyAlignment="1">
      <alignment horizontal="center" vertical="center"/>
    </xf>
    <xf numFmtId="168" fontId="14" fillId="4" borderId="21" xfId="5" applyFont="1" applyFill="1" applyBorder="1" applyAlignment="1">
      <alignment horizontal="center" vertical="center"/>
    </xf>
    <xf numFmtId="4" fontId="14" fillId="4" borderId="21" xfId="3" applyNumberFormat="1" applyFont="1" applyFill="1" applyBorder="1" applyAlignment="1">
      <alignment horizontal="center" vertical="center"/>
    </xf>
    <xf numFmtId="4" fontId="5" fillId="4" borderId="21" xfId="3" applyNumberFormat="1" applyFont="1" applyFill="1" applyBorder="1" applyAlignment="1">
      <alignment horizontal="center" vertical="center"/>
    </xf>
    <xf numFmtId="4" fontId="5" fillId="4" borderId="46" xfId="3" applyNumberFormat="1" applyFont="1" applyFill="1" applyBorder="1" applyAlignment="1">
      <alignment horizontal="center" vertical="center"/>
    </xf>
    <xf numFmtId="0" fontId="4" fillId="13" borderId="43" xfId="1" applyFont="1" applyFill="1" applyBorder="1" applyAlignment="1">
      <alignment vertical="center"/>
    </xf>
    <xf numFmtId="166" fontId="11" fillId="13" borderId="18" xfId="3" applyNumberFormat="1" applyFont="1" applyFill="1" applyBorder="1" applyAlignment="1">
      <alignment horizontal="center" vertical="center"/>
    </xf>
    <xf numFmtId="168" fontId="4" fillId="13" borderId="18" xfId="5" applyFont="1" applyFill="1" applyBorder="1" applyAlignment="1">
      <alignment horizontal="center" vertical="center"/>
    </xf>
    <xf numFmtId="3" fontId="4" fillId="13" borderId="18" xfId="3" applyNumberFormat="1" applyFont="1" applyFill="1" applyBorder="1" applyAlignment="1">
      <alignment horizontal="center" vertical="center"/>
    </xf>
    <xf numFmtId="3" fontId="4" fillId="13" borderId="44" xfId="3" applyNumberFormat="1" applyFont="1" applyFill="1" applyBorder="1" applyAlignment="1">
      <alignment horizontal="center" vertical="center"/>
    </xf>
    <xf numFmtId="0" fontId="5" fillId="4" borderId="0" xfId="1" applyFont="1" applyFill="1"/>
    <xf numFmtId="0" fontId="9" fillId="4" borderId="43" xfId="2" applyFont="1" applyFill="1" applyBorder="1" applyAlignment="1">
      <alignment vertical="center" wrapText="1"/>
    </xf>
    <xf numFmtId="166" fontId="11" fillId="4" borderId="18" xfId="1" applyNumberFormat="1" applyFont="1" applyFill="1" applyBorder="1" applyAlignment="1">
      <alignment horizontal="center"/>
    </xf>
    <xf numFmtId="166" fontId="4" fillId="4" borderId="18" xfId="3" applyNumberFormat="1" applyFont="1" applyFill="1" applyBorder="1" applyAlignment="1">
      <alignment horizontal="center" vertical="center"/>
    </xf>
    <xf numFmtId="168" fontId="11" fillId="4" borderId="18" xfId="5" applyFont="1" applyFill="1" applyBorder="1" applyAlignment="1">
      <alignment horizontal="center" vertical="center"/>
    </xf>
    <xf numFmtId="4" fontId="11" fillId="4" borderId="18" xfId="3" applyNumberFormat="1" applyFont="1" applyFill="1" applyBorder="1" applyAlignment="1">
      <alignment horizontal="center" vertical="center"/>
    </xf>
    <xf numFmtId="4" fontId="11" fillId="4" borderId="44" xfId="3" applyNumberFormat="1" applyFont="1" applyFill="1" applyBorder="1" applyAlignment="1">
      <alignment horizontal="center" vertical="center"/>
    </xf>
    <xf numFmtId="166" fontId="4" fillId="13" borderId="18" xfId="3" applyNumberFormat="1" applyFont="1" applyFill="1" applyBorder="1" applyAlignment="1">
      <alignment horizontal="center" vertical="center"/>
    </xf>
    <xf numFmtId="166" fontId="4" fillId="13" borderId="44" xfId="3" applyNumberFormat="1" applyFont="1" applyFill="1" applyBorder="1" applyAlignment="1">
      <alignment horizontal="center" vertical="center"/>
    </xf>
    <xf numFmtId="0" fontId="39" fillId="4" borderId="43" xfId="1" applyFont="1" applyFill="1" applyBorder="1" applyAlignment="1">
      <alignment vertical="center" wrapText="1"/>
    </xf>
    <xf numFmtId="3" fontId="39" fillId="4" borderId="18" xfId="3" applyNumberFormat="1" applyFont="1" applyFill="1" applyBorder="1" applyAlignment="1">
      <alignment horizontal="center" vertical="center"/>
    </xf>
    <xf numFmtId="4" fontId="39" fillId="4" borderId="4" xfId="1" applyNumberFormat="1" applyFont="1" applyFill="1" applyBorder="1"/>
    <xf numFmtId="0" fontId="39" fillId="4" borderId="0" xfId="1" applyFont="1" applyFill="1"/>
    <xf numFmtId="166" fontId="39" fillId="4" borderId="18" xfId="3" applyNumberFormat="1" applyFont="1" applyFill="1" applyBorder="1" applyAlignment="1">
      <alignment horizontal="center" vertical="center"/>
    </xf>
    <xf numFmtId="168" fontId="39" fillId="4" borderId="18" xfId="5" applyFont="1" applyFill="1" applyBorder="1" applyAlignment="1">
      <alignment horizontal="center" vertical="center"/>
    </xf>
    <xf numFmtId="166" fontId="39" fillId="4" borderId="44" xfId="3" applyNumberFormat="1" applyFont="1" applyFill="1" applyBorder="1" applyAlignment="1">
      <alignment horizontal="center" vertical="center"/>
    </xf>
    <xf numFmtId="3" fontId="5" fillId="4" borderId="43" xfId="1" applyNumberFormat="1" applyFont="1" applyFill="1" applyBorder="1" applyAlignment="1">
      <alignment vertical="center"/>
    </xf>
    <xf numFmtId="9" fontId="5" fillId="4" borderId="18" xfId="4" applyFont="1" applyFill="1" applyBorder="1" applyAlignment="1">
      <alignment horizontal="center" vertical="center"/>
    </xf>
    <xf numFmtId="3" fontId="5" fillId="4" borderId="18" xfId="3" applyNumberFormat="1" applyFont="1" applyFill="1" applyBorder="1" applyAlignment="1">
      <alignment horizontal="center" vertical="center"/>
    </xf>
    <xf numFmtId="3" fontId="5" fillId="4" borderId="44" xfId="3" applyNumberFormat="1" applyFont="1" applyFill="1" applyBorder="1" applyAlignment="1">
      <alignment horizontal="center" vertical="center"/>
    </xf>
    <xf numFmtId="4" fontId="5" fillId="4" borderId="4" xfId="1" applyNumberFormat="1" applyFont="1" applyFill="1" applyBorder="1"/>
    <xf numFmtId="4" fontId="5" fillId="4" borderId="0" xfId="1" applyNumberFormat="1" applyFont="1" applyFill="1"/>
    <xf numFmtId="0" fontId="5" fillId="4" borderId="43" xfId="1" applyFont="1" applyFill="1" applyBorder="1" applyAlignment="1">
      <alignment vertical="center"/>
    </xf>
    <xf numFmtId="9" fontId="5" fillId="4" borderId="18" xfId="3" applyNumberFormat="1" applyFont="1" applyFill="1" applyBorder="1" applyAlignment="1">
      <alignment horizontal="center" vertical="center"/>
    </xf>
    <xf numFmtId="4" fontId="5" fillId="4" borderId="4" xfId="3" applyNumberFormat="1" applyFont="1" applyFill="1" applyBorder="1" applyAlignment="1">
      <alignment horizontal="center" vertical="center"/>
    </xf>
    <xf numFmtId="4" fontId="5" fillId="4" borderId="43" xfId="1" applyNumberFormat="1" applyFont="1" applyFill="1" applyBorder="1" applyAlignment="1">
      <alignment vertical="center"/>
    </xf>
    <xf numFmtId="4" fontId="5" fillId="15" borderId="43" xfId="1" applyNumberFormat="1" applyFont="1" applyFill="1" applyBorder="1" applyAlignment="1">
      <alignment vertical="center"/>
    </xf>
    <xf numFmtId="4" fontId="5" fillId="15" borderId="18" xfId="3" applyNumberFormat="1" applyFont="1" applyFill="1" applyBorder="1" applyAlignment="1">
      <alignment horizontal="center" vertical="center"/>
    </xf>
    <xf numFmtId="0" fontId="12" fillId="2" borderId="0" xfId="1" applyFont="1" applyFill="1" applyAlignment="1">
      <alignment horizontal="center"/>
    </xf>
    <xf numFmtId="0" fontId="40" fillId="16" borderId="0" xfId="0" applyFont="1" applyFill="1"/>
    <xf numFmtId="0" fontId="42" fillId="16" borderId="0" xfId="0" applyFont="1" applyFill="1" applyAlignment="1">
      <alignment horizontal="left" vertical="top" wrapText="1"/>
    </xf>
    <xf numFmtId="0" fontId="0" fillId="0" borderId="0" xfId="0" applyAlignment="1">
      <alignment horizontal="left" vertical="top" wrapText="1"/>
    </xf>
    <xf numFmtId="182" fontId="42" fillId="16" borderId="5" xfId="5" applyNumberFormat="1" applyFont="1" applyFill="1" applyBorder="1" applyAlignment="1">
      <alignment horizontal="left" vertical="top" wrapText="1"/>
    </xf>
    <xf numFmtId="9" fontId="0" fillId="0" borderId="0" xfId="0" applyNumberFormat="1" applyBorder="1" applyAlignment="1">
      <alignment vertical="top" wrapText="1"/>
    </xf>
    <xf numFmtId="9" fontId="42" fillId="16" borderId="5" xfId="0" applyNumberFormat="1" applyFont="1" applyFill="1" applyBorder="1" applyAlignment="1">
      <alignment vertical="top" wrapText="1"/>
    </xf>
    <xf numFmtId="0" fontId="0" fillId="0" borderId="0" xfId="0" applyAlignment="1">
      <alignment vertical="top" wrapText="1"/>
    </xf>
    <xf numFmtId="0" fontId="42" fillId="16" borderId="5" xfId="0" applyFont="1" applyFill="1" applyBorder="1" applyAlignment="1">
      <alignment horizontal="center" vertical="center" wrapText="1"/>
    </xf>
    <xf numFmtId="0" fontId="42" fillId="16" borderId="5" xfId="0" applyFont="1" applyFill="1" applyBorder="1" applyAlignment="1">
      <alignment horizontal="center" vertical="center"/>
    </xf>
    <xf numFmtId="182" fontId="0" fillId="0" borderId="5" xfId="5" applyNumberFormat="1" applyFont="1" applyBorder="1" applyAlignment="1">
      <alignment horizontal="center" vertical="center"/>
    </xf>
    <xf numFmtId="182" fontId="0" fillId="17" borderId="5" xfId="5" applyNumberFormat="1" applyFont="1" applyFill="1" applyBorder="1"/>
    <xf numFmtId="182" fontId="0" fillId="0" borderId="5" xfId="5" applyNumberFormat="1" applyFont="1" applyBorder="1"/>
    <xf numFmtId="182" fontId="0" fillId="17" borderId="3" xfId="0" applyNumberFormat="1" applyFill="1" applyBorder="1" applyAlignment="1">
      <alignment horizontal="left" wrapText="1"/>
    </xf>
    <xf numFmtId="182" fontId="0" fillId="17" borderId="5" xfId="0" applyNumberFormat="1" applyFill="1" applyBorder="1" applyAlignment="1">
      <alignment horizontal="left" wrapText="1"/>
    </xf>
    <xf numFmtId="168" fontId="0" fillId="17" borderId="5" xfId="5" applyNumberFormat="1" applyFont="1" applyFill="1" applyBorder="1"/>
    <xf numFmtId="182" fontId="0" fillId="0" borderId="0" xfId="5" applyNumberFormat="1" applyFont="1" applyBorder="1"/>
    <xf numFmtId="182" fontId="0" fillId="17" borderId="53" xfId="0" applyNumberFormat="1" applyFill="1" applyBorder="1" applyAlignment="1">
      <alignment horizontal="center" vertical="center"/>
    </xf>
    <xf numFmtId="0" fontId="0" fillId="0" borderId="0" xfId="0" applyBorder="1"/>
    <xf numFmtId="182" fontId="0" fillId="17" borderId="5" xfId="0" applyNumberFormat="1" applyFill="1" applyBorder="1" applyAlignment="1">
      <alignment horizontal="center" vertical="center"/>
    </xf>
    <xf numFmtId="0" fontId="0" fillId="0" borderId="0" xfId="0" applyBorder="1" applyAlignment="1">
      <alignment horizontal="left" wrapText="1"/>
    </xf>
    <xf numFmtId="182" fontId="0" fillId="0" borderId="0" xfId="0" applyNumberFormat="1" applyBorder="1"/>
    <xf numFmtId="182" fontId="0" fillId="17" borderId="5" xfId="0" applyNumberFormat="1" applyFill="1" applyBorder="1"/>
    <xf numFmtId="182" fontId="0" fillId="18" borderId="5" xfId="0" applyNumberFormat="1" applyFill="1" applyBorder="1"/>
    <xf numFmtId="182" fontId="0" fillId="0" borderId="1" xfId="0" applyNumberFormat="1" applyFill="1" applyBorder="1"/>
    <xf numFmtId="168" fontId="0" fillId="17" borderId="53" xfId="0" applyNumberFormat="1" applyFill="1" applyBorder="1"/>
    <xf numFmtId="0" fontId="42" fillId="16" borderId="6" xfId="0" applyFont="1" applyFill="1" applyBorder="1" applyAlignment="1">
      <alignment horizontal="center" vertical="center"/>
    </xf>
    <xf numFmtId="173" fontId="46" fillId="18" borderId="5" xfId="4" applyNumberFormat="1" applyFont="1" applyFill="1" applyBorder="1" applyAlignment="1">
      <alignment horizontal="left" wrapText="1"/>
    </xf>
    <xf numFmtId="183" fontId="0" fillId="17" borderId="5" xfId="0" applyNumberFormat="1" applyFill="1" applyBorder="1"/>
    <xf numFmtId="173" fontId="0" fillId="0" borderId="0" xfId="4" applyNumberFormat="1" applyFont="1"/>
    <xf numFmtId="184" fontId="0" fillId="17" borderId="53" xfId="4" applyNumberFormat="1" applyFont="1" applyFill="1" applyBorder="1"/>
    <xf numFmtId="0" fontId="0" fillId="0" borderId="57" xfId="0" applyBorder="1"/>
    <xf numFmtId="0" fontId="0" fillId="0" borderId="58" xfId="0" applyBorder="1"/>
    <xf numFmtId="0" fontId="0" fillId="0" borderId="59" xfId="0" applyBorder="1"/>
    <xf numFmtId="0" fontId="0" fillId="0" borderId="60" xfId="0" applyBorder="1"/>
    <xf numFmtId="0" fontId="0" fillId="0" borderId="61" xfId="0" applyBorder="1"/>
    <xf numFmtId="0" fontId="0" fillId="0" borderId="5" xfId="0" applyBorder="1"/>
    <xf numFmtId="182" fontId="0" fillId="0" borderId="5" xfId="0" applyNumberFormat="1" applyBorder="1"/>
    <xf numFmtId="168" fontId="0" fillId="17" borderId="6" xfId="5" applyNumberFormat="1" applyFont="1" applyFill="1" applyBorder="1"/>
    <xf numFmtId="182" fontId="0" fillId="0" borderId="0" xfId="0" applyNumberFormat="1"/>
    <xf numFmtId="9" fontId="0" fillId="17" borderId="63" xfId="4" applyFont="1" applyFill="1" applyBorder="1" applyAlignment="1">
      <alignment horizontal="center" vertical="center"/>
    </xf>
    <xf numFmtId="168" fontId="44" fillId="12" borderId="5" xfId="0" applyNumberFormat="1" applyFont="1" applyFill="1" applyBorder="1"/>
    <xf numFmtId="9" fontId="44" fillId="12" borderId="5" xfId="4" applyFont="1" applyFill="1" applyBorder="1"/>
    <xf numFmtId="0" fontId="49" fillId="12" borderId="17" xfId="1" applyFont="1" applyFill="1" applyBorder="1" applyAlignment="1">
      <alignment horizontal="left" vertical="center"/>
    </xf>
    <xf numFmtId="0" fontId="37" fillId="12" borderId="15" xfId="1" applyFont="1" applyFill="1" applyBorder="1" applyAlignment="1">
      <alignment horizontal="center" vertical="center"/>
    </xf>
    <xf numFmtId="0" fontId="36" fillId="12" borderId="18" xfId="1" applyFont="1" applyFill="1" applyBorder="1" applyAlignment="1">
      <alignment horizontal="center" vertical="center"/>
    </xf>
    <xf numFmtId="0" fontId="11" fillId="18" borderId="0" xfId="1" applyFont="1" applyFill="1" applyBorder="1" applyAlignment="1">
      <alignment horizontal="center"/>
    </xf>
    <xf numFmtId="0" fontId="11" fillId="18" borderId="0" xfId="1" applyFont="1" applyFill="1" applyAlignment="1">
      <alignment horizontal="center"/>
    </xf>
    <xf numFmtId="0" fontId="11" fillId="19" borderId="0" xfId="1" applyFont="1" applyFill="1" applyBorder="1" applyAlignment="1">
      <alignment horizontal="center"/>
    </xf>
    <xf numFmtId="0" fontId="11" fillId="19" borderId="0" xfId="1" applyFont="1" applyFill="1" applyAlignment="1">
      <alignment horizontal="center"/>
    </xf>
    <xf numFmtId="0" fontId="37" fillId="12" borderId="0" xfId="1" applyFont="1" applyFill="1" applyBorder="1" applyAlignment="1">
      <alignment horizontal="center" vertical="center"/>
    </xf>
    <xf numFmtId="0" fontId="36" fillId="12" borderId="0" xfId="1" applyFont="1" applyFill="1" applyBorder="1"/>
    <xf numFmtId="166" fontId="11" fillId="2" borderId="64" xfId="3" applyNumberFormat="1" applyFont="1" applyFill="1" applyBorder="1" applyAlignment="1">
      <alignment horizontal="center" vertical="center"/>
    </xf>
    <xf numFmtId="166" fontId="5" fillId="2" borderId="64" xfId="3" applyNumberFormat="1" applyFont="1" applyFill="1" applyBorder="1" applyAlignment="1">
      <alignment horizontal="center" vertical="center"/>
    </xf>
    <xf numFmtId="3" fontId="16" fillId="2" borderId="64" xfId="3" applyNumberFormat="1" applyFont="1" applyFill="1" applyBorder="1" applyAlignment="1">
      <alignment horizontal="center" vertical="center"/>
    </xf>
    <xf numFmtId="3" fontId="4" fillId="2" borderId="64" xfId="3" applyNumberFormat="1" applyFont="1" applyFill="1" applyBorder="1" applyAlignment="1">
      <alignment horizontal="center" vertical="center"/>
    </xf>
    <xf numFmtId="0" fontId="4" fillId="2" borderId="66" xfId="1" applyFont="1" applyFill="1" applyBorder="1" applyAlignment="1">
      <alignment horizontal="right" vertical="center"/>
    </xf>
    <xf numFmtId="166" fontId="11" fillId="2" borderId="67" xfId="3" applyNumberFormat="1" applyFont="1" applyFill="1" applyBorder="1" applyAlignment="1">
      <alignment horizontal="center" vertical="center"/>
    </xf>
    <xf numFmtId="166" fontId="5" fillId="2" borderId="67" xfId="3" applyNumberFormat="1" applyFont="1" applyFill="1" applyBorder="1" applyAlignment="1">
      <alignment horizontal="center" vertical="center"/>
    </xf>
    <xf numFmtId="3" fontId="16" fillId="2" borderId="67" xfId="3" applyNumberFormat="1" applyFont="1" applyFill="1" applyBorder="1" applyAlignment="1">
      <alignment horizontal="center" vertical="center"/>
    </xf>
    <xf numFmtId="3" fontId="4" fillId="2" borderId="67" xfId="3" applyNumberFormat="1" applyFont="1" applyFill="1" applyBorder="1" applyAlignment="1">
      <alignment horizontal="center" vertical="center"/>
    </xf>
    <xf numFmtId="166" fontId="11" fillId="2" borderId="5" xfId="3" applyNumberFormat="1" applyFont="1" applyFill="1" applyBorder="1" applyAlignment="1">
      <alignment horizontal="center" vertical="center"/>
    </xf>
    <xf numFmtId="166" fontId="5" fillId="2" borderId="5" xfId="3" applyNumberFormat="1" applyFont="1" applyFill="1" applyBorder="1" applyAlignment="1">
      <alignment horizontal="center" vertical="center"/>
    </xf>
    <xf numFmtId="3" fontId="16" fillId="2" borderId="5" xfId="3" applyNumberFormat="1" applyFont="1" applyFill="1" applyBorder="1" applyAlignment="1">
      <alignment horizontal="center" vertical="center"/>
    </xf>
    <xf numFmtId="170" fontId="4" fillId="0" borderId="65" xfId="3" applyNumberFormat="1" applyFont="1" applyFill="1" applyBorder="1" applyAlignment="1">
      <alignment horizontal="center" vertical="center"/>
    </xf>
    <xf numFmtId="3" fontId="4" fillId="2" borderId="68" xfId="3" applyNumberFormat="1" applyFont="1" applyFill="1" applyBorder="1" applyAlignment="1">
      <alignment horizontal="center" vertical="center"/>
    </xf>
    <xf numFmtId="3" fontId="4" fillId="2" borderId="69" xfId="3" applyNumberFormat="1" applyFont="1" applyFill="1" applyBorder="1" applyAlignment="1">
      <alignment horizontal="center" vertical="center"/>
    </xf>
    <xf numFmtId="3" fontId="4" fillId="2" borderId="3" xfId="3" applyNumberFormat="1" applyFont="1" applyFill="1" applyBorder="1" applyAlignment="1">
      <alignment horizontal="center" vertical="center"/>
    </xf>
    <xf numFmtId="3" fontId="4" fillId="2" borderId="70" xfId="3" applyNumberFormat="1" applyFont="1" applyFill="1" applyBorder="1" applyAlignment="1">
      <alignment horizontal="center" vertical="center"/>
    </xf>
    <xf numFmtId="170" fontId="4" fillId="0" borderId="5" xfId="3" applyNumberFormat="1" applyFont="1" applyFill="1" applyBorder="1" applyAlignment="1">
      <alignment horizontal="center" vertical="center"/>
    </xf>
    <xf numFmtId="2" fontId="11" fillId="2" borderId="0" xfId="1" applyNumberFormat="1" applyFont="1" applyFill="1"/>
    <xf numFmtId="0" fontId="5" fillId="18" borderId="0" xfId="1" applyFont="1" applyFill="1" applyBorder="1"/>
    <xf numFmtId="166" fontId="39" fillId="4" borderId="71" xfId="1" applyNumberFormat="1" applyFont="1" applyFill="1" applyBorder="1"/>
    <xf numFmtId="0" fontId="36" fillId="11" borderId="72" xfId="1" applyFont="1" applyFill="1" applyBorder="1" applyAlignment="1">
      <alignment vertical="center"/>
    </xf>
    <xf numFmtId="0" fontId="5" fillId="0" borderId="5" xfId="1" applyFont="1" applyFill="1" applyBorder="1" applyAlignment="1">
      <alignment vertical="center"/>
    </xf>
    <xf numFmtId="166" fontId="5" fillId="0" borderId="5" xfId="3" applyNumberFormat="1" applyFont="1" applyFill="1" applyBorder="1" applyAlignment="1">
      <alignment horizontal="center" vertical="center"/>
    </xf>
    <xf numFmtId="164" fontId="5" fillId="0" borderId="5" xfId="3" applyNumberFormat="1" applyFont="1" applyFill="1" applyBorder="1" applyAlignment="1">
      <alignment horizontal="center" vertical="center"/>
    </xf>
    <xf numFmtId="0" fontId="5" fillId="0" borderId="5" xfId="1" applyFont="1" applyFill="1" applyBorder="1"/>
    <xf numFmtId="0" fontId="10" fillId="0" borderId="5" xfId="33" applyBorder="1"/>
    <xf numFmtId="9" fontId="10" fillId="0" borderId="5" xfId="33" applyNumberFormat="1" applyBorder="1"/>
    <xf numFmtId="3" fontId="10" fillId="0" borderId="5" xfId="33" applyNumberFormat="1" applyBorder="1"/>
    <xf numFmtId="166" fontId="5" fillId="11" borderId="6" xfId="3" applyNumberFormat="1" applyFont="1" applyFill="1" applyBorder="1" applyAlignment="1">
      <alignment horizontal="center" vertical="center"/>
    </xf>
    <xf numFmtId="164" fontId="5" fillId="11" borderId="6" xfId="3" applyNumberFormat="1" applyFont="1" applyFill="1" applyBorder="1" applyAlignment="1">
      <alignment horizontal="center" vertical="center"/>
    </xf>
    <xf numFmtId="0" fontId="5" fillId="11" borderId="6" xfId="1" applyFont="1" applyFill="1" applyBorder="1"/>
    <xf numFmtId="0" fontId="5" fillId="11" borderId="73" xfId="1" applyFont="1" applyFill="1" applyBorder="1"/>
    <xf numFmtId="166" fontId="36" fillId="11" borderId="6" xfId="3" applyNumberFormat="1" applyFont="1" applyFill="1" applyBorder="1" applyAlignment="1">
      <alignment horizontal="center" vertical="center"/>
    </xf>
    <xf numFmtId="10" fontId="5" fillId="0" borderId="5" xfId="3" applyNumberFormat="1" applyFont="1" applyFill="1" applyBorder="1" applyAlignment="1">
      <alignment horizontal="center" vertical="center"/>
    </xf>
    <xf numFmtId="0" fontId="4" fillId="16" borderId="74" xfId="1" applyFont="1" applyFill="1" applyBorder="1" applyAlignment="1">
      <alignment horizontal="right" vertical="center"/>
    </xf>
    <xf numFmtId="166" fontId="11" fillId="16" borderId="0" xfId="3" applyNumberFormat="1" applyFont="1" applyFill="1" applyBorder="1" applyAlignment="1">
      <alignment horizontal="center" vertical="center"/>
    </xf>
    <xf numFmtId="0" fontId="5" fillId="11" borderId="5" xfId="1" applyFont="1" applyFill="1" applyBorder="1" applyAlignment="1">
      <alignment vertical="center"/>
    </xf>
    <xf numFmtId="166" fontId="5" fillId="11" borderId="5" xfId="3" applyNumberFormat="1" applyFont="1" applyFill="1" applyBorder="1" applyAlignment="1">
      <alignment horizontal="center" vertical="center"/>
    </xf>
    <xf numFmtId="164" fontId="5" fillId="11" borderId="5" xfId="3" applyNumberFormat="1" applyFont="1" applyFill="1" applyBorder="1" applyAlignment="1">
      <alignment horizontal="center" vertical="center"/>
    </xf>
    <xf numFmtId="0" fontId="5" fillId="11" borderId="5" xfId="1" applyFont="1" applyFill="1" applyBorder="1"/>
    <xf numFmtId="166" fontId="5" fillId="11" borderId="5" xfId="1" applyNumberFormat="1" applyFont="1" applyFill="1" applyBorder="1" applyAlignment="1">
      <alignment horizontal="center"/>
    </xf>
    <xf numFmtId="0" fontId="5" fillId="18" borderId="0" xfId="1" applyFont="1" applyFill="1" applyBorder="1" applyAlignment="1">
      <alignment vertical="center"/>
    </xf>
    <xf numFmtId="166" fontId="5" fillId="18" borderId="5" xfId="3" applyNumberFormat="1" applyFont="1" applyFill="1" applyBorder="1" applyAlignment="1">
      <alignment horizontal="center" vertical="center"/>
    </xf>
    <xf numFmtId="166" fontId="5" fillId="0" borderId="0" xfId="1" applyNumberFormat="1" applyFont="1" applyFill="1" applyBorder="1"/>
    <xf numFmtId="3" fontId="36" fillId="12" borderId="30" xfId="3" applyNumberFormat="1" applyFont="1" applyFill="1" applyBorder="1" applyAlignment="1">
      <alignment horizontal="center" vertical="center"/>
    </xf>
    <xf numFmtId="12" fontId="5" fillId="4" borderId="44" xfId="3" applyNumberFormat="1" applyFont="1" applyFill="1" applyBorder="1" applyAlignment="1">
      <alignment horizontal="center" vertical="center"/>
    </xf>
    <xf numFmtId="0" fontId="4" fillId="2" borderId="20" xfId="1" applyFont="1" applyFill="1" applyBorder="1" applyAlignment="1">
      <alignment horizontal="right" vertical="center"/>
    </xf>
    <xf numFmtId="166" fontId="11" fillId="2" borderId="21" xfId="3" applyNumberFormat="1" applyFont="1" applyFill="1" applyBorder="1" applyAlignment="1">
      <alignment horizontal="center" vertical="center"/>
    </xf>
    <xf numFmtId="166" fontId="5" fillId="2" borderId="21" xfId="3" applyNumberFormat="1" applyFont="1" applyFill="1" applyBorder="1" applyAlignment="1">
      <alignment horizontal="center" vertical="center"/>
    </xf>
    <xf numFmtId="3" fontId="16" fillId="2" borderId="21" xfId="3" applyNumberFormat="1" applyFont="1" applyFill="1" applyBorder="1" applyAlignment="1">
      <alignment horizontal="center" vertical="center"/>
    </xf>
    <xf numFmtId="3" fontId="4" fillId="2" borderId="21" xfId="3" applyNumberFormat="1" applyFont="1" applyFill="1" applyBorder="1" applyAlignment="1">
      <alignment horizontal="center" vertical="center"/>
    </xf>
    <xf numFmtId="3" fontId="4" fillId="2" borderId="22" xfId="3" applyNumberFormat="1" applyFont="1" applyFill="1" applyBorder="1" applyAlignment="1">
      <alignment horizontal="center" vertical="center"/>
    </xf>
    <xf numFmtId="0" fontId="4" fillId="2" borderId="5" xfId="1" applyFont="1" applyFill="1" applyBorder="1" applyAlignment="1">
      <alignment horizontal="right" vertical="center"/>
    </xf>
    <xf numFmtId="3" fontId="11" fillId="18" borderId="0" xfId="1" applyNumberFormat="1" applyFont="1" applyFill="1" applyAlignment="1">
      <alignment horizontal="center"/>
    </xf>
    <xf numFmtId="3" fontId="11" fillId="19" borderId="0" xfId="1" applyNumberFormat="1" applyFont="1" applyFill="1" applyAlignment="1">
      <alignment horizontal="center"/>
    </xf>
    <xf numFmtId="0" fontId="11" fillId="2" borderId="5" xfId="1" applyFont="1" applyFill="1" applyBorder="1"/>
    <xf numFmtId="0" fontId="0" fillId="0" borderId="3" xfId="0" applyBorder="1" applyAlignment="1">
      <alignment vertical="center" wrapText="1"/>
    </xf>
    <xf numFmtId="166" fontId="11" fillId="2" borderId="5" xfId="1" applyNumberFormat="1" applyFont="1" applyFill="1" applyBorder="1" applyAlignment="1">
      <alignment horizontal="center"/>
    </xf>
    <xf numFmtId="185" fontId="0" fillId="0" borderId="0" xfId="0" applyNumberFormat="1" applyBorder="1" applyAlignment="1">
      <alignment vertical="center" wrapText="1"/>
    </xf>
    <xf numFmtId="185" fontId="11" fillId="2" borderId="0" xfId="1" applyNumberFormat="1" applyFont="1" applyFill="1"/>
    <xf numFmtId="166" fontId="5" fillId="2" borderId="5" xfId="1" applyNumberFormat="1" applyFont="1" applyFill="1" applyBorder="1" applyAlignment="1">
      <alignment horizontal="center"/>
    </xf>
    <xf numFmtId="182" fontId="46" fillId="0" borderId="5" xfId="0" applyNumberFormat="1" applyFont="1" applyBorder="1" applyAlignment="1">
      <alignment vertical="center" wrapText="1"/>
    </xf>
    <xf numFmtId="166" fontId="46" fillId="0" borderId="5" xfId="0" applyNumberFormat="1" applyFont="1" applyBorder="1" applyAlignment="1">
      <alignment vertical="center" wrapText="1"/>
    </xf>
    <xf numFmtId="168" fontId="11" fillId="2" borderId="5" xfId="1" applyNumberFormat="1" applyFont="1" applyFill="1" applyBorder="1" applyAlignment="1">
      <alignment horizontal="center"/>
    </xf>
    <xf numFmtId="182" fontId="11" fillId="2" borderId="5" xfId="1" applyNumberFormat="1" applyFont="1" applyFill="1" applyBorder="1" applyAlignment="1">
      <alignment horizontal="center"/>
    </xf>
    <xf numFmtId="0" fontId="11" fillId="2" borderId="3" xfId="1" applyFont="1" applyFill="1" applyBorder="1"/>
    <xf numFmtId="182" fontId="11" fillId="2" borderId="0" xfId="1" applyNumberFormat="1" applyFont="1" applyFill="1" applyBorder="1"/>
    <xf numFmtId="186" fontId="46" fillId="0" borderId="5" xfId="0" applyNumberFormat="1" applyFont="1" applyBorder="1" applyAlignment="1">
      <alignment vertical="center" wrapText="1"/>
    </xf>
    <xf numFmtId="187" fontId="13" fillId="2" borderId="5" xfId="1" applyNumberFormat="1" applyFont="1" applyFill="1" applyBorder="1" applyAlignment="1">
      <alignment horizontal="center"/>
    </xf>
    <xf numFmtId="166" fontId="11" fillId="2" borderId="0" xfId="1" applyNumberFormat="1" applyFont="1" applyFill="1"/>
    <xf numFmtId="0" fontId="0" fillId="0" borderId="0" xfId="0" applyAlignment="1">
      <alignment horizontal="center"/>
    </xf>
    <xf numFmtId="0" fontId="0" fillId="0" borderId="3" xfId="0" applyBorder="1" applyAlignment="1">
      <alignment horizontal="left" wrapText="1"/>
    </xf>
    <xf numFmtId="0" fontId="0" fillId="0" borderId="38" xfId="0" applyBorder="1" applyAlignment="1">
      <alignment horizontal="left" wrapText="1"/>
    </xf>
    <xf numFmtId="0" fontId="0" fillId="0" borderId="4" xfId="0" applyBorder="1" applyAlignment="1">
      <alignment horizontal="left" wrapText="1"/>
    </xf>
    <xf numFmtId="168" fontId="0" fillId="17" borderId="5" xfId="5" applyNumberFormat="1" applyFont="1" applyFill="1" applyBorder="1" applyAlignment="1">
      <alignment horizontal="center"/>
    </xf>
    <xf numFmtId="168" fontId="0" fillId="17" borderId="5" xfId="0" applyNumberFormat="1" applyFill="1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54" xfId="0" applyBorder="1" applyAlignment="1">
      <alignment horizontal="center" wrapText="1"/>
    </xf>
    <xf numFmtId="0" fontId="0" fillId="0" borderId="55" xfId="0" applyBorder="1" applyAlignment="1">
      <alignment horizontal="center"/>
    </xf>
    <xf numFmtId="0" fontId="0" fillId="0" borderId="56" xfId="0" applyBorder="1" applyAlignment="1">
      <alignment horizontal="center"/>
    </xf>
    <xf numFmtId="0" fontId="0" fillId="0" borderId="5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8" xfId="0" applyBorder="1" applyAlignment="1">
      <alignment horizontal="center"/>
    </xf>
    <xf numFmtId="0" fontId="41" fillId="0" borderId="0" xfId="0" applyFont="1" applyAlignment="1">
      <alignment horizontal="left" vertical="top" wrapText="1"/>
    </xf>
    <xf numFmtId="0" fontId="42" fillId="16" borderId="5" xfId="0" applyFont="1" applyFill="1" applyBorder="1" applyAlignment="1">
      <alignment horizontal="center"/>
    </xf>
    <xf numFmtId="0" fontId="0" fillId="0" borderId="7" xfId="0" applyBorder="1" applyAlignment="1">
      <alignment horizontal="left" wrapText="1"/>
    </xf>
    <xf numFmtId="0" fontId="0" fillId="0" borderId="8" xfId="0" applyBorder="1" applyAlignment="1">
      <alignment horizontal="left" wrapText="1"/>
    </xf>
    <xf numFmtId="0" fontId="0" fillId="0" borderId="9" xfId="0" applyBorder="1" applyAlignment="1">
      <alignment horizontal="left" wrapText="1"/>
    </xf>
    <xf numFmtId="0" fontId="0" fillId="0" borderId="5" xfId="0" applyBorder="1" applyAlignment="1">
      <alignment horizontal="left" wrapText="1"/>
    </xf>
    <xf numFmtId="182" fontId="41" fillId="0" borderId="7" xfId="5" applyNumberFormat="1" applyFont="1" applyBorder="1" applyAlignment="1">
      <alignment horizontal="left" vertical="center"/>
    </xf>
    <xf numFmtId="182" fontId="41" fillId="0" borderId="8" xfId="5" applyNumberFormat="1" applyFont="1" applyBorder="1" applyAlignment="1">
      <alignment horizontal="left" vertical="center"/>
    </xf>
    <xf numFmtId="182" fontId="41" fillId="0" borderId="9" xfId="5" applyNumberFormat="1" applyFont="1" applyBorder="1" applyAlignment="1">
      <alignment horizontal="left" vertical="center"/>
    </xf>
    <xf numFmtId="182" fontId="41" fillId="0" borderId="3" xfId="5" applyNumberFormat="1" applyFont="1" applyBorder="1" applyAlignment="1">
      <alignment horizontal="left" vertical="center"/>
    </xf>
    <xf numFmtId="182" fontId="41" fillId="0" borderId="38" xfId="5" applyNumberFormat="1" applyFont="1" applyBorder="1" applyAlignment="1">
      <alignment horizontal="left" vertical="center"/>
    </xf>
    <xf numFmtId="182" fontId="41" fillId="0" borderId="4" xfId="5" applyNumberFormat="1" applyFont="1" applyBorder="1" applyAlignment="1">
      <alignment horizontal="left" vertical="center"/>
    </xf>
    <xf numFmtId="0" fontId="0" fillId="0" borderId="54" xfId="0" applyBorder="1" applyAlignment="1">
      <alignment horizontal="center" vertical="top"/>
    </xf>
    <xf numFmtId="0" fontId="0" fillId="0" borderId="55" xfId="0" applyBorder="1" applyAlignment="1">
      <alignment horizontal="center" vertical="top"/>
    </xf>
    <xf numFmtId="0" fontId="0" fillId="0" borderId="56" xfId="0" applyBorder="1" applyAlignment="1">
      <alignment horizontal="center" vertical="top"/>
    </xf>
    <xf numFmtId="0" fontId="0" fillId="0" borderId="57" xfId="0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58" xfId="0" applyBorder="1" applyAlignment="1">
      <alignment horizontal="center" vertical="top"/>
    </xf>
    <xf numFmtId="0" fontId="0" fillId="0" borderId="59" xfId="0" applyBorder="1" applyAlignment="1">
      <alignment horizontal="center" vertical="top"/>
    </xf>
    <xf numFmtId="0" fontId="0" fillId="0" borderId="60" xfId="0" applyBorder="1" applyAlignment="1">
      <alignment horizontal="center" vertical="top"/>
    </xf>
    <xf numFmtId="0" fontId="0" fillId="0" borderId="61" xfId="0" applyBorder="1" applyAlignment="1">
      <alignment horizontal="center" vertical="top"/>
    </xf>
    <xf numFmtId="0" fontId="0" fillId="0" borderId="62" xfId="0" applyBorder="1" applyAlignment="1">
      <alignment horizontal="left" wrapText="1"/>
    </xf>
    <xf numFmtId="0" fontId="0" fillId="0" borderId="0" xfId="0" applyAlignment="1">
      <alignment horizontal="left" wrapText="1"/>
    </xf>
    <xf numFmtId="182" fontId="0" fillId="0" borderId="3" xfId="0" applyNumberFormat="1" applyBorder="1" applyAlignment="1">
      <alignment horizontal="left" vertical="center" wrapText="1"/>
    </xf>
    <xf numFmtId="182" fontId="0" fillId="0" borderId="38" xfId="0" applyNumberFormat="1" applyBorder="1" applyAlignment="1">
      <alignment horizontal="left" vertical="center" wrapText="1"/>
    </xf>
    <xf numFmtId="0" fontId="42" fillId="16" borderId="3" xfId="0" applyFont="1" applyFill="1" applyBorder="1" applyAlignment="1">
      <alignment horizontal="center"/>
    </xf>
    <xf numFmtId="0" fontId="42" fillId="16" borderId="38" xfId="0" applyFont="1" applyFill="1" applyBorder="1" applyAlignment="1">
      <alignment horizontal="center"/>
    </xf>
    <xf numFmtId="0" fontId="42" fillId="16" borderId="4" xfId="0" applyFont="1" applyFill="1" applyBorder="1" applyAlignment="1">
      <alignment horizontal="center"/>
    </xf>
    <xf numFmtId="0" fontId="0" fillId="0" borderId="3" xfId="0" applyBorder="1" applyAlignment="1">
      <alignment horizontal="left" vertical="center" wrapText="1"/>
    </xf>
    <xf numFmtId="0" fontId="0" fillId="0" borderId="38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0" xfId="0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17" borderId="0" xfId="0" applyFill="1" applyAlignment="1">
      <alignment horizontal="center"/>
    </xf>
    <xf numFmtId="0" fontId="35" fillId="12" borderId="3" xfId="1" applyFont="1" applyFill="1" applyBorder="1" applyAlignment="1">
      <alignment horizontal="center" vertical="center"/>
    </xf>
    <xf numFmtId="0" fontId="35" fillId="12" borderId="4" xfId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top" wrapText="1"/>
    </xf>
    <xf numFmtId="0" fontId="6" fillId="4" borderId="0" xfId="1" applyFont="1" applyFill="1" applyBorder="1" applyAlignment="1">
      <alignment horizontal="center" vertical="top" wrapText="1"/>
    </xf>
    <xf numFmtId="0" fontId="6" fillId="4" borderId="2" xfId="1" applyFont="1" applyFill="1" applyBorder="1" applyAlignment="1">
      <alignment horizontal="center" vertical="top" wrapText="1"/>
    </xf>
    <xf numFmtId="0" fontId="6" fillId="4" borderId="7" xfId="1" applyFont="1" applyFill="1" applyBorder="1" applyAlignment="1">
      <alignment horizontal="center" vertical="top" wrapText="1"/>
    </xf>
    <xf numFmtId="0" fontId="6" fillId="4" borderId="8" xfId="1" applyFont="1" applyFill="1" applyBorder="1" applyAlignment="1">
      <alignment horizontal="center" vertical="top" wrapText="1"/>
    </xf>
    <xf numFmtId="0" fontId="6" fillId="4" borderId="9" xfId="1" applyFont="1" applyFill="1" applyBorder="1" applyAlignment="1">
      <alignment horizontal="center" vertical="top" wrapText="1"/>
    </xf>
    <xf numFmtId="0" fontId="3" fillId="2" borderId="10" xfId="1" applyFont="1" applyFill="1" applyBorder="1" applyAlignment="1">
      <alignment horizontal="left" vertical="center" indent="1"/>
    </xf>
    <xf numFmtId="0" fontId="3" fillId="2" borderId="12" xfId="1" applyFont="1" applyFill="1" applyBorder="1" applyAlignment="1">
      <alignment horizontal="left" vertical="center" indent="1"/>
    </xf>
    <xf numFmtId="0" fontId="3" fillId="2" borderId="10" xfId="1" applyFont="1" applyFill="1" applyBorder="1" applyAlignment="1">
      <alignment horizontal="left" vertical="center" wrapText="1" indent="1"/>
    </xf>
    <xf numFmtId="0" fontId="3" fillId="2" borderId="12" xfId="1" applyFont="1" applyFill="1" applyBorder="1" applyAlignment="1">
      <alignment horizontal="left" vertical="center" wrapText="1" indent="1"/>
    </xf>
    <xf numFmtId="0" fontId="6" fillId="2" borderId="1" xfId="1" applyFont="1" applyFill="1" applyBorder="1" applyAlignment="1">
      <alignment horizontal="center" wrapText="1"/>
    </xf>
    <xf numFmtId="0" fontId="6" fillId="2" borderId="0" xfId="1" applyFont="1" applyFill="1" applyBorder="1" applyAlignment="1">
      <alignment horizontal="center" wrapText="1"/>
    </xf>
    <xf numFmtId="0" fontId="6" fillId="2" borderId="2" xfId="1" applyFont="1" applyFill="1" applyBorder="1" applyAlignment="1">
      <alignment horizontal="center" wrapText="1"/>
    </xf>
    <xf numFmtId="0" fontId="38" fillId="12" borderId="0" xfId="1" applyFont="1" applyFill="1" applyBorder="1" applyAlignment="1">
      <alignment horizontal="center" vertical="center"/>
    </xf>
    <xf numFmtId="165" fontId="11" fillId="14" borderId="18" xfId="1" applyNumberFormat="1" applyFont="1" applyFill="1" applyBorder="1" applyAlignment="1">
      <alignment horizontal="center"/>
    </xf>
    <xf numFmtId="0" fontId="6" fillId="2" borderId="0" xfId="1" applyFont="1" applyFill="1" applyAlignment="1">
      <alignment horizontal="center" wrapText="1"/>
    </xf>
    <xf numFmtId="166" fontId="5" fillId="2" borderId="18" xfId="3" applyNumberFormat="1" applyFont="1" applyFill="1" applyBorder="1" applyAlignment="1">
      <alignment horizontal="center" vertical="center" wrapText="1"/>
    </xf>
    <xf numFmtId="164" fontId="5" fillId="2" borderId="18" xfId="3" applyNumberFormat="1" applyFont="1" applyFill="1" applyBorder="1" applyAlignment="1">
      <alignment horizontal="center" vertical="center"/>
    </xf>
    <xf numFmtId="0" fontId="35" fillId="12" borderId="5" xfId="1" applyFont="1" applyFill="1" applyBorder="1" applyAlignment="1">
      <alignment horizontal="center" wrapText="1"/>
    </xf>
    <xf numFmtId="0" fontId="43" fillId="0" borderId="5" xfId="0" applyFont="1" applyBorder="1" applyAlignment="1">
      <alignment horizontal="left" wrapText="1"/>
    </xf>
    <xf numFmtId="182" fontId="44" fillId="12" borderId="5" xfId="0" applyNumberFormat="1" applyFont="1" applyFill="1" applyBorder="1" applyAlignment="1">
      <alignment horizontal="center"/>
    </xf>
    <xf numFmtId="0" fontId="12" fillId="2" borderId="3" xfId="1" applyFont="1" applyFill="1" applyBorder="1" applyAlignment="1">
      <alignment horizontal="center"/>
    </xf>
    <xf numFmtId="0" fontId="12" fillId="2" borderId="38" xfId="1" applyFont="1" applyFill="1" applyBorder="1" applyAlignment="1">
      <alignment horizontal="center"/>
    </xf>
    <xf numFmtId="0" fontId="12" fillId="2" borderId="9" xfId="1" applyFont="1" applyFill="1" applyBorder="1" applyAlignment="1">
      <alignment horizontal="center"/>
    </xf>
    <xf numFmtId="0" fontId="45" fillId="12" borderId="5" xfId="1" applyFont="1" applyFill="1" applyBorder="1" applyAlignment="1">
      <alignment horizontal="center" vertical="center" wrapText="1"/>
    </xf>
    <xf numFmtId="0" fontId="45" fillId="12" borderId="5" xfId="1" applyFont="1" applyFill="1" applyBorder="1" applyAlignment="1">
      <alignment horizontal="center" vertical="center"/>
    </xf>
    <xf numFmtId="168" fontId="44" fillId="12" borderId="5" xfId="5" applyNumberFormat="1" applyFont="1" applyFill="1" applyBorder="1" applyAlignment="1">
      <alignment horizontal="center"/>
    </xf>
    <xf numFmtId="0" fontId="37" fillId="12" borderId="15" xfId="1" applyFont="1" applyFill="1" applyBorder="1" applyAlignment="1">
      <alignment horizontal="center" vertical="center"/>
    </xf>
    <xf numFmtId="0" fontId="36" fillId="12" borderId="14" xfId="1" applyFont="1" applyFill="1" applyBorder="1" applyAlignment="1">
      <alignment horizontal="center" vertical="center"/>
    </xf>
    <xf numFmtId="0" fontId="36" fillId="12" borderId="15" xfId="1" applyFont="1" applyFill="1" applyBorder="1" applyAlignment="1">
      <alignment horizontal="center" vertical="center"/>
    </xf>
    <xf numFmtId="0" fontId="36" fillId="12" borderId="17" xfId="1" applyFont="1" applyFill="1" applyBorder="1" applyAlignment="1">
      <alignment horizontal="center" vertical="center"/>
    </xf>
    <xf numFmtId="0" fontId="36" fillId="12" borderId="18" xfId="1" applyFont="1" applyFill="1" applyBorder="1" applyAlignment="1">
      <alignment horizontal="center" vertical="center"/>
    </xf>
    <xf numFmtId="0" fontId="3" fillId="0" borderId="36" xfId="1" applyFont="1" applyFill="1" applyBorder="1" applyAlignment="1">
      <alignment horizontal="left" vertical="center" wrapText="1"/>
    </xf>
    <xf numFmtId="0" fontId="36" fillId="12" borderId="40" xfId="1" applyFont="1" applyFill="1" applyBorder="1" applyAlignment="1">
      <alignment horizontal="center" vertical="center"/>
    </xf>
    <xf numFmtId="0" fontId="36" fillId="12" borderId="41" xfId="1" applyFont="1" applyFill="1" applyBorder="1" applyAlignment="1">
      <alignment horizontal="center" vertical="center"/>
    </xf>
    <xf numFmtId="0" fontId="36" fillId="12" borderId="43" xfId="1" applyFont="1" applyFill="1" applyBorder="1" applyAlignment="1">
      <alignment horizontal="center" vertical="center"/>
    </xf>
    <xf numFmtId="0" fontId="37" fillId="12" borderId="41" xfId="1" applyFont="1" applyFill="1" applyBorder="1" applyAlignment="1">
      <alignment horizontal="center" vertical="center"/>
    </xf>
    <xf numFmtId="166" fontId="11" fillId="2" borderId="0" xfId="1" applyNumberFormat="1" applyFont="1" applyFill="1" applyBorder="1"/>
    <xf numFmtId="0" fontId="0" fillId="4" borderId="0" xfId="0" applyFill="1" applyBorder="1" applyAlignment="1">
      <alignment vertical="top"/>
    </xf>
    <xf numFmtId="0" fontId="13" fillId="2" borderId="0" xfId="1" applyFont="1" applyFill="1" applyAlignment="1">
      <alignment horizontal="center"/>
    </xf>
    <xf numFmtId="166" fontId="4" fillId="2" borderId="35" xfId="1" applyNumberFormat="1" applyFont="1" applyFill="1" applyBorder="1" applyAlignment="1">
      <alignment vertical="center"/>
    </xf>
  </cellXfs>
  <cellStyles count="37">
    <cellStyle name="_Б_Декабрьская АИБИ" xfId="6"/>
    <cellStyle name="_Лагерный пер. А" xfId="7"/>
    <cellStyle name="alternate" xfId="8"/>
    <cellStyle name="art" xfId="9"/>
    <cellStyle name="Comma_testik" xfId="10"/>
    <cellStyle name="Comma0" xfId="11"/>
    <cellStyle name="Date" xfId="12"/>
    <cellStyle name="done" xfId="13"/>
    <cellStyle name="Dziesiêtny [0]_1" xfId="14"/>
    <cellStyle name="Dziesiêtny_1" xfId="15"/>
    <cellStyle name="Euro" xfId="16"/>
    <cellStyle name="Grey" xfId="17"/>
    <cellStyle name="Header1" xfId="18"/>
    <cellStyle name="Header2" xfId="19"/>
    <cellStyle name="Input [yellow]" xfId="20"/>
    <cellStyle name="Normal - Style1" xfId="21"/>
    <cellStyle name="Normal_CF - Budget till 1998" xfId="22"/>
    <cellStyle name="normální_Rozvaha - aktiva" xfId="23"/>
    <cellStyle name="Normalny_0" xfId="24"/>
    <cellStyle name="normбlnм_laroux" xfId="25"/>
    <cellStyle name="Percent [2]" xfId="26"/>
    <cellStyle name="STYLE1 - Style1" xfId="27"/>
    <cellStyle name="Währung [0]_laroux" xfId="28"/>
    <cellStyle name="Währung_laroux" xfId="29"/>
    <cellStyle name="Walutowy [0]_1" xfId="30"/>
    <cellStyle name="Walutowy_1" xfId="31"/>
    <cellStyle name="Обычный" xfId="0" builtinId="0"/>
    <cellStyle name="Обычный 2 2 2 2 2 2" xfId="32"/>
    <cellStyle name="Обычный 2 4" xfId="33"/>
    <cellStyle name="Обычный_Расчёт новый 2" xfId="2"/>
    <cellStyle name="Обычный_Расчет эфф проекта_Борзова-проба3" xfId="1"/>
    <cellStyle name="Процентный 2" xfId="4"/>
    <cellStyle name="Процентный 41" xfId="34"/>
    <cellStyle name="Стиль 1" xfId="35"/>
    <cellStyle name="Тысячи [0]_PR_KOMPL" xfId="36"/>
    <cellStyle name="Финансовый [0] 2" xfId="3"/>
    <cellStyle name="Финансовый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externalLink" Target="externalLinks/externalLink10.xml"/><Relationship Id="rId18" Type="http://schemas.openxmlformats.org/officeDocument/2006/relationships/externalLink" Target="externalLinks/externalLink15.xml"/><Relationship Id="rId26" Type="http://schemas.openxmlformats.org/officeDocument/2006/relationships/externalLink" Target="externalLinks/externalLink23.xml"/><Relationship Id="rId39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8.xml"/><Relationship Id="rId34" Type="http://schemas.openxmlformats.org/officeDocument/2006/relationships/externalLink" Target="externalLinks/externalLink31.xml"/><Relationship Id="rId7" Type="http://schemas.openxmlformats.org/officeDocument/2006/relationships/externalLink" Target="externalLinks/externalLink4.xml"/><Relationship Id="rId12" Type="http://schemas.openxmlformats.org/officeDocument/2006/relationships/externalLink" Target="externalLinks/externalLink9.xml"/><Relationship Id="rId17" Type="http://schemas.openxmlformats.org/officeDocument/2006/relationships/externalLink" Target="externalLinks/externalLink14.xml"/><Relationship Id="rId25" Type="http://schemas.openxmlformats.org/officeDocument/2006/relationships/externalLink" Target="externalLinks/externalLink22.xml"/><Relationship Id="rId33" Type="http://schemas.openxmlformats.org/officeDocument/2006/relationships/externalLink" Target="externalLinks/externalLink30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3.xml"/><Relationship Id="rId20" Type="http://schemas.openxmlformats.org/officeDocument/2006/relationships/externalLink" Target="externalLinks/externalLink17.xml"/><Relationship Id="rId29" Type="http://schemas.openxmlformats.org/officeDocument/2006/relationships/externalLink" Target="externalLinks/externalLink26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externalLink" Target="externalLinks/externalLink8.xml"/><Relationship Id="rId24" Type="http://schemas.openxmlformats.org/officeDocument/2006/relationships/externalLink" Target="externalLinks/externalLink21.xml"/><Relationship Id="rId32" Type="http://schemas.openxmlformats.org/officeDocument/2006/relationships/externalLink" Target="externalLinks/externalLink29.xml"/><Relationship Id="rId37" Type="http://schemas.openxmlformats.org/officeDocument/2006/relationships/styles" Target="styles.xml"/><Relationship Id="rId5" Type="http://schemas.openxmlformats.org/officeDocument/2006/relationships/externalLink" Target="externalLinks/externalLink2.xml"/><Relationship Id="rId15" Type="http://schemas.openxmlformats.org/officeDocument/2006/relationships/externalLink" Target="externalLinks/externalLink12.xml"/><Relationship Id="rId23" Type="http://schemas.openxmlformats.org/officeDocument/2006/relationships/externalLink" Target="externalLinks/externalLink20.xml"/><Relationship Id="rId28" Type="http://schemas.openxmlformats.org/officeDocument/2006/relationships/externalLink" Target="externalLinks/externalLink25.xml"/><Relationship Id="rId36" Type="http://schemas.openxmlformats.org/officeDocument/2006/relationships/theme" Target="theme/theme1.xml"/><Relationship Id="rId10" Type="http://schemas.openxmlformats.org/officeDocument/2006/relationships/externalLink" Target="externalLinks/externalLink7.xml"/><Relationship Id="rId19" Type="http://schemas.openxmlformats.org/officeDocument/2006/relationships/externalLink" Target="externalLinks/externalLink16.xml"/><Relationship Id="rId31" Type="http://schemas.openxmlformats.org/officeDocument/2006/relationships/externalLink" Target="externalLinks/externalLink28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externalLink" Target="externalLinks/externalLink11.xml"/><Relationship Id="rId22" Type="http://schemas.openxmlformats.org/officeDocument/2006/relationships/externalLink" Target="externalLinks/externalLink19.xml"/><Relationship Id="rId27" Type="http://schemas.openxmlformats.org/officeDocument/2006/relationships/externalLink" Target="externalLinks/externalLink24.xml"/><Relationship Id="rId30" Type="http://schemas.openxmlformats.org/officeDocument/2006/relationships/externalLink" Target="externalLinks/externalLink27.xml"/><Relationship Id="rId35" Type="http://schemas.openxmlformats.org/officeDocument/2006/relationships/externalLink" Target="externalLinks/externalLink3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NV</c:v>
          </c:tx>
          <c:invertIfNegative val="0"/>
          <c:val>
            <c:numRef>
              <c:f>Задачи!$F$21</c:f>
              <c:numCache>
                <c:formatCode>_-* #\ ##0_р_._-;\-* #\ ##0_р_._-;_-* "-"??_р_._-;_-@_-</c:formatCode>
                <c:ptCount val="1"/>
                <c:pt idx="0">
                  <c:v>160000000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36-4D10-8715-BA0C59655FCD}"/>
            </c:ext>
          </c:extLst>
        </c:ser>
        <c:ser>
          <c:idx val="1"/>
          <c:order val="1"/>
          <c:tx>
            <c:v>NPV</c:v>
          </c:tx>
          <c:invertIfNegative val="0"/>
          <c:val>
            <c:numRef>
              <c:f>Задачи!$F$22</c:f>
              <c:numCache>
                <c:formatCode>_-* #\ ##0_р_._-;\-* #\ ##0_р_._-;_-* "-"??_р_._-;_-@_-</c:formatCode>
                <c:ptCount val="1"/>
                <c:pt idx="0">
                  <c:v>14240485.398768097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36-4D10-8715-BA0C59655FCD}"/>
            </c:ext>
          </c:extLst>
        </c:ser>
        <c:ser>
          <c:idx val="2"/>
          <c:order val="2"/>
          <c:tx>
            <c:v>Недисконтированный денежный поток</c:v>
          </c:tx>
          <c:invertIfNegative val="0"/>
          <c:val>
            <c:numRef>
              <c:f>Задачи!$F$17:$O$17</c:f>
              <c:numCache>
                <c:formatCode>_-* #\ ##0_р_._-;\-* #\ ##0_р_._-;_-* "-"??_р_._-;_-@_-</c:formatCode>
                <c:ptCount val="10"/>
                <c:pt idx="0">
                  <c:v>-2500000</c:v>
                </c:pt>
                <c:pt idx="1">
                  <c:v>-23750000</c:v>
                </c:pt>
                <c:pt idx="2">
                  <c:v>-23750000</c:v>
                </c:pt>
                <c:pt idx="3">
                  <c:v>30000000</c:v>
                </c:pt>
                <c:pt idx="4">
                  <c:v>30000000</c:v>
                </c:pt>
                <c:pt idx="5">
                  <c:v>30000000</c:v>
                </c:pt>
                <c:pt idx="6">
                  <c:v>30000000</c:v>
                </c:pt>
                <c:pt idx="7">
                  <c:v>30000000</c:v>
                </c:pt>
                <c:pt idx="8">
                  <c:v>30000000</c:v>
                </c:pt>
                <c:pt idx="9">
                  <c:v>30000000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36-4D10-8715-BA0C59655FCD}"/>
            </c:ext>
          </c:extLst>
        </c:ser>
        <c:ser>
          <c:idx val="3"/>
          <c:order val="3"/>
          <c:tx>
            <c:v>Дисконтированный денежный поток</c:v>
          </c:tx>
          <c:invertIfNegative val="0"/>
          <c:val>
            <c:numRef>
              <c:f>Задачи!$F$19:$O$19</c:f>
              <c:numCache>
                <c:formatCode>_-* #\ ##0_р_._-;\-* #\ ##0_р_._-;_-* "-"??_р_._-;_-@_-</c:formatCode>
                <c:ptCount val="10"/>
                <c:pt idx="0">
                  <c:v>-1953125</c:v>
                </c:pt>
                <c:pt idx="1">
                  <c:v>-14495849.609375</c:v>
                </c:pt>
                <c:pt idx="2">
                  <c:v>-11324882.507324217</c:v>
                </c:pt>
                <c:pt idx="3">
                  <c:v>11175870.895385742</c:v>
                </c:pt>
                <c:pt idx="4">
                  <c:v>8731149.1370201111</c:v>
                </c:pt>
                <c:pt idx="5">
                  <c:v>6821210.2632969618</c:v>
                </c:pt>
                <c:pt idx="6">
                  <c:v>5329070.5182007505</c:v>
                </c:pt>
                <c:pt idx="7">
                  <c:v>4163336.3423443362</c:v>
                </c:pt>
                <c:pt idx="8">
                  <c:v>3252606.5174565129</c:v>
                </c:pt>
                <c:pt idx="9">
                  <c:v>2541098.8417629008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536-4D10-8715-BA0C59655F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973248"/>
        <c:axId val="191974784"/>
      </c:barChart>
      <c:catAx>
        <c:axId val="191973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91974784"/>
        <c:crosses val="autoZero"/>
        <c:auto val="1"/>
        <c:lblAlgn val="ctr"/>
        <c:lblOffset val="100"/>
        <c:noMultiLvlLbl val="0"/>
      </c:catAx>
      <c:valAx>
        <c:axId val="191974784"/>
        <c:scaling>
          <c:orientation val="minMax"/>
        </c:scaling>
        <c:delete val="0"/>
        <c:axPos val="l"/>
        <c:majorGridlines/>
        <c:numFmt formatCode="_-* #\ ##0_р_._-;\-* #\ ##0_р_._-;_-* &quot;-&quot;??_р_._-;_-@_-" sourceLinked="1"/>
        <c:majorTickMark val="out"/>
        <c:minorTickMark val="none"/>
        <c:tickLblPos val="nextTo"/>
        <c:crossAx val="1919732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Задачи!$C$39</c:f>
              <c:strCache>
                <c:ptCount val="1"/>
                <c:pt idx="0">
                  <c:v>Дисконтированный срок окупаемости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Задачи!$F$36:$O$36</c:f>
              <c:numCache>
                <c:formatCode>_-* #\ ##0_р_._-;\-* #\ ##0_р_._-;_-* "-"??_р_._-;_-@_-</c:formatCode>
                <c:ptCount val="10"/>
                <c:pt idx="0">
                  <c:v>-1953125</c:v>
                </c:pt>
                <c:pt idx="1">
                  <c:v>-16448974.609375</c:v>
                </c:pt>
                <c:pt idx="2">
                  <c:v>-27773857.116699219</c:v>
                </c:pt>
                <c:pt idx="3">
                  <c:v>-16597986.221313477</c:v>
                </c:pt>
                <c:pt idx="4">
                  <c:v>-7866837.0842933655</c:v>
                </c:pt>
                <c:pt idx="5">
                  <c:v>-1045626.8209964037</c:v>
                </c:pt>
                <c:pt idx="6">
                  <c:v>4283443.6972043468</c:v>
                </c:pt>
                <c:pt idx="7">
                  <c:v>8446780.0395486839</c:v>
                </c:pt>
                <c:pt idx="8">
                  <c:v>11699386.557005197</c:v>
                </c:pt>
                <c:pt idx="9">
                  <c:v>14240485.398768097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6C6-4EB4-BB1D-798284D13A46}"/>
            </c:ext>
          </c:extLst>
        </c:ser>
        <c:ser>
          <c:idx val="0"/>
          <c:order val="1"/>
          <c:tx>
            <c:strRef>
              <c:f>Задачи!$C$38</c:f>
              <c:strCache>
                <c:ptCount val="1"/>
                <c:pt idx="0">
                  <c:v>Простой срок окупаемости, лет.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Задачи!$F$35:$O$35</c:f>
              <c:numCache>
                <c:formatCode>_-* #\ ##0_р_._-;\-* #\ ##0_р_._-;_-* "-"??_р_._-;_-@_-</c:formatCode>
                <c:ptCount val="10"/>
                <c:pt idx="0">
                  <c:v>-2500000</c:v>
                </c:pt>
                <c:pt idx="1">
                  <c:v>-26250000</c:v>
                </c:pt>
                <c:pt idx="2">
                  <c:v>-50000000</c:v>
                </c:pt>
                <c:pt idx="3">
                  <c:v>-20000000</c:v>
                </c:pt>
                <c:pt idx="4">
                  <c:v>10000000</c:v>
                </c:pt>
                <c:pt idx="5">
                  <c:v>40000000</c:v>
                </c:pt>
                <c:pt idx="6">
                  <c:v>70000000</c:v>
                </c:pt>
                <c:pt idx="7">
                  <c:v>100000000</c:v>
                </c:pt>
                <c:pt idx="8">
                  <c:v>130000000</c:v>
                </c:pt>
                <c:pt idx="9">
                  <c:v>160000000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6C6-4EB4-BB1D-798284D13A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009344"/>
        <c:axId val="192010880"/>
      </c:lineChart>
      <c:catAx>
        <c:axId val="1920093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2010880"/>
        <c:crosses val="autoZero"/>
        <c:auto val="1"/>
        <c:lblAlgn val="ctr"/>
        <c:lblOffset val="100"/>
        <c:noMultiLvlLbl val="0"/>
      </c:catAx>
      <c:valAx>
        <c:axId val="19201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_р_._-;\-* #\ ##0_р_._-;_-* &quot;-&quot;??_р_.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2009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520864857866499"/>
          <c:y val="0.24918970424664874"/>
          <c:w val="0.84012736585721104"/>
          <c:h val="0.30109891187980031"/>
        </c:manualLayout>
      </c:layout>
      <c:lineChart>
        <c:grouping val="standard"/>
        <c:varyColors val="0"/>
        <c:ser>
          <c:idx val="0"/>
          <c:order val="0"/>
          <c:tx>
            <c:strRef>
              <c:f>'Весь проект'!$A$96:$C$96</c:f>
              <c:strCache>
                <c:ptCount val="3"/>
                <c:pt idx="0">
                  <c:v>Простой срок окупаемости, кварталов/ лет</c:v>
                </c:pt>
              </c:strCache>
            </c:strRef>
          </c:tx>
          <c:marker>
            <c:symbol val="none"/>
          </c:marker>
          <c:val>
            <c:numRef>
              <c:f>'Весь проект'!$B$127:$O$127</c:f>
              <c:numCache>
                <c:formatCode>_-* #\ ##0_р_._-;\-* #\ ##0_р_._-;_-* "-"??_р_._-;_-@_-</c:formatCode>
                <c:ptCount val="14"/>
                <c:pt idx="0">
                  <c:v>-85358517.979999989</c:v>
                </c:pt>
                <c:pt idx="1">
                  <c:v>-106397238.07939999</c:v>
                </c:pt>
                <c:pt idx="2">
                  <c:v>-273481510.17879999</c:v>
                </c:pt>
                <c:pt idx="3">
                  <c:v>-675508782.27819991</c:v>
                </c:pt>
                <c:pt idx="4">
                  <c:v>-171980753.71601218</c:v>
                </c:pt>
                <c:pt idx="5">
                  <c:v>59110333.481349051</c:v>
                </c:pt>
                <c:pt idx="6">
                  <c:v>67528704.758624256</c:v>
                </c:pt>
                <c:pt idx="7">
                  <c:v>231766222.17910141</c:v>
                </c:pt>
                <c:pt idx="8">
                  <c:v>358716363.48947686</c:v>
                </c:pt>
                <c:pt idx="9">
                  <c:v>540082060.80288601</c:v>
                </c:pt>
                <c:pt idx="10">
                  <c:v>847790869.42600429</c:v>
                </c:pt>
                <c:pt idx="11">
                  <c:v>1115746646.6163583</c:v>
                </c:pt>
                <c:pt idx="12">
                  <c:v>1356773626.3754692</c:v>
                </c:pt>
                <c:pt idx="13">
                  <c:v>1811189451.3157699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47-443F-8A66-88A034009133}"/>
            </c:ext>
          </c:extLst>
        </c:ser>
        <c:ser>
          <c:idx val="1"/>
          <c:order val="1"/>
          <c:tx>
            <c:strRef>
              <c:f>'Весь проект'!$A$97:$C$97</c:f>
              <c:strCache>
                <c:ptCount val="3"/>
                <c:pt idx="0">
                  <c:v>Дисконтированный срок окупаемости, кварталов/ лет</c:v>
                </c:pt>
              </c:strCache>
            </c:strRef>
          </c:tx>
          <c:marker>
            <c:symbol val="none"/>
          </c:marker>
          <c:val>
            <c:numRef>
              <c:f>'Весь проект'!$B$130:$O$130</c:f>
              <c:numCache>
                <c:formatCode>#\ ##0_ ;\-#\ ##0\ </c:formatCode>
                <c:ptCount val="14"/>
                <c:pt idx="0">
                  <c:v>-83522502.07299152</c:v>
                </c:pt>
                <c:pt idx="1">
                  <c:v>-103232619.20801087</c:v>
                </c:pt>
                <c:pt idx="2">
                  <c:v>-253104003.99490297</c:v>
                </c:pt>
                <c:pt idx="3">
                  <c:v>-598368501.80901146</c:v>
                </c:pt>
                <c:pt idx="4">
                  <c:v>-184337064.0544138</c:v>
                </c:pt>
                <c:pt idx="5">
                  <c:v>-2406308.1941705048</c:v>
                </c:pt>
                <c:pt idx="6">
                  <c:v>3939168.6460446622</c:v>
                </c:pt>
                <c:pt idx="7">
                  <c:v>122467404.11360578</c:v>
                </c:pt>
                <c:pt idx="8">
                  <c:v>210186853.24087879</c:v>
                </c:pt>
                <c:pt idx="9">
                  <c:v>330173002.78749102</c:v>
                </c:pt>
                <c:pt idx="10">
                  <c:v>525080773.90071678</c:v>
                </c:pt>
                <c:pt idx="11">
                  <c:v>687585355.92284155</c:v>
                </c:pt>
                <c:pt idx="12">
                  <c:v>827538095.570346</c:v>
                </c:pt>
                <c:pt idx="13">
                  <c:v>1080166659.0095742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47-443F-8A66-88A0340091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009344"/>
        <c:axId val="192010880"/>
      </c:lineChart>
      <c:catAx>
        <c:axId val="1920093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2010880"/>
        <c:crosses val="autoZero"/>
        <c:auto val="1"/>
        <c:lblAlgn val="ctr"/>
        <c:lblOffset val="100"/>
        <c:noMultiLvlLbl val="0"/>
      </c:catAx>
      <c:valAx>
        <c:axId val="19201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_р_._-;\-* #\ ##0_р_._-;_-* &quot;-&quot;??_р_.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2009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361950</xdr:colOff>
      <xdr:row>60</xdr:row>
      <xdr:rowOff>133350</xdr:rowOff>
    </xdr:from>
    <xdr:to>
      <xdr:col>10</xdr:col>
      <xdr:colOff>875986</xdr:colOff>
      <xdr:row>66</xdr:row>
      <xdr:rowOff>104607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05550" y="19383375"/>
          <a:ext cx="2514286" cy="1342857"/>
        </a:xfrm>
        <a:prstGeom prst="rect">
          <a:avLst/>
        </a:prstGeom>
      </xdr:spPr>
    </xdr:pic>
    <xdr:clientData/>
  </xdr:twoCellAnchor>
  <xdr:twoCellAnchor>
    <xdr:from>
      <xdr:col>7</xdr:col>
      <xdr:colOff>19050</xdr:colOff>
      <xdr:row>20</xdr:row>
      <xdr:rowOff>361950</xdr:rowOff>
    </xdr:from>
    <xdr:to>
      <xdr:col>13</xdr:col>
      <xdr:colOff>838200</xdr:colOff>
      <xdr:row>28</xdr:row>
      <xdr:rowOff>66675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899948</xdr:colOff>
      <xdr:row>37</xdr:row>
      <xdr:rowOff>329762</xdr:rowOff>
    </xdr:from>
    <xdr:to>
      <xdr:col>12</xdr:col>
      <xdr:colOff>479534</xdr:colOff>
      <xdr:row>41</xdr:row>
      <xdr:rowOff>1614652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23D25CA2-F370-4E4B-BFF6-AAF6EBC35C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0.49439</cdr:x>
      <cdr:y>0.55718</cdr:y>
    </cdr:from>
    <cdr:to>
      <cdr:x>0.52169</cdr:x>
      <cdr:y>0.58886</cdr:y>
    </cdr:to>
    <cdr:sp macro="" textlink="">
      <cdr:nvSpPr>
        <cdr:cNvPr id="3" name="Звезда: 6 точек 2">
          <a:extLst xmlns:a="http://schemas.openxmlformats.org/drawingml/2006/main">
            <a:ext uri="{FF2B5EF4-FFF2-40B4-BE49-F238E27FC236}">
              <a16:creationId xmlns:a16="http://schemas.microsoft.com/office/drawing/2014/main" id="{1B9E8364-7275-4F03-BC83-6685110D8385}"/>
            </a:ext>
          </a:extLst>
        </cdr:cNvPr>
        <cdr:cNvSpPr/>
      </cdr:nvSpPr>
      <cdr:spPr>
        <a:xfrm xmlns:a="http://schemas.openxmlformats.org/drawingml/2006/main">
          <a:off x="2267795" y="1531694"/>
          <a:ext cx="125186" cy="87086"/>
        </a:xfrm>
        <a:prstGeom xmlns:a="http://schemas.openxmlformats.org/drawingml/2006/main" prst="star6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ru-RU"/>
        </a:p>
      </cdr:txBody>
    </cdr:sp>
  </cdr:relSizeAnchor>
  <cdr:relSizeAnchor xmlns:cdr="http://schemas.openxmlformats.org/drawingml/2006/chartDrawing">
    <cdr:from>
      <cdr:x>0.62572</cdr:x>
      <cdr:y>0.56098</cdr:y>
    </cdr:from>
    <cdr:to>
      <cdr:x>0.65301</cdr:x>
      <cdr:y>0.59266</cdr:y>
    </cdr:to>
    <cdr:sp macro="" textlink="">
      <cdr:nvSpPr>
        <cdr:cNvPr id="4" name="Звезда: 6 точек 3">
          <a:extLst xmlns:a="http://schemas.openxmlformats.org/drawingml/2006/main">
            <a:ext uri="{FF2B5EF4-FFF2-40B4-BE49-F238E27FC236}">
              <a16:creationId xmlns:a16="http://schemas.microsoft.com/office/drawing/2014/main" id="{C4C6A2CD-00B7-4EED-A0D3-238A96A603B2}"/>
            </a:ext>
          </a:extLst>
        </cdr:cNvPr>
        <cdr:cNvSpPr/>
      </cdr:nvSpPr>
      <cdr:spPr>
        <a:xfrm xmlns:a="http://schemas.openxmlformats.org/drawingml/2006/main">
          <a:off x="2870200" y="1542143"/>
          <a:ext cx="125186" cy="87086"/>
        </a:xfrm>
        <a:prstGeom xmlns:a="http://schemas.openxmlformats.org/drawingml/2006/main" prst="star6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ru-RU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294410</xdr:colOff>
      <xdr:row>17</xdr:row>
      <xdr:rowOff>100853</xdr:rowOff>
    </xdr:from>
    <xdr:to>
      <xdr:col>22</xdr:col>
      <xdr:colOff>121229</xdr:colOff>
      <xdr:row>23</xdr:row>
      <xdr:rowOff>145676</xdr:rowOff>
    </xdr:to>
    <xdr:sp macro="" textlink="">
      <xdr:nvSpPr>
        <xdr:cNvPr id="2" name="Скругленная прямоугольная выноска 1"/>
        <xdr:cNvSpPr/>
      </xdr:nvSpPr>
      <xdr:spPr>
        <a:xfrm>
          <a:off x="20274498" y="1848971"/>
          <a:ext cx="2247290" cy="1154205"/>
        </a:xfrm>
        <a:prstGeom prst="wedgeRoundRectCallout">
          <a:avLst>
            <a:gd name="adj1" fmla="val -64310"/>
            <a:gd name="adj2" fmla="val -28024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/>
            <a:t>В  желтых ячейках формулы не трогать, это пересчет годового роста  в квартальный, т.к. денежный поток у нас строится поквартально</a:t>
          </a:r>
        </a:p>
      </xdr:txBody>
    </xdr:sp>
    <xdr:clientData/>
  </xdr:twoCellAnchor>
  <xdr:twoCellAnchor>
    <xdr:from>
      <xdr:col>16</xdr:col>
      <xdr:colOff>1056409</xdr:colOff>
      <xdr:row>24</xdr:row>
      <xdr:rowOff>34635</xdr:rowOff>
    </xdr:from>
    <xdr:to>
      <xdr:col>20</xdr:col>
      <xdr:colOff>121227</xdr:colOff>
      <xdr:row>42</xdr:row>
      <xdr:rowOff>33617</xdr:rowOff>
    </xdr:to>
    <xdr:sp macro="" textlink="">
      <xdr:nvSpPr>
        <xdr:cNvPr id="3" name="Скругленная прямоугольная выноска 2"/>
        <xdr:cNvSpPr/>
      </xdr:nvSpPr>
      <xdr:spPr>
        <a:xfrm>
          <a:off x="19064262" y="3049017"/>
          <a:ext cx="2247289" cy="2912512"/>
        </a:xfrm>
        <a:prstGeom prst="wedgeRoundRectCallout">
          <a:avLst>
            <a:gd name="adj1" fmla="val -59498"/>
            <a:gd name="adj2" fmla="val -75152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/>
            <a:t>В белых ячейках цифры из аналитики, здесь</a:t>
          </a:r>
        </a:p>
        <a:p>
          <a:pPr algn="l"/>
          <a:r>
            <a:rPr lang="ru-RU" sz="1100"/>
            <a:t>6,6%</a:t>
          </a:r>
          <a:r>
            <a:rPr lang="ru-RU" sz="1100" baseline="0"/>
            <a:t> -  ГОДОВОЙ  прогнозный рост стоимости квартир на первичном рынке недвижимости;</a:t>
          </a:r>
        </a:p>
        <a:p>
          <a:pPr algn="l"/>
          <a:r>
            <a:rPr lang="ru-RU" sz="1100" baseline="0"/>
            <a:t>5% - изменение стоимости квартиры в зависимости от стадии готовности дома.</a:t>
          </a:r>
        </a:p>
        <a:p>
          <a:pPr algn="l"/>
          <a:r>
            <a:rPr lang="ru-RU" sz="1100" baseline="0"/>
            <a:t>Вам нужно найти свежую аналитику. </a:t>
          </a:r>
        </a:p>
        <a:p>
          <a:pPr algn="l"/>
          <a:r>
            <a:rPr lang="ru-RU" sz="1100" baseline="0"/>
            <a:t>Не забывайте, что аналитический обзор Вы уже делали, возможно, там уже есть нужная информация</a:t>
          </a:r>
          <a:endParaRPr lang="ru-RU" sz="1100"/>
        </a:p>
      </xdr:txBody>
    </xdr:sp>
    <xdr:clientData/>
  </xdr:twoCellAnchor>
  <xdr:twoCellAnchor>
    <xdr:from>
      <xdr:col>2</xdr:col>
      <xdr:colOff>806824</xdr:colOff>
      <xdr:row>31</xdr:row>
      <xdr:rowOff>100853</xdr:rowOff>
    </xdr:from>
    <xdr:to>
      <xdr:col>5</xdr:col>
      <xdr:colOff>560294</xdr:colOff>
      <xdr:row>34</xdr:row>
      <xdr:rowOff>112059</xdr:rowOff>
    </xdr:to>
    <xdr:sp macro="" textlink="">
      <xdr:nvSpPr>
        <xdr:cNvPr id="4" name="Скругленная прямоугольная выноска 3"/>
        <xdr:cNvSpPr/>
      </xdr:nvSpPr>
      <xdr:spPr>
        <a:xfrm>
          <a:off x="6107206" y="4247029"/>
          <a:ext cx="2532529" cy="493059"/>
        </a:xfrm>
        <a:prstGeom prst="wedgeRoundRectCallout">
          <a:avLst>
            <a:gd name="adj1" fmla="val 72973"/>
            <a:gd name="adj2" fmla="val -221591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/>
            <a:t>По аналитике + собственное</a:t>
          </a:r>
          <a:r>
            <a:rPr lang="ru-RU" sz="1100" baseline="0"/>
            <a:t> профессиональное мнение</a:t>
          </a:r>
          <a:endParaRPr lang="ru-RU" sz="1100"/>
        </a:p>
      </xdr:txBody>
    </xdr:sp>
    <xdr:clientData/>
  </xdr:twoCellAnchor>
  <xdr:twoCellAnchor>
    <xdr:from>
      <xdr:col>2</xdr:col>
      <xdr:colOff>291352</xdr:colOff>
      <xdr:row>1</xdr:row>
      <xdr:rowOff>33618</xdr:rowOff>
    </xdr:from>
    <xdr:to>
      <xdr:col>6</xdr:col>
      <xdr:colOff>425822</xdr:colOff>
      <xdr:row>5</xdr:row>
      <xdr:rowOff>145677</xdr:rowOff>
    </xdr:to>
    <xdr:sp macro="" textlink="">
      <xdr:nvSpPr>
        <xdr:cNvPr id="5" name="Скругленная прямоугольная выноска 4"/>
        <xdr:cNvSpPr/>
      </xdr:nvSpPr>
      <xdr:spPr>
        <a:xfrm>
          <a:off x="5591734" y="190500"/>
          <a:ext cx="3922059" cy="885265"/>
        </a:xfrm>
        <a:prstGeom prst="wedgeRoundRectCallout">
          <a:avLst>
            <a:gd name="adj1" fmla="val -63266"/>
            <a:gd name="adj2" fmla="val 173943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/>
            <a:t>Это стоимость продажи квартир </a:t>
          </a:r>
          <a:r>
            <a:rPr lang="ru-RU" sz="1100" baseline="0"/>
            <a:t> в ценах на дату начала проекта в  готовом доме (+ прочитайте комментарии справа от таблицы)</a:t>
          </a:r>
          <a:endParaRPr lang="ru-RU" sz="1100"/>
        </a:p>
      </xdr:txBody>
    </xdr:sp>
    <xdr:clientData/>
  </xdr:twoCellAnchor>
  <xdr:twoCellAnchor>
    <xdr:from>
      <xdr:col>0</xdr:col>
      <xdr:colOff>0</xdr:colOff>
      <xdr:row>158</xdr:row>
      <xdr:rowOff>60339</xdr:rowOff>
    </xdr:from>
    <xdr:to>
      <xdr:col>3</xdr:col>
      <xdr:colOff>787339</xdr:colOff>
      <xdr:row>178</xdr:row>
      <xdr:rowOff>108856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23D25CA2-F370-4E4B-BFF6-AAF6EBC35C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0.4199</cdr:x>
      <cdr:y>0.44608</cdr:y>
    </cdr:from>
    <cdr:to>
      <cdr:x>0.4472</cdr:x>
      <cdr:y>0.47776</cdr:y>
    </cdr:to>
    <cdr:sp macro="" textlink="">
      <cdr:nvSpPr>
        <cdr:cNvPr id="3" name="Звезда: 6 точек 2">
          <a:extLst xmlns:a="http://schemas.openxmlformats.org/drawingml/2006/main">
            <a:ext uri="{FF2B5EF4-FFF2-40B4-BE49-F238E27FC236}">
              <a16:creationId xmlns:a16="http://schemas.microsoft.com/office/drawing/2014/main" id="{1B9E8364-7275-4F03-BC83-6685110D8385}"/>
            </a:ext>
          </a:extLst>
        </cdr:cNvPr>
        <cdr:cNvSpPr/>
      </cdr:nvSpPr>
      <cdr:spPr>
        <a:xfrm xmlns:a="http://schemas.openxmlformats.org/drawingml/2006/main">
          <a:off x="3021697" y="1478410"/>
          <a:ext cx="196460" cy="104995"/>
        </a:xfrm>
        <a:prstGeom xmlns:a="http://schemas.openxmlformats.org/drawingml/2006/main" prst="star6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ru-RU"/>
        </a:p>
      </cdr:txBody>
    </cdr:sp>
  </cdr:relSizeAnchor>
  <cdr:relSizeAnchor xmlns:cdr="http://schemas.openxmlformats.org/drawingml/2006/chartDrawing">
    <cdr:from>
      <cdr:x>0.48029</cdr:x>
      <cdr:y>0.4258</cdr:y>
    </cdr:from>
    <cdr:to>
      <cdr:x>0.50758</cdr:x>
      <cdr:y>0.45748</cdr:y>
    </cdr:to>
    <cdr:sp macro="" textlink="">
      <cdr:nvSpPr>
        <cdr:cNvPr id="4" name="Звезда: 6 точек 3">
          <a:extLst xmlns:a="http://schemas.openxmlformats.org/drawingml/2006/main">
            <a:ext uri="{FF2B5EF4-FFF2-40B4-BE49-F238E27FC236}">
              <a16:creationId xmlns:a16="http://schemas.microsoft.com/office/drawing/2014/main" id="{C4C6A2CD-00B7-4EED-A0D3-238A96A603B2}"/>
            </a:ext>
          </a:extLst>
        </cdr:cNvPr>
        <cdr:cNvSpPr/>
      </cdr:nvSpPr>
      <cdr:spPr>
        <a:xfrm xmlns:a="http://schemas.openxmlformats.org/drawingml/2006/main">
          <a:off x="3456326" y="1411185"/>
          <a:ext cx="196387" cy="104996"/>
        </a:xfrm>
        <a:prstGeom xmlns:a="http://schemas.openxmlformats.org/drawingml/2006/main" prst="star6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ru-RU"/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lex\&#1092;&#1072;&#1081;&#1083;&#1099;%20alex\&#1072;&#1088;&#1073;&#1080;&#1090;&#1088;&#1072;&#1078;&#1085;&#1099;&#1081;%20&#1091;&#1087;&#1088;&#1072;&#1074;&#1083;&#1103;&#1102;&#1097;&#1080;&#1081;\&#1082;&#1080;&#1085;&#1075;&#1080;&#1089;&#1077;&#1087;&#1087;\&#1088;&#1072;&#1089;&#1095;&#1077;&#1090;%20&#1089;&#1090;&#1086;&#1080;&#1084;&#1086;&#1089;&#1090;&#1080;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1044;&#1080;&#1084;&#1099;&#1095;\&#1086;&#1094;&#1077;&#1085;&#1082;&#1080;\&#1055;&#1088;&#1080;&#1089;&#1090;&#1072;&#1074;&#1099;\&#1043;&#1059;&#1055;%20&#1057;&#1077;&#1074;&#1077;&#1088;&#1086;-&#1047;&#1072;&#1087;&#1072;&#1076;\&#1060;&#1080;&#1083;&#1082;&#1086;&#1084;\&#1057;&#1058;&#1054;%20&#1075;&#1072;&#1090;&#1095;&#1080;&#1085;&#1072;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Appraisal\Aho\archiv\Aho_2001\&#1058;&#1080;&#1093;&#1074;&#1080;&#1085;_&#1085;&#1077;&#1076;&#1074;&#1080;&#1078;\&#1090;&#1080;&#1093;_&#1084;&#1077;&#1090;&#1072;&#1083;&#1083;_6&#1096;&#1090;\&#1079;_&#1090;&#1080;&#1093;&#1074;&#1080;&#1085;1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ho\d\&#1052;&#1086;&#1080;%20&#1076;&#1086;&#1082;&#1091;&#1084;&#1077;&#1085;&#1090;&#1099;\Aho\Aho_2001\&#1079;&#1077;&#1083;&#1077;&#1085;&#1086;&#1075;&#1086;&#1088;&#1089;&#1082;\&#1047;_&#1073;&#1072;&#1079;&#1072;_&#1079;&#1077;&#1083;1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Appraisal\&#1054;&#1094;&#1077;&#1085;&#1082;&#1080;\&#1040;&#1082;&#1094;&#1080;&#1080;-&#1041;&#1080;&#1079;&#1085;&#1077;&#1089;\&#1051;&#1080;&#1087;&#1077;&#1094;&#1082;&#1072;&#1103;%20&#1086;&#1073;&#1083;&#1072;&#1089;&#1090;&#1100;\&#1044;&#1086;&#1083;&#1075;&#1086;&#1088;&#1091;&#1082;&#1086;&#1074;&#1089;&#1082;&#1072;&#1103;%20&#1055;&#1052;&#1050;\&#1088;&#1072;&#1089;&#1095;&#1077;&#1090;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_!Documents\&#1054;&#1094;&#1077;&#1085;&#1082;&#1080;\2000\&#1090;&#1086;&#1088;&#1075;.&#1076;&#1086;&#1084;%20&#1040;&#1088;&#1086;&#1084;&#1072;\&#1088;&#1072;&#1089;&#1089;&#1095;&#1077;&#1090;&#1040;&#1088;&#1086;&#1084;&#1072;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Appraisal\Documents%20and%20Settings\Katya\&#1052;&#1086;&#1080;%20&#1076;&#1086;&#1082;&#1091;&#1084;&#1077;&#1085;&#1090;&#1099;\&#1050;&#1072;&#1090;&#1080;&#1085;&#1072;\&#1088;&#1072;&#1089;&#1095;&#1077;&#1090;%20&#1086;&#1073;&#1097;&#1080;&#1081;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VlaSem\Work_SWA_AVERS\&#1076;&#1083;&#1103;%20&#1074;&#1083;&#1072;&#1076;&#1080;&#1089;&#1083;&#1072;&#1074;&#1072;\&#1088;&#1099;&#1085;_&#1089;&#1090;_&#1079;&#1077;&#1083;&#1077;&#1085;3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Appraisal\&#1054;&#1051;&#1068;&#1050;&#1040;\&#1052;&#1086;&#1080;%20&#1086;&#1090;&#1095;&#1077;&#1090;&#1099;\&#1080;&#1085;&#1089;&#1090;&#1080;&#1090;&#1091;&#1090;%20&#1056;&#1053;&#1054;\&#1054;&#1094;&#1077;&#1085;&#1082;&#1072;%20&#1056;&#1048;&#1056;&#1042;&#1040;\&#1088;&#1099;&#1085;&#1086;&#1095;&#1085;&#1072;&#1103;%20&#1089;&#1090;&#1086;&#1080;&#1084;&#1086;&#1089;&#1090;&#1100;%20-%20&#1056;&#1048;&#1056;&#1042;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server\&#1060;&#1057;&#1050;-&#1057;&#1050;\&#1060;&#1080;&#1085;&#1072;&#1085;&#1089;&#1086;&#1074;&#1086;-&#1101;&#1082;&#1086;&#1085;&#1086;&#1084;&#1080;&#1095;&#1077;&#1089;&#1082;&#1080;&#1081;%20&#1076;&#1077;&#1087;&#1072;&#1088;&#1090;&#1072;&#1084;&#1077;&#1085;&#1090;\&#1055;&#1083;&#1072;&#1085;&#1086;&#1074;&#1086;-&#1101;&#1082;&#1086;&#1085;&#1086;&#1084;&#1080;&#1095;&#1077;&#1089;&#1082;&#1080;&#1081;%20&#1086;&#1090;&#1076;&#1077;&#1083;\&#1043;&#1088;&#1072;&#1092;&#1080;&#1082;&#1080;%20&#1089;&#1090;&#1088;&#1086;&#1080;&#1090;&#1077;&#1083;&#1100;&#1089;&#1090;&#1074;&#1072;\&#1044;&#1077;&#1082;&#1072;&#1073;&#1088;&#1100;%202002\&#1040;&#1088;&#1093;&#1080;&#1074;%20&#1075;&#1088;&#1072;&#1092;&#1080;&#1082;&#1086;&#1074;%20&#1089;&#1090;&#1088;&#1086;&#1080;&#1090;&#1077;&#1083;&#1100;&#1089;&#1074;&#1090;&#1072;\&#1043;&#1088;&#1072;&#1092;&#1080;&#1082;&#1080;%20&#1043;&#1072;&#1074;&#1088;&#1089;&#1082;&#1086;&#1081;%2015-17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&#1055;&#1083;&#1072;&#1085;&#1086;&#1074;&#1086;-&#1101;&#1082;&#1086;&#1085;&#1086;&#1084;&#1080;&#1095;&#1077;&#1089;&#1082;&#1080;&#1081;%20&#1086;&#1090;&#1076;&#1077;&#1083;\&#1043;&#1088;&#1072;&#1092;&#1080;&#1082;&#1080;%20&#1089;&#1090;&#1088;&#1086;&#1080;&#1090;&#1077;&#1083;&#1100;&#1089;&#1090;&#1074;&#1072;\01.06.2003\&#1075;&#1089;%20&#1043;&#1088;&#1072;&#1078;&#1076;&#1072;&#1085;&#1089;&#1082;&#1080;&#1081;%20&#1087;&#1088;,24(01,06,03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\Projects\RAO%20UES\Sample%20Reports\CEZ\CEZ_Model_16_m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DavDi\&#1052;&#1086;&#1080;%20&#1076;&#1086;&#1082;&#1091;&#1084;&#1077;&#1085;&#1090;&#1099;\&#1056;&#1040;&#1041;&#1054;&#1058;&#1040;\&#1041;&#1080;&#1079;&#1085;&#1077;&#1089;-&#1087;&#1083;&#1072;&#1085;%20&#1058;&#1056;&#1040;&#1053;&#1047;&#1040;&#1057;\&#1041;&#1072;&#1088;&#1084;&#1072;&#1083;&#1077;&#1077;&#1074;&#1072;\&#1041;&#1080;&#1079;&#1085;&#1077;&#1089;%20&#1055;&#1083;&#1072;&#1085;%20-&#1041;&#1072;&#1088;&#1084;&#1072;&#1083;&#1077;&#1077;&#1074;&#1072;-.%20&#1060;&#1080;&#1085;&#1072;&#1085;&#1089;&#1086;&#1074;&#1072;&#1103;%20&#1095;&#1072;&#1089;&#1090;&#1100;.3-1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_!Documents\&#1052;&#1086;&#1080;%20&#1076;&#1086;&#1082;&#1091;&#1084;&#1077;&#1085;&#1090;&#1099;\&#1040;&#1074;&#1077;&#1088;&#1089;\&#1043;&#1059;&#1048;&#1054;&#1053;\&#1053;&#1080;&#1080;&#1101;&#1092;&#1072;\&#1079;&#1072;&#1090;&#1088;&#1072;&#1090;_&#1085;&#1080;&#1080;&#1101;&#1092;&#1072;1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:\&#1056;&#1040;&#1041;&#1054;&#1063;&#1040;&#1071;%20&#1055;&#1045;&#1056;&#1045;&#1061;&#1054;&#1044;&#1053;&#1040;&#1071;\OCENKA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Appraisal\8636~1\2003\&#1052;&#1086;&#1085;&#1091;&#1084;&#1077;&#1085;&#1090;%20&#1089;&#1082;&#1091;&#1083;&#1100;&#1087;&#1090;&#1091;&#1088;&#1072;\&#1057;&#1072;&#1083;&#1086;&#1074;&#1072;%20&#1083;&#1080;&#1090;%20&#1040;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_!Documents\&#1052;&#1086;&#1080;%20&#1076;&#1086;&#1082;&#1091;&#1084;&#1077;&#1085;&#1090;&#1099;\&#1040;&#1074;&#1077;&#1088;&#1089;\&#1043;&#1059;&#1048;&#1054;&#1053;\&#1047;&#1077;&#1083;&#1077;&#1085;&#1086;&#1075;&#1086;&#1088;&#1089;&#1082;&#1072;&#1103;3\&#1088;&#1099;&#1085;_&#1089;&#1090;_&#1079;&#1077;&#1083;&#1077;&#1085;3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ffice-3\&#1055;&#1072;&#1087;&#1082;&#1072;%20&#1045;&#1082;&#1072;&#1090;&#1077;&#1088;&#1080;&#1085;&#1099;\&#1069;&#1083;&#1100;&#1084;&#1072;&#1085;\&#1040;&#1091;&#1076;&#1080;&#1090;%20&#1057;&#1090;&#1072;&#1085;&#1076;&#1072;&#1088;&#1090;-&#1052;\&#1057;&#1090;&#1077;&#1087;&#1072;&#1085;&#1086;&#1074;\&#1052;&#1040;&#1043;\2004_&#1092;&#1077;&#1074;&#1088;&#1072;&#1083;&#1100;-2\&#1040;&#1054;%20&#1052;&#1040;&#1043;%20(&#1080;&#1102;&#1085;&#1100;_2003)\&#1040;&#1054;%20&#1052;&#1040;&#1043;%20(&#1092;&#1077;&#1074;_2003)\&#1069;&#1083;&#1100;&#1084;&#1072;&#1085;\&#1056;&#1040;&#1054;_&#1045;&#1069;&#1057;%20&#1056;&#1086;&#1089;&#1089;&#1080;&#1080;\&#1058;&#1102;&#1084;&#1077;&#1085;&#1100;&#1101;&#1085;&#1077;&#1088;&#1075;&#1086;\&#1041;&#1072;&#1079;&#1072;%20&#1050;&#1053;&#1041;%20(&#1057;&#1074;&#1077;&#1088;&#1076;&#1083;&#1086;&#1074;&#1089;&#1082;)\!-&#1057;&#1072;&#1085;&#1072;&#1090;&#1086;&#1088;&#1080;&#1081;%20&#1052;&#1072;&#1096;&#1091;&#1082;\&#1056;&#1072;&#1089;&#1095;&#1077;&#1090;&#1099;%20&#1052;&#1072;&#1096;&#1091;&#1082;\&#1044;&#1083;&#1103;%20&#1087;&#1077;&#1095;&#1072;&#1090;&#1080;%20&#1089;&#1084;&#1077;&#1090;&#1072;%202003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41B2EC12\&#1044;&#1083;&#1103;%20&#1087;&#1077;&#1095;&#1072;&#1090;&#1080;%20&#1089;&#1084;&#1077;&#1090;&#1072;%202003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Elman\&#1057;&#1086;&#1090;&#1088;&#1091;&#1076;&#1085;&#1080;&#1095;&#1077;&#1089;&#1090;&#1074;&#1086;\&#1040;&#1074;&#1077;&#1088;&#1089;\&#1060;&#1091;&#1088;&#1085;&#1080;&#1090;&#1091;&#1088;&#1085;&#1099;&#1081;%20&#1079;&#1072;&#1074;&#1086;&#1076;\&#1040;&#1091;&#1076;&#1080;&#1090;%20&#1057;&#1090;&#1072;&#1085;&#1076;&#1072;&#1088;&#1090;-&#1052;\&#1057;&#1090;&#1077;&#1087;&#1072;&#1085;&#1086;&#1074;\&#1052;&#1040;&#1043;\2004_&#1092;&#1077;&#1074;&#1088;&#1072;&#1083;&#1100;-2\&#1040;&#1054;%20&#1052;&#1040;&#1043;%20(&#1080;&#1102;&#1085;&#1100;_2003)\&#1040;&#1054;%20&#1052;&#1040;&#1043;%20(&#1092;&#1077;&#1074;_2003)\&#1069;&#1083;&#1100;&#1084;&#1072;&#1085;\&#1056;&#1040;&#1054;_&#1045;&#1069;&#1057;%20&#1056;&#1086;&#1089;&#1089;&#1080;&#1080;\&#1058;&#1102;&#1084;&#1077;&#1085;&#1100;&#1101;&#1085;&#1077;&#1088;&#1075;&#1086;\&#1041;&#1072;&#1079;&#1072;%20&#1050;&#1053;&#1041;%20(&#1057;&#1074;&#1077;&#1088;&#1076;&#1083;&#1086;&#1074;&#1089;&#1082;)\!-&#1057;&#1072;&#1085;&#1072;&#1090;&#1086;&#1088;&#1080;&#1081;%20&#1052;&#1072;&#1096;&#1091;&#1082;\&#1056;&#1072;&#1089;&#1095;&#1077;&#1090;&#1099;%20&#1052;&#1072;&#1096;&#1091;&#1082;\&#1052;&#1072;&#1096;&#1091;&#1082;_(26%20&#1080;&#1102;&#1083;&#1103;)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A0FFE79\&#1052;&#1072;&#1096;&#1091;&#1082;_(26%20&#1080;&#1102;&#1083;&#1103;)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1042;&#1086;&#1089;&#1089;&#1090;&#1072;&#1085;&#1086;&#1074;&#1083;&#1077;&#1085;&#1085;&#1072;&#1103;_&#1074;&#1085;&#1077;&#1096;&#1085;&#1103;&#1103;_&#1089;&#1089;&#1099;&#1083;&#1082;&#1072;1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!!!!&#1051;&#1045;&#1050;&#1062;&#1048;&#1048;/5.%20&#1041;&#1080;&#1079;&#1085;&#1077;&#1089;-&#1087;&#1083;&#1072;&#1085;&#1080;&#1088;&#1086;&#1074;&#1072;&#1085;&#1080;&#1077;/2021/&#1050;&#1055;/&#1064;&#1040;&#1073;&#1083;&#1086;&#1085;&#1099;%20&#1088;&#1072;&#1089;&#1095;&#1077;&#1090;&#1086;&#1074;/&#1053;&#1072;&#1075;&#1084;&#1072;&#1085;&#1086;&#1074;&#1072;/Documents/Projects/RAO%20UES/Sample%20Reports/CEZ/CEZ_Model_16_m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/!!!!&#1051;&#1045;&#1050;&#1062;&#1048;&#1048;/5.%20&#1041;&#1080;&#1079;&#1085;&#1077;&#1089;-&#1087;&#1083;&#1072;&#1085;&#1080;&#1088;&#1086;&#1074;&#1072;&#1085;&#1080;&#1077;/2021/&#1050;&#1055;/&#1064;&#1040;&#1073;&#1083;&#1086;&#1085;&#1099;%20&#1088;&#1072;&#1089;&#1095;&#1077;&#1090;&#1086;&#1074;/&#1053;&#1072;&#1075;&#1084;&#1072;&#1085;&#1086;&#1074;&#1072;/&#1050;&#1055;_&#1053;&#1072;&#1075;&#1084;&#1072;&#1085;&#1086;&#1074;&#1072;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/!!!!&#1051;&#1045;&#1050;&#1062;&#1048;&#1048;/5.%20&#1041;&#1080;&#1079;&#1085;&#1077;&#1089;-&#1087;&#1083;&#1072;&#1085;&#1080;&#1088;&#1086;&#1074;&#1072;&#1085;&#1080;&#1077;/2021/&#1050;&#1055;/&#1064;&#1040;&#1073;&#1083;&#1086;&#1085;&#1099;%20&#1088;&#1072;&#1089;&#1095;&#1077;&#1090;&#1086;&#1074;/&#1053;&#1072;&#1075;&#1084;&#1072;&#1085;&#1086;&#1074;&#1072;/&#1055;&#1086;&#1083;&#1080;&#1090;&#1077;&#1093;/!!!&#1041;&#1080;&#1079;&#1085;&#1077;&#1089;-&#1087;&#1083;&#1072;&#1085;&#1080;&#1088;&#1086;&#1074;&#1072;&#1085;&#1080;&#1077;/&#1047;&#1072;&#1075;&#1086;&#1088;&#1100;&#1077;_&#1040;&#1085;&#1103;/&#1056;&#1072;&#1089;&#1095;&#1077;&#1090;%20&#1048;&#1058;&#1054;&#1043;_&#1079;&#1072;&#1075;&#1086;&#1088;&#1100;&#1077;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56;&#1072;&#1089;&#1095;&#1077;&#1090;_&#1095;&#1072;&#1089;&#1090;&#1100;%201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Aids2Work\VSN_porject\Iznos_VSN53-86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isk%20d\&#1069;&#1083;&#1100;&#1084;&#1072;&#1085;\&#1056;&#1057;&#1052;%20&#1058;&#1086;&#1087;-&#1040;&#1091;&#1076;&#1080;&#1090;\&#1054;&#1043;&#1050;_&#1086;&#1082;&#1090;&#1103;&#1073;&#1088;&#1100;\&#1053;&#1080;&#1043;&#1069;&#1057;_26%20&#1085;&#1086;&#1103;&#1073;&#1088;&#1103;\&#1053;&#1080;&#1043;&#1069;&#1057;_&#1080;&#1090;&#1086;&#1075;%20&#1080;&#1089;&#1087;&#1088;&#1072;&#1074;&#1083;&#1077;&#1085;&#1085;&#1099;&#1081;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!!!!&#1051;&#1045;&#1050;&#1062;&#1048;&#1048;/5.%20&#1041;&#1080;&#1079;&#1085;&#1077;&#1089;-&#1087;&#1083;&#1072;&#1085;&#1080;&#1088;&#1086;&#1074;&#1072;&#1085;&#1080;&#1077;/2021/&#1050;&#1055;/&#1064;&#1040;&#1073;&#1083;&#1086;&#1085;&#1099;%20&#1088;&#1072;&#1089;&#1095;&#1077;&#1090;&#1086;&#1074;/&#1053;&#1072;&#1075;&#1084;&#1072;&#1085;&#1086;&#1074;&#1072;/disk%20d/&#1069;&#1083;&#1100;&#1084;&#1072;&#1085;/&#1056;&#1057;&#1052;%20&#1058;&#1086;&#1087;-&#1040;&#1091;&#1076;&#1080;&#1090;/&#1054;&#1043;&#1050;_&#1086;&#1082;&#1090;&#1103;&#1073;&#1088;&#1100;/&#1053;&#1080;&#1043;&#1069;&#1057;_26%20&#1085;&#1086;&#1103;&#1073;&#1088;&#1103;/&#1053;&#1080;&#1043;&#1069;&#1057;_&#1080;&#1090;&#1086;&#1075;%20&#1080;&#1089;&#1087;&#1088;&#1072;&#1074;&#1083;&#1077;&#1085;&#1085;&#1099;&#1081;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ffice-3\&#1055;&#1072;&#1087;&#1082;&#1072;%20&#1045;&#1082;&#1072;&#1090;&#1077;&#1088;&#1080;&#1085;&#1099;\&#1069;&#1083;&#1100;&#1084;&#1072;&#1085;\&#1040;&#1091;&#1076;&#1080;&#1090;%20&#1057;&#1090;&#1072;&#1085;&#1076;&#1072;&#1088;&#1090;-&#1052;\&#1057;&#1090;&#1077;&#1087;&#1072;&#1085;&#1086;&#1074;\&#1052;&#1040;&#1043;\2004_&#1092;&#1077;&#1074;&#1088;&#1072;&#1083;&#1100;-2\&#1040;&#1054;%20&#1052;&#1040;&#1043;%20(&#1080;&#1102;&#1085;&#1100;_2003)\&#1040;&#1054;%20&#1052;&#1040;&#1043;%20(&#1092;&#1077;&#1074;_2003)\&#1069;&#1083;&#1100;&#1084;&#1072;&#1085;\&#1056;&#1040;&#1054;_&#1045;&#1069;&#1057;%20&#1056;&#1086;&#1089;&#1089;&#1080;&#1080;\&#1058;&#1102;&#1084;&#1077;&#1085;&#1100;&#1101;&#1085;&#1077;&#1088;&#1075;&#1086;\&#1041;&#1072;&#1079;&#1072;%20&#1050;&#1053;&#1041;%20(&#1057;&#1074;&#1077;&#1088;&#1076;&#1083;&#1086;&#1074;&#1089;&#1082;)\!-&#1057;&#1072;&#1085;&#1072;&#1090;&#1086;&#1088;&#1080;&#1081;%20&#1052;&#1072;&#1096;&#1091;&#1082;\&#1056;&#1072;&#1089;&#1095;&#1077;&#1090;&#1099;%20&#1052;&#1072;&#1096;&#1091;&#1082;\&#1052;&#1072;&#1096;&#1091;&#1082;_(26%20&#1080;&#1102;&#1083;&#1103;)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41B2EC12\&#1052;&#1072;&#1096;&#1091;&#1082;_(26%20&#1080;&#1102;&#1083;&#1103;)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ho\aho\&#1052;&#1086;&#1080;%20&#1076;&#1086;&#1082;&#1091;&#1084;&#1077;&#1085;&#1090;&#1099;\Aho\&#1048;&#1088;&#1083;&#1077;&#1085;\&#1088;&#1072;&#1089;&#1095;_&#1087;&#1088;&#1089;_&#1080;&#1088;&#1083;&#1077;&#1085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бщие сведения"/>
      <sheetName val="Лист3"/>
      <sheetName val="ликвид скидка"/>
      <sheetName val="сводка"/>
      <sheetName val="внешний износ"/>
      <sheetName val="функцмональный износ"/>
      <sheetName val="Лист1"/>
      <sheetName val="физический износ"/>
      <sheetName val="диагр износа"/>
      <sheetName val="свед"/>
      <sheetName val="Баланс "/>
      <sheetName val="Графики"/>
      <sheetName val="структура"/>
      <sheetName val="недв"/>
      <sheetName val="Оценка основных средств"/>
      <sheetName val="накопл активов"/>
      <sheetName val="МДДП"/>
      <sheetName val="Дебиторы"/>
      <sheetName val="Сведение"/>
      <sheetName val="Служебный"/>
      <sheetName val="проч ОС"/>
      <sheetName val="общее"/>
      <sheetName val="Опции"/>
      <sheetName val="Проект"/>
      <sheetName val="Компания"/>
      <sheetName val="Анализ"/>
      <sheetName val="Сумм"/>
      <sheetName val="восст"/>
      <sheetName val="Осн_данные"/>
      <sheetName val="ЛитБ"/>
      <sheetName val="Исходные"/>
      <sheetName val="Параметры"/>
      <sheetName val="Метод остатка"/>
      <sheetName val="Sheet2"/>
      <sheetName val="Спис_Объекты_недв"/>
      <sheetName val="общий"/>
      <sheetName val="исходник"/>
      <sheetName val="износ"/>
      <sheetName val="исход-итог"/>
      <sheetName val="Потоки"/>
      <sheetName val="АРЕНДА лот 5"/>
      <sheetName val="затр_подх"/>
      <sheetName val="выр"/>
      <sheetName val="Comp1"/>
      <sheetName val="аренда торговля"/>
      <sheetName val="comps"/>
      <sheetName val="константы"/>
      <sheetName val="данные"/>
      <sheetName val="ликвидность"/>
      <sheetName val="ar"/>
      <sheetName val="Assum."/>
      <sheetName val="Итоги"/>
      <sheetName val="ЗемляРасчёт"/>
    </sheetNames>
    <sheetDataSet>
      <sheetData sheetId="0" refreshError="1">
        <row r="6">
          <cell r="B6">
            <v>28.6</v>
          </cell>
        </row>
        <row r="14">
          <cell r="B14">
            <v>0.3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6">
          <cell r="B6">
            <v>28.6</v>
          </cell>
        </row>
        <row r="14">
          <cell r="B14">
            <v>0.3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бщий"/>
      <sheetName val="ремонт"/>
      <sheetName val="восст"/>
      <sheetName val="предпринимат"/>
      <sheetName val="Затр подх"/>
      <sheetName val="Сведение"/>
      <sheetName val="рыночный"/>
      <sheetName val="расчет ставки дисконта"/>
      <sheetName val="ДП пессимест"/>
      <sheetName val="ДП обычный"/>
      <sheetName val="ДП оптимист"/>
      <sheetName val="НИ 1"/>
      <sheetName val="НИ 2"/>
      <sheetName val="НИ 3 "/>
      <sheetName val="Излож-е"/>
      <sheetName val="Изложение"/>
      <sheetName val="Общие"/>
      <sheetName val="ТЭП проекта"/>
      <sheetName val="Интерн"/>
      <sheetName val="Сводка затрат"/>
      <sheetName val="Верт планиров"/>
      <sheetName val="Инж подготовка"/>
      <sheetName val="Дороги_площ_озелен"/>
      <sheetName val="Фунд_каркас_перекр"/>
      <sheetName val="Фунд"/>
      <sheetName val="Строит_компл"/>
      <sheetName val="Котельная"/>
      <sheetName val="ТП_строит"/>
      <sheetName val="Демонтаж"/>
      <sheetName val="баланс площ"/>
      <sheetName val="ЗУ_дох по Гриб (отчет)"/>
      <sheetName val="Сравнительный (4)"/>
      <sheetName val="Сравнительный (по нагр_коммер)"/>
      <sheetName val="аналоги ГУИОНа"/>
      <sheetName val="Сравнительный по ЗУ"/>
      <sheetName val="Сравнительный (по нагр_комм (2)"/>
      <sheetName val="Сравнительный (по нагр_общ)"/>
      <sheetName val="ЛитБ"/>
      <sheetName val="Исходные"/>
      <sheetName val="общее"/>
      <sheetName val="Метод остатка"/>
      <sheetName val="Параметры"/>
      <sheetName val="СТО гатчина"/>
      <sheetName val="ср_земля"/>
      <sheetName val="арендная плата"/>
      <sheetName val="ОСЗ"/>
      <sheetName val="1.ИСХ "/>
      <sheetName val="Glossary"/>
      <sheetName val="Инвест-пр1"/>
      <sheetName val="Инвест-пр4"/>
      <sheetName val="Осн_данные"/>
      <sheetName val="свед"/>
      <sheetName val="Резервы"/>
      <sheetName val="дисконт"/>
      <sheetName val="Исходник"/>
      <sheetName val="аренда"/>
      <sheetName val="Осн_данн"/>
      <sheetName val=" Assump"/>
      <sheetName val="график01.09.02"/>
      <sheetName val="исход-итог"/>
      <sheetName val="исходник (2)"/>
      <sheetName val="инфо"/>
      <sheetName val="Стоим._стр-ва"/>
      <sheetName val="разряд"/>
      <sheetName val="FES"/>
      <sheetName val="2001"/>
    </sheetNames>
    <sheetDataSet>
      <sheetData sheetId="0" refreshError="1">
        <row r="3">
          <cell r="E3">
            <v>27.77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АБК"/>
      <sheetName val="Итог"/>
      <sheetName val="бытовой корпус"/>
      <sheetName val="газоочистные соор № 2"/>
      <sheetName val="газоочистные соор № 3"/>
      <sheetName val="плавильный цех"/>
      <sheetName val="градирня"/>
      <sheetName val="2"/>
      <sheetName val="1"/>
      <sheetName val="Сведение"/>
      <sheetName val="затр_подх"/>
      <sheetName val="общие сведения"/>
      <sheetName val="Исходные данные"/>
      <sheetName val="исход-итог"/>
      <sheetName val="Метод остатка"/>
      <sheetName val="общие данные"/>
      <sheetName val="Док+Исх"/>
      <sheetName val="Сводная ЛССМУ"/>
      <sheetName val="Служебный"/>
      <sheetName val="свед"/>
      <sheetName val="исход_итог"/>
      <sheetName val="Начало"/>
      <sheetName val="Лист2"/>
      <sheetName val="общий"/>
      <sheetName val="Параметры"/>
      <sheetName val="Use"/>
      <sheetName val="сравнительный "/>
      <sheetName val="НФИк"/>
      <sheetName val="Rates"/>
      <sheetName val="1 - General Info"/>
      <sheetName val="общее"/>
      <sheetName val="Ключевые данные"/>
      <sheetName val="Финпоказатели"/>
      <sheetName val="график строительства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1">
          <cell r="K1">
            <v>28.66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515_В_дерев"/>
      <sheetName val="512_А_кирп"/>
      <sheetName val="демонт_всех"/>
      <sheetName val="исход-итог"/>
      <sheetName val="восст"/>
      <sheetName val="исход_итог"/>
      <sheetName val="общие сведения"/>
      <sheetName val="Содержание"/>
      <sheetName val="свед"/>
      <sheetName val="Параметры"/>
      <sheetName val="общие данные"/>
      <sheetName val="Начало"/>
      <sheetName val="Balance Sheet"/>
      <sheetName val="Sheet2"/>
      <sheetName val="разряд"/>
      <sheetName val="Исходные"/>
      <sheetName val="график строительства"/>
      <sheetName val="Метод остатка"/>
      <sheetName val="1"/>
      <sheetName val="Списки"/>
      <sheetName val="ВЫВОДЫ"/>
      <sheetName val="ликвидац"/>
      <sheetName val="Согласование"/>
      <sheetName val="522-ПП"/>
      <sheetName val="Земля"/>
      <sheetName val="Затратный"/>
      <sheetName val="Кпп"/>
      <sheetName val="Аналоги_Продажа"/>
      <sheetName val="Сравнение"/>
      <sheetName val="Аналоги_аренда_торговля"/>
      <sheetName val="Доходный"/>
      <sheetName val="представ_докум"/>
      <sheetName val="Общ.сведения"/>
      <sheetName val="Местоположение, земля"/>
      <sheetName val="Техн.характ."/>
      <sheetName val="Распред.пом."/>
      <sheetName val="Таб. износа"/>
      <sheetName val="Кпр"/>
      <sheetName val="коэф кап (2)"/>
      <sheetName val="Таблица_Аренда"/>
      <sheetName val="Аренда"/>
      <sheetName val="Таблицы"/>
      <sheetName val="ПСН"/>
      <sheetName val="Лист2"/>
      <sheetName val="ОСЗ"/>
      <sheetName val="Лист1"/>
      <sheetName val="Лист3"/>
      <sheetName val="Литер М"/>
      <sheetName val="Аналоги"/>
      <sheetName val="проч ОС"/>
      <sheetName val="ОД"/>
      <sheetName val="ЛитБ"/>
      <sheetName val="константы"/>
      <sheetName val="Master Inputs Start Here"/>
      <sheetName val="HBS initial"/>
      <sheetName val="затр_подх"/>
      <sheetName val="Капвложения"/>
      <sheetName val="Резервы"/>
      <sheetName val="Баз предп"/>
      <sheetName val="ЗУ_торг"/>
      <sheetName val="Служебный"/>
      <sheetName val="Запрос"/>
      <sheetName val="З_база_зел1"/>
      <sheetName val="1.ИСХ "/>
      <sheetName val="Трансформация бу в уу(сентябрь)"/>
    </sheetNames>
    <sheetDataSet>
      <sheetData sheetId="0">
        <row r="2">
          <cell r="C2">
            <v>28.39</v>
          </cell>
        </row>
      </sheetData>
      <sheetData sheetId="1">
        <row r="2">
          <cell r="C2">
            <v>28.39</v>
          </cell>
        </row>
      </sheetData>
      <sheetData sheetId="2"/>
      <sheetData sheetId="3" refreshError="1">
        <row r="2">
          <cell r="C2">
            <v>28.39</v>
          </cell>
        </row>
      </sheetData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Баланс "/>
      <sheetName val="Параметры"/>
      <sheetName val="накопл активов"/>
      <sheetName val="доходный"/>
      <sheetName val="сделки"/>
      <sheetName val="дивиденды"/>
      <sheetName val="грузооборот"/>
      <sheetName val="Сведение"/>
      <sheetName val="сравнит"/>
      <sheetName val="Расчет"/>
      <sheetName val="дом"/>
      <sheetName val="Лист1"/>
      <sheetName val="именем:Сохранить книгу под имен"/>
      <sheetName val="[Только для чтения][Международн"/>
      <sheetName val="MAPIReadMailMAPIResolveNameMAPI"/>
      <sheetName val="tƗƖ_x0000__x0000__x0000__x0000__x0000__x0000_точн_x0000__x0000_;_x0000__x0000__x0000__x0000__x0000_._x0000__x0000__x0000_Ǘƚ_x0000__x0000__x0000__x0000_"/>
      <sheetName val="ст.диск"/>
      <sheetName val=""/>
      <sheetName val="ОСЗ"/>
      <sheetName val="Ар  лит ЕЖИК"/>
      <sheetName val="Ар  лит АБВД"/>
      <sheetName val="ut_Regression_IntВывод регресси"/>
      <sheetName val="общая на 400"/>
      <sheetName val="artwaveOutUnprepareHeaderwaveOu"/>
      <sheetName val="nAWNetAddConnection3W_x000d__x000d_Продожат"/>
      <sheetName val="курс"/>
      <sheetName val="_x0000__x0000__x0000__x0000__x0000__x0000__x0000__x0000__x0000__x0000__x0000__x0000__x0000__xffff_翿_x0000__x0000__x0000__x0000__xffff__xffff__x0000__x0000__x0000_"/>
    </sheetNames>
    <sheetDataSet>
      <sheetData sheetId="0"/>
      <sheetData sheetId="1" refreshError="1">
        <row r="5">
          <cell r="C5">
            <v>1.3333333333333333</v>
          </cell>
        </row>
      </sheetData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Исходные"/>
      <sheetName val="ст-ть земли"/>
      <sheetName val="литА"/>
      <sheetName val="ЛитБ"/>
      <sheetName val="предпринимат"/>
      <sheetName val="Затр подх"/>
      <sheetName val="расчет ставки дисконта"/>
      <sheetName val="ДП пессимест"/>
      <sheetName val="НИ 1"/>
      <sheetName val="ДП обычный"/>
      <sheetName val="НИ 2"/>
      <sheetName val="ДП оптимист"/>
      <sheetName val="НИ 3 "/>
      <sheetName val="Сведение"/>
      <sheetName val="Лист1"/>
      <sheetName val="Лист2"/>
      <sheetName val="Лист3"/>
      <sheetName val="Площади"/>
      <sheetName val="Ар пр"/>
      <sheetName val="ДП"/>
      <sheetName val="Параметры"/>
      <sheetName val="общие сведения"/>
      <sheetName val="свед"/>
      <sheetName val="исход-итог"/>
      <sheetName val="СПРБ - СТАРЫЙ"/>
      <sheetName val="Sheet2"/>
      <sheetName val="исх 1"/>
      <sheetName val="исход_итог"/>
      <sheetName val="Служебный"/>
      <sheetName val="Текст"/>
      <sheetName val="график01.09.02"/>
      <sheetName val="1"/>
      <sheetName val="Исходные данные"/>
      <sheetName val="Средняя стоимость"/>
      <sheetName val="Паспорт дома В-1 "/>
      <sheetName val="затр_подх"/>
      <sheetName val="Таблица_Аренда"/>
      <sheetName val="инфо"/>
      <sheetName val="разряд"/>
      <sheetName val="описание"/>
      <sheetName val="общие данные"/>
      <sheetName val="восст"/>
      <sheetName val="Свод"/>
      <sheetName val="X"/>
      <sheetName val="X1"/>
      <sheetName val="Метод остатка"/>
    </sheetNames>
    <sheetDataSet>
      <sheetData sheetId="0" refreshError="1">
        <row r="12">
          <cell r="B12">
            <v>27.85</v>
          </cell>
        </row>
      </sheetData>
      <sheetData sheetId="1" refreshError="1"/>
      <sheetData sheetId="2" refreshError="1"/>
      <sheetData sheetId="3" refreshError="1">
        <row r="351">
          <cell r="G351">
            <v>27.85</v>
          </cell>
        </row>
      </sheetData>
      <sheetData sheetId="4">
        <row r="351">
          <cell r="G351">
            <v>27.85</v>
          </cell>
        </row>
      </sheetData>
      <sheetData sheetId="5" refreshError="1"/>
      <sheetData sheetId="6" refreshError="1"/>
      <sheetData sheetId="7"/>
      <sheetData sheetId="8" refreshError="1"/>
      <sheetData sheetId="9"/>
      <sheetData sheetId="10" refreshError="1"/>
      <sheetData sheetId="11"/>
      <sheetData sheetId="12" refreshError="1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/>
      <sheetData sheetId="35" refreshError="1"/>
      <sheetData sheetId="36" refreshError="1"/>
      <sheetData sheetId="37"/>
      <sheetData sheetId="38"/>
      <sheetData sheetId="39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вед"/>
      <sheetName val="Графики"/>
      <sheetName val="Выручка"/>
      <sheetName val="Баланс "/>
      <sheetName val="накопл активов"/>
      <sheetName val="доходный"/>
      <sheetName val="дивиденды"/>
      <sheetName val="МДДП"/>
      <sheetName val="Сведение"/>
      <sheetName val="общий"/>
      <sheetName val="Параметры"/>
      <sheetName val="восст"/>
      <sheetName val="ТЭП гостиница"/>
      <sheetName val="ЛитБ"/>
      <sheetName val="Исходные"/>
      <sheetName val="ИТОГО"/>
      <sheetName val="общие данные"/>
      <sheetName val="общие сведения"/>
      <sheetName val="общее"/>
      <sheetName val="Balance Sheet"/>
      <sheetName val="Баз предп"/>
      <sheetName val="затр_подх"/>
      <sheetName val="Use"/>
      <sheetName val="1"/>
      <sheetName val="Ставка Д"/>
      <sheetName val="рын"/>
      <sheetName val="износ"/>
      <sheetName val="Кредит"/>
      <sheetName val="Стоим._стр-ва"/>
      <sheetName val="НПО Винт"/>
      <sheetName val="Master Inputs Start Here"/>
      <sheetName val="HBS initial"/>
      <sheetName val="Дхд 639,3"/>
      <sheetName val="Исх_данные"/>
      <sheetName val="расчет"/>
      <sheetName val="Справочники"/>
      <sheetName val="const"/>
      <sheetName val="АС_Офис"/>
      <sheetName val=" Assumptions"/>
      <sheetName val="ЗАТРАТЫ"/>
      <sheetName val="Лист1"/>
      <sheetName val="Константы"/>
      <sheetName val="Резервы"/>
      <sheetName val="финплан стр.п."/>
      <sheetName val="Метод остатка"/>
      <sheetName val="исход-итог"/>
      <sheetName val="Comp1"/>
      <sheetName val="Мес"/>
      <sheetName val="Лист"/>
      <sheetName val="навигация"/>
      <sheetName val="Производство электроэнергии"/>
      <sheetName val="структура"/>
      <sheetName val="Т11"/>
      <sheetName val="Т19.1"/>
      <sheetName val="Т1"/>
      <sheetName val="Т2"/>
      <sheetName val="Т3"/>
      <sheetName val="Т6"/>
      <sheetName val="Т7"/>
      <sheetName val="Т8"/>
      <sheetName val="Ш_Передача_ЭЭ"/>
      <sheetName val="05г."/>
      <sheetName val="База"/>
      <sheetName val="Текущие цены"/>
      <sheetName val="рабочий"/>
      <sheetName val="окраска"/>
      <sheetName val="Sheet2"/>
      <sheetName val="Сибнефть"/>
      <sheetName val="Усинск_Роснефть"/>
      <sheetName val="себ"/>
      <sheetName val="ф2"/>
      <sheetName val="ф1"/>
      <sheetName val="дебкред"/>
      <sheetName val="ФХД"/>
      <sheetName val="actives"/>
    </sheetNames>
    <sheetDataSet>
      <sheetData sheetId="0" refreshError="1">
        <row r="2">
          <cell r="B2">
            <v>365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бщие сведения"/>
      <sheetName val="Сведение"/>
      <sheetName val="дисконт"/>
      <sheetName val="восст"/>
      <sheetName val="прибыль предп"/>
      <sheetName val="ремонты"/>
      <sheetName val="неустр из дж"/>
      <sheetName val="фуниз"/>
      <sheetName val="ннэи"/>
      <sheetName val="ДП земля"/>
      <sheetName val="НИ земля"/>
      <sheetName val="Затр подх"/>
      <sheetName val="ДП пессимест (2)"/>
      <sheetName val="НИ 1 (2)"/>
      <sheetName val="ДП пессимест"/>
      <sheetName val="НИ 1"/>
      <sheetName val="аналоги"/>
      <sheetName val="арендная ставка"/>
      <sheetName val="свед"/>
      <sheetName val="ЛитБ"/>
      <sheetName val="Исходные"/>
      <sheetName val="Параметры"/>
      <sheetName val="Метод остатка"/>
      <sheetName val="общее"/>
      <sheetName val="Ставка Д"/>
      <sheetName val="Служебный"/>
      <sheetName val="ТЭП гостиница"/>
      <sheetName val="Sheet2"/>
      <sheetName val="исход-итог"/>
      <sheetName val="const"/>
      <sheetName val="1.ИСХ"/>
      <sheetName val="документы Кириши"/>
      <sheetName val="график01.09.02"/>
      <sheetName val="Спис_Объекты_недв"/>
      <sheetName val="нормы"/>
      <sheetName val="Списки"/>
      <sheetName val="Ку"/>
      <sheetName val="Зоны Москвы"/>
      <sheetName val="исход_итог"/>
      <sheetName val="графики"/>
      <sheetName val="дебкред"/>
      <sheetName val="Исходные данные"/>
      <sheetName val="Средняя стоимость"/>
      <sheetName val="исход."/>
      <sheetName val="Титул"/>
      <sheetName val="инфо"/>
      <sheetName val="Дхд 639,3"/>
      <sheetName val="Изменения"/>
      <sheetName val="1.14"/>
      <sheetName val="Лист1"/>
      <sheetName val="1.10"/>
      <sheetName val="общие данные"/>
      <sheetName val="Use"/>
      <sheetName val="НФИк"/>
      <sheetName val="Баз предп"/>
      <sheetName val="ликвидность"/>
      <sheetName val="поток"/>
      <sheetName val="Земля"/>
      <sheetName val="Литер М"/>
      <sheetName val="Инд"/>
      <sheetName val="Кредит"/>
      <sheetName val="проч ОС"/>
      <sheetName val="General"/>
      <sheetName val="Assum."/>
      <sheetName val="Итоги"/>
      <sheetName val="ЗемляРасчёт"/>
      <sheetName val="Содержание"/>
      <sheetName val="Легенда"/>
      <sheetName val="затр_подх"/>
      <sheetName val="ЗУ ГУИОН!"/>
      <sheetName val="Док+Исх"/>
      <sheetName val="Смета"/>
      <sheetName val="Начало"/>
      <sheetName val="исх 1"/>
      <sheetName val="описание"/>
      <sheetName val="общий"/>
      <sheetName val="3.ЗАТРАТЫ"/>
      <sheetName val="Расчет_стоимости"/>
      <sheetName val="Осн_данн"/>
      <sheetName val="1"/>
      <sheetName val="Приложение &quot;ОС&quot;_оборуд"/>
      <sheetName val="итог тр"/>
      <sheetName val="выр"/>
      <sheetName val="Inputs"/>
      <sheetName val="Brif_zdanie"/>
      <sheetName val="Справочники"/>
      <sheetName val="константы"/>
      <sheetName val="себ"/>
      <sheetName val="ф2"/>
      <sheetName val="ф1"/>
      <sheetName val="ФХД"/>
      <sheetName val="actives"/>
    </sheetNames>
    <sheetDataSet>
      <sheetData sheetId="0" refreshError="1">
        <row r="7">
          <cell r="B7">
            <v>27.82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бщее"/>
      <sheetName val="ставка дисконта"/>
      <sheetName val="прибыль предп"/>
      <sheetName val="Затр подх"/>
      <sheetName val="SFF"/>
      <sheetName val="лист 2"/>
      <sheetName val="земля с улучшением-жилье"/>
      <sheetName val="АННЭИ земли 1"/>
      <sheetName val="АННЭИ земли 2"/>
      <sheetName val="Лист1"/>
      <sheetName val="АННЭИ здания"/>
      <sheetName val="земля с улучшением - офисы"/>
      <sheetName val="Доходный"/>
      <sheetName val="Физ износ устран"/>
      <sheetName val="Физ износ неустран"/>
      <sheetName val="восст"/>
      <sheetName val="аренда для &quot;С&quot;"/>
      <sheetName val="продажи"/>
      <sheetName val="Сведение"/>
      <sheetName val="1.ИСХ"/>
      <sheetName val="документы Кириши"/>
      <sheetName val="затр_подх"/>
      <sheetName val="свед"/>
      <sheetName val="Метод остатка"/>
      <sheetName val="общие сведения"/>
      <sheetName val="Ставка Д"/>
      <sheetName val="Содержание"/>
      <sheetName val="6.Продажа квартир"/>
      <sheetName val="3.ЗАТРАТЫ"/>
      <sheetName val="исход-итог"/>
      <sheetName val="АС_Офис"/>
      <sheetName val="Расчет"/>
      <sheetName val="Параметры"/>
      <sheetName val="общий"/>
      <sheetName val="MGSN"/>
      <sheetName val="Master Inputs Start Here"/>
      <sheetName val="HBS initial"/>
      <sheetName val="ОСЗ"/>
      <sheetName val="14.ДП"/>
      <sheetName val="1.ИСХ "/>
      <sheetName val="Курсы"/>
      <sheetName val="ИСХОД"/>
      <sheetName val="СП_ЗУv1"/>
      <sheetName val="Rev"/>
      <sheetName val="DCF"/>
      <sheetName val="TOC"/>
      <sheetName val="#ССЫЛКА"/>
      <sheetName val="2.Продажа квартир"/>
      <sheetName val="константы"/>
      <sheetName val="общие данные"/>
      <sheetName val="3.ЗУ "/>
      <sheetName val="КО-Инв шк"/>
      <sheetName val="ПП и ИТОГ"/>
      <sheetName val="КЛ_39 аренда"/>
      <sheetName val="ЛитБ"/>
      <sheetName val="d"/>
      <sheetName val="Glossary"/>
      <sheetName val="аналоги коттедж (2)"/>
      <sheetName val="СРЗУ"/>
      <sheetName val="Средняя стоимость"/>
      <sheetName val="Док+Исх"/>
      <sheetName val="Приложение &quot;ОС&quot;_оборуд"/>
      <sheetName val="Лист2"/>
      <sheetName val="Исходные"/>
      <sheetName val="Служебный"/>
      <sheetName val="Сравн"/>
      <sheetName val="исх"/>
      <sheetName val="АС В+"/>
      <sheetName val="const"/>
      <sheetName val="Sheet2"/>
      <sheetName val="Потоки"/>
      <sheetName val="Дхд 639,3"/>
      <sheetName val="Группы"/>
    </sheetNames>
    <sheetDataSet>
      <sheetData sheetId="0" refreshError="1">
        <row r="2">
          <cell r="H2">
            <v>28.74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4"/>
      <sheetName val="график01.09.02"/>
      <sheetName val="график разраб план ф (25.09.02)"/>
      <sheetName val="график строительства (01.10.02)"/>
      <sheetName val="Лист1"/>
      <sheetName val="Лист2"/>
      <sheetName val="Лист3"/>
      <sheetName val="график01_09_02"/>
      <sheetName val="график строительства"/>
      <sheetName val="9.ДП"/>
      <sheetName val="1.ИСХ"/>
      <sheetName val="документы Кириши"/>
      <sheetName val="Метод остатка"/>
      <sheetName val="Ценыобъемы"/>
      <sheetName val="Исходные"/>
      <sheetName val="общие сведения"/>
      <sheetName val="общее"/>
      <sheetName val="Смета"/>
      <sheetName val="исх 1"/>
      <sheetName val="Расходы"/>
      <sheetName val="рабочий"/>
      <sheetName val="исходник"/>
      <sheetName val="износ"/>
      <sheetName val="Sheet2"/>
      <sheetName val="исход-итог"/>
      <sheetName val="Brif_zdanie"/>
      <sheetName val="НФИк"/>
      <sheetName val="Параметры"/>
      <sheetName val="3.ЗУ "/>
      <sheetName val="свед"/>
      <sheetName val="Баз предп"/>
      <sheetName val="2.Продажа квартир"/>
      <sheetName val="инфо"/>
      <sheetName val="Содержание"/>
      <sheetName val="Осн_данные"/>
      <sheetName val="Константы"/>
      <sheetName val="инвестиции 2007"/>
      <sheetName val="ТЭП гостиница"/>
      <sheetName val="Графики Гаврской 15-17"/>
      <sheetName val="таблица"/>
    </sheetNames>
    <sheetDataSet>
      <sheetData sheetId="0" refreshError="1"/>
      <sheetData sheetId="1">
        <row r="3">
          <cell r="D3">
            <v>1.4999999999999999E-2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Диаграмма1"/>
      <sheetName val="реестр операций"/>
      <sheetName val="свод"/>
      <sheetName val="график строительства"/>
      <sheetName val="Срукт-ра себестоимости"/>
      <sheetName val="Протокол"/>
      <sheetName val="Распоряж"/>
      <sheetName val="Лист1"/>
      <sheetName val="график01.09.02"/>
      <sheetName val="Метод остатка"/>
      <sheetName val="1.ИСХ"/>
      <sheetName val="документы Кириши"/>
      <sheetName val="Glossary"/>
      <sheetName val="Док+Исх"/>
      <sheetName val="общее"/>
      <sheetName val="исх 1"/>
      <sheetName val="Спис_Объекты_недв"/>
      <sheetName val="затр_подх"/>
      <sheetName val="ОСЗ"/>
      <sheetName val="14.ДП"/>
      <sheetName val="1.ИСХ "/>
      <sheetName val="общие сведения"/>
      <sheetName val="график01_09_02"/>
      <sheetName val="Параметры"/>
      <sheetName val="Курсы"/>
      <sheetName val="Содержание"/>
      <sheetName val="восст"/>
      <sheetName val="g"/>
      <sheetName val="НФИк"/>
      <sheetName val="анализ площадей"/>
      <sheetName val="9.ДП"/>
      <sheetName val="Rev"/>
      <sheetName val="DCF"/>
      <sheetName val="TOC"/>
      <sheetName val="ЛитБ"/>
      <sheetName val="Sheet2"/>
      <sheetName val="Расходы"/>
      <sheetName val="3.ЗУ "/>
      <sheetName val="свед"/>
    </sheetNames>
    <sheetDataSet>
      <sheetData sheetId="0" refreshError="1"/>
      <sheetData sheetId="1"/>
      <sheetData sheetId="2"/>
      <sheetData sheetId="3">
        <row r="3">
          <cell r="D3">
            <v>1.3999999999999999E-2</v>
          </cell>
        </row>
      </sheetData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C"/>
      <sheetName val="sum"/>
      <sheetName val="DCF_CAPM"/>
      <sheetName val="GLC_Market Approach"/>
      <sheetName val="BS_h&amp;p"/>
      <sheetName val="IS_h&amp;p"/>
      <sheetName val="WACC"/>
      <sheetName val="WorkCap"/>
      <sheetName val="Fin_Anlys"/>
      <sheetName val="GLC_ratios_Sept"/>
      <sheetName val="|"/>
      <sheetName val="drivers"/>
      <sheetName val="CapEx-Depr"/>
      <sheetName val="Fin_Investments"/>
      <sheetName val="BS_cz_CEZ_unconsol"/>
      <sheetName val="GLC_ratios_Jun"/>
      <sheetName val="Notes"/>
      <sheetName val="IS_cz_CEZ_unconsol"/>
      <sheetName val="IAS_Conv"/>
      <sheetName val="Operating Data"/>
      <sheetName val="DCF_CAPM_old"/>
      <sheetName val="||"/>
      <sheetName val="market"/>
      <sheetName val="control"/>
      <sheetName val="Read me first"/>
      <sheetName val="Master Inputs Start here"/>
      <sheetName val="Ф1 АТЭЦ"/>
      <sheetName val="Ф1 ЕТЭЦ"/>
      <sheetName val="Ф1 НГРЭС"/>
      <sheetName val="Ф1 ПТЭЦ"/>
      <sheetName val="Ф1 ЩГРЭС"/>
      <sheetName val="Ф 2 АТЭЦ"/>
      <sheetName val="Ф2 ЕТЭЦ"/>
      <sheetName val="Ф 2 НГРЭС"/>
      <sheetName val="Ф2 ПТЭЦ"/>
      <sheetName val="Ф 2 ЩГРЭС"/>
      <sheetName val="HIS"/>
      <sheetName val="HBS"/>
      <sheetName val="FRA"/>
      <sheetName val="GLC_data"/>
      <sheetName val="Ввод данных ЩГРЭС"/>
      <sheetName val="Ввод общих данных"/>
      <sheetName val="Расчет тарифов и выручки"/>
      <sheetName val="CapEx_Depr"/>
      <sheetName val="DCF"/>
      <sheetName val="GLC"/>
      <sheetName val="Assets"/>
      <sheetName val="Liab"/>
      <sheetName val="AAM"/>
      <sheetName val="Смета"/>
      <sheetName val="6.Продажа квартир"/>
      <sheetName val="3.ЗАТРАТЫ"/>
      <sheetName val="Аренда Торговля"/>
      <sheetName val="Аренда СТО"/>
      <sheetName val="Дисконт"/>
      <sheetName val="Параметры"/>
      <sheetName val="ДП_пессимист "/>
      <sheetName val="исходное"/>
      <sheetName val="общее"/>
      <sheetName val="Glossary"/>
      <sheetName val="Содержание"/>
      <sheetName val="Data"/>
      <sheetName val="затр_подх"/>
      <sheetName val="Исх_данные"/>
      <sheetName val="общие сведения"/>
      <sheetName val="свед"/>
      <sheetName val="Док+Исх"/>
      <sheetName val="ТЭП"/>
      <sheetName val="Потоки"/>
      <sheetName val="исход-итог"/>
      <sheetName val="Rev"/>
      <sheetName val="HBS initial"/>
      <sheetName val="Метод остатка"/>
      <sheetName val="Brif_zdanie"/>
      <sheetName val="Выписка_РФИ"/>
      <sheetName val="Имущество_элементы"/>
      <sheetName val="констр"/>
      <sheetName val="график01.09.02"/>
      <sheetName val="MGSN"/>
      <sheetName val="ОСЗ"/>
      <sheetName val="1.ИСХ "/>
      <sheetName val="исх 1"/>
      <sheetName val="СП-земля"/>
      <sheetName val="график строительства"/>
      <sheetName val="9.ДП"/>
      <sheetName val="F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алендарный план"/>
      <sheetName val="План расходов"/>
      <sheetName val="План поступлений"/>
      <sheetName val="План ДДС"/>
      <sheetName val="План финансирования"/>
      <sheetName val="Прибыльность"/>
      <sheetName val="Анализ чувствительности"/>
      <sheetName val="Чувствительность (график)"/>
      <sheetName val="План расходов (график)"/>
      <sheetName val="Расходы  и  потупления (график)"/>
      <sheetName val="Проданные квартиры (график)"/>
      <sheetName val="Поступления от продаж (график)"/>
      <sheetName val="Проданные гаражи (график)"/>
      <sheetName val="ДДС (график)"/>
      <sheetName val="Служебный"/>
      <sheetName val="1"/>
      <sheetName val="свед"/>
      <sheetName val="график строительства"/>
      <sheetName val="график01.09.02"/>
      <sheetName val="сведение (2)"/>
      <sheetName val="бассейн"/>
      <sheetName val="общее"/>
      <sheetName val="общие сведения"/>
      <sheetName val="ЛитБ"/>
      <sheetName val="Исходные"/>
      <sheetName val="Параметры"/>
      <sheetName val="Метод остатка"/>
      <sheetName val="исход-итог"/>
      <sheetName val="затр_подх"/>
      <sheetName val="Glossary"/>
      <sheetName val="общие данные"/>
      <sheetName val="исх 1"/>
      <sheetName val="СРЗУ"/>
      <sheetName val="Лист2"/>
      <sheetName val="Ставка Д"/>
      <sheetName val="Sheet2"/>
      <sheetName val="d"/>
      <sheetName val="НФИк"/>
      <sheetName val="Расходы"/>
      <sheetName val=" Assumptions"/>
      <sheetName val="Расчет тарифов и выручки"/>
      <sheetName val="Лист3"/>
      <sheetName val="ar"/>
      <sheetName val="общий"/>
      <sheetName val="1.ИСХ"/>
      <sheetName val="Содержание"/>
      <sheetName val="Осн_данн"/>
      <sheetName val="Balance Sheet"/>
      <sheetName val="СрЗд"/>
      <sheetName val="Index "/>
      <sheetName val="Ключевые данные"/>
      <sheetName val="Финпоказатели"/>
      <sheetName val="Master Inputs Start here"/>
      <sheetName val="Док+Исх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>
        <row r="7">
          <cell r="J7">
            <v>0.15</v>
          </cell>
        </row>
        <row r="18">
          <cell r="J18">
            <v>1.1499999999999999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писание"/>
      <sheetName val="общие данные"/>
      <sheetName val="сводка по земле"/>
      <sheetName val="земля при пустоте"/>
      <sheetName val="земля при капстр"/>
      <sheetName val="земля при складах"/>
      <sheetName val="фун износ"/>
      <sheetName val="вн_износ"/>
      <sheetName val="сводка по затратам"/>
      <sheetName val="Устранимый износ"/>
      <sheetName val="неустр из кж"/>
      <sheetName val="неустр из дж"/>
      <sheetName val="прибыль предп"/>
      <sheetName val="сводка по приб"/>
      <sheetName val="дисконт"/>
      <sheetName val="доходплощ"/>
      <sheetName val="НИ пл"/>
      <sheetName val="доход80"/>
      <sheetName val="НИ 80"/>
      <sheetName val="доход79"/>
      <sheetName val="НИ 79"/>
      <sheetName val="доход62"/>
      <sheetName val="НИ 62"/>
      <sheetName val="доход4"/>
      <sheetName val="НИ 4"/>
      <sheetName val="4 (2)"/>
      <sheetName val="4"/>
      <sheetName val="62 (2)"/>
      <sheetName val="62"/>
      <sheetName val="79 (2)"/>
      <sheetName val="79"/>
      <sheetName val="80(кирп) (2)"/>
      <sheetName val="80(кирп)"/>
      <sheetName val="80(мет) (2)"/>
      <sheetName val="80(мет)"/>
      <sheetName val="80(бет) (2)"/>
      <sheetName val="80(бет)"/>
      <sheetName val="площадка (2)"/>
      <sheetName val="площадка"/>
      <sheetName val="SFF"/>
      <sheetName val="арендная ставка"/>
      <sheetName val="общая сводка"/>
      <sheetName val="сводка по рыночному методу"/>
      <sheetName val="Корпус 80"/>
      <sheetName val="Корпус 79"/>
      <sheetName val="Корпус 62"/>
      <sheetName val="Корпус 4"/>
      <sheetName val="Метод остатка"/>
      <sheetName val="Служебный"/>
      <sheetName val="Инд"/>
      <sheetName val="график строительства"/>
      <sheetName val="общие сведения"/>
      <sheetName val="СП_КОМПЛЕКС"/>
      <sheetName val="4.озеленение"/>
      <sheetName val="общий"/>
      <sheetName val="2.Продажа квартир"/>
      <sheetName val="свед"/>
      <sheetName val="Коррект"/>
      <sheetName val="6.Продажа квартир"/>
      <sheetName val="3.ЗАТРАТЫ"/>
      <sheetName val="Начало"/>
      <sheetName val="Параметры"/>
      <sheetName val="ЛитБ"/>
      <sheetName val="Исходные"/>
      <sheetName val="график01.09.02"/>
      <sheetName val="1"/>
      <sheetName val="3.ЗУ "/>
      <sheetName val="Содержание"/>
      <sheetName val="восст"/>
      <sheetName val="затр_подх"/>
      <sheetName val="исход-итог"/>
      <sheetName val="Пересчет_Склады"/>
      <sheetName val="КО-Инвест"/>
      <sheetName val="Док+Исх"/>
      <sheetName val="Balance"/>
    </sheetNames>
    <sheetDataSet>
      <sheetData sheetId="0">
        <row r="3">
          <cell r="F3">
            <v>1.6842510283749963</v>
          </cell>
        </row>
      </sheetData>
      <sheetData sheetId="1" refreshError="1">
        <row r="3">
          <cell r="F3">
            <v>1.6842510283749963</v>
          </cell>
          <cell r="G3">
            <v>1.6626562797697269</v>
          </cell>
          <cell r="H3">
            <v>1.6783708503579164</v>
          </cell>
          <cell r="I3">
            <v>1.6997987050518062</v>
          </cell>
          <cell r="J3">
            <v>1.6638087046407968</v>
          </cell>
          <cell r="K3">
            <v>1.7399142334614128</v>
          </cell>
          <cell r="L3">
            <v>1.485144002963632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Рабочий"/>
      <sheetName val="Содержание"/>
      <sheetName val="Финанс. калькулятор"/>
      <sheetName val="Чист. операц. доход"/>
      <sheetName val="Прямая_капит."/>
      <sheetName val="Дисконт."/>
      <sheetName val="Анализ_риска"/>
      <sheetName val="Сравн._продаж"/>
      <sheetName val="Отн._анализ"/>
      <sheetName val="Стоим._земли"/>
      <sheetName val="Стоим._стр-ва"/>
      <sheetName val="Объемы работ"/>
      <sheetName val="Оценка_износа"/>
      <sheetName val="Наилуч._использ."/>
      <sheetName val="Регрессия"/>
      <sheetName val="Макросы1"/>
      <sheetName val="Макросы2"/>
      <sheetName val="Служебный"/>
      <sheetName val="общие данные"/>
      <sheetName val="СП_КОМПЛЕКС"/>
      <sheetName val="4.озеленение"/>
      <sheetName val="восст"/>
      <sheetName val="Метод остатка"/>
      <sheetName val="затр_подх"/>
      <sheetName val="6.Продажа квартир"/>
      <sheetName val="3.ЗАТРАТЫ"/>
      <sheetName val="общее"/>
      <sheetName val="Master Inputs Start Here"/>
      <sheetName val="HBS initial"/>
      <sheetName val="Спис_Объекты_недв"/>
      <sheetName val="свед"/>
      <sheetName val="общие сведения"/>
      <sheetName val="Параметры"/>
      <sheetName val="1"/>
      <sheetName val="VFI"/>
      <sheetName val="LTRate"/>
      <sheetName val="Ки"/>
      <sheetName val="Regions"/>
      <sheetName val="Tab1"/>
      <sheetName val="Tab2-X"/>
      <sheetName val="Tab2-1"/>
      <sheetName val="Tab3"/>
      <sheetName val="CAD"/>
      <sheetName val="Const"/>
      <sheetName val="Аренда Торговля"/>
      <sheetName val="Аренда СТО"/>
      <sheetName val="Дисконт"/>
      <sheetName val="исх 1"/>
      <sheetName val="график строительства"/>
      <sheetName val="Лист2"/>
      <sheetName val="Доход"/>
      <sheetName val="Исходные"/>
      <sheetName val="Sheet2"/>
      <sheetName val="график01.09.02"/>
      <sheetName val="Пересчет_Склады"/>
      <sheetName val="Лист3"/>
      <sheetName val="Balance"/>
      <sheetName val="Расчет_стоимости"/>
      <sheetName val="общий"/>
      <sheetName val="НФИк"/>
      <sheetName val="Инд"/>
      <sheetName val="2.Продажа квартир"/>
      <sheetName val="Коррект"/>
      <sheetName val="Дхд 639,3"/>
    </sheetNames>
    <sheetDataSet>
      <sheetData sheetId="0" refreshError="1"/>
      <sheetData sheetId="1" refreshError="1">
        <row r="15">
          <cell r="J15">
            <v>5348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равнит"/>
      <sheetName val="ф.из. лит а"/>
      <sheetName val="УПВС кот."/>
      <sheetName val="затр_подх"/>
      <sheetName val="Сведение"/>
      <sheetName val="9.ДП"/>
      <sheetName val="СП_КОМПЛЕКС"/>
      <sheetName val="4.озеленение"/>
      <sheetName val="исх 1"/>
      <sheetName val="Спис_Объекты_недв"/>
      <sheetName val="общие данные"/>
      <sheetName val="общий"/>
      <sheetName val="Начало"/>
      <sheetName val="исход-итог"/>
      <sheetName val="свед"/>
      <sheetName val="Салова лит А"/>
      <sheetName val="ЗУ ГУИОН"/>
      <sheetName val="ПВД"/>
      <sheetName val="Содержание"/>
      <sheetName val="Brif_zdanie"/>
      <sheetName val="var 1"/>
      <sheetName val="КО-Инвест дду 140"/>
      <sheetName val="КО-Инв шк"/>
      <sheetName val="АДДП"/>
      <sheetName val="ОСЗ"/>
      <sheetName val="14.ДП"/>
      <sheetName val="1.ИСХ "/>
      <sheetName val="7.ЗУ ГУИОН!"/>
      <sheetName val="3.ЗАТРАТЫ"/>
      <sheetName val="Const"/>
      <sheetName val="ИСХОДНИК"/>
      <sheetName val="Метод остатка"/>
      <sheetName val="Исх_данные"/>
      <sheetName val="6.Продажа квартир"/>
      <sheetName val="общее"/>
      <sheetName val="Смета"/>
      <sheetName val="дисконт"/>
      <sheetName val="2.Продажа квартир"/>
      <sheetName val="Док+Исх"/>
      <sheetName val="общие сведения"/>
      <sheetName val="Параметры"/>
      <sheetName val="Аренда Торговля"/>
      <sheetName val="Аренда СТО"/>
      <sheetName val="Glossary"/>
      <sheetName val="2002(v2)"/>
      <sheetName val="Исходные данные"/>
      <sheetName val="график строительства"/>
      <sheetName val="СД"/>
      <sheetName val="Balance Sheet"/>
      <sheetName val="СРЗУ"/>
      <sheetName val="Sheet2"/>
      <sheetName val="Лист2"/>
      <sheetName val="Ар2"/>
    </sheetNames>
    <sheetDataSet>
      <sheetData sheetId="0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бщие сведения"/>
      <sheetName val="восст"/>
      <sheetName val="ремонты"/>
      <sheetName val="ДП земля"/>
      <sheetName val="НИ земля"/>
      <sheetName val="Затр подх"/>
      <sheetName val="ДП пессимест"/>
      <sheetName val="НИ 1"/>
      <sheetName val="аналоги"/>
      <sheetName val="арендная ставка"/>
      <sheetName val="дисконт"/>
      <sheetName val="Сведение"/>
      <sheetName val="затр_подх"/>
      <sheetName val="Лист1"/>
      <sheetName val="Параметры"/>
      <sheetName val="общие данные"/>
      <sheetName val="ЗУ ГУИОН!"/>
      <sheetName val="Док+Исх"/>
      <sheetName val="Содержание"/>
      <sheetName val="Метод остатка"/>
      <sheetName val="Спис_Объекты_недв"/>
      <sheetName val="исход-итог"/>
      <sheetName val="Смета"/>
      <sheetName val="Начало"/>
      <sheetName val="ЛитБ"/>
      <sheetName val="Приложение &quot;ОС&quot;_оборуд"/>
      <sheetName val="выр"/>
      <sheetName val="Inputs"/>
      <sheetName val="1"/>
      <sheetName val="Ставка Д"/>
      <sheetName val="НФИк"/>
      <sheetName val="описание"/>
      <sheetName val="свед"/>
      <sheetName val="исх 1"/>
      <sheetName val="1.ИСХ"/>
      <sheetName val="документы Кириши"/>
      <sheetName val="общий"/>
      <sheetName val="3.ЗАТРАТЫ"/>
      <sheetName val="Расчет_стоимости"/>
      <sheetName val="график01.09.02"/>
      <sheetName val="Литер М"/>
      <sheetName val="Осн_данн"/>
      <sheetName val="итог тр"/>
      <sheetName val="Исходные данные"/>
      <sheetName val="Brif_zdanie"/>
      <sheetName val="рын_ст_зелен3"/>
      <sheetName val="общее"/>
      <sheetName val="Заголовок"/>
      <sheetName val="прибыль предп"/>
      <sheetName val="неустр из дж"/>
      <sheetName val="фуниз"/>
      <sheetName val="ннэи"/>
      <sheetName val="ДП пессимест (2)"/>
      <sheetName val="НИ 1 (2)"/>
      <sheetName val="Служебный"/>
      <sheetName val="Исходные"/>
      <sheetName val="Sheet2"/>
      <sheetName val="ТЭП гостиница"/>
      <sheetName val="Use"/>
      <sheetName val="исход_итог"/>
      <sheetName val="const"/>
      <sheetName val="General"/>
      <sheetName val="Assum."/>
      <sheetName val="нормы"/>
      <sheetName val="Списки"/>
      <sheetName val="Ку"/>
      <sheetName val="Зоны Москвы"/>
      <sheetName val="ликвидность"/>
      <sheetName val="поток"/>
      <sheetName val="Изменения"/>
      <sheetName val="1.14"/>
      <sheetName val="1.10"/>
      <sheetName val="Баз предп"/>
      <sheetName val="Титул"/>
      <sheetName val="Справочники"/>
      <sheetName val="константы"/>
      <sheetName val="Итоги"/>
      <sheetName val="Расчет тарифов и выручки"/>
    </sheetNames>
    <sheetDataSet>
      <sheetData sheetId="0" refreshError="1"/>
      <sheetData sheetId="1" refreshError="1">
        <row r="403">
          <cell r="L403">
            <v>1.4577780767937005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Заезд"/>
      <sheetName val="Исходные"/>
      <sheetName val="Выручка"/>
      <sheetName val="Смета"/>
      <sheetName val="Средняя стоимость"/>
      <sheetName val="Цены"/>
      <sheetName val="Анализ сметы"/>
      <sheetName val="Анализ себестоимости"/>
      <sheetName val="Исходные данные"/>
      <sheetName val="Начало"/>
      <sheetName val="свед"/>
      <sheetName val="график01.09.02"/>
      <sheetName val="восст"/>
      <sheetName val="Ставка Д"/>
      <sheetName val="затр_подх"/>
      <sheetName val="Базовый запрос (ОС)"/>
      <sheetName val="Sheet2"/>
      <sheetName val="Группы"/>
      <sheetName val="Параметры"/>
      <sheetName val="3.ЗАТРАТЫ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Заезд"/>
      <sheetName val="Исходные"/>
      <sheetName val="Выручка"/>
      <sheetName val="Смета"/>
      <sheetName val="Средняя стоимость"/>
      <sheetName val="Цены"/>
      <sheetName val="Анализ сметы"/>
      <sheetName val="Анализ себестоимости"/>
      <sheetName val="Исходные данные"/>
      <sheetName val="Начало"/>
      <sheetName val="свед"/>
      <sheetName val="график01.09.02"/>
      <sheetName val="восст"/>
      <sheetName val="Ставка Д"/>
      <sheetName val="затр_подх"/>
      <sheetName val="Базовый запрос (ОС)"/>
      <sheetName val="Sheet2"/>
      <sheetName val="Группы"/>
      <sheetName val="Параметры"/>
      <sheetName val="3.ЗАТРАТЫ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Затратный"/>
      <sheetName val="Динамика затрат"/>
      <sheetName val="Выручка"/>
      <sheetName val="Доходы"/>
      <sheetName val="Итог"/>
      <sheetName val="Смета"/>
      <sheetName val="Индексы"/>
      <sheetName val="свед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Затратный"/>
      <sheetName val="Динамика затрат"/>
      <sheetName val="Выручка"/>
      <sheetName val="Доходы"/>
      <sheetName val="Итог"/>
      <sheetName val="Смета"/>
      <sheetName val="Индексы"/>
      <sheetName val="свед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Затратный"/>
      <sheetName val="Динамика затрат"/>
      <sheetName val="Выручка"/>
      <sheetName val="Доходы"/>
      <sheetName val="Итог"/>
      <sheetName val="Смета"/>
      <sheetName val="Индексы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C"/>
      <sheetName val="sum"/>
      <sheetName val="DCF_CAPM"/>
      <sheetName val="GLC_Market Approach"/>
      <sheetName val="BS_h&amp;p"/>
      <sheetName val="IS_h&amp;p"/>
      <sheetName val="WACC"/>
      <sheetName val="WorkCap"/>
      <sheetName val="Fin_Anlys"/>
      <sheetName val="GLC_ratios_Sept"/>
      <sheetName val="|"/>
      <sheetName val="drivers"/>
      <sheetName val="CapEx-Depr"/>
      <sheetName val="Fin_Investments"/>
      <sheetName val="BS_cz_CEZ_unconsol"/>
      <sheetName val="GLC_ratios_Jun"/>
      <sheetName val="Notes"/>
      <sheetName val="IS_cz_CEZ_unconsol"/>
      <sheetName val="IAS_Conv"/>
      <sheetName val="Operating Data"/>
      <sheetName val="DCF_CAPM_old"/>
      <sheetName val="||"/>
      <sheetName val="market"/>
      <sheetName val="control"/>
      <sheetName val="Read me first"/>
      <sheetName val="Master Inputs Start here"/>
      <sheetName val="Ф1 АТЭЦ"/>
      <sheetName val="Ф1 ЕТЭЦ"/>
      <sheetName val="Ф1 НГРЭС"/>
      <sheetName val="Ф1 ПТЭЦ"/>
      <sheetName val="Ф1 ЩГРЭС"/>
      <sheetName val="Ф 2 АТЭЦ"/>
      <sheetName val="Ф2 ЕТЭЦ"/>
      <sheetName val="Ф 2 НГРЭС"/>
      <sheetName val="Ф2 ПТЭЦ"/>
      <sheetName val="Ф 2 ЩГРЭС"/>
      <sheetName val="HIS"/>
      <sheetName val="HBS"/>
      <sheetName val="FRA"/>
      <sheetName val="GLC_data"/>
      <sheetName val="Ввод данных ЩГРЭС"/>
      <sheetName val="Ввод общих данных"/>
      <sheetName val="Расчет тарифов и выручки"/>
      <sheetName val="CapEx_Depr"/>
      <sheetName val="DCF"/>
      <sheetName val="GLC"/>
      <sheetName val="Assets"/>
      <sheetName val="Liab"/>
      <sheetName val="AA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Исход"/>
      <sheetName val="Общ"/>
      <sheetName val="Инвестиции"/>
      <sheetName val="График Стр-ва"/>
      <sheetName val="Индексы"/>
      <sheetName val="строит (ИТОГО)"/>
      <sheetName val="График реализации"/>
      <sheetName val="стоимость квартир, м.-мест, ком"/>
      <sheetName val="Весь проект"/>
      <sheetName val="кредит"/>
    </sheetNames>
    <sheetDataSet>
      <sheetData sheetId="0">
        <row r="5">
          <cell r="B5">
            <v>63630</v>
          </cell>
        </row>
        <row r="7">
          <cell r="B7">
            <v>90879.2</v>
          </cell>
        </row>
        <row r="8">
          <cell r="B8">
            <v>62858</v>
          </cell>
        </row>
        <row r="11">
          <cell r="B11">
            <v>1127.3</v>
          </cell>
        </row>
      </sheetData>
      <sheetData sheetId="1"/>
      <sheetData sheetId="2"/>
      <sheetData sheetId="3">
        <row r="7">
          <cell r="AQ7">
            <v>14.285714285714286</v>
          </cell>
        </row>
      </sheetData>
      <sheetData sheetId="4"/>
      <sheetData sheetId="5">
        <row r="8">
          <cell r="B8">
            <v>4793508324.9936466</v>
          </cell>
        </row>
      </sheetData>
      <sheetData sheetId="6">
        <row r="10">
          <cell r="D10">
            <v>0.19700000000000001</v>
          </cell>
        </row>
        <row r="22">
          <cell r="D22">
            <v>0.12</v>
          </cell>
        </row>
        <row r="25">
          <cell r="D25">
            <v>9.4E-2</v>
          </cell>
        </row>
        <row r="28">
          <cell r="D28">
            <v>8.1000000000000003E-2</v>
          </cell>
        </row>
      </sheetData>
      <sheetData sheetId="7"/>
      <sheetData sheetId="8"/>
      <sheetData sheetId="9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Исход"/>
      <sheetName val="Общ"/>
      <sheetName val="Квартиры"/>
      <sheetName val="Паркинг"/>
      <sheetName val="Нежилые"/>
      <sheetName val="Аренда земли"/>
      <sheetName val="Дисконт"/>
      <sheetName val="Инвестиции"/>
      <sheetName val="График Стр-ва"/>
      <sheetName val="строит (ИТОГО)"/>
      <sheetName val="Индексы"/>
      <sheetName val="М. остатка"/>
      <sheetName val="Весь проект"/>
      <sheetName val="Эфф-проекта"/>
      <sheetName val="Эфф-инв"/>
      <sheetName val="Эфф-РФ"/>
      <sheetName val="Сведение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1">
          <cell r="D11" t="str">
            <v>1 квартал</v>
          </cell>
          <cell r="E11" t="str">
            <v>2 квартал</v>
          </cell>
          <cell r="F11" t="str">
            <v>3 квартал</v>
          </cell>
          <cell r="G11" t="str">
            <v>4 квартал</v>
          </cell>
          <cell r="H11" t="str">
            <v>5 квартал</v>
          </cell>
          <cell r="I11" t="str">
            <v>6 квартал</v>
          </cell>
          <cell r="J11" t="str">
            <v>7 квартал</v>
          </cell>
          <cell r="K11" t="str">
            <v>8 квартал</v>
          </cell>
          <cell r="L11" t="str">
            <v>9 квартал</v>
          </cell>
          <cell r="M11" t="str">
            <v>10 квартал</v>
          </cell>
          <cell r="N11" t="str">
            <v>11 квартал</v>
          </cell>
        </row>
        <row r="31">
          <cell r="D31">
            <v>0</v>
          </cell>
          <cell r="E31">
            <v>0</v>
          </cell>
          <cell r="F31">
            <v>0</v>
          </cell>
          <cell r="G31">
            <v>0</v>
          </cell>
        </row>
        <row r="34">
          <cell r="C34">
            <v>3360</v>
          </cell>
        </row>
      </sheetData>
      <sheetData sheetId="12"/>
      <sheetData sheetId="13"/>
      <sheetData sheetId="14"/>
      <sheetData sheetId="15"/>
      <sheetData sheetId="16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Исход"/>
      <sheetName val="Инвестиции"/>
      <sheetName val="НЦС-пример"/>
      <sheetName val="График Стр-ва"/>
    </sheetNames>
    <sheetDataSet>
      <sheetData sheetId="0" refreshError="1"/>
      <sheetData sheetId="1" refreshError="1"/>
      <sheetData sheetId="2" refreshError="1"/>
      <sheetData sheetId="3">
        <row r="24">
          <cell r="AN24">
            <v>4327400004</v>
          </cell>
        </row>
        <row r="25">
          <cell r="C25">
            <v>66309.06998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GSN"/>
      <sheetName val="Расчет"/>
      <sheetName val="Tables"/>
      <sheetName val="Glossary"/>
      <sheetName val="Док+Исх"/>
      <sheetName val="общее"/>
      <sheetName val="Read me first"/>
      <sheetName val="Метод остатка"/>
      <sheetName val="Сведение"/>
      <sheetName val="Содержание"/>
      <sheetName val="1.ИСХ"/>
      <sheetName val="документы Кириши"/>
      <sheetName val="Data"/>
      <sheetName val="график01.09.02"/>
      <sheetName val="затр_подх"/>
      <sheetName val="график строительства"/>
      <sheetName val="восст"/>
      <sheetName val="Iznos_VSN53-86"/>
      <sheetName val="Balance Sheet"/>
      <sheetName val="Income Statement"/>
      <sheetName val="Sheet5"/>
      <sheetName val="Спис_Объекты_недв"/>
      <sheetName val="Дисконт"/>
      <sheetName val="свед"/>
      <sheetName val="Расходы"/>
      <sheetName val="Master Inputs Start Here"/>
      <sheetName val="HBS initial"/>
      <sheetName val="Параметры"/>
      <sheetName val="KEY"/>
      <sheetName val="Лист"/>
      <sheetName val="навигация"/>
      <sheetName val="Т12"/>
      <sheetName val="Т3"/>
      <sheetName val="Assumptions"/>
      <sheetName val="Аренда Торговля"/>
      <sheetName val="Аренда СТО"/>
    </sheetNames>
    <sheetDataSet>
      <sheetData sheetId="0" refreshError="1"/>
      <sheetData sheetId="1" refreshError="1"/>
      <sheetData sheetId="2" refreshError="1"/>
      <sheetData sheetId="3">
        <row r="3">
          <cell r="B3" t="str">
            <v>нет</v>
          </cell>
        </row>
        <row r="4">
          <cell r="B4" t="str">
            <v>Фундаменты столбчатые деревянные с забиркой</v>
          </cell>
        </row>
        <row r="5">
          <cell r="B5" t="str">
            <v>Фундаменты столбчатые каменные с кирпичным цоколем</v>
          </cell>
        </row>
        <row r="6">
          <cell r="B6" t="str">
            <v>Фундаменты ленточные каменные</v>
          </cell>
        </row>
        <row r="7">
          <cell r="B7" t="str">
            <v>Фундаменты ленточные крупноблочные</v>
          </cell>
        </row>
        <row r="8">
          <cell r="B8" t="str">
            <v>Фундаменты свайные столбчатые каменные, бетонные и железобетонные</v>
          </cell>
        </row>
        <row r="9">
          <cell r="B9" t="str">
            <v>Конструктивный элемент</v>
          </cell>
        </row>
        <row r="10">
          <cell r="B10" t="str">
            <v>разрушены</v>
          </cell>
        </row>
        <row r="13">
          <cell r="B13" t="str">
            <v>нет</v>
          </cell>
        </row>
        <row r="14">
          <cell r="B14" t="str">
            <v>Стены деревянные, сборно-щитовые</v>
          </cell>
        </row>
        <row r="15">
          <cell r="B15" t="str">
            <v>Стены деревянные каркасные</v>
          </cell>
        </row>
        <row r="16">
          <cell r="B16" t="str">
            <v>Стены рубленые из бревен и брусчатые</v>
          </cell>
        </row>
        <row r="17">
          <cell r="B17" t="str">
            <v>Стены деревянные рубленные, каркасные и брусчатые с наружной облицовкой кирпичом</v>
          </cell>
        </row>
        <row r="18">
          <cell r="B18" t="str">
            <v>Стены кирпичные</v>
          </cell>
        </row>
        <row r="19">
          <cell r="B19" t="str">
            <v>Стены кирпичные с облицовкой керамическими блоками и плитками</v>
          </cell>
        </row>
        <row r="20">
          <cell r="B20" t="str">
            <v>Стены из мелких блоков, искусственных и естественных камней</v>
          </cell>
        </row>
        <row r="21">
          <cell r="B21" t="str">
            <v>Стены из крупноразмерных блоков и однослойных несущих панелей</v>
          </cell>
        </row>
        <row r="22">
          <cell r="B22" t="str">
            <v>Стены из слоистых железобетонных панелей</v>
          </cell>
        </row>
        <row r="23">
          <cell r="B23" t="str">
            <v>Стены из несущих панелей</v>
          </cell>
        </row>
        <row r="24">
          <cell r="B24" t="str">
            <v>Конструктивный элемент</v>
          </cell>
        </row>
        <row r="25">
          <cell r="B25" t="str">
            <v>разрушены</v>
          </cell>
        </row>
        <row r="28">
          <cell r="B28" t="str">
            <v>нет</v>
          </cell>
        </row>
        <row r="29">
          <cell r="B29" t="str">
            <v>Стойки деревянные</v>
          </cell>
        </row>
        <row r="30">
          <cell r="B30" t="str">
            <v>Столбы кирпичные</v>
          </cell>
        </row>
        <row r="31">
          <cell r="B31" t="str">
            <v>Колонны железобетонные (сборные и монолитные)</v>
          </cell>
        </row>
        <row r="32">
          <cell r="B32" t="str">
            <v>Конструктивный элемент</v>
          </cell>
        </row>
        <row r="33">
          <cell r="B33" t="str">
            <v>разрушены</v>
          </cell>
        </row>
        <row r="36">
          <cell r="B36" t="str">
            <v>нет</v>
          </cell>
        </row>
        <row r="37">
          <cell r="B37" t="str">
            <v>Перегородки несущие панельного типа</v>
          </cell>
        </row>
        <row r="38">
          <cell r="B38" t="str">
            <v>Перегородки кирпичные</v>
          </cell>
        </row>
        <row r="39">
          <cell r="B39" t="str">
            <v>Перегородки деревянные неоштукатуренные</v>
          </cell>
        </row>
        <row r="40">
          <cell r="B40" t="str">
            <v>Перегородки деревянные, оштукатуренные</v>
          </cell>
        </row>
        <row r="41">
          <cell r="B41" t="str">
            <v>Перегородки гипсобетонные и шлакобетонные</v>
          </cell>
        </row>
        <row r="42">
          <cell r="B42" t="str">
            <v>Перегородки фибролитовые</v>
          </cell>
        </row>
        <row r="43">
          <cell r="B43" t="str">
            <v>Конструктивный элемент</v>
          </cell>
        </row>
        <row r="44">
          <cell r="B44" t="str">
            <v>разрушены</v>
          </cell>
        </row>
        <row r="47">
          <cell r="B47" t="str">
            <v>нет</v>
          </cell>
        </row>
        <row r="48">
          <cell r="B48" t="str">
            <v>Перекрытия деревянные неоштукатуренные</v>
          </cell>
        </row>
        <row r="49">
          <cell r="B49" t="str">
            <v>Перекрытия деревянные оштукатуренные</v>
          </cell>
        </row>
        <row r="50">
          <cell r="B50" t="str">
            <v>Перекрытия из кирпичных сводов по стальным балкам</v>
          </cell>
        </row>
        <row r="51">
          <cell r="B51" t="str">
            <v>Перекрытия из двухскорлупных железобетонных прокатных панелей</v>
          </cell>
        </row>
        <row r="52">
          <cell r="B52" t="str">
            <v>Перекрытия из сборного железобетонного настила</v>
          </cell>
        </row>
        <row r="53">
          <cell r="B53" t="str">
            <v>Перекрытия из сборных и монолитных сплошных плит</v>
          </cell>
        </row>
        <row r="54">
          <cell r="B54" t="str">
            <v>Монолитные и сборные железобетонные балки покрытий и перекрытий</v>
          </cell>
        </row>
        <row r="55">
          <cell r="B55" t="str">
            <v>Конструктивный элемент</v>
          </cell>
        </row>
        <row r="56">
          <cell r="B56" t="str">
            <v>разрушены</v>
          </cell>
        </row>
        <row r="59">
          <cell r="B59" t="str">
            <v>нет</v>
          </cell>
        </row>
        <row r="60">
          <cell r="B60" t="str">
            <v>Лестницы деревянные</v>
          </cell>
        </row>
        <row r="61">
          <cell r="B61" t="str">
            <v>Лестницы по стальным косоурам</v>
          </cell>
        </row>
        <row r="62">
          <cell r="B62" t="str">
            <v>Лестницы железобетонные</v>
          </cell>
        </row>
        <row r="63">
          <cell r="B63" t="str">
            <v>Конструктивный элемент</v>
          </cell>
        </row>
        <row r="64">
          <cell r="B64" t="str">
            <v>разрушены</v>
          </cell>
        </row>
        <row r="67">
          <cell r="B67" t="str">
            <v>нет</v>
          </cell>
        </row>
        <row r="68">
          <cell r="B68" t="str">
            <v>Сборные железобетонные детали лоджий</v>
          </cell>
        </row>
        <row r="69">
          <cell r="B69" t="str">
            <v>Балконы, козырьки</v>
          </cell>
        </row>
        <row r="70">
          <cell r="B70" t="str">
            <v>Конструктивный элемент</v>
          </cell>
        </row>
        <row r="71">
          <cell r="B71" t="str">
            <v>разрушены</v>
          </cell>
        </row>
        <row r="74">
          <cell r="B74" t="str">
            <v>нет</v>
          </cell>
        </row>
        <row r="75">
          <cell r="B75" t="str">
            <v>Крыши деревянные</v>
          </cell>
        </row>
        <row r="76">
          <cell r="B76" t="str">
            <v>Крыши железобетонные сборные (чердачные)</v>
          </cell>
        </row>
        <row r="77">
          <cell r="B77" t="str">
            <v>Крыши совмещенные из сборных железобетонных слоистых панелей</v>
          </cell>
        </row>
        <row r="78">
          <cell r="B78" t="str">
            <v>Конструктивный элемент</v>
          </cell>
        </row>
        <row r="79">
          <cell r="B79" t="str">
            <v>разрушены</v>
          </cell>
        </row>
        <row r="82">
          <cell r="B82" t="str">
            <v>нет</v>
          </cell>
        </row>
        <row r="83">
          <cell r="B83" t="str">
            <v>Кровли рулонные</v>
          </cell>
        </row>
        <row r="84">
          <cell r="B84" t="str">
            <v>Кровли мастичные</v>
          </cell>
        </row>
        <row r="85">
          <cell r="B85" t="str">
            <v>Кровли стальные</v>
          </cell>
        </row>
        <row r="86">
          <cell r="B86" t="str">
            <v>Кровли из асбестоцементных листов</v>
          </cell>
        </row>
        <row r="87">
          <cell r="B87" t="str">
            <v>Кровли черепичные</v>
          </cell>
        </row>
        <row r="88">
          <cell r="B88" t="str">
            <v>Кровли драночные</v>
          </cell>
        </row>
        <row r="89">
          <cell r="B89" t="str">
            <v>Кровли тесовые</v>
          </cell>
        </row>
        <row r="90">
          <cell r="B90" t="str">
            <v>Конструктивный элемент</v>
          </cell>
        </row>
        <row r="91">
          <cell r="B91" t="str">
            <v>разрушены</v>
          </cell>
        </row>
        <row r="94">
          <cell r="B94" t="str">
            <v>нет</v>
          </cell>
        </row>
        <row r="95">
          <cell r="B95" t="str">
            <v>Полы цементно-песчаные, бетонные, мозаичные</v>
          </cell>
        </row>
        <row r="96">
          <cell r="B96" t="str">
            <v>Полы из керамических плиток</v>
          </cell>
        </row>
        <row r="97">
          <cell r="B97" t="str">
            <v>Полы паркетные</v>
          </cell>
        </row>
        <row r="98">
          <cell r="B98" t="str">
            <v>Полы дощатые</v>
          </cell>
        </row>
        <row r="99">
          <cell r="B99" t="str">
            <v>Полы из древесностружечных (древесноволокнистых) плит</v>
          </cell>
        </row>
        <row r="100">
          <cell r="B100" t="str">
            <v>Полы из рулонных материалов</v>
          </cell>
        </row>
        <row r="101">
          <cell r="B101" t="str">
            <v>Полы из синтетических плиток</v>
          </cell>
        </row>
        <row r="102">
          <cell r="B102" t="str">
            <v>Конструктивный элемент</v>
          </cell>
        </row>
        <row r="103">
          <cell r="B103" t="str">
            <v>разрушены</v>
          </cell>
        </row>
        <row r="106">
          <cell r="B106" t="str">
            <v>нет</v>
          </cell>
        </row>
        <row r="107">
          <cell r="B107" t="str">
            <v>Оконные блоки деревянные</v>
          </cell>
        </row>
        <row r="108">
          <cell r="B108" t="str">
            <v>Оконные блоки металлические</v>
          </cell>
        </row>
        <row r="109">
          <cell r="B109" t="str">
            <v>Конструктивный элемент</v>
          </cell>
        </row>
        <row r="110">
          <cell r="B110" t="str">
            <v>утрачены</v>
          </cell>
        </row>
        <row r="113">
          <cell r="B113" t="str">
            <v>нет</v>
          </cell>
        </row>
        <row r="114">
          <cell r="B114" t="str">
            <v>Двери деревянные</v>
          </cell>
        </row>
        <row r="115">
          <cell r="B115" t="str">
            <v>Двери металлические</v>
          </cell>
        </row>
        <row r="116">
          <cell r="B116" t="str">
            <v>Конструктивный элемент</v>
          </cell>
        </row>
        <row r="117">
          <cell r="B117" t="str">
            <v>утрачены</v>
          </cell>
        </row>
        <row r="120">
          <cell r="B120" t="str">
            <v>нет</v>
          </cell>
        </row>
        <row r="121">
          <cell r="B121" t="str">
            <v>Окраска водными составами</v>
          </cell>
        </row>
        <row r="122">
          <cell r="B122" t="str">
            <v>Окраска масляная</v>
          </cell>
        </row>
        <row r="123">
          <cell r="B123" t="str">
            <v>Оклейка обоями</v>
          </cell>
        </row>
        <row r="124">
          <cell r="B124" t="str">
            <v>Облицовка керамическими плитками</v>
          </cell>
        </row>
        <row r="125">
          <cell r="B125" t="str">
            <v>Штукатурка</v>
          </cell>
        </row>
        <row r="126">
          <cell r="B126" t="str">
            <v>Чистая обшивка рубленых стен</v>
          </cell>
        </row>
        <row r="127">
          <cell r="B127" t="str">
            <v>Конструктивный элемент</v>
          </cell>
        </row>
        <row r="128">
          <cell r="B128" t="str">
            <v>утрачена</v>
          </cell>
        </row>
        <row r="131">
          <cell r="B131" t="str">
            <v>нет</v>
          </cell>
        </row>
        <row r="132">
          <cell r="B132" t="str">
            <v>Система горячего водоснабжения</v>
          </cell>
        </row>
        <row r="133">
          <cell r="B133" t="str">
            <v>Система центрального отопления</v>
          </cell>
        </row>
        <row r="134">
          <cell r="B134" t="str">
            <v>Система холодного водоснабжения</v>
          </cell>
        </row>
        <row r="135">
          <cell r="B135" t="str">
            <v>Система канализации и водостоков</v>
          </cell>
        </row>
        <row r="136">
          <cell r="B136" t="str">
            <v>Система электрооборудования</v>
          </cell>
        </row>
        <row r="137">
          <cell r="B137" t="str">
            <v>Печи</v>
          </cell>
        </row>
        <row r="138">
          <cell r="B138" t="str">
            <v>Мусоропроводы</v>
          </cell>
        </row>
        <row r="139">
          <cell r="B139" t="str">
            <v>Конструктивный элемент</v>
          </cell>
        </row>
        <row r="140">
          <cell r="B140" t="str">
            <v>разрушены</v>
          </cell>
        </row>
        <row r="143">
          <cell r="B143" t="str">
            <v>нет</v>
          </cell>
        </row>
        <row r="144">
          <cell r="B144" t="str">
            <v>Антисейсмические пояса</v>
          </cell>
        </row>
        <row r="145">
          <cell r="B145" t="str">
            <v>Тротуары асфальтовые</v>
          </cell>
        </row>
        <row r="146">
          <cell r="B146" t="str">
            <v>Тротуары плитные (лещадные и гранитные)</v>
          </cell>
        </row>
        <row r="147">
          <cell r="B147" t="str">
            <v>Тротуары из метлахских или бетонных плит</v>
          </cell>
        </row>
        <row r="148">
          <cell r="B148" t="str">
            <v>Тротуары булыжные</v>
          </cell>
        </row>
        <row r="149">
          <cell r="B149" t="str">
            <v>Тротуары кирпичные или клинкерные</v>
          </cell>
        </row>
        <row r="150">
          <cell r="B150" t="str">
            <v>Тротуары деревянные</v>
          </cell>
        </row>
        <row r="151">
          <cell r="B151" t="str">
            <v>Мостовые асфальтовые</v>
          </cell>
        </row>
        <row r="152">
          <cell r="B152" t="str">
            <v>Мостовые булыжные</v>
          </cell>
        </row>
        <row r="153">
          <cell r="B153" t="str">
            <v>Мостовые торцовые</v>
          </cell>
        </row>
        <row r="154">
          <cell r="B154" t="str">
            <v>Борты (бетонные, гранитные, лещадные)</v>
          </cell>
        </row>
        <row r="155">
          <cell r="B155" t="str">
            <v>Подзоры булыжные</v>
          </cell>
        </row>
        <row r="156">
          <cell r="B156" t="str">
            <v>Конструктивный элемент</v>
          </cell>
        </row>
        <row r="157">
          <cell r="B157" t="str">
            <v>разрушены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 first"/>
      <sheetName val="TOC"/>
      <sheetName val="Sum"/>
      <sheetName val="DCF"/>
      <sheetName val="GLC"/>
      <sheetName val="AAM"/>
      <sheetName val="Master Inputs Start Here"/>
      <sheetName val="CapEx_Depr"/>
      <sheetName val="Ввод данных Эл. 1"/>
      <sheetName val="Расчет тарифов и выручки"/>
      <sheetName val="HBS initial"/>
      <sheetName val="HIS initial"/>
      <sheetName val="HBS"/>
      <sheetName val="HIS"/>
      <sheetName val="FRA"/>
      <sheetName val="Assets"/>
      <sheetName val="Liab"/>
      <sheetName val="WorkCap"/>
      <sheetName val="WACC"/>
      <sheetName val="GLC_data"/>
      <sheetName val="Смета"/>
      <sheetName val="Balance Sheet"/>
      <sheetName val="Income Statement"/>
      <sheetName val="Glossary"/>
      <sheetName val="Начало"/>
      <sheetName val="свед"/>
      <sheetName val="Rev"/>
      <sheetName val="Ставка Д"/>
      <sheetName val="Исходные"/>
      <sheetName val="Brif_zdanie"/>
    </sheetNames>
    <sheetDataSet>
      <sheetData sheetId="0" refreshError="1"/>
      <sheetData sheetId="1"/>
      <sheetData sheetId="2"/>
      <sheetData sheetId="3"/>
      <sheetData sheetId="4">
        <row r="10">
          <cell r="D10" t="str">
            <v>Генерирующая компания</v>
          </cell>
        </row>
      </sheetData>
      <sheetData sheetId="5"/>
      <sheetData sheetId="6" refreshError="1">
        <row r="10">
          <cell r="D10" t="str">
            <v>Генерирующая компания</v>
          </cell>
        </row>
        <row r="12">
          <cell r="D12">
            <v>38261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 first"/>
      <sheetName val="TOC"/>
      <sheetName val="Sum"/>
      <sheetName val="DCF"/>
      <sheetName val="GLC"/>
      <sheetName val="AAM"/>
      <sheetName val="Master Inputs Start Here"/>
      <sheetName val="CapEx_Depr"/>
      <sheetName val="Ввод данных Эл. 1"/>
      <sheetName val="Расчет тарифов и выручки"/>
      <sheetName val="HBS initial"/>
      <sheetName val="HIS initial"/>
      <sheetName val="HBS"/>
      <sheetName val="HIS"/>
      <sheetName val="FRA"/>
      <sheetName val="Assets"/>
      <sheetName val="Liab"/>
      <sheetName val="WorkCap"/>
      <sheetName val="WACC"/>
      <sheetName val="GLC_data"/>
    </sheetNames>
    <sheetDataSet>
      <sheetData sheetId="0" refreshError="1"/>
      <sheetData sheetId="1"/>
      <sheetData sheetId="2"/>
      <sheetData sheetId="3"/>
      <sheetData sheetId="4"/>
      <sheetData sheetId="5"/>
      <sheetData sheetId="6">
        <row r="10">
          <cell r="D10" t="str">
            <v>Генерирующая компания</v>
          </cell>
        </row>
        <row r="12">
          <cell r="D12">
            <v>38261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/>
      <sheetData sheetId="19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Затратный"/>
      <sheetName val="Динамика затрат"/>
      <sheetName val="Выручка"/>
      <sheetName val="Доходы"/>
      <sheetName val="Итог"/>
      <sheetName val="Смета"/>
      <sheetName val="Индексы"/>
      <sheetName val="график01.09.02"/>
      <sheetName val="свед"/>
      <sheetName val="Метод остатка"/>
      <sheetName val="график строительства"/>
      <sheetName val="Data"/>
      <sheetName val="1.ИСХ"/>
      <sheetName val="документы Кириши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Затратный"/>
      <sheetName val="Динамика затрат"/>
      <sheetName val="Выручка"/>
      <sheetName val="Доходы"/>
      <sheetName val="Итог"/>
      <sheetName val="Смета"/>
      <sheetName val="Индексы"/>
      <sheetName val="график01.09.02"/>
      <sheetName val="свед"/>
      <sheetName val="Метод остатка"/>
      <sheetName val="график строительства"/>
      <sheetName val="Data"/>
      <sheetName val="1.ИСХ"/>
      <sheetName val="документы Кириши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итог"/>
      <sheetName val="гараж_объем "/>
      <sheetName val="гараж_прс"/>
      <sheetName val="прист гар(а)_объем"/>
      <sheetName val="прист гар(а)_прс"/>
      <sheetName val="х-б прист гар_объем"/>
      <sheetName val="х-б прист гар_прс"/>
      <sheetName val="тракторный цех_объем"/>
      <sheetName val="тракторный цех_прс"/>
      <sheetName val="матер склад_объем"/>
      <sheetName val="матер_склад_прс"/>
      <sheetName val="электроцех_объем"/>
      <sheetName val="электроцех_прс"/>
      <sheetName val="управа_объем"/>
      <sheetName val="управа_прс"/>
      <sheetName val="цех затар_объем"/>
      <sheetName val="цех затар_прс"/>
      <sheetName val="магазин со скл_объем"/>
      <sheetName val="магазин со скл_прс"/>
      <sheetName val="стоимость_маш"/>
      <sheetName val="стоимость_мат"/>
      <sheetName val="разряд"/>
      <sheetName val="исход-итог"/>
      <sheetName val="общие сведения"/>
      <sheetName val="свед"/>
      <sheetName val="Brif_zdanie"/>
      <sheetName val="Выписка_РФИ"/>
      <sheetName val="Имущество_элементы"/>
      <sheetName val="Rent Assumptions"/>
      <sheetName val="Потоки"/>
      <sheetName val="Параметры"/>
      <sheetName val="восст"/>
      <sheetName val="корр-ка на S аренда2"/>
      <sheetName val="Glossary"/>
      <sheetName val="общий"/>
      <sheetName val="таб_1"/>
      <sheetName val="Selling data"/>
      <sheetName val="Print Calc"/>
      <sheetName val="Земля"/>
      <sheetName val="InputTI"/>
      <sheetName val="БДР"/>
      <sheetName val="БДР план"/>
      <sheetName val="Balance Sheet"/>
      <sheetName val="Income Statement"/>
      <sheetName val="затр_подх"/>
      <sheetName val="Капвложения"/>
      <sheetName val="общие данные"/>
      <sheetName val="расч_прс_ирлен"/>
      <sheetName val="Метод остатка"/>
    </sheetNames>
    <sheetDataSet>
      <sheetData sheetId="0" refreshError="1"/>
      <sheetData sheetId="1"/>
      <sheetData sheetId="2" refreshError="1"/>
      <sheetData sheetId="3" refreshError="1"/>
      <sheetData sheetId="4"/>
      <sheetData sheetId="5" refreshError="1"/>
      <sheetData sheetId="6"/>
      <sheetData sheetId="7" refreshError="1"/>
      <sheetData sheetId="8"/>
      <sheetData sheetId="9" refreshError="1"/>
      <sheetData sheetId="10"/>
      <sheetData sheetId="11" refreshError="1"/>
      <sheetData sheetId="12"/>
      <sheetData sheetId="13" refreshError="1"/>
      <sheetData sheetId="14"/>
      <sheetData sheetId="15" refreshError="1"/>
      <sheetData sheetId="16"/>
      <sheetData sheetId="17" refreshError="1"/>
      <sheetData sheetId="18"/>
      <sheetData sheetId="19"/>
      <sheetData sheetId="20">
        <row r="1">
          <cell r="A1" t="str">
            <v>разряд</v>
          </cell>
        </row>
      </sheetData>
      <sheetData sheetId="21" refreshError="1">
        <row r="1">
          <cell r="A1" t="str">
            <v>разряд</v>
          </cell>
          <cell r="B1" t="str">
            <v>стоим</v>
          </cell>
        </row>
        <row r="2">
          <cell r="A2" t="str">
            <v>м</v>
          </cell>
          <cell r="B2">
            <v>11.4</v>
          </cell>
        </row>
        <row r="3">
          <cell r="A3">
            <v>1</v>
          </cell>
          <cell r="B3">
            <v>7.37</v>
          </cell>
        </row>
        <row r="4">
          <cell r="A4">
            <v>1.1000000000000001</v>
          </cell>
          <cell r="B4">
            <v>7.42</v>
          </cell>
        </row>
        <row r="5">
          <cell r="A5">
            <v>1.2000000000000002</v>
          </cell>
          <cell r="B5">
            <v>7.48</v>
          </cell>
        </row>
        <row r="6">
          <cell r="A6">
            <v>1.3000000000000003</v>
          </cell>
          <cell r="B6">
            <v>7.55</v>
          </cell>
        </row>
        <row r="7">
          <cell r="A7">
            <v>1.4000000000000004</v>
          </cell>
          <cell r="B7">
            <v>7.61</v>
          </cell>
        </row>
        <row r="8">
          <cell r="A8">
            <v>1.5000000000000004</v>
          </cell>
          <cell r="B8">
            <v>7.67</v>
          </cell>
        </row>
        <row r="9">
          <cell r="A9">
            <v>1.6000000000000005</v>
          </cell>
          <cell r="B9">
            <v>7.74</v>
          </cell>
        </row>
        <row r="10">
          <cell r="A10">
            <v>1.7000000000000006</v>
          </cell>
          <cell r="B10">
            <v>7.8</v>
          </cell>
        </row>
        <row r="11">
          <cell r="A11">
            <v>1.8000000000000007</v>
          </cell>
          <cell r="B11">
            <v>7.86</v>
          </cell>
        </row>
        <row r="12">
          <cell r="A12">
            <v>1.9000000000000008</v>
          </cell>
          <cell r="B12">
            <v>7.92</v>
          </cell>
        </row>
        <row r="13">
          <cell r="A13">
            <v>2.0000000000000009</v>
          </cell>
          <cell r="B13">
            <v>7.99</v>
          </cell>
        </row>
        <row r="14">
          <cell r="A14">
            <v>2.100000000000001</v>
          </cell>
          <cell r="B14">
            <v>8.0500000000000007</v>
          </cell>
        </row>
        <row r="15">
          <cell r="A15">
            <v>2.2000000000000011</v>
          </cell>
          <cell r="B15">
            <v>8.1300000000000008</v>
          </cell>
        </row>
        <row r="16">
          <cell r="A16">
            <v>2.3000000000000012</v>
          </cell>
          <cell r="B16">
            <v>8.2100000000000009</v>
          </cell>
        </row>
        <row r="17">
          <cell r="A17">
            <v>2.4000000000000012</v>
          </cell>
          <cell r="B17">
            <v>8.2799999999999994</v>
          </cell>
        </row>
        <row r="18">
          <cell r="A18">
            <v>2.5000000000000013</v>
          </cell>
          <cell r="B18">
            <v>8.36</v>
          </cell>
        </row>
        <row r="19">
          <cell r="A19">
            <v>2.6000000000000014</v>
          </cell>
          <cell r="B19">
            <v>8.44</v>
          </cell>
        </row>
        <row r="20">
          <cell r="A20">
            <v>2.7000000000000015</v>
          </cell>
          <cell r="B20">
            <v>8.51</v>
          </cell>
        </row>
        <row r="21">
          <cell r="A21">
            <v>2.8000000000000016</v>
          </cell>
          <cell r="B21">
            <v>8.59</v>
          </cell>
        </row>
        <row r="22">
          <cell r="A22">
            <v>2.9000000000000017</v>
          </cell>
          <cell r="B22">
            <v>8.66</v>
          </cell>
        </row>
        <row r="23">
          <cell r="A23">
            <v>3.0000000000000018</v>
          </cell>
          <cell r="B23">
            <v>8.74</v>
          </cell>
        </row>
        <row r="24">
          <cell r="A24">
            <v>3.1000000000000019</v>
          </cell>
          <cell r="B24">
            <v>8.84</v>
          </cell>
        </row>
        <row r="25">
          <cell r="A25">
            <v>3.200000000000002</v>
          </cell>
          <cell r="B25">
            <v>8.9600000000000009</v>
          </cell>
        </row>
        <row r="26">
          <cell r="A26">
            <v>3.300000000000002</v>
          </cell>
          <cell r="B26">
            <v>9.07</v>
          </cell>
        </row>
        <row r="27">
          <cell r="A27">
            <v>3.4000000000000021</v>
          </cell>
          <cell r="B27">
            <v>9.19</v>
          </cell>
        </row>
        <row r="28">
          <cell r="A28">
            <v>3.5000000000000022</v>
          </cell>
          <cell r="B28">
            <v>9.3000000000000007</v>
          </cell>
        </row>
        <row r="29">
          <cell r="A29">
            <v>3.6000000000000023</v>
          </cell>
          <cell r="B29">
            <v>9.41</v>
          </cell>
        </row>
        <row r="30">
          <cell r="A30">
            <v>3.7000000000000024</v>
          </cell>
          <cell r="B30">
            <v>9.52</v>
          </cell>
        </row>
        <row r="31">
          <cell r="A31">
            <v>3.8000000000000025</v>
          </cell>
          <cell r="B31">
            <v>9.6300000000000008</v>
          </cell>
        </row>
        <row r="32">
          <cell r="A32">
            <v>3.9000000000000026</v>
          </cell>
          <cell r="B32">
            <v>9.75</v>
          </cell>
        </row>
        <row r="33">
          <cell r="A33">
            <v>4.0000000000000027</v>
          </cell>
          <cell r="B33">
            <v>9.86</v>
          </cell>
        </row>
        <row r="34">
          <cell r="A34">
            <v>4.1000000000000023</v>
          </cell>
          <cell r="B34">
            <v>10</v>
          </cell>
        </row>
        <row r="35">
          <cell r="A35">
            <v>4.200000000000002</v>
          </cell>
          <cell r="B35">
            <v>10.199999999999999</v>
          </cell>
        </row>
        <row r="36">
          <cell r="A36">
            <v>4.3000000000000016</v>
          </cell>
          <cell r="B36">
            <v>10.3</v>
          </cell>
        </row>
        <row r="37">
          <cell r="A37">
            <v>4.4000000000000012</v>
          </cell>
          <cell r="B37">
            <v>10.5</v>
          </cell>
        </row>
        <row r="38">
          <cell r="A38">
            <v>4.5000000000000009</v>
          </cell>
          <cell r="B38">
            <v>10.6</v>
          </cell>
        </row>
        <row r="39">
          <cell r="A39">
            <v>4.6000000000000005</v>
          </cell>
          <cell r="B39">
            <v>10.8</v>
          </cell>
        </row>
        <row r="40">
          <cell r="A40">
            <v>4.7</v>
          </cell>
          <cell r="B40">
            <v>10.9</v>
          </cell>
        </row>
        <row r="41">
          <cell r="A41">
            <v>4.8</v>
          </cell>
          <cell r="B41">
            <v>11.1</v>
          </cell>
        </row>
        <row r="42">
          <cell r="A42">
            <v>4.8999999999999995</v>
          </cell>
          <cell r="B42">
            <v>11.2</v>
          </cell>
        </row>
        <row r="43">
          <cell r="A43">
            <v>4.9999999999999991</v>
          </cell>
          <cell r="B43">
            <v>11.4</v>
          </cell>
        </row>
        <row r="44">
          <cell r="A44">
            <v>5.0999999999999988</v>
          </cell>
          <cell r="B44">
            <v>11.5</v>
          </cell>
        </row>
        <row r="45">
          <cell r="A45">
            <v>5.1999999999999984</v>
          </cell>
          <cell r="B45">
            <v>11.7</v>
          </cell>
        </row>
        <row r="46">
          <cell r="A46">
            <v>5.299999999999998</v>
          </cell>
          <cell r="B46">
            <v>11.9</v>
          </cell>
        </row>
        <row r="47">
          <cell r="A47">
            <v>5.3999999999999977</v>
          </cell>
          <cell r="B47">
            <v>12.1</v>
          </cell>
        </row>
        <row r="48">
          <cell r="A48">
            <v>5.4999999999999973</v>
          </cell>
          <cell r="B48">
            <v>12.3</v>
          </cell>
        </row>
        <row r="49">
          <cell r="A49">
            <v>5.599999999999997</v>
          </cell>
          <cell r="B49">
            <v>12.5</v>
          </cell>
        </row>
        <row r="50">
          <cell r="A50">
            <v>5.6999999999999966</v>
          </cell>
          <cell r="B50">
            <v>12.7</v>
          </cell>
        </row>
        <row r="51">
          <cell r="A51">
            <v>5.7999999999999963</v>
          </cell>
          <cell r="B51">
            <v>12.9</v>
          </cell>
        </row>
        <row r="52">
          <cell r="A52">
            <v>5.8999999999999959</v>
          </cell>
          <cell r="B52">
            <v>13</v>
          </cell>
        </row>
        <row r="53">
          <cell r="A53">
            <v>5.9999999999999956</v>
          </cell>
          <cell r="B53">
            <v>13.2</v>
          </cell>
        </row>
      </sheetData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110"/>
  <sheetViews>
    <sheetView topLeftCell="A73" zoomScaleNormal="100" workbookViewId="0">
      <selection activeCell="F85" sqref="F85"/>
    </sheetView>
  </sheetViews>
  <sheetFormatPr defaultRowHeight="15"/>
  <cols>
    <col min="2" max="2" width="6.28515625" customWidth="1"/>
    <col min="4" max="4" width="10.140625" customWidth="1"/>
    <col min="5" max="5" width="9.42578125" customWidth="1"/>
    <col min="6" max="15" width="15" customWidth="1"/>
    <col min="16" max="16" width="10" bestFit="1" customWidth="1"/>
  </cols>
  <sheetData>
    <row r="2" spans="2:16">
      <c r="C2" s="340" t="s">
        <v>109</v>
      </c>
      <c r="D2" s="341"/>
      <c r="E2" s="341"/>
      <c r="F2" s="341"/>
      <c r="G2" s="342"/>
      <c r="H2" s="342"/>
      <c r="I2" s="342"/>
      <c r="J2" s="342"/>
      <c r="K2" s="342"/>
      <c r="L2" s="342"/>
      <c r="M2" s="342"/>
    </row>
    <row r="3" spans="2:16" ht="36.75" customHeight="1">
      <c r="C3" s="506" t="s">
        <v>110</v>
      </c>
      <c r="D3" s="506"/>
      <c r="E3" s="506"/>
      <c r="F3" s="506"/>
      <c r="G3" s="506"/>
      <c r="H3" s="506"/>
      <c r="I3" s="506"/>
      <c r="J3" s="506"/>
      <c r="K3" s="506"/>
      <c r="L3" s="506"/>
      <c r="M3" s="506"/>
    </row>
    <row r="4" spans="2:16" ht="15" customHeight="1">
      <c r="C4" s="506" t="s">
        <v>111</v>
      </c>
      <c r="D4" s="506"/>
      <c r="E4" s="507"/>
      <c r="F4" s="343">
        <v>50000000</v>
      </c>
      <c r="G4" s="342" t="s">
        <v>112</v>
      </c>
      <c r="H4" t="s">
        <v>113</v>
      </c>
      <c r="I4" s="342"/>
      <c r="J4" s="342"/>
      <c r="K4" s="342"/>
      <c r="L4" s="343">
        <v>30000000</v>
      </c>
      <c r="M4" s="342" t="s">
        <v>112</v>
      </c>
    </row>
    <row r="5" spans="2:16">
      <c r="L5" s="342"/>
      <c r="M5" s="342"/>
    </row>
    <row r="6" spans="2:16">
      <c r="K6" s="344"/>
      <c r="L6" s="342"/>
      <c r="M6" s="342"/>
    </row>
    <row r="7" spans="2:16">
      <c r="C7" s="340" t="s">
        <v>114</v>
      </c>
      <c r="D7" s="508" t="s">
        <v>115</v>
      </c>
      <c r="E7" s="508"/>
      <c r="F7" s="508"/>
      <c r="K7" s="344"/>
      <c r="L7" s="342"/>
      <c r="M7" s="342"/>
    </row>
    <row r="8" spans="2:16">
      <c r="C8" s="506" t="s">
        <v>116</v>
      </c>
      <c r="D8" s="506"/>
      <c r="E8" s="506"/>
      <c r="F8" s="506"/>
      <c r="G8" s="506"/>
      <c r="H8" s="506"/>
      <c r="I8" s="506"/>
      <c r="J8" s="506"/>
      <c r="K8" s="345">
        <v>0.28000000000000003</v>
      </c>
      <c r="L8" s="342"/>
      <c r="M8" s="342"/>
    </row>
    <row r="9" spans="2:16">
      <c r="C9" s="506" t="s">
        <v>117</v>
      </c>
      <c r="D9" s="506"/>
      <c r="E9" s="506"/>
      <c r="F9" s="506"/>
      <c r="G9" s="506"/>
      <c r="H9" s="506"/>
      <c r="I9" s="506"/>
      <c r="J9" s="506"/>
      <c r="K9" s="506"/>
      <c r="L9" s="342"/>
      <c r="M9" s="342"/>
    </row>
    <row r="10" spans="2:16" ht="37.5" customHeight="1">
      <c r="C10" s="506" t="s">
        <v>118</v>
      </c>
      <c r="D10" s="506"/>
      <c r="E10" s="506"/>
      <c r="F10" s="506"/>
      <c r="G10" s="506"/>
      <c r="H10" s="506"/>
      <c r="I10" s="506"/>
      <c r="J10" s="506"/>
      <c r="K10" s="506"/>
      <c r="L10" s="342"/>
      <c r="M10" s="342"/>
    </row>
    <row r="11" spans="2:16" ht="15" customHeight="1">
      <c r="C11" s="506" t="s">
        <v>119</v>
      </c>
      <c r="D11" s="506"/>
      <c r="E11" s="506"/>
      <c r="F11" s="506"/>
      <c r="G11" s="506"/>
      <c r="H11" s="506"/>
      <c r="I11" s="506"/>
      <c r="J11" s="506"/>
      <c r="K11" s="506"/>
      <c r="L11" s="342"/>
      <c r="M11" s="342"/>
    </row>
    <row r="12" spans="2:16">
      <c r="C12" s="346"/>
      <c r="D12" s="346"/>
      <c r="E12" s="346"/>
      <c r="F12" s="346"/>
      <c r="G12" s="346"/>
      <c r="H12" s="346"/>
      <c r="I12" s="346"/>
      <c r="J12" s="346"/>
      <c r="K12" s="346"/>
      <c r="L12" s="342"/>
      <c r="M12" s="342"/>
    </row>
    <row r="13" spans="2:16">
      <c r="C13" s="475" t="s">
        <v>120</v>
      </c>
      <c r="D13" s="475"/>
      <c r="E13" s="342"/>
      <c r="F13" s="342"/>
      <c r="G13" s="342"/>
      <c r="H13" s="342"/>
      <c r="I13" s="342"/>
      <c r="J13" s="342"/>
      <c r="K13" s="342"/>
      <c r="L13" s="342"/>
      <c r="M13" s="342"/>
    </row>
    <row r="14" spans="2:16" ht="30">
      <c r="B14" s="347" t="s">
        <v>121</v>
      </c>
      <c r="C14" s="476" t="s">
        <v>122</v>
      </c>
      <c r="D14" s="476"/>
      <c r="E14" s="476"/>
      <c r="F14" s="348">
        <v>1</v>
      </c>
      <c r="G14" s="348">
        <v>2</v>
      </c>
      <c r="H14" s="348">
        <v>3</v>
      </c>
      <c r="I14" s="348">
        <v>4</v>
      </c>
      <c r="J14" s="348">
        <v>5</v>
      </c>
      <c r="K14" s="348">
        <v>6</v>
      </c>
      <c r="L14" s="348">
        <v>7</v>
      </c>
      <c r="M14" s="348">
        <v>8</v>
      </c>
      <c r="N14" s="348">
        <v>9</v>
      </c>
      <c r="O14" s="348">
        <v>10</v>
      </c>
    </row>
    <row r="15" spans="2:16" ht="28.5" customHeight="1">
      <c r="B15" s="349">
        <v>1</v>
      </c>
      <c r="C15" s="503" t="s">
        <v>123</v>
      </c>
      <c r="D15" s="504"/>
      <c r="E15" s="505"/>
      <c r="F15" s="350">
        <f>F4*5%</f>
        <v>2500000</v>
      </c>
      <c r="G15" s="350">
        <f>(F4-F15)/2</f>
        <v>23750000</v>
      </c>
      <c r="H15" s="350">
        <f>G15</f>
        <v>23750000</v>
      </c>
      <c r="I15" s="351"/>
      <c r="J15" s="351"/>
      <c r="K15" s="351"/>
      <c r="L15" s="351"/>
      <c r="M15" s="351"/>
      <c r="N15" s="351"/>
      <c r="O15" s="351"/>
      <c r="P15" t="b">
        <f>SUM(F15:O15)=F4</f>
        <v>1</v>
      </c>
    </row>
    <row r="16" spans="2:16" ht="30" customHeight="1">
      <c r="B16" s="349">
        <v>2</v>
      </c>
      <c r="C16" s="463" t="s">
        <v>124</v>
      </c>
      <c r="D16" s="464"/>
      <c r="E16" s="465"/>
      <c r="F16" s="351"/>
      <c r="G16" s="351"/>
      <c r="H16" s="351"/>
      <c r="I16" s="350">
        <f>L4</f>
        <v>30000000</v>
      </c>
      <c r="J16" s="350">
        <f>I16</f>
        <v>30000000</v>
      </c>
      <c r="K16" s="350">
        <f>J16</f>
        <v>30000000</v>
      </c>
      <c r="L16" s="350">
        <f t="shared" ref="L16:O16" si="0">K16</f>
        <v>30000000</v>
      </c>
      <c r="M16" s="350">
        <f t="shared" si="0"/>
        <v>30000000</v>
      </c>
      <c r="N16" s="350">
        <f t="shared" si="0"/>
        <v>30000000</v>
      </c>
      <c r="O16" s="350">
        <f t="shared" si="0"/>
        <v>30000000</v>
      </c>
      <c r="P16" t="b">
        <f>SUM(F16:O16)=L4*7</f>
        <v>1</v>
      </c>
    </row>
    <row r="17" spans="2:15" ht="30" customHeight="1">
      <c r="B17" s="349">
        <v>3</v>
      </c>
      <c r="C17" s="463" t="s">
        <v>125</v>
      </c>
      <c r="D17" s="464"/>
      <c r="E17" s="465"/>
      <c r="F17" s="352">
        <f>F16-F15</f>
        <v>-2500000</v>
      </c>
      <c r="G17" s="352">
        <f t="shared" ref="G17:O17" si="1">G16-G15</f>
        <v>-23750000</v>
      </c>
      <c r="H17" s="352">
        <f t="shared" si="1"/>
        <v>-23750000</v>
      </c>
      <c r="I17" s="352">
        <f t="shared" si="1"/>
        <v>30000000</v>
      </c>
      <c r="J17" s="352">
        <f t="shared" si="1"/>
        <v>30000000</v>
      </c>
      <c r="K17" s="352">
        <f t="shared" si="1"/>
        <v>30000000</v>
      </c>
      <c r="L17" s="352">
        <f t="shared" si="1"/>
        <v>30000000</v>
      </c>
      <c r="M17" s="352">
        <f t="shared" si="1"/>
        <v>30000000</v>
      </c>
      <c r="N17" s="352">
        <f t="shared" si="1"/>
        <v>30000000</v>
      </c>
      <c r="O17" s="353">
        <f t="shared" si="1"/>
        <v>30000000</v>
      </c>
    </row>
    <row r="18" spans="2:15" ht="30" customHeight="1">
      <c r="B18" s="349">
        <v>4</v>
      </c>
      <c r="C18" s="477" t="s">
        <v>126</v>
      </c>
      <c r="D18" s="478"/>
      <c r="E18" s="479"/>
      <c r="F18" s="354">
        <f t="shared" ref="F18:O18" si="2">1/(1+$K$8)^F14</f>
        <v>0.78125</v>
      </c>
      <c r="G18" s="354">
        <f t="shared" si="2"/>
        <v>0.6103515625</v>
      </c>
      <c r="H18" s="354">
        <f t="shared" si="2"/>
        <v>0.47683715820312494</v>
      </c>
      <c r="I18" s="354">
        <f t="shared" si="2"/>
        <v>0.37252902984619141</v>
      </c>
      <c r="J18" s="354">
        <f t="shared" si="2"/>
        <v>0.29103830456733704</v>
      </c>
      <c r="K18" s="354">
        <f t="shared" si="2"/>
        <v>0.22737367544323206</v>
      </c>
      <c r="L18" s="354">
        <f t="shared" si="2"/>
        <v>0.17763568394002502</v>
      </c>
      <c r="M18" s="354">
        <f t="shared" si="2"/>
        <v>0.13877787807814454</v>
      </c>
      <c r="N18" s="354">
        <f t="shared" si="2"/>
        <v>0.10842021724855043</v>
      </c>
      <c r="O18" s="354">
        <f t="shared" si="2"/>
        <v>8.470329472543002E-2</v>
      </c>
    </row>
    <row r="19" spans="2:15" ht="26.25" customHeight="1">
      <c r="B19" s="349">
        <v>5</v>
      </c>
      <c r="C19" s="463" t="s">
        <v>127</v>
      </c>
      <c r="D19" s="464"/>
      <c r="E19" s="465"/>
      <c r="F19" s="350">
        <f>F17*F18</f>
        <v>-1953125</v>
      </c>
      <c r="G19" s="350">
        <f>G17*G18</f>
        <v>-14495849.609375</v>
      </c>
      <c r="H19" s="350">
        <f>H17*H18</f>
        <v>-11324882.507324217</v>
      </c>
      <c r="I19" s="350">
        <f>I17*I18</f>
        <v>11175870.895385742</v>
      </c>
      <c r="J19" s="350">
        <f t="shared" ref="J19:O19" si="3">J17*J18</f>
        <v>8731149.1370201111</v>
      </c>
      <c r="K19" s="350">
        <f t="shared" si="3"/>
        <v>6821210.2632969618</v>
      </c>
      <c r="L19" s="350">
        <f t="shared" si="3"/>
        <v>5329070.5182007505</v>
      </c>
      <c r="M19" s="350">
        <f t="shared" si="3"/>
        <v>4163336.3423443362</v>
      </c>
      <c r="N19" s="350">
        <f t="shared" si="3"/>
        <v>3252606.5174565129</v>
      </c>
      <c r="O19" s="350">
        <f t="shared" si="3"/>
        <v>2541098.8417629008</v>
      </c>
    </row>
    <row r="20" spans="2:15">
      <c r="B20" s="484" t="s">
        <v>128</v>
      </c>
      <c r="C20" s="485"/>
      <c r="D20" s="485"/>
      <c r="E20" s="485"/>
      <c r="F20" s="486"/>
      <c r="G20" s="355"/>
      <c r="H20" s="355"/>
      <c r="I20" s="355"/>
      <c r="J20" s="355"/>
      <c r="K20" s="355"/>
      <c r="L20" s="355"/>
      <c r="M20" s="355"/>
      <c r="N20" s="355"/>
      <c r="O20" s="355"/>
    </row>
    <row r="21" spans="2:15" ht="29.25" customHeight="1" thickBot="1">
      <c r="B21" s="349">
        <v>6</v>
      </c>
      <c r="C21" s="477" t="s">
        <v>102</v>
      </c>
      <c r="D21" s="478"/>
      <c r="E21" s="479"/>
      <c r="F21" s="356">
        <f>SUM(F17:O17)</f>
        <v>160000000</v>
      </c>
      <c r="G21" s="357"/>
      <c r="H21" s="357"/>
      <c r="I21" s="357"/>
      <c r="J21" s="357"/>
      <c r="K21" s="357"/>
      <c r="L21" s="357"/>
      <c r="M21" s="357"/>
      <c r="N21" s="357"/>
      <c r="O21" s="357"/>
    </row>
    <row r="22" spans="2:15" ht="29.25" customHeight="1">
      <c r="B22" s="349">
        <v>7</v>
      </c>
      <c r="C22" s="463" t="s">
        <v>103</v>
      </c>
      <c r="D22" s="464"/>
      <c r="E22" s="465"/>
      <c r="F22" s="358">
        <f>SUM(F19:O19)</f>
        <v>14240485.398768097</v>
      </c>
      <c r="G22" s="357"/>
      <c r="H22" s="487" t="s">
        <v>129</v>
      </c>
      <c r="I22" s="488"/>
      <c r="J22" s="488"/>
      <c r="K22" s="488"/>
      <c r="L22" s="488"/>
      <c r="M22" s="489"/>
      <c r="N22" s="357"/>
      <c r="O22" s="357"/>
    </row>
    <row r="23" spans="2:15" ht="34.5" customHeight="1">
      <c r="B23" s="349">
        <v>8</v>
      </c>
      <c r="C23" s="463" t="str">
        <f>C11</f>
        <v>Стоит ли принимать такой проект к рассмотрению?</v>
      </c>
      <c r="D23" s="464"/>
      <c r="E23" s="465"/>
      <c r="F23" s="358" t="s">
        <v>130</v>
      </c>
      <c r="G23" s="357"/>
      <c r="H23" s="490"/>
      <c r="I23" s="491"/>
      <c r="J23" s="491"/>
      <c r="K23" s="491"/>
      <c r="L23" s="491"/>
      <c r="M23" s="492"/>
      <c r="N23" s="357"/>
      <c r="O23" s="357"/>
    </row>
    <row r="24" spans="2:15" ht="29.25" customHeight="1">
      <c r="C24" s="359"/>
      <c r="D24" s="359"/>
      <c r="E24" s="359"/>
      <c r="F24" s="360"/>
      <c r="G24" s="357"/>
      <c r="H24" s="490"/>
      <c r="I24" s="491"/>
      <c r="J24" s="491"/>
      <c r="K24" s="491"/>
      <c r="L24" s="491"/>
      <c r="M24" s="492"/>
      <c r="N24" s="357"/>
      <c r="O24" s="357"/>
    </row>
    <row r="25" spans="2:15" ht="29.25" customHeight="1">
      <c r="C25" s="359"/>
      <c r="D25" s="359"/>
      <c r="E25" s="359"/>
      <c r="F25" s="360"/>
      <c r="G25" s="357"/>
      <c r="H25" s="490"/>
      <c r="I25" s="491"/>
      <c r="J25" s="491"/>
      <c r="K25" s="491"/>
      <c r="L25" s="491"/>
      <c r="M25" s="492"/>
      <c r="N25" s="357"/>
      <c r="O25" s="357"/>
    </row>
    <row r="26" spans="2:15" ht="29.25" customHeight="1">
      <c r="C26" s="359"/>
      <c r="D26" s="359"/>
      <c r="E26" s="359"/>
      <c r="F26" s="360"/>
      <c r="G26" s="357"/>
      <c r="H26" s="490"/>
      <c r="I26" s="491"/>
      <c r="J26" s="491"/>
      <c r="K26" s="491"/>
      <c r="L26" s="491"/>
      <c r="M26" s="492"/>
      <c r="N26" s="357"/>
      <c r="O26" s="357"/>
    </row>
    <row r="27" spans="2:15" ht="29.25" customHeight="1">
      <c r="C27" s="359"/>
      <c r="D27" s="359"/>
      <c r="E27" s="359"/>
      <c r="F27" s="360"/>
      <c r="G27" s="357"/>
      <c r="H27" s="490"/>
      <c r="I27" s="491"/>
      <c r="J27" s="491"/>
      <c r="K27" s="491"/>
      <c r="L27" s="491"/>
      <c r="M27" s="492"/>
      <c r="N27" s="357"/>
      <c r="O27" s="357"/>
    </row>
    <row r="28" spans="2:15" ht="29.25" customHeight="1" thickBot="1">
      <c r="C28" s="359"/>
      <c r="D28" s="359"/>
      <c r="E28" s="359"/>
      <c r="F28" s="360"/>
      <c r="G28" s="357"/>
      <c r="H28" s="493"/>
      <c r="I28" s="494"/>
      <c r="J28" s="494"/>
      <c r="K28" s="494"/>
      <c r="L28" s="494"/>
      <c r="M28" s="495"/>
      <c r="N28" s="357"/>
      <c r="O28" s="357"/>
    </row>
    <row r="31" spans="2:15">
      <c r="C31" s="340" t="s">
        <v>131</v>
      </c>
    </row>
    <row r="32" spans="2:15">
      <c r="C32" t="s">
        <v>132</v>
      </c>
    </row>
    <row r="33" spans="2:17">
      <c r="C33" s="475" t="s">
        <v>120</v>
      </c>
      <c r="D33" s="475"/>
    </row>
    <row r="34" spans="2:17" ht="30">
      <c r="B34" s="347" t="s">
        <v>121</v>
      </c>
      <c r="C34" s="500" t="s">
        <v>122</v>
      </c>
      <c r="D34" s="501"/>
      <c r="E34" s="502"/>
      <c r="F34" s="348">
        <v>1</v>
      </c>
      <c r="G34" s="348">
        <v>2</v>
      </c>
      <c r="H34" s="348">
        <v>3</v>
      </c>
      <c r="I34" s="348">
        <v>4</v>
      </c>
      <c r="J34" s="348">
        <v>5</v>
      </c>
      <c r="K34" s="348">
        <v>6</v>
      </c>
      <c r="L34" s="348">
        <v>7</v>
      </c>
      <c r="M34" s="348">
        <v>8</v>
      </c>
      <c r="N34" s="348">
        <v>9</v>
      </c>
      <c r="O34" s="348">
        <v>10</v>
      </c>
    </row>
    <row r="35" spans="2:17" ht="31.5" customHeight="1">
      <c r="B35" s="349">
        <v>1</v>
      </c>
      <c r="C35" s="503" t="s">
        <v>133</v>
      </c>
      <c r="D35" s="504"/>
      <c r="E35" s="505"/>
      <c r="F35" s="361">
        <f>F17</f>
        <v>-2500000</v>
      </c>
      <c r="G35" s="361">
        <f>F35+G17</f>
        <v>-26250000</v>
      </c>
      <c r="H35" s="361">
        <f t="shared" ref="H35:O35" si="4">G35+H17</f>
        <v>-50000000</v>
      </c>
      <c r="I35" s="362">
        <f t="shared" si="4"/>
        <v>-20000000</v>
      </c>
      <c r="J35" s="362">
        <f t="shared" si="4"/>
        <v>10000000</v>
      </c>
      <c r="K35" s="361">
        <f t="shared" si="4"/>
        <v>40000000</v>
      </c>
      <c r="L35" s="361">
        <f t="shared" si="4"/>
        <v>70000000</v>
      </c>
      <c r="M35" s="361">
        <f t="shared" si="4"/>
        <v>100000000</v>
      </c>
      <c r="N35" s="361">
        <f t="shared" si="4"/>
        <v>130000000</v>
      </c>
      <c r="O35" s="361">
        <f t="shared" si="4"/>
        <v>160000000</v>
      </c>
      <c r="P35" s="363" t="b">
        <f>F21=O35</f>
        <v>1</v>
      </c>
      <c r="Q35" s="357"/>
    </row>
    <row r="36" spans="2:17" ht="45.75" customHeight="1">
      <c r="B36" s="349">
        <v>2</v>
      </c>
      <c r="C36" s="503" t="s">
        <v>134</v>
      </c>
      <c r="D36" s="504"/>
      <c r="E36" s="505"/>
      <c r="F36" s="361">
        <f>F19</f>
        <v>-1953125</v>
      </c>
      <c r="G36" s="361">
        <f>F36+G19</f>
        <v>-16448974.609375</v>
      </c>
      <c r="H36" s="361">
        <f t="shared" ref="H36:O36" si="5">G36+H19</f>
        <v>-27773857.116699219</v>
      </c>
      <c r="I36" s="361">
        <f t="shared" si="5"/>
        <v>-16597986.221313477</v>
      </c>
      <c r="J36" s="361">
        <f t="shared" si="5"/>
        <v>-7866837.0842933655</v>
      </c>
      <c r="K36" s="362">
        <f t="shared" si="5"/>
        <v>-1045626.8209964037</v>
      </c>
      <c r="L36" s="362">
        <f t="shared" si="5"/>
        <v>4283443.6972043468</v>
      </c>
      <c r="M36" s="361">
        <f t="shared" si="5"/>
        <v>8446780.0395486839</v>
      </c>
      <c r="N36" s="361">
        <f t="shared" si="5"/>
        <v>11699386.557005197</v>
      </c>
      <c r="O36" s="361">
        <f t="shared" si="5"/>
        <v>14240485.398768097</v>
      </c>
      <c r="P36" s="363" t="b">
        <f>O36=F22</f>
        <v>1</v>
      </c>
      <c r="Q36" s="357"/>
    </row>
    <row r="37" spans="2:17" ht="15.75" thickBot="1">
      <c r="B37" s="484" t="s">
        <v>128</v>
      </c>
      <c r="C37" s="485"/>
      <c r="D37" s="485"/>
      <c r="E37" s="485"/>
      <c r="F37" s="486"/>
    </row>
    <row r="38" spans="2:17" ht="31.5" customHeight="1">
      <c r="B38" s="349">
        <v>3</v>
      </c>
      <c r="C38" s="477" t="s">
        <v>135</v>
      </c>
      <c r="D38" s="478"/>
      <c r="E38" s="479"/>
      <c r="F38" s="364">
        <f>I34+(-I35/(-I35+J35))</f>
        <v>4.666666666666667</v>
      </c>
      <c r="H38" s="487" t="s">
        <v>136</v>
      </c>
      <c r="I38" s="488"/>
      <c r="J38" s="488"/>
      <c r="K38" s="488"/>
      <c r="L38" s="488"/>
      <c r="M38" s="489"/>
    </row>
    <row r="39" spans="2:17" ht="36.75" customHeight="1">
      <c r="B39" s="349">
        <v>4</v>
      </c>
      <c r="C39" s="463" t="s">
        <v>137</v>
      </c>
      <c r="D39" s="464"/>
      <c r="E39" s="465"/>
      <c r="F39" s="364">
        <f>K34+(-K36/(-K36+L36))</f>
        <v>6.1962118567253333</v>
      </c>
      <c r="H39" s="490"/>
      <c r="I39" s="491"/>
      <c r="J39" s="491"/>
      <c r="K39" s="491"/>
      <c r="L39" s="491"/>
      <c r="M39" s="492"/>
    </row>
    <row r="40" spans="2:17">
      <c r="B40" s="496" t="s">
        <v>138</v>
      </c>
      <c r="C40" s="496"/>
      <c r="D40" s="496"/>
      <c r="E40" s="496"/>
      <c r="F40" s="496"/>
      <c r="H40" s="490"/>
      <c r="I40" s="491"/>
      <c r="J40" s="491"/>
      <c r="K40" s="491"/>
      <c r="L40" s="491"/>
      <c r="M40" s="492"/>
    </row>
    <row r="41" spans="2:17" ht="31.5" customHeight="1">
      <c r="B41" s="497"/>
      <c r="C41" s="497"/>
      <c r="D41" s="497"/>
      <c r="E41" s="497"/>
      <c r="F41" s="497"/>
      <c r="H41" s="490"/>
      <c r="I41" s="491"/>
      <c r="J41" s="491"/>
      <c r="K41" s="491"/>
      <c r="L41" s="491"/>
      <c r="M41" s="492"/>
    </row>
    <row r="42" spans="2:17" ht="130.5" customHeight="1">
      <c r="H42" s="490"/>
      <c r="I42" s="491"/>
      <c r="J42" s="491"/>
      <c r="K42" s="491"/>
      <c r="L42" s="491"/>
      <c r="M42" s="492"/>
    </row>
    <row r="43" spans="2:17" ht="15.75" thickBot="1">
      <c r="H43" s="493"/>
      <c r="I43" s="494"/>
      <c r="J43" s="494"/>
      <c r="K43" s="494"/>
      <c r="L43" s="494"/>
      <c r="M43" s="495"/>
    </row>
    <row r="47" spans="2:17">
      <c r="C47" s="340" t="s">
        <v>139</v>
      </c>
    </row>
    <row r="48" spans="2:17">
      <c r="C48" t="s">
        <v>140</v>
      </c>
    </row>
    <row r="49" spans="2:15">
      <c r="C49" t="s">
        <v>141</v>
      </c>
    </row>
    <row r="51" spans="2:15">
      <c r="D51" s="475" t="s">
        <v>120</v>
      </c>
      <c r="E51" s="475"/>
      <c r="F51" s="342"/>
      <c r="G51" s="342"/>
      <c r="H51" s="342"/>
      <c r="I51" s="342"/>
      <c r="J51" s="342"/>
      <c r="K51" s="342"/>
      <c r="L51" s="342"/>
      <c r="M51" s="342"/>
      <c r="N51" s="342"/>
    </row>
    <row r="52" spans="2:15" ht="30">
      <c r="B52" s="347" t="s">
        <v>121</v>
      </c>
      <c r="C52" s="476" t="s">
        <v>122</v>
      </c>
      <c r="D52" s="476"/>
      <c r="E52" s="476"/>
      <c r="F52" s="348">
        <v>1</v>
      </c>
      <c r="G52" s="365">
        <v>2</v>
      </c>
      <c r="H52" s="365">
        <v>3</v>
      </c>
      <c r="I52" s="365">
        <v>4</v>
      </c>
      <c r="J52" s="365">
        <v>5</v>
      </c>
      <c r="K52" s="365">
        <v>6</v>
      </c>
      <c r="L52" s="365">
        <v>7</v>
      </c>
      <c r="M52" s="365">
        <v>8</v>
      </c>
      <c r="N52" s="365">
        <v>9</v>
      </c>
      <c r="O52" s="365">
        <v>10</v>
      </c>
    </row>
    <row r="53" spans="2:15" ht="30" customHeight="1">
      <c r="B53" s="349">
        <v>1</v>
      </c>
      <c r="C53" s="463" t="s">
        <v>125</v>
      </c>
      <c r="D53" s="464"/>
      <c r="E53" s="465"/>
      <c r="F53" s="352">
        <f>F17</f>
        <v>-2500000</v>
      </c>
      <c r="G53" s="353">
        <f t="shared" ref="G53:O53" si="6">G17</f>
        <v>-23750000</v>
      </c>
      <c r="H53" s="353">
        <f t="shared" si="6"/>
        <v>-23750000</v>
      </c>
      <c r="I53" s="353">
        <f t="shared" si="6"/>
        <v>30000000</v>
      </c>
      <c r="J53" s="353">
        <f t="shared" si="6"/>
        <v>30000000</v>
      </c>
      <c r="K53" s="353">
        <f t="shared" si="6"/>
        <v>30000000</v>
      </c>
      <c r="L53" s="353">
        <f t="shared" si="6"/>
        <v>30000000</v>
      </c>
      <c r="M53" s="353">
        <f t="shared" si="6"/>
        <v>30000000</v>
      </c>
      <c r="N53" s="353">
        <f t="shared" si="6"/>
        <v>30000000</v>
      </c>
      <c r="O53" s="353">
        <f t="shared" si="6"/>
        <v>30000000</v>
      </c>
    </row>
    <row r="54" spans="2:15">
      <c r="B54" s="349">
        <v>2</v>
      </c>
      <c r="C54" s="477" t="s">
        <v>142</v>
      </c>
      <c r="D54" s="478"/>
      <c r="E54" s="479"/>
      <c r="F54" s="366">
        <v>0.43822984635546786</v>
      </c>
      <c r="G54" s="498" t="s">
        <v>143</v>
      </c>
      <c r="H54" s="499"/>
      <c r="I54" s="499"/>
      <c r="J54" s="499"/>
      <c r="K54" s="499"/>
      <c r="L54" s="499"/>
      <c r="M54" s="499"/>
      <c r="N54" s="499"/>
      <c r="O54" s="499"/>
    </row>
    <row r="55" spans="2:15" ht="36" customHeight="1">
      <c r="B55" s="349">
        <v>3</v>
      </c>
      <c r="C55" s="477" t="s">
        <v>126</v>
      </c>
      <c r="D55" s="478"/>
      <c r="E55" s="479"/>
      <c r="F55" s="354">
        <f>1/(1+$F$54)^F52</f>
        <v>0.69529915717855539</v>
      </c>
      <c r="G55" s="354">
        <f>1/(1+$F$54)^G52</f>
        <v>0.48344091797320937</v>
      </c>
      <c r="H55" s="354">
        <f>1/(1+$F$54)^H52</f>
        <v>0.33613606281239961</v>
      </c>
      <c r="I55" s="354">
        <f t="shared" ref="I55:O55" si="7">1/(1+$F$54)^I52</f>
        <v>0.23371512117077936</v>
      </c>
      <c r="J55" s="354">
        <f t="shared" si="7"/>
        <v>0.16250192676992684</v>
      </c>
      <c r="K55" s="354">
        <f t="shared" si="7"/>
        <v>0.11298745272302145</v>
      </c>
      <c r="L55" s="354">
        <f t="shared" si="7"/>
        <v>7.8560080650068684E-2</v>
      </c>
      <c r="M55" s="354">
        <f t="shared" si="7"/>
        <v>5.4622757863872079E-2</v>
      </c>
      <c r="N55" s="354">
        <f t="shared" si="7"/>
        <v>3.7979157505518564E-2</v>
      </c>
      <c r="O55" s="354">
        <f t="shared" si="7"/>
        <v>2.640687620393866E-2</v>
      </c>
    </row>
    <row r="56" spans="2:15" ht="30" customHeight="1">
      <c r="B56" s="349">
        <v>4</v>
      </c>
      <c r="C56" s="463" t="s">
        <v>127</v>
      </c>
      <c r="D56" s="464"/>
      <c r="E56" s="465"/>
      <c r="F56" s="350">
        <f t="shared" ref="F56:O56" si="8">F53*F55</f>
        <v>-1738247.8929463886</v>
      </c>
      <c r="G56" s="350">
        <f t="shared" si="8"/>
        <v>-11481721.801863723</v>
      </c>
      <c r="H56" s="350">
        <f t="shared" si="8"/>
        <v>-7983231.4917944903</v>
      </c>
      <c r="I56" s="350">
        <f t="shared" si="8"/>
        <v>7011453.6351233805</v>
      </c>
      <c r="J56" s="350">
        <f t="shared" si="8"/>
        <v>4875057.803097805</v>
      </c>
      <c r="K56" s="350">
        <f t="shared" si="8"/>
        <v>3389623.5816906434</v>
      </c>
      <c r="L56" s="350">
        <f t="shared" si="8"/>
        <v>2356802.4195020604</v>
      </c>
      <c r="M56" s="350">
        <f t="shared" si="8"/>
        <v>1638682.7359161624</v>
      </c>
      <c r="N56" s="350">
        <f t="shared" si="8"/>
        <v>1139374.7251655569</v>
      </c>
      <c r="O56" s="350">
        <f t="shared" si="8"/>
        <v>792206.28611815977</v>
      </c>
    </row>
    <row r="57" spans="2:15" ht="30" customHeight="1">
      <c r="B57" s="349">
        <v>5</v>
      </c>
      <c r="C57" s="463" t="s">
        <v>103</v>
      </c>
      <c r="D57" s="464"/>
      <c r="E57" s="465"/>
      <c r="F57" s="367">
        <f>SUM(F56:O56)</f>
        <v>9.1665424406528473E-6</v>
      </c>
      <c r="G57" s="355"/>
      <c r="H57" s="355"/>
      <c r="I57" s="355"/>
      <c r="J57" s="355"/>
      <c r="K57" s="355"/>
      <c r="L57" s="355"/>
      <c r="M57" s="355"/>
      <c r="N57" s="355"/>
      <c r="O57" s="355"/>
    </row>
    <row r="58" spans="2:15" ht="15.75" thickBot="1">
      <c r="B58" s="484" t="s">
        <v>128</v>
      </c>
      <c r="C58" s="485"/>
      <c r="D58" s="485"/>
      <c r="E58" s="485"/>
      <c r="F58" s="486"/>
      <c r="G58" s="368"/>
    </row>
    <row r="59" spans="2:15" ht="15" customHeight="1">
      <c r="B59" s="349">
        <v>6</v>
      </c>
      <c r="C59" s="463" t="s">
        <v>144</v>
      </c>
      <c r="D59" s="464"/>
      <c r="E59" s="465"/>
      <c r="F59" s="369">
        <f>IRR(F53:O53)</f>
        <v>0.43822984635565154</v>
      </c>
      <c r="H59" s="469" t="s">
        <v>145</v>
      </c>
      <c r="I59" s="470"/>
      <c r="J59" s="470"/>
      <c r="K59" s="470"/>
      <c r="L59" s="470"/>
      <c r="M59" s="470"/>
      <c r="N59" s="470"/>
      <c r="O59" s="471"/>
    </row>
    <row r="60" spans="2:15" ht="66.75" customHeight="1">
      <c r="B60" s="349">
        <v>7</v>
      </c>
      <c r="C60" s="463" t="s">
        <v>146</v>
      </c>
      <c r="D60" s="464"/>
      <c r="E60" s="465"/>
      <c r="F60" s="364"/>
      <c r="H60" s="472"/>
      <c r="I60" s="473"/>
      <c r="J60" s="473"/>
      <c r="K60" s="473"/>
      <c r="L60" s="473"/>
      <c r="M60" s="473"/>
      <c r="N60" s="473"/>
      <c r="O60" s="474"/>
    </row>
    <row r="61" spans="2:15" ht="33" customHeight="1">
      <c r="H61" s="370"/>
      <c r="I61" s="357"/>
      <c r="J61" s="357"/>
      <c r="K61" s="357"/>
      <c r="L61" s="357"/>
      <c r="M61" s="357"/>
      <c r="N61" s="357"/>
      <c r="O61" s="371"/>
    </row>
    <row r="62" spans="2:15">
      <c r="H62" s="370"/>
      <c r="I62" s="357"/>
      <c r="J62" s="357"/>
      <c r="K62" s="357"/>
      <c r="L62" s="357" t="s">
        <v>147</v>
      </c>
      <c r="M62" s="357"/>
      <c r="N62" s="357"/>
      <c r="O62" s="371"/>
    </row>
    <row r="63" spans="2:15">
      <c r="H63" s="370"/>
      <c r="I63" s="357"/>
      <c r="J63" s="357"/>
      <c r="K63" s="357"/>
      <c r="L63" s="357" t="s">
        <v>148</v>
      </c>
      <c r="M63" s="357"/>
      <c r="N63" s="357"/>
      <c r="O63" s="371"/>
    </row>
    <row r="64" spans="2:15">
      <c r="H64" s="370"/>
      <c r="I64" s="357"/>
      <c r="J64" s="357"/>
      <c r="K64" s="357"/>
      <c r="L64" s="357" t="s">
        <v>149</v>
      </c>
      <c r="M64" s="357"/>
      <c r="N64" s="357"/>
      <c r="O64" s="371"/>
    </row>
    <row r="65" spans="2:15">
      <c r="H65" s="370"/>
      <c r="I65" s="357"/>
      <c r="J65" s="357"/>
      <c r="K65" s="357"/>
      <c r="L65" s="357"/>
      <c r="M65" s="357"/>
      <c r="N65" s="357"/>
      <c r="O65" s="371"/>
    </row>
    <row r="66" spans="2:15">
      <c r="H66" s="370"/>
      <c r="I66" s="357"/>
      <c r="J66" s="357"/>
      <c r="K66" s="357"/>
      <c r="L66" s="357"/>
      <c r="M66" s="357"/>
      <c r="N66" s="357"/>
      <c r="O66" s="371"/>
    </row>
    <row r="67" spans="2:15" ht="15.75" thickBot="1">
      <c r="H67" s="372"/>
      <c r="I67" s="373"/>
      <c r="J67" s="373"/>
      <c r="K67" s="373"/>
      <c r="L67" s="373"/>
      <c r="M67" s="373"/>
      <c r="N67" s="373"/>
      <c r="O67" s="374"/>
    </row>
    <row r="71" spans="2:15">
      <c r="C71" s="340" t="s">
        <v>150</v>
      </c>
    </row>
    <row r="72" spans="2:15">
      <c r="C72" t="s">
        <v>151</v>
      </c>
    </row>
    <row r="73" spans="2:15">
      <c r="C73" t="s">
        <v>152</v>
      </c>
    </row>
    <row r="74" spans="2:15">
      <c r="C74" t="s">
        <v>153</v>
      </c>
    </row>
    <row r="75" spans="2:15">
      <c r="C75" t="s">
        <v>154</v>
      </c>
    </row>
    <row r="77" spans="2:15">
      <c r="D77" s="475" t="s">
        <v>120</v>
      </c>
      <c r="E77" s="475"/>
      <c r="F77" s="342"/>
    </row>
    <row r="78" spans="2:15" ht="30">
      <c r="B78" s="347" t="s">
        <v>121</v>
      </c>
      <c r="C78" s="476" t="s">
        <v>122</v>
      </c>
      <c r="D78" s="476"/>
      <c r="E78" s="476"/>
      <c r="F78" s="365">
        <v>1</v>
      </c>
      <c r="G78" s="365">
        <v>2</v>
      </c>
      <c r="H78" s="365">
        <v>3</v>
      </c>
      <c r="I78" s="365">
        <v>4</v>
      </c>
      <c r="J78" s="365">
        <v>5</v>
      </c>
      <c r="K78" s="365">
        <v>6</v>
      </c>
      <c r="L78" s="365">
        <v>7</v>
      </c>
      <c r="M78" s="365">
        <v>8</v>
      </c>
      <c r="N78" s="365">
        <v>9</v>
      </c>
      <c r="O78" s="365">
        <v>10</v>
      </c>
    </row>
    <row r="79" spans="2:15" ht="30" customHeight="1">
      <c r="B79" s="349">
        <v>1</v>
      </c>
      <c r="C79" s="463" t="str">
        <f>C15</f>
        <v>Затраты на осуществление ИСП (IC), руб.</v>
      </c>
      <c r="D79" s="464"/>
      <c r="E79" s="465"/>
      <c r="F79" s="353">
        <f>F15</f>
        <v>2500000</v>
      </c>
      <c r="G79" s="353">
        <f t="shared" ref="G79:O80" si="9">G15</f>
        <v>23750000</v>
      </c>
      <c r="H79" s="353">
        <f t="shared" si="9"/>
        <v>23750000</v>
      </c>
      <c r="I79" s="375"/>
      <c r="J79" s="375"/>
      <c r="K79" s="375"/>
      <c r="L79" s="375"/>
      <c r="M79" s="375"/>
      <c r="N79" s="375"/>
      <c r="O79" s="375"/>
    </row>
    <row r="80" spans="2:15" ht="33.75" customHeight="1">
      <c r="B80" s="349">
        <v>2</v>
      </c>
      <c r="C80" s="463" t="s">
        <v>124</v>
      </c>
      <c r="D80" s="464"/>
      <c r="E80" s="465"/>
      <c r="F80" s="351">
        <f>F16</f>
        <v>0</v>
      </c>
      <c r="G80" s="351">
        <f t="shared" si="9"/>
        <v>0</v>
      </c>
      <c r="H80" s="351">
        <f t="shared" si="9"/>
        <v>0</v>
      </c>
      <c r="I80" s="350">
        <f t="shared" si="9"/>
        <v>30000000</v>
      </c>
      <c r="J80" s="350">
        <f t="shared" si="9"/>
        <v>30000000</v>
      </c>
      <c r="K80" s="350">
        <f t="shared" si="9"/>
        <v>30000000</v>
      </c>
      <c r="L80" s="350">
        <f t="shared" si="9"/>
        <v>30000000</v>
      </c>
      <c r="M80" s="350">
        <f t="shared" si="9"/>
        <v>30000000</v>
      </c>
      <c r="N80" s="350">
        <f t="shared" si="9"/>
        <v>30000000</v>
      </c>
      <c r="O80" s="350">
        <f t="shared" si="9"/>
        <v>30000000</v>
      </c>
    </row>
    <row r="81" spans="2:15">
      <c r="B81" s="349">
        <v>3</v>
      </c>
      <c r="C81" s="477" t="s">
        <v>126</v>
      </c>
      <c r="D81" s="478"/>
      <c r="E81" s="479"/>
      <c r="F81" s="354">
        <f>F18</f>
        <v>0.78125</v>
      </c>
      <c r="G81" s="354">
        <f t="shared" ref="G81:O81" si="10">G18</f>
        <v>0.6103515625</v>
      </c>
      <c r="H81" s="354">
        <f t="shared" si="10"/>
        <v>0.47683715820312494</v>
      </c>
      <c r="I81" s="354">
        <f t="shared" si="10"/>
        <v>0.37252902984619141</v>
      </c>
      <c r="J81" s="354">
        <f t="shared" si="10"/>
        <v>0.29103830456733704</v>
      </c>
      <c r="K81" s="354">
        <f t="shared" si="10"/>
        <v>0.22737367544323206</v>
      </c>
      <c r="L81" s="354">
        <f t="shared" si="10"/>
        <v>0.17763568394002502</v>
      </c>
      <c r="M81" s="354">
        <f t="shared" si="10"/>
        <v>0.13877787807814454</v>
      </c>
      <c r="N81" s="354">
        <f t="shared" si="10"/>
        <v>0.10842021724855043</v>
      </c>
      <c r="O81" s="354">
        <f t="shared" si="10"/>
        <v>8.470329472543002E-2</v>
      </c>
    </row>
    <row r="82" spans="2:15" ht="32.25" customHeight="1">
      <c r="B82" s="349">
        <v>4</v>
      </c>
      <c r="C82" s="480" t="s">
        <v>155</v>
      </c>
      <c r="D82" s="480"/>
      <c r="E82" s="480"/>
      <c r="I82" s="361">
        <f t="shared" ref="I82:O82" si="11">I80*I81</f>
        <v>11175870.895385742</v>
      </c>
      <c r="J82" s="361">
        <f t="shared" si="11"/>
        <v>8731149.1370201111</v>
      </c>
      <c r="K82" s="361">
        <f t="shared" si="11"/>
        <v>6821210.2632969618</v>
      </c>
      <c r="L82" s="361">
        <f t="shared" si="11"/>
        <v>5329070.5182007505</v>
      </c>
      <c r="M82" s="361">
        <f t="shared" si="11"/>
        <v>4163336.3423443362</v>
      </c>
      <c r="N82" s="361">
        <f t="shared" si="11"/>
        <v>3252606.5174565129</v>
      </c>
      <c r="O82" s="361">
        <f t="shared" si="11"/>
        <v>2541098.8417629008</v>
      </c>
    </row>
    <row r="83" spans="2:15" ht="45" customHeight="1">
      <c r="B83" s="349">
        <v>5</v>
      </c>
      <c r="C83" s="480" t="s">
        <v>156</v>
      </c>
      <c r="D83" s="480"/>
      <c r="E83" s="480"/>
      <c r="F83" s="350">
        <f>F79*F81</f>
        <v>1953125</v>
      </c>
      <c r="G83" s="350">
        <f>G79*G81</f>
        <v>14495849.609375</v>
      </c>
      <c r="H83" s="350">
        <f>H79*H81</f>
        <v>11324882.507324217</v>
      </c>
      <c r="I83" s="376"/>
      <c r="J83" s="376"/>
      <c r="K83" s="376"/>
      <c r="L83" s="376"/>
      <c r="M83" s="376"/>
      <c r="N83" s="376"/>
      <c r="O83" s="376"/>
    </row>
    <row r="84" spans="2:15">
      <c r="B84" s="481" t="s">
        <v>128</v>
      </c>
      <c r="C84" s="482"/>
      <c r="D84" s="482"/>
      <c r="E84" s="482"/>
      <c r="F84" s="483"/>
    </row>
    <row r="85" spans="2:15">
      <c r="B85" s="349">
        <v>5</v>
      </c>
      <c r="C85" s="463" t="s">
        <v>107</v>
      </c>
      <c r="D85" s="464"/>
      <c r="E85" s="465"/>
      <c r="F85" s="377">
        <f>SUM(I82:O82)/SUM(F83:H83)</f>
        <v>1.5127298429934641</v>
      </c>
    </row>
    <row r="86" spans="2:15" ht="46.5" customHeight="1">
      <c r="B86" s="349">
        <v>6</v>
      </c>
      <c r="C86" s="463" t="s">
        <v>152</v>
      </c>
      <c r="D86" s="464"/>
      <c r="E86" s="465"/>
      <c r="F86" s="466"/>
      <c r="G86" s="466"/>
      <c r="H86" s="466"/>
      <c r="I86" s="466"/>
      <c r="K86" s="378"/>
    </row>
    <row r="87" spans="2:15" ht="49.5" customHeight="1">
      <c r="B87" s="349">
        <v>7</v>
      </c>
      <c r="C87" s="463" t="s">
        <v>157</v>
      </c>
      <c r="D87" s="464"/>
      <c r="E87" s="465"/>
      <c r="F87" s="379"/>
      <c r="K87" s="378"/>
    </row>
    <row r="88" spans="2:15" ht="63.75" customHeight="1">
      <c r="B88" s="349">
        <v>8</v>
      </c>
      <c r="C88" s="463" t="str">
        <f>C75</f>
        <v>Почему для данного проекта нельзя использовать оценку экономической эффективности по PI?</v>
      </c>
      <c r="D88" s="464"/>
      <c r="E88" s="465"/>
      <c r="F88" s="467"/>
      <c r="G88" s="467"/>
      <c r="H88" s="467"/>
      <c r="I88" s="467"/>
    </row>
    <row r="91" spans="2:15" ht="78" customHeight="1">
      <c r="E91" s="468" t="s">
        <v>158</v>
      </c>
      <c r="F91" s="468"/>
      <c r="G91" s="468"/>
      <c r="H91" s="468"/>
      <c r="I91" s="468"/>
      <c r="J91" s="468"/>
      <c r="K91" s="468"/>
    </row>
    <row r="92" spans="2:15">
      <c r="E92" s="462"/>
      <c r="F92" s="462"/>
      <c r="G92" s="462"/>
      <c r="H92" s="462"/>
      <c r="I92" s="462"/>
      <c r="J92" s="462"/>
    </row>
    <row r="93" spans="2:15">
      <c r="E93" s="462"/>
      <c r="F93" s="462"/>
      <c r="G93" s="462"/>
      <c r="H93" s="462"/>
      <c r="I93" s="462"/>
      <c r="J93" s="462"/>
    </row>
    <row r="94" spans="2:15">
      <c r="E94" s="462"/>
      <c r="F94" s="462"/>
      <c r="G94" s="462"/>
      <c r="H94" s="462"/>
      <c r="I94" s="462"/>
      <c r="J94" s="462"/>
    </row>
    <row r="108" spans="11:11">
      <c r="K108" t="s">
        <v>159</v>
      </c>
    </row>
    <row r="110" spans="11:11">
      <c r="K110" t="s">
        <v>160</v>
      </c>
    </row>
  </sheetData>
  <mergeCells count="56">
    <mergeCell ref="C10:K10"/>
    <mergeCell ref="C3:M3"/>
    <mergeCell ref="C4:E4"/>
    <mergeCell ref="D7:F7"/>
    <mergeCell ref="C8:J8"/>
    <mergeCell ref="C9:K9"/>
    <mergeCell ref="H22:M28"/>
    <mergeCell ref="C23:E23"/>
    <mergeCell ref="C11:K11"/>
    <mergeCell ref="C13:D13"/>
    <mergeCell ref="C14:E14"/>
    <mergeCell ref="C15:E15"/>
    <mergeCell ref="C16:E16"/>
    <mergeCell ref="C17:E17"/>
    <mergeCell ref="C18:E18"/>
    <mergeCell ref="C19:E19"/>
    <mergeCell ref="B20:F20"/>
    <mergeCell ref="C21:E21"/>
    <mergeCell ref="C22:E22"/>
    <mergeCell ref="C33:D33"/>
    <mergeCell ref="C34:E34"/>
    <mergeCell ref="C35:E35"/>
    <mergeCell ref="C36:E36"/>
    <mergeCell ref="B37:F37"/>
    <mergeCell ref="B58:F58"/>
    <mergeCell ref="H38:M43"/>
    <mergeCell ref="C39:E39"/>
    <mergeCell ref="B40:F41"/>
    <mergeCell ref="D51:E51"/>
    <mergeCell ref="C52:E52"/>
    <mergeCell ref="C53:E53"/>
    <mergeCell ref="C38:E38"/>
    <mergeCell ref="C54:E54"/>
    <mergeCell ref="G54:O54"/>
    <mergeCell ref="C55:E55"/>
    <mergeCell ref="C56:E56"/>
    <mergeCell ref="C57:E57"/>
    <mergeCell ref="C85:E85"/>
    <mergeCell ref="C59:E59"/>
    <mergeCell ref="H59:O60"/>
    <mergeCell ref="C60:E60"/>
    <mergeCell ref="D77:E77"/>
    <mergeCell ref="C78:E78"/>
    <mergeCell ref="C79:E79"/>
    <mergeCell ref="C80:E80"/>
    <mergeCell ref="C81:E81"/>
    <mergeCell ref="C82:E82"/>
    <mergeCell ref="C83:E83"/>
    <mergeCell ref="B84:F84"/>
    <mergeCell ref="E92:J94"/>
    <mergeCell ref="C86:E86"/>
    <mergeCell ref="F86:I86"/>
    <mergeCell ref="C87:E87"/>
    <mergeCell ref="C88:E88"/>
    <mergeCell ref="F88:I88"/>
    <mergeCell ref="E91:K9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122">
    <tabColor indexed="10"/>
  </sheetPr>
  <dimension ref="A1:AC142"/>
  <sheetViews>
    <sheetView tabSelected="1" topLeftCell="A68" zoomScale="70" zoomScaleNormal="70" zoomScaleSheetLayoutView="75" workbookViewId="0">
      <selection activeCell="D99" sqref="D99:E99"/>
    </sheetView>
  </sheetViews>
  <sheetFormatPr defaultColWidth="9.140625" defaultRowHeight="12.75" outlineLevelRow="1"/>
  <cols>
    <col min="1" max="1" width="62.28515625" style="15" customWidth="1"/>
    <col min="2" max="2" width="17.140625" style="188" customWidth="1"/>
    <col min="3" max="3" width="16.7109375" style="22" bestFit="1" customWidth="1"/>
    <col min="4" max="4" width="16.140625" style="22" customWidth="1"/>
    <col min="5" max="5" width="17.7109375" style="22" bestFit="1" customWidth="1"/>
    <col min="6" max="6" width="15.85546875" style="22" customWidth="1"/>
    <col min="7" max="12" width="19.85546875" style="22" bestFit="1" customWidth="1"/>
    <col min="13" max="15" width="19.85546875" style="15" bestFit="1" customWidth="1"/>
    <col min="16" max="16" width="18.85546875" style="15" customWidth="1"/>
    <col min="17" max="17" width="17.140625" style="15" bestFit="1" customWidth="1"/>
    <col min="18" max="18" width="12.42578125" style="15" customWidth="1"/>
    <col min="19" max="28" width="9.140625" style="15" customWidth="1"/>
    <col min="29" max="29" width="14.42578125" style="15" customWidth="1"/>
    <col min="30" max="16384" width="9.140625" style="15"/>
  </cols>
  <sheetData>
    <row r="1" spans="1:24" s="6" customFormat="1">
      <c r="A1" s="1"/>
      <c r="B1" s="2"/>
      <c r="C1" s="3"/>
      <c r="D1" s="4"/>
      <c r="E1" s="4"/>
      <c r="F1" s="4"/>
      <c r="G1" s="4"/>
      <c r="H1" s="4"/>
      <c r="I1" s="4"/>
      <c r="J1" s="4"/>
      <c r="K1" s="4"/>
      <c r="L1" s="5"/>
      <c r="Q1" s="521" t="s">
        <v>0</v>
      </c>
      <c r="R1" s="522"/>
      <c r="S1" s="522"/>
      <c r="T1" s="523"/>
      <c r="U1" s="521"/>
      <c r="V1" s="522"/>
      <c r="W1" s="522"/>
      <c r="X1" s="523"/>
    </row>
    <row r="2" spans="1:24" s="10" customFormat="1" ht="15.75">
      <c r="A2" s="509" t="s">
        <v>1</v>
      </c>
      <c r="B2" s="510"/>
      <c r="C2" s="8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521"/>
      <c r="R2" s="522"/>
      <c r="S2" s="522"/>
      <c r="T2" s="523"/>
      <c r="U2" s="521"/>
      <c r="V2" s="522"/>
      <c r="W2" s="522"/>
      <c r="X2" s="523"/>
    </row>
    <row r="3" spans="1:24">
      <c r="A3" s="11" t="s">
        <v>2</v>
      </c>
      <c r="B3" s="12">
        <f>[30]Исход!B5</f>
        <v>63630</v>
      </c>
      <c r="C3" s="9"/>
      <c r="D3" s="9"/>
      <c r="E3" s="9"/>
      <c r="F3" s="9"/>
      <c r="G3" s="9"/>
      <c r="H3" s="9"/>
      <c r="I3" s="9"/>
      <c r="J3" s="9"/>
      <c r="K3" s="9"/>
      <c r="L3" s="13"/>
      <c r="M3" s="9"/>
      <c r="N3" s="9"/>
      <c r="O3" s="9"/>
      <c r="P3" s="9"/>
      <c r="Q3" s="521"/>
      <c r="R3" s="522"/>
      <c r="S3" s="522"/>
      <c r="T3" s="523"/>
      <c r="U3" s="521"/>
      <c r="V3" s="522"/>
      <c r="W3" s="522"/>
      <c r="X3" s="523"/>
    </row>
    <row r="4" spans="1:24" ht="20.25" customHeight="1">
      <c r="A4" s="11" t="s">
        <v>3</v>
      </c>
      <c r="B4" s="12">
        <f>[30]Исход!B7</f>
        <v>90879.2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511" t="s">
        <v>4</v>
      </c>
      <c r="R4" s="512"/>
      <c r="S4" s="512"/>
      <c r="T4" s="513"/>
      <c r="U4" s="511"/>
      <c r="V4" s="512"/>
      <c r="W4" s="512"/>
      <c r="X4" s="513"/>
    </row>
    <row r="5" spans="1:24">
      <c r="A5" s="11" t="s">
        <v>5</v>
      </c>
      <c r="B5" s="12">
        <f>[30]Исход!B8</f>
        <v>62858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511"/>
      <c r="R5" s="512"/>
      <c r="S5" s="512"/>
      <c r="T5" s="513"/>
      <c r="U5" s="511"/>
      <c r="V5" s="512"/>
      <c r="W5" s="512"/>
      <c r="X5" s="513"/>
    </row>
    <row r="6" spans="1:24" hidden="1">
      <c r="A6" s="16" t="s">
        <v>6</v>
      </c>
      <c r="B6" s="17">
        <f>[30]Исход!B11</f>
        <v>1127.3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514"/>
      <c r="R6" s="515"/>
      <c r="S6" s="515"/>
      <c r="T6" s="516"/>
      <c r="U6" s="514"/>
      <c r="V6" s="515"/>
      <c r="W6" s="515"/>
      <c r="X6" s="516"/>
    </row>
    <row r="7" spans="1:24">
      <c r="A7" s="18" t="s">
        <v>7</v>
      </c>
      <c r="B7" s="19">
        <v>45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</row>
    <row r="8" spans="1:24" ht="13.5" hidden="1" thickBot="1">
      <c r="A8" s="20"/>
      <c r="B8" s="1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</row>
    <row r="9" spans="1:24" hidden="1">
      <c r="A9" s="519" t="s">
        <v>8</v>
      </c>
      <c r="B9" s="21">
        <v>1</v>
      </c>
      <c r="C9" s="9"/>
      <c r="D9" s="9"/>
      <c r="E9" s="9"/>
      <c r="G9" s="9"/>
      <c r="H9" s="9"/>
      <c r="I9" s="9"/>
      <c r="J9" s="9"/>
      <c r="K9" s="9"/>
      <c r="L9" s="9"/>
      <c r="M9" s="9"/>
      <c r="N9" s="9"/>
      <c r="O9" s="9"/>
      <c r="P9" s="9"/>
    </row>
    <row r="10" spans="1:24" ht="19.5" hidden="1" customHeight="1" thickBot="1">
      <c r="A10" s="520"/>
      <c r="B10" s="23">
        <f>B6*B9</f>
        <v>1127.3</v>
      </c>
      <c r="C10" s="9"/>
      <c r="D10" s="9"/>
      <c r="E10" s="9"/>
      <c r="G10" s="9"/>
      <c r="H10" s="9"/>
      <c r="I10" s="9"/>
      <c r="J10" s="9"/>
      <c r="K10" s="9"/>
      <c r="L10" s="9"/>
      <c r="M10" s="9"/>
      <c r="N10" s="9"/>
      <c r="O10" s="9"/>
      <c r="P10" s="9"/>
    </row>
    <row r="11" spans="1:24" hidden="1">
      <c r="A11" s="517" t="s">
        <v>9</v>
      </c>
      <c r="B11" s="24">
        <v>1</v>
      </c>
      <c r="C11" s="25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</row>
    <row r="12" spans="1:24" ht="13.5" hidden="1" thickBot="1">
      <c r="A12" s="518"/>
      <c r="B12" s="23">
        <f>B5*B11</f>
        <v>62858</v>
      </c>
      <c r="C12" s="26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</row>
    <row r="13" spans="1:24" hidden="1">
      <c r="A13" s="519" t="s">
        <v>10</v>
      </c>
      <c r="B13" s="24">
        <v>0</v>
      </c>
      <c r="C13" s="26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</row>
    <row r="14" spans="1:24" ht="13.5" hidden="1" thickBot="1">
      <c r="A14" s="520"/>
      <c r="B14" s="23">
        <f>B5*B13</f>
        <v>0</v>
      </c>
      <c r="C14" s="27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</row>
    <row r="15" spans="1:24" ht="13.5" thickBot="1">
      <c r="A15" s="28"/>
      <c r="B15" s="29"/>
      <c r="C15" s="27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</row>
    <row r="16" spans="1:24" ht="13.5" customHeight="1" thickTop="1">
      <c r="A16" s="539" t="s">
        <v>11</v>
      </c>
      <c r="B16" s="540"/>
      <c r="C16" s="538" t="s">
        <v>12</v>
      </c>
      <c r="D16" s="538"/>
      <c r="E16" s="538"/>
      <c r="F16" s="538"/>
      <c r="G16" s="538" t="s">
        <v>13</v>
      </c>
      <c r="H16" s="538"/>
      <c r="I16" s="538"/>
      <c r="J16" s="538"/>
      <c r="K16" s="538" t="s">
        <v>14</v>
      </c>
      <c r="L16" s="538"/>
      <c r="M16" s="538"/>
      <c r="N16" s="192"/>
      <c r="O16" s="193"/>
      <c r="P16" s="383"/>
    </row>
    <row r="17" spans="1:20" s="6" customFormat="1" ht="13.5" customHeight="1">
      <c r="A17" s="541"/>
      <c r="B17" s="542"/>
      <c r="C17" s="194">
        <v>1</v>
      </c>
      <c r="D17" s="194">
        <f t="shared" ref="D17:M17" si="0">C17+1</f>
        <v>2</v>
      </c>
      <c r="E17" s="194">
        <f t="shared" si="0"/>
        <v>3</v>
      </c>
      <c r="F17" s="194">
        <f t="shared" si="0"/>
        <v>4</v>
      </c>
      <c r="G17" s="194">
        <f t="shared" si="0"/>
        <v>5</v>
      </c>
      <c r="H17" s="194">
        <f t="shared" si="0"/>
        <v>6</v>
      </c>
      <c r="I17" s="194">
        <f t="shared" si="0"/>
        <v>7</v>
      </c>
      <c r="J17" s="194">
        <f t="shared" si="0"/>
        <v>8</v>
      </c>
      <c r="K17" s="194">
        <f t="shared" si="0"/>
        <v>9</v>
      </c>
      <c r="L17" s="194">
        <f t="shared" si="0"/>
        <v>10</v>
      </c>
      <c r="M17" s="194">
        <f t="shared" si="0"/>
        <v>11</v>
      </c>
      <c r="N17" s="195"/>
      <c r="O17" s="196"/>
      <c r="P17" s="195"/>
      <c r="R17" s="30"/>
    </row>
    <row r="18" spans="1:20" s="33" customFormat="1" ht="25.5">
      <c r="A18" s="382" t="s">
        <v>15</v>
      </c>
      <c r="B18" s="197"/>
      <c r="C18" s="198" t="str">
        <f>'[31]М. остатка'!D11</f>
        <v>1 квартал</v>
      </c>
      <c r="D18" s="198" t="str">
        <f>'[31]М. остатка'!E11</f>
        <v>2 квартал</v>
      </c>
      <c r="E18" s="198" t="str">
        <f>'[31]М. остатка'!F11</f>
        <v>3 квартал</v>
      </c>
      <c r="F18" s="198" t="str">
        <f>'[31]М. остатка'!G11</f>
        <v>4 квартал</v>
      </c>
      <c r="G18" s="198" t="str">
        <f>'[31]М. остатка'!H11</f>
        <v>5 квартал</v>
      </c>
      <c r="H18" s="198" t="str">
        <f>'[31]М. остатка'!I11</f>
        <v>6 квартал</v>
      </c>
      <c r="I18" s="198" t="str">
        <f>'[31]М. остатка'!J11</f>
        <v>7 квартал</v>
      </c>
      <c r="J18" s="198" t="str">
        <f>'[31]М. остатка'!K11</f>
        <v>8 квартал</v>
      </c>
      <c r="K18" s="198" t="str">
        <f>'[31]М. остатка'!L11</f>
        <v>9 квартал</v>
      </c>
      <c r="L18" s="198" t="str">
        <f>'[31]М. остатка'!M11</f>
        <v>10 квартал</v>
      </c>
      <c r="M18" s="198" t="str">
        <f>'[31]М. остатка'!N11</f>
        <v>11 квартал</v>
      </c>
      <c r="N18" s="198" t="s">
        <v>16</v>
      </c>
      <c r="O18" s="199" t="s">
        <v>17</v>
      </c>
      <c r="P18" s="384" t="s">
        <v>69</v>
      </c>
      <c r="Q18" s="31" t="s">
        <v>18</v>
      </c>
      <c r="R18" s="32" t="s">
        <v>19</v>
      </c>
      <c r="S18" s="15"/>
      <c r="T18" s="15"/>
    </row>
    <row r="19" spans="1:20">
      <c r="A19" s="34" t="s">
        <v>20</v>
      </c>
      <c r="B19" s="213">
        <v>82630</v>
      </c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6"/>
      <c r="O19" s="37"/>
      <c r="P19" s="36"/>
      <c r="Q19" s="38">
        <f>((1+Q20)^(1/4))-1</f>
        <v>1.6106667595102708E-2</v>
      </c>
      <c r="R19" s="39">
        <f>((1+R20)^(1/4))-1</f>
        <v>1.2272234429039353E-2</v>
      </c>
    </row>
    <row r="20" spans="1:20">
      <c r="A20" s="40" t="s">
        <v>21</v>
      </c>
      <c r="B20" s="41"/>
      <c r="C20" s="525">
        <f>Q20</f>
        <v>6.6000000000000003E-2</v>
      </c>
      <c r="D20" s="525"/>
      <c r="E20" s="525"/>
      <c r="F20" s="525"/>
      <c r="G20" s="525">
        <f>C20</f>
        <v>6.6000000000000003E-2</v>
      </c>
      <c r="H20" s="525"/>
      <c r="I20" s="525"/>
      <c r="J20" s="525"/>
      <c r="K20" s="525">
        <f>G20</f>
        <v>6.6000000000000003E-2</v>
      </c>
      <c r="L20" s="525"/>
      <c r="M20" s="525"/>
      <c r="N20" s="214">
        <f>(1+C20)^(1/4)-1</f>
        <v>1.6106667595102708E-2</v>
      </c>
      <c r="O20" s="215">
        <f>Q19</f>
        <v>1.6106667595102708E-2</v>
      </c>
      <c r="P20" s="214">
        <f>(1+E20)^(1/4)-1</f>
        <v>0</v>
      </c>
      <c r="Q20" s="42">
        <v>6.6000000000000003E-2</v>
      </c>
      <c r="R20" s="43">
        <v>0.05</v>
      </c>
    </row>
    <row r="21" spans="1:20">
      <c r="A21" s="40" t="s">
        <v>22</v>
      </c>
      <c r="B21" s="44"/>
      <c r="C21" s="45">
        <f>Q19</f>
        <v>1.6106667595102708E-2</v>
      </c>
      <c r="D21" s="45">
        <f>Q19</f>
        <v>1.6106667595102708E-2</v>
      </c>
      <c r="E21" s="45">
        <f t="shared" ref="E21:M21" si="1">D21</f>
        <v>1.6106667595102708E-2</v>
      </c>
      <c r="F21" s="45">
        <f t="shared" si="1"/>
        <v>1.6106667595102708E-2</v>
      </c>
      <c r="G21" s="45">
        <f t="shared" si="1"/>
        <v>1.6106667595102708E-2</v>
      </c>
      <c r="H21" s="45">
        <f t="shared" si="1"/>
        <v>1.6106667595102708E-2</v>
      </c>
      <c r="I21" s="45">
        <f t="shared" si="1"/>
        <v>1.6106667595102708E-2</v>
      </c>
      <c r="J21" s="45">
        <f t="shared" si="1"/>
        <v>1.6106667595102708E-2</v>
      </c>
      <c r="K21" s="45">
        <f t="shared" si="1"/>
        <v>1.6106667595102708E-2</v>
      </c>
      <c r="L21" s="45">
        <f t="shared" si="1"/>
        <v>1.6106667595102708E-2</v>
      </c>
      <c r="M21" s="45">
        <f t="shared" si="1"/>
        <v>1.6106667595102708E-2</v>
      </c>
      <c r="N21" s="46">
        <v>1.61E-2</v>
      </c>
      <c r="O21" s="47">
        <f>N21</f>
        <v>1.61E-2</v>
      </c>
      <c r="P21" s="46">
        <v>1.0161</v>
      </c>
    </row>
    <row r="22" spans="1:20">
      <c r="A22" s="40" t="s">
        <v>23</v>
      </c>
      <c r="B22" s="44"/>
      <c r="C22" s="48">
        <f>(1+C21)</f>
        <v>1.0161066675951027</v>
      </c>
      <c r="D22" s="48">
        <f>C22*(1+D21)</f>
        <v>1.0324727599312244</v>
      </c>
      <c r="E22" s="48">
        <f>D22*(1+E21)</f>
        <v>1.049102455476435</v>
      </c>
      <c r="F22" s="48">
        <f>E22*(1+F21)</f>
        <v>1.0660000000000001</v>
      </c>
      <c r="G22" s="48">
        <f>F22*(1+G21)</f>
        <v>1.0831697076563795</v>
      </c>
      <c r="H22" s="48">
        <f t="shared" ref="H22:M22" si="2">G22*(1+H21)</f>
        <v>1.1006159620866853</v>
      </c>
      <c r="I22" s="48">
        <f t="shared" si="2"/>
        <v>1.1183432175378798</v>
      </c>
      <c r="J22" s="48">
        <f t="shared" si="2"/>
        <v>1.1363560000000001</v>
      </c>
      <c r="K22" s="48">
        <f t="shared" si="2"/>
        <v>1.1546589083617007</v>
      </c>
      <c r="L22" s="48">
        <f t="shared" si="2"/>
        <v>1.1732566155844069</v>
      </c>
      <c r="M22" s="48">
        <f t="shared" si="2"/>
        <v>1.1921538698953802</v>
      </c>
      <c r="N22" s="49">
        <f>M22*(1+N21)</f>
        <v>1.2113475472006958</v>
      </c>
      <c r="O22" s="50">
        <f>N22*(1+O21)</f>
        <v>1.2308502427106269</v>
      </c>
      <c r="P22" s="49">
        <f>O22*(1+P21)</f>
        <v>2.4815171743288946</v>
      </c>
    </row>
    <row r="23" spans="1:20">
      <c r="A23" s="40" t="s">
        <v>161</v>
      </c>
      <c r="B23" s="51"/>
      <c r="C23" s="52">
        <f t="shared" ref="C23:N23" si="3">$B$19*C22</f>
        <v>83960.893943383344</v>
      </c>
      <c r="D23" s="52">
        <f t="shared" si="3"/>
        <v>85313.224153117073</v>
      </c>
      <c r="E23" s="52">
        <f t="shared" si="3"/>
        <v>86687.33589601783</v>
      </c>
      <c r="F23" s="52">
        <f t="shared" si="3"/>
        <v>88083.58</v>
      </c>
      <c r="G23" s="52">
        <f>$B$19*G22</f>
        <v>89502.312943646641</v>
      </c>
      <c r="H23" s="52">
        <f t="shared" si="3"/>
        <v>90943.896947222805</v>
      </c>
      <c r="I23" s="52">
        <f t="shared" si="3"/>
        <v>92408.700065155004</v>
      </c>
      <c r="J23" s="52">
        <f t="shared" si="3"/>
        <v>93897.096280000012</v>
      </c>
      <c r="K23" s="52">
        <f t="shared" si="3"/>
        <v>95409.465597927323</v>
      </c>
      <c r="L23" s="52">
        <f t="shared" si="3"/>
        <v>96946.194145739544</v>
      </c>
      <c r="M23" s="52">
        <f t="shared" si="3"/>
        <v>98507.674269455267</v>
      </c>
      <c r="N23" s="52">
        <f t="shared" si="3"/>
        <v>100093.64782519349</v>
      </c>
      <c r="O23" s="53">
        <f>$B$19*O22</f>
        <v>101705.15555517911</v>
      </c>
      <c r="P23" s="52">
        <f t="shared" ref="P23" si="4">$B$19*P22</f>
        <v>205047.76411479656</v>
      </c>
    </row>
    <row r="24" spans="1:20" ht="12" customHeight="1">
      <c r="A24" s="34" t="s">
        <v>25</v>
      </c>
      <c r="B24" s="54">
        <f>R19*100</f>
        <v>1.2272234429039353</v>
      </c>
      <c r="C24" s="55"/>
      <c r="D24" s="55"/>
      <c r="E24" s="55"/>
      <c r="F24" s="55"/>
      <c r="G24" s="56">
        <f>B24</f>
        <v>1.2272234429039353</v>
      </c>
      <c r="H24" s="56">
        <f t="shared" ref="H24:P24" si="5">G24</f>
        <v>1.2272234429039353</v>
      </c>
      <c r="I24" s="56">
        <f t="shared" si="5"/>
        <v>1.2272234429039353</v>
      </c>
      <c r="J24" s="56">
        <f t="shared" si="5"/>
        <v>1.2272234429039353</v>
      </c>
      <c r="K24" s="56">
        <f t="shared" si="5"/>
        <v>1.2272234429039353</v>
      </c>
      <c r="L24" s="56">
        <f t="shared" si="5"/>
        <v>1.2272234429039353</v>
      </c>
      <c r="M24" s="56">
        <f t="shared" si="5"/>
        <v>1.2272234429039353</v>
      </c>
      <c r="N24" s="56">
        <f t="shared" si="5"/>
        <v>1.2272234429039353</v>
      </c>
      <c r="O24" s="57">
        <f t="shared" si="5"/>
        <v>1.2272234429039353</v>
      </c>
      <c r="P24" s="56">
        <f t="shared" si="5"/>
        <v>1.2272234429039353</v>
      </c>
    </row>
    <row r="25" spans="1:20">
      <c r="A25" s="40" t="s">
        <v>26</v>
      </c>
      <c r="B25" s="51"/>
      <c r="C25" s="58"/>
      <c r="D25" s="58"/>
      <c r="E25" s="58"/>
      <c r="F25" s="58"/>
      <c r="G25" s="59">
        <f>H25/(1+G24/100)</f>
        <v>0.91816075685173582</v>
      </c>
      <c r="H25" s="59">
        <f t="shared" ref="H25:M25" si="6">I25/(1+H24/100)</f>
        <v>0.92942864090336452</v>
      </c>
      <c r="I25" s="59">
        <f t="shared" si="6"/>
        <v>0.94083480706959399</v>
      </c>
      <c r="J25" s="59">
        <f t="shared" si="6"/>
        <v>0.95238095238095211</v>
      </c>
      <c r="K25" s="59">
        <f t="shared" si="6"/>
        <v>0.96406879469432294</v>
      </c>
      <c r="L25" s="59">
        <f t="shared" si="6"/>
        <v>0.97590007294853309</v>
      </c>
      <c r="M25" s="59">
        <f t="shared" si="6"/>
        <v>0.98787654742307407</v>
      </c>
      <c r="N25" s="59">
        <v>1</v>
      </c>
      <c r="O25" s="60">
        <v>1</v>
      </c>
      <c r="P25" s="59">
        <v>1</v>
      </c>
    </row>
    <row r="26" spans="1:20">
      <c r="A26" s="40" t="s">
        <v>27</v>
      </c>
      <c r="B26" s="61"/>
      <c r="C26" s="61"/>
      <c r="D26" s="61"/>
      <c r="E26" s="62"/>
      <c r="F26" s="62"/>
      <c r="G26" s="62">
        <f>G23*G25</f>
        <v>82177.511392319517</v>
      </c>
      <c r="H26" s="62">
        <f t="shared" ref="H26:O26" si="7">H23*H25</f>
        <v>84525.862538112939</v>
      </c>
      <c r="I26" s="62">
        <f t="shared" si="7"/>
        <v>86941.321497352081</v>
      </c>
      <c r="J26" s="62">
        <f t="shared" si="7"/>
        <v>89425.805980952369</v>
      </c>
      <c r="K26" s="62">
        <f t="shared" si="7"/>
        <v>91981.28850142326</v>
      </c>
      <c r="L26" s="62">
        <f t="shared" si="7"/>
        <v>94609.797938909876</v>
      </c>
      <c r="M26" s="62">
        <f t="shared" si="7"/>
        <v>97313.421151986258</v>
      </c>
      <c r="N26" s="62">
        <f t="shared" si="7"/>
        <v>100093.64782519349</v>
      </c>
      <c r="O26" s="63">
        <f t="shared" si="7"/>
        <v>101705.15555517911</v>
      </c>
      <c r="P26" s="62">
        <f t="shared" ref="P26" si="8">P23*P25</f>
        <v>205047.76411479656</v>
      </c>
    </row>
    <row r="27" spans="1:20" ht="13.5" thickBot="1">
      <c r="A27" s="218" t="s">
        <v>28</v>
      </c>
      <c r="B27" s="219">
        <f>SUM(C27:O27)</f>
        <v>96.5</v>
      </c>
      <c r="C27" s="220">
        <f>'[31]М. остатка'!D31</f>
        <v>0</v>
      </c>
      <c r="D27" s="220">
        <f>'[31]М. остатка'!E31</f>
        <v>0</v>
      </c>
      <c r="E27" s="220">
        <f>'[31]М. остатка'!F31</f>
        <v>0</v>
      </c>
      <c r="F27" s="220">
        <f>'[31]М. остатка'!G31</f>
        <v>0</v>
      </c>
      <c r="G27" s="303">
        <v>17</v>
      </c>
      <c r="H27" s="303">
        <v>15</v>
      </c>
      <c r="I27" s="303">
        <v>14</v>
      </c>
      <c r="J27" s="303">
        <v>13</v>
      </c>
      <c r="K27" s="303">
        <f>'[30]График реализации'!D22*100</f>
        <v>12</v>
      </c>
      <c r="L27" s="303">
        <f>'[30]График реализации'!D25*100</f>
        <v>9.4</v>
      </c>
      <c r="M27" s="303">
        <f>'[30]График реализации'!D28*100</f>
        <v>8.1</v>
      </c>
      <c r="N27" s="304">
        <v>4.25</v>
      </c>
      <c r="O27" s="305">
        <v>3.75</v>
      </c>
      <c r="P27" s="305">
        <v>3.5</v>
      </c>
      <c r="Q27" s="64"/>
    </row>
    <row r="28" spans="1:20">
      <c r="A28" s="65" t="s">
        <v>29</v>
      </c>
      <c r="B28" s="66">
        <f t="shared" ref="B28:B41" si="9">SUM(C28:M28)</f>
        <v>100</v>
      </c>
      <c r="C28" s="67"/>
      <c r="D28" s="67"/>
      <c r="E28" s="67"/>
      <c r="F28" s="67"/>
      <c r="G28" s="216">
        <v>100</v>
      </c>
      <c r="H28" s="68">
        <f t="shared" ref="H28:M28" si="10">(100-$G$28)/($M$17-$G$17)</f>
        <v>0</v>
      </c>
      <c r="I28" s="68">
        <f t="shared" si="10"/>
        <v>0</v>
      </c>
      <c r="J28" s="68">
        <f t="shared" si="10"/>
        <v>0</v>
      </c>
      <c r="K28" s="68">
        <f t="shared" si="10"/>
        <v>0</v>
      </c>
      <c r="L28" s="68">
        <f t="shared" si="10"/>
        <v>0</v>
      </c>
      <c r="M28" s="68">
        <f t="shared" si="10"/>
        <v>0</v>
      </c>
      <c r="N28" s="68"/>
      <c r="O28" s="69"/>
      <c r="P28" s="68"/>
      <c r="Q28" s="70"/>
    </row>
    <row r="29" spans="1:20" ht="13.5" thickBot="1">
      <c r="A29" s="71" t="s">
        <v>30</v>
      </c>
      <c r="B29" s="72">
        <f t="shared" si="9"/>
        <v>878137381.88673151</v>
      </c>
      <c r="C29" s="73"/>
      <c r="D29" s="73"/>
      <c r="E29" s="73"/>
      <c r="F29" s="73"/>
      <c r="G29" s="74">
        <f>$B$5*(1-$O$48)*$G$26*$G$27%*G28%</f>
        <v>878137381.88673151</v>
      </c>
      <c r="H29" s="75">
        <f t="shared" ref="H29:M29" si="11">$B$5*(1-$M$48)*$G$26*$G$27%*H28%</f>
        <v>0</v>
      </c>
      <c r="I29" s="74">
        <f t="shared" si="11"/>
        <v>0</v>
      </c>
      <c r="J29" s="74">
        <f t="shared" si="11"/>
        <v>0</v>
      </c>
      <c r="K29" s="74">
        <f t="shared" si="11"/>
        <v>0</v>
      </c>
      <c r="L29" s="74">
        <f t="shared" si="11"/>
        <v>0</v>
      </c>
      <c r="M29" s="74">
        <f t="shared" si="11"/>
        <v>0</v>
      </c>
      <c r="N29" s="74"/>
      <c r="O29" s="76"/>
      <c r="P29" s="74"/>
    </row>
    <row r="30" spans="1:20">
      <c r="A30" s="65" t="s">
        <v>31</v>
      </c>
      <c r="B30" s="66">
        <f t="shared" si="9"/>
        <v>100</v>
      </c>
      <c r="C30" s="67"/>
      <c r="D30" s="67"/>
      <c r="E30" s="67"/>
      <c r="F30" s="67"/>
      <c r="G30" s="67"/>
      <c r="H30" s="216">
        <v>100</v>
      </c>
      <c r="I30" s="68">
        <f>(100-$H$30)/($M$17-$H$17)</f>
        <v>0</v>
      </c>
      <c r="J30" s="68">
        <f>(100-$H$30)/($M$17-$H$17)</f>
        <v>0</v>
      </c>
      <c r="K30" s="68">
        <f>(100-$H$30)/($M$17-$H$17)</f>
        <v>0</v>
      </c>
      <c r="L30" s="68">
        <f>(100-$H$30)/($M$17-$H$17)</f>
        <v>0</v>
      </c>
      <c r="M30" s="68">
        <f>(100-$H$30)/($M$17-$H$17)</f>
        <v>0</v>
      </c>
      <c r="N30" s="68"/>
      <c r="O30" s="69"/>
      <c r="P30" s="68"/>
    </row>
    <row r="31" spans="1:20" ht="13.5" thickBot="1">
      <c r="A31" s="71" t="s">
        <v>32</v>
      </c>
      <c r="B31" s="72">
        <f t="shared" si="9"/>
        <v>796969000.11310542</v>
      </c>
      <c r="C31" s="73"/>
      <c r="D31" s="73"/>
      <c r="E31" s="73"/>
      <c r="F31" s="73"/>
      <c r="G31" s="73"/>
      <c r="H31" s="74">
        <f t="shared" ref="H31:M31" si="12">$B$5*(1-$M$48)*$H$26*$H$27%*H30%</f>
        <v>796969000.11310542</v>
      </c>
      <c r="I31" s="74">
        <f t="shared" si="12"/>
        <v>0</v>
      </c>
      <c r="J31" s="74">
        <f t="shared" si="12"/>
        <v>0</v>
      </c>
      <c r="K31" s="74">
        <f t="shared" si="12"/>
        <v>0</v>
      </c>
      <c r="L31" s="74">
        <f t="shared" si="12"/>
        <v>0</v>
      </c>
      <c r="M31" s="74">
        <f t="shared" si="12"/>
        <v>0</v>
      </c>
      <c r="N31" s="74"/>
      <c r="O31" s="76"/>
      <c r="P31" s="74"/>
    </row>
    <row r="32" spans="1:20">
      <c r="A32" s="65" t="s">
        <v>33</v>
      </c>
      <c r="B32" s="66">
        <f t="shared" si="9"/>
        <v>100</v>
      </c>
      <c r="C32" s="67"/>
      <c r="D32" s="67"/>
      <c r="E32" s="67"/>
      <c r="F32" s="77"/>
      <c r="G32" s="77"/>
      <c r="H32" s="77"/>
      <c r="I32" s="216">
        <v>100</v>
      </c>
      <c r="J32" s="68"/>
      <c r="K32" s="68"/>
      <c r="L32" s="68"/>
      <c r="M32" s="68"/>
      <c r="N32" s="68"/>
      <c r="O32" s="69"/>
      <c r="P32" s="68"/>
    </row>
    <row r="33" spans="1:16" ht="13.5" thickBot="1">
      <c r="A33" s="71" t="s">
        <v>34</v>
      </c>
      <c r="B33" s="72">
        <f t="shared" si="9"/>
        <v>765094062.13527811</v>
      </c>
      <c r="C33" s="73"/>
      <c r="D33" s="73"/>
      <c r="E33" s="73"/>
      <c r="F33" s="78"/>
      <c r="G33" s="78"/>
      <c r="H33" s="78"/>
      <c r="I33" s="74">
        <f>$B$5*(1-$M$48)*$I$26*$I$27%*I32%</f>
        <v>765094062.13527811</v>
      </c>
      <c r="J33" s="74"/>
      <c r="K33" s="74"/>
      <c r="L33" s="74"/>
      <c r="M33" s="74"/>
      <c r="N33" s="74"/>
      <c r="O33" s="76"/>
      <c r="P33" s="74"/>
    </row>
    <row r="34" spans="1:16">
      <c r="A34" s="65" t="s">
        <v>35</v>
      </c>
      <c r="B34" s="66">
        <f t="shared" si="9"/>
        <v>100</v>
      </c>
      <c r="C34" s="67"/>
      <c r="D34" s="67"/>
      <c r="E34" s="67"/>
      <c r="F34" s="77"/>
      <c r="G34" s="77"/>
      <c r="H34" s="77"/>
      <c r="I34" s="77"/>
      <c r="J34" s="216">
        <v>100</v>
      </c>
      <c r="K34" s="68"/>
      <c r="L34" s="68"/>
      <c r="M34" s="68"/>
      <c r="N34" s="68"/>
      <c r="O34" s="69"/>
      <c r="P34" s="68"/>
    </row>
    <row r="35" spans="1:16" ht="13.5" thickBot="1">
      <c r="A35" s="71" t="s">
        <v>36</v>
      </c>
      <c r="B35" s="72">
        <f t="shared" si="9"/>
        <v>730746550.60559154</v>
      </c>
      <c r="C35" s="73"/>
      <c r="D35" s="73"/>
      <c r="E35" s="73"/>
      <c r="F35" s="73"/>
      <c r="G35" s="78"/>
      <c r="H35" s="78"/>
      <c r="I35" s="78"/>
      <c r="J35" s="74">
        <f>$B$5*(1-$M$48)*$J$26*$J$27%*J34%</f>
        <v>730746550.60559154</v>
      </c>
      <c r="K35" s="74"/>
      <c r="L35" s="74"/>
      <c r="M35" s="74"/>
      <c r="N35" s="74"/>
      <c r="O35" s="76"/>
      <c r="P35" s="74"/>
    </row>
    <row r="36" spans="1:16">
      <c r="A36" s="65" t="s">
        <v>37</v>
      </c>
      <c r="B36" s="66">
        <f>SUM(C36:M36)</f>
        <v>100</v>
      </c>
      <c r="C36" s="67"/>
      <c r="D36" s="67"/>
      <c r="E36" s="67"/>
      <c r="F36" s="77"/>
      <c r="G36" s="77"/>
      <c r="H36" s="77"/>
      <c r="I36" s="77"/>
      <c r="J36" s="77"/>
      <c r="K36" s="216">
        <v>100</v>
      </c>
      <c r="L36" s="68"/>
      <c r="M36" s="68"/>
      <c r="N36" s="68"/>
      <c r="O36" s="69"/>
      <c r="P36" s="68"/>
    </row>
    <row r="37" spans="1:16" ht="13.5" thickBot="1">
      <c r="A37" s="71" t="s">
        <v>38</v>
      </c>
      <c r="B37" s="72">
        <f>SUM(C37:M37)</f>
        <v>693811179.91469562</v>
      </c>
      <c r="C37" s="73"/>
      <c r="D37" s="73"/>
      <c r="E37" s="73"/>
      <c r="F37" s="73"/>
      <c r="G37" s="78"/>
      <c r="H37" s="78"/>
      <c r="I37" s="78"/>
      <c r="J37" s="78"/>
      <c r="K37" s="74">
        <f>$B$5*(1-$M$48)*$K$26*$K$27%*K36%</f>
        <v>693811179.91469562</v>
      </c>
      <c r="L37" s="74"/>
      <c r="M37" s="74"/>
      <c r="N37" s="74"/>
      <c r="O37" s="76"/>
      <c r="P37" s="74"/>
    </row>
    <row r="38" spans="1:16">
      <c r="A38" s="65" t="s">
        <v>39</v>
      </c>
      <c r="B38" s="66">
        <f>SUM(C38:M38)</f>
        <v>100</v>
      </c>
      <c r="C38" s="67"/>
      <c r="D38" s="67"/>
      <c r="E38" s="67"/>
      <c r="F38" s="77"/>
      <c r="G38" s="77"/>
      <c r="H38" s="77"/>
      <c r="I38" s="77"/>
      <c r="J38" s="77"/>
      <c r="K38" s="77"/>
      <c r="L38" s="216">
        <v>100</v>
      </c>
      <c r="M38" s="68"/>
      <c r="N38" s="68"/>
      <c r="O38" s="69"/>
      <c r="P38" s="68"/>
    </row>
    <row r="39" spans="1:16" ht="13.5" thickBot="1">
      <c r="A39" s="71" t="s">
        <v>40</v>
      </c>
      <c r="B39" s="72">
        <f>SUM(C39:M39)</f>
        <v>559016371.81133568</v>
      </c>
      <c r="C39" s="73"/>
      <c r="D39" s="73"/>
      <c r="E39" s="73"/>
      <c r="F39" s="73"/>
      <c r="G39" s="78"/>
      <c r="H39" s="78"/>
      <c r="I39" s="78"/>
      <c r="J39" s="78"/>
      <c r="K39" s="78"/>
      <c r="L39" s="74">
        <f>$B$5*(1-$M$48)*$L$26*$L$27%*L38%</f>
        <v>559016371.81133568</v>
      </c>
      <c r="M39" s="74"/>
      <c r="N39" s="74"/>
      <c r="O39" s="76"/>
      <c r="P39" s="74"/>
    </row>
    <row r="40" spans="1:16">
      <c r="A40" s="65" t="s">
        <v>41</v>
      </c>
      <c r="B40" s="66">
        <f t="shared" si="9"/>
        <v>100</v>
      </c>
      <c r="C40" s="67"/>
      <c r="D40" s="67"/>
      <c r="E40" s="67"/>
      <c r="F40" s="79"/>
      <c r="G40" s="79"/>
      <c r="H40" s="79"/>
      <c r="I40" s="79"/>
      <c r="J40" s="79"/>
      <c r="K40" s="79"/>
      <c r="L40" s="79"/>
      <c r="M40" s="216">
        <v>100</v>
      </c>
      <c r="N40" s="80"/>
      <c r="O40" s="81"/>
      <c r="P40" s="80"/>
    </row>
    <row r="41" spans="1:16" ht="13.5" thickBot="1">
      <c r="A41" s="71" t="s">
        <v>42</v>
      </c>
      <c r="B41" s="72">
        <f t="shared" si="9"/>
        <v>495471089.16849571</v>
      </c>
      <c r="C41" s="73"/>
      <c r="D41" s="73"/>
      <c r="E41" s="73"/>
      <c r="F41" s="78"/>
      <c r="G41" s="78"/>
      <c r="H41" s="78"/>
      <c r="I41" s="78"/>
      <c r="J41" s="78"/>
      <c r="K41" s="78"/>
      <c r="L41" s="78"/>
      <c r="M41" s="74">
        <f>$B$5*(1-$M$48)*$M$26*$M$27%*M40%</f>
        <v>495471089.16849571</v>
      </c>
      <c r="N41" s="74"/>
      <c r="O41" s="76"/>
      <c r="P41" s="74"/>
    </row>
    <row r="42" spans="1:16">
      <c r="A42" s="65" t="s">
        <v>43</v>
      </c>
      <c r="B42" s="66">
        <v>100</v>
      </c>
      <c r="C42" s="67"/>
      <c r="D42" s="67"/>
      <c r="E42" s="67"/>
      <c r="F42" s="79"/>
      <c r="G42" s="79"/>
      <c r="H42" s="79"/>
      <c r="I42" s="79"/>
      <c r="J42" s="79"/>
      <c r="K42" s="79"/>
      <c r="L42" s="79"/>
      <c r="M42" s="80"/>
      <c r="N42" s="216">
        <v>100</v>
      </c>
      <c r="O42" s="81"/>
      <c r="P42" s="216"/>
    </row>
    <row r="43" spans="1:16" ht="13.5" thickBot="1">
      <c r="A43" s="71" t="s">
        <v>44</v>
      </c>
      <c r="B43" s="72">
        <f>N43</f>
        <v>267396676.88733056</v>
      </c>
      <c r="C43" s="73"/>
      <c r="D43" s="73"/>
      <c r="E43" s="73"/>
      <c r="F43" s="78"/>
      <c r="G43" s="78"/>
      <c r="H43" s="78"/>
      <c r="I43" s="78"/>
      <c r="J43" s="78"/>
      <c r="K43" s="78"/>
      <c r="L43" s="78"/>
      <c r="M43" s="74"/>
      <c r="N43" s="74">
        <f>$B$5*(1-$M$48)*$N$26*$N$27%*N42%</f>
        <v>267396676.88733056</v>
      </c>
      <c r="O43" s="76"/>
      <c r="P43" s="74"/>
    </row>
    <row r="44" spans="1:16">
      <c r="A44" s="65" t="s">
        <v>45</v>
      </c>
      <c r="B44" s="66">
        <v>100</v>
      </c>
      <c r="C44" s="67"/>
      <c r="D44" s="67"/>
      <c r="E44" s="67"/>
      <c r="F44" s="79"/>
      <c r="G44" s="79"/>
      <c r="H44" s="79"/>
      <c r="I44" s="79"/>
      <c r="J44" s="79"/>
      <c r="K44" s="79"/>
      <c r="L44" s="79"/>
      <c r="M44" s="80"/>
      <c r="N44" s="80"/>
      <c r="O44" s="217">
        <v>100</v>
      </c>
      <c r="P44" s="80"/>
    </row>
    <row r="45" spans="1:16" ht="13.5" thickBot="1">
      <c r="A45" s="438" t="s">
        <v>46</v>
      </c>
      <c r="B45" s="439">
        <f>O45</f>
        <v>239736850.04577932</v>
      </c>
      <c r="C45" s="440"/>
      <c r="D45" s="440"/>
      <c r="E45" s="440"/>
      <c r="F45" s="441"/>
      <c r="G45" s="441"/>
      <c r="H45" s="441"/>
      <c r="I45" s="441"/>
      <c r="J45" s="441"/>
      <c r="K45" s="441"/>
      <c r="L45" s="441"/>
      <c r="M45" s="442"/>
      <c r="N45" s="442"/>
      <c r="O45" s="443">
        <f>$B$5*(1-$M$48)*$O$26*$O$27%*O44%</f>
        <v>239736850.04577932</v>
      </c>
      <c r="P45" s="442"/>
    </row>
    <row r="46" spans="1:16">
      <c r="A46" s="444" t="s">
        <v>162</v>
      </c>
      <c r="B46" s="66">
        <v>100</v>
      </c>
      <c r="C46" s="401"/>
      <c r="D46" s="401"/>
      <c r="E46" s="401"/>
      <c r="F46" s="402"/>
      <c r="G46" s="402"/>
      <c r="H46" s="402"/>
      <c r="I46" s="402"/>
      <c r="J46" s="402"/>
      <c r="K46" s="402"/>
      <c r="L46" s="402"/>
      <c r="M46" s="12"/>
      <c r="N46" s="12"/>
      <c r="O46" s="12"/>
      <c r="P46" s="216">
        <v>100</v>
      </c>
    </row>
    <row r="47" spans="1:16" ht="13.5" thickBot="1">
      <c r="A47" s="444" t="s">
        <v>163</v>
      </c>
      <c r="B47" s="400">
        <f>P47</f>
        <v>451111232.4854759</v>
      </c>
      <c r="C47" s="401"/>
      <c r="D47" s="401"/>
      <c r="E47" s="401"/>
      <c r="F47" s="402"/>
      <c r="G47" s="402"/>
      <c r="H47" s="402"/>
      <c r="I47" s="402"/>
      <c r="J47" s="402"/>
      <c r="K47" s="402"/>
      <c r="L47" s="402"/>
      <c r="M47" s="12"/>
      <c r="N47" s="12"/>
      <c r="O47" s="12"/>
      <c r="P47" s="74">
        <f>$B$5*(1-$M$48)*$P$26*$P$27%*P46%</f>
        <v>451111232.4854759</v>
      </c>
    </row>
    <row r="48" spans="1:16">
      <c r="A48" s="82" t="s">
        <v>47</v>
      </c>
      <c r="B48" s="83">
        <v>100</v>
      </c>
      <c r="C48" s="84"/>
      <c r="D48" s="84"/>
      <c r="E48" s="84"/>
      <c r="F48" s="85"/>
      <c r="G48" s="85"/>
      <c r="H48" s="85"/>
      <c r="I48" s="85"/>
      <c r="J48" s="85"/>
      <c r="K48" s="85"/>
      <c r="L48" s="85"/>
      <c r="M48" s="86"/>
      <c r="N48" s="87"/>
      <c r="O48" s="88"/>
      <c r="P48" s="88">
        <v>0</v>
      </c>
    </row>
    <row r="49" spans="1:23">
      <c r="A49" s="89" t="s">
        <v>48</v>
      </c>
      <c r="B49" s="90">
        <f>B29+B31+B33+B35+B37+B39+B41+B43+B45+B47</f>
        <v>5877490395.0538197</v>
      </c>
      <c r="C49" s="91"/>
      <c r="D49" s="91"/>
      <c r="E49" s="91"/>
      <c r="F49" s="92"/>
      <c r="G49" s="92"/>
      <c r="H49" s="92"/>
      <c r="I49" s="92"/>
      <c r="J49" s="92"/>
      <c r="K49" s="92"/>
      <c r="L49" s="92"/>
      <c r="M49" s="93"/>
      <c r="N49" s="52"/>
      <c r="O49" s="94"/>
      <c r="P49" s="94">
        <f>C5*P26*P48</f>
        <v>0</v>
      </c>
    </row>
    <row r="50" spans="1:23">
      <c r="A50" s="221" t="s">
        <v>49</v>
      </c>
      <c r="B50" s="222">
        <f>SUM(C50:P50)</f>
        <v>5877490395.0538197</v>
      </c>
      <c r="C50" s="223">
        <f t="shared" ref="C50:H50" si="13">C29+C31+C33+C35+C37+C39+C49+C41</f>
        <v>0</v>
      </c>
      <c r="D50" s="223">
        <f t="shared" si="13"/>
        <v>0</v>
      </c>
      <c r="E50" s="223">
        <f t="shared" si="13"/>
        <v>0</v>
      </c>
      <c r="F50" s="223">
        <f t="shared" si="13"/>
        <v>0</v>
      </c>
      <c r="G50" s="224">
        <f t="shared" si="13"/>
        <v>878137381.88673151</v>
      </c>
      <c r="H50" s="224">
        <f t="shared" si="13"/>
        <v>796969000.11310542</v>
      </c>
      <c r="I50" s="224">
        <f>I33</f>
        <v>765094062.13527811</v>
      </c>
      <c r="J50" s="224">
        <f>J35</f>
        <v>730746550.60559154</v>
      </c>
      <c r="K50" s="224">
        <f>K37</f>
        <v>693811179.91469562</v>
      </c>
      <c r="L50" s="224">
        <f>L39</f>
        <v>559016371.81133568</v>
      </c>
      <c r="M50" s="224">
        <f>M41</f>
        <v>495471089.16849571</v>
      </c>
      <c r="N50" s="224">
        <f>N43</f>
        <v>267396676.88733056</v>
      </c>
      <c r="O50" s="225">
        <f>O45</f>
        <v>239736850.04577932</v>
      </c>
      <c r="P50" s="224">
        <f>P47</f>
        <v>451111232.4854759</v>
      </c>
    </row>
    <row r="51" spans="1:23" hidden="1">
      <c r="A51" s="96" t="s">
        <v>50</v>
      </c>
      <c r="B51" s="97">
        <f>'[31]М. остатка'!C34</f>
        <v>3360</v>
      </c>
      <c r="C51" s="41"/>
      <c r="D51" s="41"/>
      <c r="E51" s="41"/>
      <c r="F51" s="58"/>
      <c r="G51" s="36"/>
      <c r="H51" s="36"/>
      <c r="I51" s="36"/>
      <c r="J51" s="36"/>
      <c r="K51" s="36"/>
      <c r="L51" s="36"/>
      <c r="M51" s="36"/>
      <c r="N51" s="36"/>
      <c r="O51" s="37"/>
      <c r="P51" s="36"/>
    </row>
    <row r="52" spans="1:23" hidden="1">
      <c r="A52" s="96" t="s">
        <v>51</v>
      </c>
      <c r="B52" s="98"/>
      <c r="C52" s="52"/>
      <c r="D52" s="52"/>
      <c r="E52" s="52"/>
      <c r="F52" s="52"/>
      <c r="G52" s="52">
        <f t="shared" ref="G52:M52" si="14">$B$51*G22</f>
        <v>3639.4502177254353</v>
      </c>
      <c r="H52" s="52">
        <f t="shared" si="14"/>
        <v>3698.0696326112629</v>
      </c>
      <c r="I52" s="52">
        <f t="shared" si="14"/>
        <v>3757.6332109272762</v>
      </c>
      <c r="J52" s="52">
        <f t="shared" si="14"/>
        <v>3818.1561600000005</v>
      </c>
      <c r="K52" s="52">
        <f t="shared" si="14"/>
        <v>3879.6539320953143</v>
      </c>
      <c r="L52" s="52">
        <f t="shared" si="14"/>
        <v>3942.142228363607</v>
      </c>
      <c r="M52" s="99">
        <f t="shared" si="14"/>
        <v>4005.6370028484776</v>
      </c>
      <c r="N52" s="36"/>
      <c r="O52" s="37"/>
      <c r="P52" s="36"/>
    </row>
    <row r="53" spans="1:23" ht="25.5" hidden="1">
      <c r="A53" s="34" t="s">
        <v>52</v>
      </c>
      <c r="B53" s="54">
        <f>B24</f>
        <v>1.2272234429039353</v>
      </c>
      <c r="C53" s="55"/>
      <c r="D53" s="55"/>
      <c r="E53" s="55"/>
      <c r="F53" s="55"/>
      <c r="G53" s="56">
        <f t="shared" ref="G53:M53" si="15">G24</f>
        <v>1.2272234429039353</v>
      </c>
      <c r="H53" s="56">
        <f t="shared" si="15"/>
        <v>1.2272234429039353</v>
      </c>
      <c r="I53" s="56">
        <f t="shared" si="15"/>
        <v>1.2272234429039353</v>
      </c>
      <c r="J53" s="56">
        <f t="shared" si="15"/>
        <v>1.2272234429039353</v>
      </c>
      <c r="K53" s="56">
        <f t="shared" si="15"/>
        <v>1.2272234429039353</v>
      </c>
      <c r="L53" s="56">
        <f t="shared" si="15"/>
        <v>1.2272234429039353</v>
      </c>
      <c r="M53" s="56">
        <f t="shared" si="15"/>
        <v>1.2272234429039353</v>
      </c>
      <c r="N53" s="36"/>
      <c r="O53" s="37"/>
      <c r="P53" s="36"/>
      <c r="T53" s="521" t="s">
        <v>53</v>
      </c>
      <c r="U53" s="526"/>
      <c r="V53" s="526"/>
      <c r="W53" s="526"/>
    </row>
    <row r="54" spans="1:23" hidden="1">
      <c r="A54" s="96" t="s">
        <v>54</v>
      </c>
      <c r="B54" s="100"/>
      <c r="C54" s="100"/>
      <c r="D54" s="100"/>
      <c r="E54" s="52"/>
      <c r="F54" s="52"/>
      <c r="G54" s="52">
        <f t="shared" ref="G54:M54" si="16">G52*G25</f>
        <v>3341.6003664310006</v>
      </c>
      <c r="H54" s="52">
        <f t="shared" si="16"/>
        <v>3437.0918326038905</v>
      </c>
      <c r="I54" s="52">
        <f t="shared" si="16"/>
        <v>3535.3121170410627</v>
      </c>
      <c r="J54" s="52">
        <f t="shared" si="16"/>
        <v>3636.3391999999994</v>
      </c>
      <c r="K54" s="52">
        <f t="shared" si="16"/>
        <v>3740.2532901462205</v>
      </c>
      <c r="L54" s="52">
        <f t="shared" si="16"/>
        <v>3847.1368882335369</v>
      </c>
      <c r="M54" s="101">
        <f t="shared" si="16"/>
        <v>3957.0748526040643</v>
      </c>
      <c r="N54" s="102"/>
      <c r="O54" s="103"/>
      <c r="P54" s="102"/>
      <c r="T54" s="521"/>
      <c r="U54" s="526"/>
      <c r="V54" s="526"/>
      <c r="W54" s="526"/>
    </row>
    <row r="55" spans="1:23" hidden="1">
      <c r="A55" s="104" t="s">
        <v>55</v>
      </c>
      <c r="B55" s="105">
        <f>SUM(C55:M55)</f>
        <v>0</v>
      </c>
      <c r="C55" s="106"/>
      <c r="D55" s="106"/>
      <c r="E55" s="107">
        <f>E27</f>
        <v>0</v>
      </c>
      <c r="F55" s="107">
        <f>F27</f>
        <v>0</v>
      </c>
      <c r="G55" s="106"/>
      <c r="H55" s="106"/>
      <c r="I55" s="106"/>
      <c r="J55" s="106"/>
      <c r="K55" s="106"/>
      <c r="L55" s="106"/>
      <c r="M55" s="106"/>
      <c r="N55" s="52"/>
      <c r="O55" s="53"/>
      <c r="P55" s="52"/>
      <c r="T55" s="521"/>
      <c r="U55" s="526"/>
      <c r="V55" s="526"/>
      <c r="W55" s="526"/>
    </row>
    <row r="56" spans="1:23" hidden="1">
      <c r="A56" s="108" t="s">
        <v>56</v>
      </c>
      <c r="B56" s="61">
        <f>SUM(C56:M56)</f>
        <v>0</v>
      </c>
      <c r="C56" s="61"/>
      <c r="D56" s="61"/>
      <c r="E56" s="109">
        <f>E55%*E54*$B$6</f>
        <v>0</v>
      </c>
      <c r="F56" s="109">
        <f>F55%*F54*$B$6</f>
        <v>0</v>
      </c>
      <c r="G56" s="61"/>
      <c r="H56" s="61"/>
      <c r="I56" s="61"/>
      <c r="J56" s="61"/>
      <c r="K56" s="61"/>
      <c r="L56" s="61"/>
      <c r="M56" s="61"/>
      <c r="N56" s="62"/>
      <c r="O56" s="63"/>
      <c r="P56" s="62"/>
      <c r="T56" s="110" t="s">
        <v>4</v>
      </c>
    </row>
    <row r="57" spans="1:23" hidden="1">
      <c r="A57" s="111" t="s">
        <v>57</v>
      </c>
      <c r="B57" s="95">
        <f>SUM(C57:M57)</f>
        <v>0</v>
      </c>
      <c r="C57" s="95"/>
      <c r="D57" s="95"/>
      <c r="E57" s="112">
        <f t="shared" ref="E57:M57" si="17">E56</f>
        <v>0</v>
      </c>
      <c r="F57" s="112">
        <f t="shared" si="17"/>
        <v>0</v>
      </c>
      <c r="G57" s="95">
        <f t="shared" si="17"/>
        <v>0</v>
      </c>
      <c r="H57" s="95">
        <f t="shared" si="17"/>
        <v>0</v>
      </c>
      <c r="I57" s="95">
        <f t="shared" si="17"/>
        <v>0</v>
      </c>
      <c r="J57" s="95">
        <f t="shared" si="17"/>
        <v>0</v>
      </c>
      <c r="K57" s="95">
        <f t="shared" si="17"/>
        <v>0</v>
      </c>
      <c r="L57" s="95">
        <f t="shared" si="17"/>
        <v>0</v>
      </c>
      <c r="M57" s="95">
        <f t="shared" si="17"/>
        <v>0</v>
      </c>
      <c r="N57" s="113"/>
      <c r="O57" s="114"/>
      <c r="P57" s="113"/>
    </row>
    <row r="58" spans="1:23">
      <c r="A58" s="96" t="s">
        <v>58</v>
      </c>
      <c r="B58" s="212">
        <v>1100000</v>
      </c>
      <c r="C58" s="41"/>
      <c r="D58" s="41"/>
      <c r="E58" s="41"/>
      <c r="F58" s="58"/>
      <c r="G58" s="36"/>
      <c r="H58" s="36"/>
      <c r="I58" s="36"/>
      <c r="J58" s="36"/>
      <c r="K58" s="36"/>
      <c r="L58" s="36"/>
      <c r="M58" s="36"/>
      <c r="N58" s="36"/>
      <c r="O58" s="37"/>
      <c r="P58" s="36"/>
      <c r="T58" s="115"/>
    </row>
    <row r="59" spans="1:23" hidden="1">
      <c r="A59" s="96" t="s">
        <v>51</v>
      </c>
      <c r="B59" s="98"/>
      <c r="C59" s="52"/>
      <c r="D59" s="52"/>
      <c r="E59" s="52"/>
      <c r="F59" s="52"/>
      <c r="G59" s="52"/>
      <c r="H59" s="52"/>
      <c r="I59" s="52"/>
      <c r="J59" s="52"/>
      <c r="K59" s="52"/>
      <c r="L59" s="52"/>
      <c r="M59" s="99"/>
      <c r="N59" s="36"/>
      <c r="O59" s="37"/>
      <c r="P59" s="36"/>
    </row>
    <row r="60" spans="1:23">
      <c r="A60" s="34" t="s">
        <v>59</v>
      </c>
      <c r="B60" s="54">
        <f>B24</f>
        <v>1.2272234429039353</v>
      </c>
      <c r="C60" s="116"/>
      <c r="D60" s="116"/>
      <c r="E60" s="117"/>
      <c r="F60" s="117"/>
      <c r="G60" s="118">
        <f>G25*G22</f>
        <v>0.99452391858065481</v>
      </c>
      <c r="H60" s="118">
        <f t="shared" ref="H60:O60" si="18">H25*H22</f>
        <v>1.0229439977987769</v>
      </c>
      <c r="I60" s="118">
        <f t="shared" si="18"/>
        <v>1.0521762253098401</v>
      </c>
      <c r="J60" s="118">
        <f t="shared" si="18"/>
        <v>1.0822438095238094</v>
      </c>
      <c r="K60" s="118">
        <f t="shared" si="18"/>
        <v>1.1131706220673274</v>
      </c>
      <c r="L60" s="118">
        <f t="shared" si="18"/>
        <v>1.1449812167361717</v>
      </c>
      <c r="M60" s="118">
        <f t="shared" si="18"/>
        <v>1.1777008489893048</v>
      </c>
      <c r="N60" s="118">
        <f t="shared" si="18"/>
        <v>1.2113475472006958</v>
      </c>
      <c r="O60" s="119">
        <f t="shared" si="18"/>
        <v>1.2308502427106269</v>
      </c>
      <c r="P60" s="118">
        <f t="shared" ref="P60" si="19">P25*P22</f>
        <v>2.4815171743288946</v>
      </c>
    </row>
    <row r="61" spans="1:23">
      <c r="A61" s="96" t="s">
        <v>60</v>
      </c>
      <c r="B61" s="100"/>
      <c r="C61" s="100"/>
      <c r="D61" s="100"/>
      <c r="E61" s="120">
        <f>E59*E25</f>
        <v>0</v>
      </c>
      <c r="F61" s="120">
        <f>F59*F25</f>
        <v>0</v>
      </c>
      <c r="G61" s="121">
        <f>$B$58*G60</f>
        <v>1093976.3104387203</v>
      </c>
      <c r="H61" s="121">
        <f t="shared" ref="H61:O61" si="20">$B$58*H60</f>
        <v>1125238.3975786546</v>
      </c>
      <c r="I61" s="121">
        <f t="shared" si="20"/>
        <v>1157393.8478408242</v>
      </c>
      <c r="J61" s="121">
        <f t="shared" si="20"/>
        <v>1190468.1904761903</v>
      </c>
      <c r="K61" s="121">
        <f t="shared" si="20"/>
        <v>1224487.6842740602</v>
      </c>
      <c r="L61" s="121">
        <f t="shared" si="20"/>
        <v>1259479.3384097889</v>
      </c>
      <c r="M61" s="121">
        <f t="shared" si="20"/>
        <v>1295470.9338882354</v>
      </c>
      <c r="N61" s="121">
        <f t="shared" si="20"/>
        <v>1332482.3019207653</v>
      </c>
      <c r="O61" s="122">
        <f t="shared" si="20"/>
        <v>1353935.2669816897</v>
      </c>
      <c r="P61" s="121">
        <f t="shared" ref="P61" si="21">$B$58*P60</f>
        <v>2729668.891761784</v>
      </c>
    </row>
    <row r="62" spans="1:23">
      <c r="A62" s="226" t="s">
        <v>61</v>
      </c>
      <c r="B62" s="227">
        <f>SUM(C62:P62)</f>
        <v>100</v>
      </c>
      <c r="C62" s="228"/>
      <c r="D62" s="228"/>
      <c r="E62" s="229">
        <f>ROUND(E55%*$B$7,0)</f>
        <v>0</v>
      </c>
      <c r="F62" s="229">
        <f>ROUND(F55%*$B$7,0)</f>
        <v>0</v>
      </c>
      <c r="G62" s="230">
        <f>G27</f>
        <v>17</v>
      </c>
      <c r="H62" s="230">
        <f t="shared" ref="H62:O62" si="22">H27</f>
        <v>15</v>
      </c>
      <c r="I62" s="230">
        <f t="shared" si="22"/>
        <v>14</v>
      </c>
      <c r="J62" s="230">
        <f t="shared" si="22"/>
        <v>13</v>
      </c>
      <c r="K62" s="230">
        <f t="shared" si="22"/>
        <v>12</v>
      </c>
      <c r="L62" s="230">
        <f t="shared" si="22"/>
        <v>9.4</v>
      </c>
      <c r="M62" s="230">
        <f t="shared" si="22"/>
        <v>8.1</v>
      </c>
      <c r="N62" s="230">
        <f t="shared" si="22"/>
        <v>4.25</v>
      </c>
      <c r="O62" s="231">
        <f t="shared" si="22"/>
        <v>3.75</v>
      </c>
      <c r="P62" s="230">
        <f t="shared" ref="P62" si="23">P27</f>
        <v>3.5</v>
      </c>
    </row>
    <row r="63" spans="1:23" s="123" customFormat="1">
      <c r="A63" s="232" t="s">
        <v>62</v>
      </c>
      <c r="B63" s="228">
        <f>SUM(C63:P63)</f>
        <v>56014287.434750862</v>
      </c>
      <c r="C63" s="228"/>
      <c r="D63" s="228"/>
      <c r="E63" s="223">
        <f>E62*E61</f>
        <v>0</v>
      </c>
      <c r="F63" s="223">
        <f>F62*F61</f>
        <v>0</v>
      </c>
      <c r="G63" s="228">
        <f>$B$7*G61*G62%</f>
        <v>8368918.7748562107</v>
      </c>
      <c r="H63" s="228">
        <f t="shared" ref="H63:O63" si="24">$B$7*H61*H62%</f>
        <v>7595359.1836559176</v>
      </c>
      <c r="I63" s="228">
        <f t="shared" si="24"/>
        <v>7291581.2413971936</v>
      </c>
      <c r="J63" s="228">
        <f t="shared" si="24"/>
        <v>6964238.9142857138</v>
      </c>
      <c r="K63" s="228">
        <f t="shared" si="24"/>
        <v>6612233.4950799244</v>
      </c>
      <c r="L63" s="228">
        <f t="shared" si="24"/>
        <v>5327597.6014734069</v>
      </c>
      <c r="M63" s="228">
        <f t="shared" si="24"/>
        <v>4721991.5540226176</v>
      </c>
      <c r="N63" s="228">
        <f t="shared" si="24"/>
        <v>2548372.4024234638</v>
      </c>
      <c r="O63" s="233">
        <f t="shared" si="24"/>
        <v>2284765.7630316014</v>
      </c>
      <c r="P63" s="228">
        <f t="shared" ref="P63" si="25">$B$7*P61*P62%</f>
        <v>4299228.5045248102</v>
      </c>
    </row>
    <row r="64" spans="1:23" ht="56.25" hidden="1" customHeight="1">
      <c r="A64" s="111" t="s">
        <v>63</v>
      </c>
      <c r="B64" s="95">
        <f>SUM(C64:M64)</f>
        <v>0</v>
      </c>
      <c r="C64" s="95"/>
      <c r="D64" s="95"/>
      <c r="E64" s="112">
        <f>E63</f>
        <v>0</v>
      </c>
      <c r="F64" s="112">
        <f>F63</f>
        <v>0</v>
      </c>
      <c r="G64" s="95"/>
      <c r="H64" s="95"/>
      <c r="I64" s="95"/>
      <c r="J64" s="95"/>
      <c r="K64" s="95"/>
      <c r="L64" s="95"/>
      <c r="M64" s="95"/>
      <c r="N64" s="52"/>
      <c r="O64" s="53"/>
      <c r="P64" s="52"/>
    </row>
    <row r="65" spans="1:17" s="6" customFormat="1" ht="15" customHeight="1">
      <c r="A65" s="207" t="s">
        <v>64</v>
      </c>
      <c r="B65" s="208">
        <f>SUM(C65:P65)</f>
        <v>5933504682.4885702</v>
      </c>
      <c r="C65" s="209"/>
      <c r="D65" s="209"/>
      <c r="E65" s="209"/>
      <c r="F65" s="209"/>
      <c r="G65" s="208">
        <f>SUM(G50+G63)</f>
        <v>886506300.66158772</v>
      </c>
      <c r="H65" s="208">
        <f t="shared" ref="H65:O65" si="26">SUM(H50+H63)</f>
        <v>804564359.29676127</v>
      </c>
      <c r="I65" s="208">
        <f t="shared" si="26"/>
        <v>772385643.37667525</v>
      </c>
      <c r="J65" s="208">
        <f t="shared" si="26"/>
        <v>737710789.5198772</v>
      </c>
      <c r="K65" s="208">
        <f t="shared" si="26"/>
        <v>700423413.4097755</v>
      </c>
      <c r="L65" s="208">
        <f t="shared" si="26"/>
        <v>564343969.41280913</v>
      </c>
      <c r="M65" s="208">
        <f t="shared" si="26"/>
        <v>500193080.72251832</v>
      </c>
      <c r="N65" s="208">
        <f t="shared" si="26"/>
        <v>269945049.28975403</v>
      </c>
      <c r="O65" s="210">
        <f t="shared" si="26"/>
        <v>242021615.80881092</v>
      </c>
      <c r="P65" s="208">
        <f t="shared" ref="P65" si="27">SUM(P50+P63)</f>
        <v>455410460.99000072</v>
      </c>
    </row>
    <row r="66" spans="1:17" s="7" customFormat="1">
      <c r="A66" s="124" t="s">
        <v>65</v>
      </c>
      <c r="B66" s="236">
        <f>SUM(C66:P67)</f>
        <v>988917447.08142829</v>
      </c>
      <c r="C66" s="125">
        <f t="shared" ref="C66:P66" si="28">C65/(1+$B$83)*$B$83</f>
        <v>0</v>
      </c>
      <c r="D66" s="125">
        <f t="shared" si="28"/>
        <v>0</v>
      </c>
      <c r="E66" s="125">
        <f t="shared" si="28"/>
        <v>0</v>
      </c>
      <c r="F66" s="125">
        <f t="shared" si="28"/>
        <v>0</v>
      </c>
      <c r="G66" s="91">
        <f t="shared" si="28"/>
        <v>147751050.11026463</v>
      </c>
      <c r="H66" s="91">
        <f t="shared" si="28"/>
        <v>134094059.88279355</v>
      </c>
      <c r="I66" s="91">
        <f t="shared" si="28"/>
        <v>128730940.56277922</v>
      </c>
      <c r="J66" s="91">
        <f t="shared" si="28"/>
        <v>122951798.25331289</v>
      </c>
      <c r="K66" s="91">
        <f t="shared" si="28"/>
        <v>116737235.56829594</v>
      </c>
      <c r="L66" s="91">
        <f t="shared" si="28"/>
        <v>94057328.235468209</v>
      </c>
      <c r="M66" s="91">
        <f t="shared" si="28"/>
        <v>83365513.453753054</v>
      </c>
      <c r="N66" s="91">
        <f t="shared" si="28"/>
        <v>44990841.548292339</v>
      </c>
      <c r="O66" s="126">
        <f t="shared" si="28"/>
        <v>40336935.968135156</v>
      </c>
      <c r="P66" s="91">
        <f t="shared" si="28"/>
        <v>75901743.498333454</v>
      </c>
    </row>
    <row r="67" spans="1:17" s="7" customFormat="1" hidden="1">
      <c r="A67" s="127" t="s">
        <v>66</v>
      </c>
      <c r="B67" s="91"/>
      <c r="C67" s="527"/>
      <c r="D67" s="527"/>
      <c r="E67" s="527"/>
      <c r="F67" s="528"/>
      <c r="G67" s="528"/>
      <c r="H67" s="528"/>
      <c r="I67" s="528"/>
      <c r="J67" s="528"/>
      <c r="K67" s="528"/>
      <c r="L67" s="528"/>
      <c r="M67" s="528"/>
      <c r="N67" s="128"/>
      <c r="O67" s="129"/>
      <c r="P67" s="128"/>
    </row>
    <row r="68" spans="1:17" s="7" customFormat="1" ht="22.5">
      <c r="A68" s="382" t="s">
        <v>67</v>
      </c>
      <c r="B68" s="197" t="s">
        <v>68</v>
      </c>
      <c r="C68" s="198" t="str">
        <f t="shared" ref="C68:O68" si="29">C18</f>
        <v>1 квартал</v>
      </c>
      <c r="D68" s="198" t="str">
        <f t="shared" si="29"/>
        <v>2 квартал</v>
      </c>
      <c r="E68" s="198" t="str">
        <f t="shared" si="29"/>
        <v>3 квартал</v>
      </c>
      <c r="F68" s="198">
        <v>4</v>
      </c>
      <c r="G68" s="198">
        <v>5</v>
      </c>
      <c r="H68" s="198">
        <v>6</v>
      </c>
      <c r="I68" s="198" t="str">
        <f t="shared" si="29"/>
        <v>7 квартал</v>
      </c>
      <c r="J68" s="198" t="str">
        <f t="shared" si="29"/>
        <v>8 квартал</v>
      </c>
      <c r="K68" s="198" t="str">
        <f t="shared" si="29"/>
        <v>9 квартал</v>
      </c>
      <c r="L68" s="198" t="str">
        <f t="shared" si="29"/>
        <v>10 квартал</v>
      </c>
      <c r="M68" s="198" t="str">
        <f t="shared" si="29"/>
        <v>11 квартал</v>
      </c>
      <c r="N68" s="198" t="str">
        <f t="shared" si="29"/>
        <v>12 квартал</v>
      </c>
      <c r="O68" s="199" t="str">
        <f t="shared" si="29"/>
        <v>13 квартал</v>
      </c>
      <c r="P68" s="384" t="str">
        <f t="shared" ref="P68" si="30">P18</f>
        <v>14 квартал</v>
      </c>
      <c r="Q68" s="130" t="s">
        <v>185</v>
      </c>
    </row>
    <row r="69" spans="1:17" s="7" customFormat="1">
      <c r="A69" s="131" t="s">
        <v>70</v>
      </c>
      <c r="B69" s="132">
        <f>SUM(C69:P69)</f>
        <v>0.99999999999999989</v>
      </c>
      <c r="C69" s="133">
        <f>C70/$B$70</f>
        <v>4.4020529777142239E-3</v>
      </c>
      <c r="D69" s="133">
        <f t="shared" ref="D69:P69" si="31">D70/$B$70</f>
        <v>4.4020529777142239E-3</v>
      </c>
      <c r="E69" s="133">
        <f t="shared" si="31"/>
        <v>3.815107589236863E-2</v>
      </c>
      <c r="F69" s="133">
        <f t="shared" si="31"/>
        <v>9.2443018249076969E-2</v>
      </c>
      <c r="G69" s="133">
        <f t="shared" si="31"/>
        <v>8.8041068797708177E-2</v>
      </c>
      <c r="H69" s="133">
        <f t="shared" si="31"/>
        <v>0.13206171873935851</v>
      </c>
      <c r="I69" s="133">
        <f t="shared" si="31"/>
        <v>0.17608213759541635</v>
      </c>
      <c r="J69" s="133">
        <f t="shared" si="31"/>
        <v>0.13206171873935851</v>
      </c>
      <c r="K69" s="133">
        <f t="shared" si="31"/>
        <v>0.13206171873935851</v>
      </c>
      <c r="L69" s="133">
        <f t="shared" si="31"/>
        <v>8.8041068797708177E-2</v>
      </c>
      <c r="M69" s="133">
        <f t="shared" si="31"/>
        <v>4.4020649941650336E-2</v>
      </c>
      <c r="N69" s="133">
        <f t="shared" si="31"/>
        <v>6.8231718552567405E-2</v>
      </c>
      <c r="O69" s="133">
        <f t="shared" si="31"/>
        <v>0</v>
      </c>
      <c r="P69" s="133">
        <f t="shared" si="31"/>
        <v>0</v>
      </c>
      <c r="Q69" s="134" t="b">
        <f>B69=100%</f>
        <v>1</v>
      </c>
    </row>
    <row r="70" spans="1:17" s="7" customFormat="1" ht="27.75" customHeight="1">
      <c r="A70" s="135" t="s">
        <v>71</v>
      </c>
      <c r="B70" s="91">
        <f>SUM(C70:P70)</f>
        <v>4327400896</v>
      </c>
      <c r="C70" s="237">
        <v>19049448</v>
      </c>
      <c r="D70" s="237">
        <f>19049448</f>
        <v>19049448</v>
      </c>
      <c r="E70" s="237">
        <f>165095000</f>
        <v>165095000</v>
      </c>
      <c r="F70" s="237">
        <v>400038000</v>
      </c>
      <c r="G70" s="237">
        <v>380989000</v>
      </c>
      <c r="H70" s="237">
        <v>571484000</v>
      </c>
      <c r="I70" s="237">
        <v>761978000</v>
      </c>
      <c r="J70" s="237">
        <v>571484000</v>
      </c>
      <c r="K70" s="237">
        <v>571484000</v>
      </c>
      <c r="L70" s="237">
        <v>380989000</v>
      </c>
      <c r="M70" s="237">
        <v>190495000</v>
      </c>
      <c r="N70" s="91">
        <v>295266000</v>
      </c>
      <c r="O70" s="136">
        <v>0</v>
      </c>
      <c r="P70" s="90">
        <v>0</v>
      </c>
      <c r="Q70" s="137" t="b">
        <f>B70='[30]строит (ИТОГО)'!B8</f>
        <v>0</v>
      </c>
    </row>
    <row r="71" spans="1:17" s="7" customFormat="1">
      <c r="A71" s="138" t="s">
        <v>72</v>
      </c>
      <c r="B71" s="91">
        <f>SUM(C71:P76)</f>
        <v>721233482.66666675</v>
      </c>
      <c r="C71" s="90">
        <f t="shared" ref="C71:P71" si="32">C70/(1+$B$83)*$B$83</f>
        <v>3174908</v>
      </c>
      <c r="D71" s="90">
        <f t="shared" si="32"/>
        <v>3174908</v>
      </c>
      <c r="E71" s="90">
        <f t="shared" si="32"/>
        <v>27515833.33333334</v>
      </c>
      <c r="F71" s="90">
        <f t="shared" si="32"/>
        <v>66673000</v>
      </c>
      <c r="G71" s="90">
        <f t="shared" si="32"/>
        <v>63498166.666666679</v>
      </c>
      <c r="H71" s="90">
        <f t="shared" si="32"/>
        <v>95247333.333333343</v>
      </c>
      <c r="I71" s="90">
        <f t="shared" si="32"/>
        <v>126996333.33333336</v>
      </c>
      <c r="J71" s="90">
        <f t="shared" si="32"/>
        <v>95247333.333333343</v>
      </c>
      <c r="K71" s="90">
        <f t="shared" si="32"/>
        <v>95247333.333333343</v>
      </c>
      <c r="L71" s="90">
        <f t="shared" si="32"/>
        <v>63498166.666666679</v>
      </c>
      <c r="M71" s="90">
        <f t="shared" si="32"/>
        <v>31749166.666666672</v>
      </c>
      <c r="N71" s="90">
        <f t="shared" si="32"/>
        <v>49211000</v>
      </c>
      <c r="O71" s="90">
        <f t="shared" si="32"/>
        <v>0</v>
      </c>
      <c r="P71" s="90">
        <f t="shared" si="32"/>
        <v>0</v>
      </c>
      <c r="Q71" s="137"/>
    </row>
    <row r="72" spans="1:17" s="7" customFormat="1" hidden="1">
      <c r="A72" s="139" t="s">
        <v>73</v>
      </c>
      <c r="B72" s="91">
        <f>SUM(C72:M72)</f>
        <v>0</v>
      </c>
      <c r="C72" s="91">
        <f>0%*C50</f>
        <v>0</v>
      </c>
      <c r="D72" s="91">
        <f t="shared" ref="D72:M72" si="33">0%*D50</f>
        <v>0</v>
      </c>
      <c r="E72" s="91">
        <f t="shared" si="33"/>
        <v>0</v>
      </c>
      <c r="F72" s="91">
        <f t="shared" si="33"/>
        <v>0</v>
      </c>
      <c r="G72" s="91">
        <f t="shared" si="33"/>
        <v>0</v>
      </c>
      <c r="H72" s="91"/>
      <c r="I72" s="91"/>
      <c r="J72" s="91"/>
      <c r="K72" s="91"/>
      <c r="L72" s="91">
        <f t="shared" si="33"/>
        <v>0</v>
      </c>
      <c r="M72" s="91">
        <f t="shared" si="33"/>
        <v>0</v>
      </c>
      <c r="N72" s="91"/>
      <c r="O72" s="126"/>
      <c r="P72" s="91"/>
      <c r="Q72" s="137"/>
    </row>
    <row r="73" spans="1:17" s="7" customFormat="1" hidden="1">
      <c r="A73" s="89" t="s">
        <v>74</v>
      </c>
      <c r="B73" s="91">
        <f t="shared" ref="B73:B75" si="34">SUM(C73:M73)</f>
        <v>0</v>
      </c>
      <c r="C73" s="90">
        <f>C72/(1+$B$83)*$B$83</f>
        <v>0</v>
      </c>
      <c r="D73" s="90">
        <f>D72/(1+$B$83)*$B$83</f>
        <v>0</v>
      </c>
      <c r="E73" s="90">
        <f>E72/(1+$B$83)*$B$83</f>
        <v>0</v>
      </c>
      <c r="F73" s="90">
        <f>F72/(1+$B$83)*$B$83</f>
        <v>0</v>
      </c>
      <c r="G73" s="90">
        <f>G72/(1+$B$83)*$B$83</f>
        <v>0</v>
      </c>
      <c r="H73" s="90"/>
      <c r="I73" s="90"/>
      <c r="J73" s="90"/>
      <c r="K73" s="90"/>
      <c r="L73" s="90">
        <f>L72/(1+$B$83)*$B$83</f>
        <v>0</v>
      </c>
      <c r="M73" s="90">
        <f>M72/(1+$B$83)*$B$83</f>
        <v>0</v>
      </c>
      <c r="N73" s="90"/>
      <c r="O73" s="136"/>
      <c r="P73" s="90"/>
      <c r="Q73" s="137"/>
    </row>
    <row r="74" spans="1:17" s="7" customFormat="1" hidden="1">
      <c r="A74" s="139" t="s">
        <v>75</v>
      </c>
      <c r="B74" s="91">
        <f t="shared" si="34"/>
        <v>0</v>
      </c>
      <c r="C74" s="91">
        <v>0</v>
      </c>
      <c r="D74" s="91">
        <v>0</v>
      </c>
      <c r="E74" s="91">
        <v>0</v>
      </c>
      <c r="F74" s="91">
        <v>0</v>
      </c>
      <c r="G74" s="91">
        <v>0</v>
      </c>
      <c r="H74" s="91"/>
      <c r="I74" s="91"/>
      <c r="J74" s="91"/>
      <c r="K74" s="91"/>
      <c r="L74" s="91">
        <v>0</v>
      </c>
      <c r="M74" s="91">
        <v>0</v>
      </c>
      <c r="N74" s="91"/>
      <c r="O74" s="126"/>
      <c r="P74" s="91"/>
      <c r="Q74" s="137"/>
    </row>
    <row r="75" spans="1:17" s="7" customFormat="1" hidden="1">
      <c r="A75" s="89" t="s">
        <v>74</v>
      </c>
      <c r="B75" s="91">
        <f t="shared" si="34"/>
        <v>0</v>
      </c>
      <c r="C75" s="90">
        <f>C74/(1+$B$83)*$B$83</f>
        <v>0</v>
      </c>
      <c r="D75" s="90">
        <f>D74/(1+$B$83)*$B$83</f>
        <v>0</v>
      </c>
      <c r="E75" s="90">
        <f>E74/(1+$B$83)*$B$83</f>
        <v>0</v>
      </c>
      <c r="F75" s="90">
        <f>F74/(1+$B$83)*$B$83</f>
        <v>0</v>
      </c>
      <c r="G75" s="90">
        <f>G74/(1+$B$83)*$B$83</f>
        <v>0</v>
      </c>
      <c r="H75" s="90"/>
      <c r="I75" s="90"/>
      <c r="J75" s="90"/>
      <c r="K75" s="90"/>
      <c r="L75" s="90">
        <f>L74/(1+$B$83)*$B$83</f>
        <v>0</v>
      </c>
      <c r="M75" s="90">
        <f>M74/(1+$B$83)*$B$83</f>
        <v>0</v>
      </c>
      <c r="N75" s="90"/>
      <c r="O75" s="136"/>
      <c r="P75" s="90"/>
      <c r="Q75" s="137"/>
    </row>
    <row r="76" spans="1:17" s="7" customFormat="1" ht="29.25" hidden="1" customHeight="1">
      <c r="A76" s="140" t="s">
        <v>76</v>
      </c>
      <c r="B76" s="141">
        <f>SUM(C76:M76)</f>
        <v>0</v>
      </c>
      <c r="C76" s="141">
        <f t="shared" ref="C76:L76" si="35">$B$120*C65</f>
        <v>0</v>
      </c>
      <c r="D76" s="141">
        <f t="shared" si="35"/>
        <v>0</v>
      </c>
      <c r="E76" s="141">
        <f t="shared" si="35"/>
        <v>0</v>
      </c>
      <c r="F76" s="141">
        <f t="shared" si="35"/>
        <v>0</v>
      </c>
      <c r="G76" s="141">
        <f t="shared" si="35"/>
        <v>0</v>
      </c>
      <c r="H76" s="141">
        <f t="shared" si="35"/>
        <v>0</v>
      </c>
      <c r="I76" s="141">
        <f t="shared" si="35"/>
        <v>0</v>
      </c>
      <c r="J76" s="141">
        <f t="shared" si="35"/>
        <v>0</v>
      </c>
      <c r="K76" s="141">
        <f t="shared" si="35"/>
        <v>0</v>
      </c>
      <c r="L76" s="141">
        <f t="shared" si="35"/>
        <v>0</v>
      </c>
      <c r="M76" s="91">
        <f>$B$120*(M65-M49)</f>
        <v>0</v>
      </c>
      <c r="N76" s="90"/>
      <c r="O76" s="136"/>
      <c r="P76" s="90"/>
      <c r="Q76" s="137"/>
    </row>
    <row r="77" spans="1:17" s="7" customFormat="1" ht="12" customHeight="1">
      <c r="A77" s="139" t="s">
        <v>77</v>
      </c>
      <c r="B77" s="142">
        <f>SUM(C77:P77)</f>
        <v>90180335.172800004</v>
      </c>
      <c r="C77" s="143">
        <f>'[32]График Стр-ва'!$C$25:$E$25*1000</f>
        <v>66309069.979999997</v>
      </c>
      <c r="D77" s="143">
        <f>$C$77*0.015*2</f>
        <v>1989272.0993999997</v>
      </c>
      <c r="E77" s="143">
        <f t="shared" ref="E77:N77" si="36">$C$77*0.015*2</f>
        <v>1989272.0993999997</v>
      </c>
      <c r="F77" s="143">
        <f t="shared" si="36"/>
        <v>1989272.0993999997</v>
      </c>
      <c r="G77" s="143">
        <f t="shared" si="36"/>
        <v>1989272.0993999997</v>
      </c>
      <c r="H77" s="143">
        <f t="shared" si="36"/>
        <v>1989272.0993999997</v>
      </c>
      <c r="I77" s="143">
        <f t="shared" si="36"/>
        <v>1989272.0993999997</v>
      </c>
      <c r="J77" s="143">
        <f t="shared" si="36"/>
        <v>1989272.0993999997</v>
      </c>
      <c r="K77" s="143">
        <f t="shared" si="36"/>
        <v>1989272.0993999997</v>
      </c>
      <c r="L77" s="143">
        <f t="shared" si="36"/>
        <v>1989272.0993999997</v>
      </c>
      <c r="M77" s="143">
        <f t="shared" si="36"/>
        <v>1989272.0993999997</v>
      </c>
      <c r="N77" s="143">
        <f t="shared" si="36"/>
        <v>1989272.0993999997</v>
      </c>
      <c r="O77" s="143">
        <f>$C$77*0.015</f>
        <v>994636.04969999986</v>
      </c>
      <c r="P77" s="143">
        <f>$C$77*0.015</f>
        <v>994636.04969999986</v>
      </c>
      <c r="Q77" s="137"/>
    </row>
    <row r="78" spans="1:17" s="7" customFormat="1" ht="24" customHeight="1">
      <c r="A78" s="211" t="s">
        <v>78</v>
      </c>
      <c r="B78" s="208">
        <f>SUM(C78:P78)</f>
        <v>4122315231.1727996</v>
      </c>
      <c r="C78" s="208">
        <f>C70+C77</f>
        <v>85358517.979999989</v>
      </c>
      <c r="D78" s="208">
        <f t="shared" ref="D78:M78" si="37">D70+D72+D74+D76+D77</f>
        <v>21038720.099399999</v>
      </c>
      <c r="E78" s="208">
        <f t="shared" si="37"/>
        <v>167084272.09940001</v>
      </c>
      <c r="F78" s="208">
        <f t="shared" si="37"/>
        <v>402027272.09939998</v>
      </c>
      <c r="G78" s="208">
        <f t="shared" si="37"/>
        <v>382978272.09939998</v>
      </c>
      <c r="H78" s="208">
        <f t="shared" si="37"/>
        <v>573473272.09940004</v>
      </c>
      <c r="I78" s="208">
        <f t="shared" si="37"/>
        <v>763967272.09940004</v>
      </c>
      <c r="J78" s="208">
        <f t="shared" si="37"/>
        <v>573473272.09940004</v>
      </c>
      <c r="K78" s="208">
        <f t="shared" si="37"/>
        <v>573473272.09940004</v>
      </c>
      <c r="L78" s="208">
        <f t="shared" si="37"/>
        <v>382978272.09939998</v>
      </c>
      <c r="M78" s="208">
        <f t="shared" si="37"/>
        <v>192484272.09940001</v>
      </c>
      <c r="N78" s="208">
        <f>N77</f>
        <v>1989272.0993999997</v>
      </c>
      <c r="O78" s="210">
        <f>O77</f>
        <v>994636.04969999986</v>
      </c>
      <c r="P78" s="208">
        <f>P77</f>
        <v>994636.04969999986</v>
      </c>
      <c r="Q78" s="137"/>
    </row>
    <row r="79" spans="1:17" s="7" customFormat="1">
      <c r="A79" s="89" t="s">
        <v>65</v>
      </c>
      <c r="B79" s="144">
        <f>SUM(C79:P79)</f>
        <v>721233482.66666675</v>
      </c>
      <c r="C79" s="144">
        <f>C71+C73+C75</f>
        <v>3174908</v>
      </c>
      <c r="D79" s="144">
        <f t="shared" ref="D79:P79" si="38">D71+D73+D75</f>
        <v>3174908</v>
      </c>
      <c r="E79" s="144">
        <f t="shared" si="38"/>
        <v>27515833.33333334</v>
      </c>
      <c r="F79" s="144">
        <f t="shared" si="38"/>
        <v>66673000</v>
      </c>
      <c r="G79" s="144">
        <f>G71+G73+G75</f>
        <v>63498166.666666679</v>
      </c>
      <c r="H79" s="144">
        <f t="shared" si="38"/>
        <v>95247333.333333343</v>
      </c>
      <c r="I79" s="144">
        <f t="shared" si="38"/>
        <v>126996333.33333336</v>
      </c>
      <c r="J79" s="144">
        <f t="shared" si="38"/>
        <v>95247333.333333343</v>
      </c>
      <c r="K79" s="144">
        <f t="shared" si="38"/>
        <v>95247333.333333343</v>
      </c>
      <c r="L79" s="144">
        <f t="shared" si="38"/>
        <v>63498166.666666679</v>
      </c>
      <c r="M79" s="144">
        <f t="shared" si="38"/>
        <v>31749166.666666672</v>
      </c>
      <c r="N79" s="144">
        <f t="shared" si="38"/>
        <v>49211000</v>
      </c>
      <c r="O79" s="144">
        <f t="shared" si="38"/>
        <v>0</v>
      </c>
      <c r="P79" s="144">
        <f t="shared" si="38"/>
        <v>0</v>
      </c>
      <c r="Q79" s="137"/>
    </row>
    <row r="80" spans="1:17" s="149" customFormat="1">
      <c r="A80" s="145"/>
      <c r="B80" s="141"/>
      <c r="C80" s="141"/>
      <c r="D80" s="141"/>
      <c r="E80" s="141"/>
      <c r="F80" s="146"/>
      <c r="G80" s="146"/>
      <c r="H80" s="146"/>
      <c r="I80" s="146"/>
      <c r="J80" s="146"/>
      <c r="K80" s="146"/>
      <c r="L80" s="146"/>
      <c r="M80" s="147"/>
      <c r="N80" s="147"/>
      <c r="O80" s="148"/>
      <c r="P80" s="147"/>
      <c r="Q80" s="134"/>
    </row>
    <row r="81" spans="1:17" s="6" customFormat="1">
      <c r="A81" s="200" t="s">
        <v>79</v>
      </c>
      <c r="B81" s="201">
        <f>SUM(C81:P81)</f>
        <v>1811189451.3157699</v>
      </c>
      <c r="C81" s="201">
        <f t="shared" ref="C81:P81" si="39">C65-C78</f>
        <v>-85358517.979999989</v>
      </c>
      <c r="D81" s="201">
        <f t="shared" si="39"/>
        <v>-21038720.099399999</v>
      </c>
      <c r="E81" s="201">
        <f t="shared" si="39"/>
        <v>-167084272.09940001</v>
      </c>
      <c r="F81" s="201">
        <f t="shared" si="39"/>
        <v>-402027272.09939998</v>
      </c>
      <c r="G81" s="201">
        <f t="shared" si="39"/>
        <v>503528028.56218773</v>
      </c>
      <c r="H81" s="201">
        <f t="shared" si="39"/>
        <v>231091087.19736123</v>
      </c>
      <c r="I81" s="201">
        <f t="shared" si="39"/>
        <v>8418371.2772752047</v>
      </c>
      <c r="J81" s="201">
        <f t="shared" si="39"/>
        <v>164237517.42047715</v>
      </c>
      <c r="K81" s="201">
        <f t="shared" si="39"/>
        <v>126950141.31037545</v>
      </c>
      <c r="L81" s="201">
        <f t="shared" si="39"/>
        <v>181365697.31340915</v>
      </c>
      <c r="M81" s="201">
        <f t="shared" si="39"/>
        <v>307708808.62311828</v>
      </c>
      <c r="N81" s="201">
        <f t="shared" si="39"/>
        <v>267955777.19035402</v>
      </c>
      <c r="O81" s="202">
        <f t="shared" si="39"/>
        <v>241026979.75911093</v>
      </c>
      <c r="P81" s="201">
        <f t="shared" si="39"/>
        <v>454415824.9403007</v>
      </c>
      <c r="Q81" s="150"/>
    </row>
    <row r="82" spans="1:17" s="6" customFormat="1" hidden="1">
      <c r="A82" s="200" t="s">
        <v>80</v>
      </c>
      <c r="B82" s="201">
        <f>SUM(C82:O82)</f>
        <v>1445959325.4985693</v>
      </c>
      <c r="C82" s="201">
        <f t="shared" ref="C82:P82" si="40">C65-C78+C77</f>
        <v>-19049447.999999993</v>
      </c>
      <c r="D82" s="201">
        <f t="shared" si="40"/>
        <v>-19049448</v>
      </c>
      <c r="E82" s="201">
        <f t="shared" si="40"/>
        <v>-165095000</v>
      </c>
      <c r="F82" s="201">
        <f t="shared" si="40"/>
        <v>-400038000</v>
      </c>
      <c r="G82" s="201">
        <f t="shared" si="40"/>
        <v>505517300.66158772</v>
      </c>
      <c r="H82" s="201">
        <f t="shared" si="40"/>
        <v>233080359.29676124</v>
      </c>
      <c r="I82" s="201">
        <f t="shared" si="40"/>
        <v>10407643.376675203</v>
      </c>
      <c r="J82" s="201">
        <f t="shared" si="40"/>
        <v>166226789.51987717</v>
      </c>
      <c r="K82" s="201">
        <f t="shared" si="40"/>
        <v>128939413.40977545</v>
      </c>
      <c r="L82" s="201">
        <f t="shared" si="40"/>
        <v>183354969.41280916</v>
      </c>
      <c r="M82" s="201">
        <f t="shared" si="40"/>
        <v>309698080.72251827</v>
      </c>
      <c r="N82" s="201">
        <f t="shared" si="40"/>
        <v>269945049.28975403</v>
      </c>
      <c r="O82" s="202">
        <f t="shared" si="40"/>
        <v>242021615.80881092</v>
      </c>
      <c r="P82" s="201">
        <f t="shared" si="40"/>
        <v>455410460.99000072</v>
      </c>
      <c r="Q82" s="150"/>
    </row>
    <row r="83" spans="1:17" s="6" customFormat="1">
      <c r="A83" s="200" t="s">
        <v>81</v>
      </c>
      <c r="B83" s="203">
        <v>0.2</v>
      </c>
      <c r="C83" s="201">
        <v>0</v>
      </c>
      <c r="D83" s="201">
        <v>0</v>
      </c>
      <c r="E83" s="201">
        <v>0</v>
      </c>
      <c r="F83" s="201">
        <v>0</v>
      </c>
      <c r="G83" s="201">
        <v>0</v>
      </c>
      <c r="H83" s="201">
        <v>0</v>
      </c>
      <c r="I83" s="201">
        <v>0</v>
      </c>
      <c r="J83" s="201">
        <v>0</v>
      </c>
      <c r="K83" s="201">
        <v>0</v>
      </c>
      <c r="L83" s="201">
        <v>0</v>
      </c>
      <c r="M83" s="201">
        <v>0</v>
      </c>
      <c r="N83" s="201">
        <v>0</v>
      </c>
      <c r="O83" s="202">
        <v>0</v>
      </c>
      <c r="P83" s="201">
        <v>0</v>
      </c>
      <c r="Q83" s="150">
        <f>B82/(1+B83)*B83</f>
        <v>240993220.91642824</v>
      </c>
    </row>
    <row r="84" spans="1:17" s="6" customFormat="1">
      <c r="A84" s="200" t="s">
        <v>82</v>
      </c>
      <c r="B84" s="201">
        <f>SUM(C84:Q84)</f>
        <v>1570196230.3993416</v>
      </c>
      <c r="C84" s="201">
        <f>C81-C83</f>
        <v>-85358517.979999989</v>
      </c>
      <c r="D84" s="201">
        <f t="shared" ref="D84:M84" si="41">D81-D83</f>
        <v>-21038720.099399999</v>
      </c>
      <c r="E84" s="201">
        <f t="shared" si="41"/>
        <v>-167084272.09940001</v>
      </c>
      <c r="F84" s="201">
        <f t="shared" si="41"/>
        <v>-402027272.09939998</v>
      </c>
      <c r="G84" s="201">
        <f t="shared" si="41"/>
        <v>503528028.56218773</v>
      </c>
      <c r="H84" s="201">
        <f>H81-H83</f>
        <v>231091087.19736123</v>
      </c>
      <c r="I84" s="201">
        <f>I81-I83</f>
        <v>8418371.2772752047</v>
      </c>
      <c r="J84" s="201">
        <f>J81-J83</f>
        <v>164237517.42047715</v>
      </c>
      <c r="K84" s="201">
        <f>K81-K83</f>
        <v>126950141.31037545</v>
      </c>
      <c r="L84" s="201">
        <f t="shared" si="41"/>
        <v>181365697.31340915</v>
      </c>
      <c r="M84" s="201">
        <f t="shared" si="41"/>
        <v>307708808.62311828</v>
      </c>
      <c r="N84" s="201">
        <f>N81-N83</f>
        <v>267955777.19035402</v>
      </c>
      <c r="O84" s="202">
        <f>O81-O83</f>
        <v>241026979.75911093</v>
      </c>
      <c r="P84" s="201">
        <f>P81-P83</f>
        <v>454415824.9403007</v>
      </c>
      <c r="Q84" s="234">
        <f>Q81-Q83</f>
        <v>-240993220.91642824</v>
      </c>
    </row>
    <row r="85" spans="1:17" s="151" customFormat="1">
      <c r="A85" s="204" t="s">
        <v>83</v>
      </c>
      <c r="B85" s="205">
        <v>0.2</v>
      </c>
      <c r="C85" s="205">
        <v>0</v>
      </c>
      <c r="D85" s="205">
        <v>0</v>
      </c>
      <c r="E85" s="205">
        <v>0</v>
      </c>
      <c r="F85" s="205">
        <v>0</v>
      </c>
      <c r="G85" s="205">
        <v>0</v>
      </c>
      <c r="H85" s="205">
        <v>0</v>
      </c>
      <c r="I85" s="205">
        <v>0</v>
      </c>
      <c r="J85" s="205">
        <v>0</v>
      </c>
      <c r="K85" s="205">
        <v>0</v>
      </c>
      <c r="L85" s="205">
        <v>0</v>
      </c>
      <c r="M85" s="205">
        <v>0</v>
      </c>
      <c r="N85" s="205">
        <v>0</v>
      </c>
      <c r="O85" s="206">
        <v>0</v>
      </c>
      <c r="P85" s="205">
        <v>0</v>
      </c>
      <c r="Q85" s="150">
        <f>B84*B85</f>
        <v>314039246.07986832</v>
      </c>
    </row>
    <row r="86" spans="1:17" s="6" customFormat="1">
      <c r="A86" s="200" t="s">
        <v>84</v>
      </c>
      <c r="B86" s="201">
        <f>SUM(C86:Q86)</f>
        <v>1256156984.3194733</v>
      </c>
      <c r="C86" s="201">
        <f>C84-C85</f>
        <v>-85358517.979999989</v>
      </c>
      <c r="D86" s="201">
        <f t="shared" ref="D86:N86" si="42">D84-D85</f>
        <v>-21038720.099399999</v>
      </c>
      <c r="E86" s="201">
        <f t="shared" si="42"/>
        <v>-167084272.09940001</v>
      </c>
      <c r="F86" s="201">
        <f t="shared" si="42"/>
        <v>-402027272.09939998</v>
      </c>
      <c r="G86" s="201">
        <f t="shared" si="42"/>
        <v>503528028.56218773</v>
      </c>
      <c r="H86" s="201">
        <f>H84-H85</f>
        <v>231091087.19736123</v>
      </c>
      <c r="I86" s="201">
        <f>I84-I85</f>
        <v>8418371.2772752047</v>
      </c>
      <c r="J86" s="201">
        <f>J84-J85</f>
        <v>164237517.42047715</v>
      </c>
      <c r="K86" s="201">
        <f>K84-K85</f>
        <v>126950141.31037545</v>
      </c>
      <c r="L86" s="201">
        <f t="shared" si="42"/>
        <v>181365697.31340915</v>
      </c>
      <c r="M86" s="201">
        <f t="shared" si="42"/>
        <v>307708808.62311828</v>
      </c>
      <c r="N86" s="201">
        <f t="shared" si="42"/>
        <v>267955777.19035402</v>
      </c>
      <c r="O86" s="202">
        <f>O84-O85</f>
        <v>241026979.75911093</v>
      </c>
      <c r="P86" s="201">
        <f t="shared" ref="P86" si="43">P84-P85</f>
        <v>454415824.9403007</v>
      </c>
      <c r="Q86" s="235">
        <f>Q84-Q85</f>
        <v>-555032466.99629653</v>
      </c>
    </row>
    <row r="87" spans="1:17" s="6" customFormat="1" hidden="1">
      <c r="A87" s="152" t="s">
        <v>85</v>
      </c>
      <c r="B87" s="153">
        <f>IRR(C87:O87)</f>
        <v>0.26643456158490708</v>
      </c>
      <c r="C87" s="154">
        <f t="shared" ref="C87:O87" si="44">C86</f>
        <v>-85358517.979999989</v>
      </c>
      <c r="D87" s="154">
        <f t="shared" si="44"/>
        <v>-21038720.099399999</v>
      </c>
      <c r="E87" s="154">
        <f t="shared" si="44"/>
        <v>-167084272.09940001</v>
      </c>
      <c r="F87" s="154">
        <f t="shared" si="44"/>
        <v>-402027272.09939998</v>
      </c>
      <c r="G87" s="154">
        <f t="shared" si="44"/>
        <v>503528028.56218773</v>
      </c>
      <c r="H87" s="154">
        <f>H86</f>
        <v>231091087.19736123</v>
      </c>
      <c r="I87" s="154">
        <f>I86</f>
        <v>8418371.2772752047</v>
      </c>
      <c r="J87" s="154">
        <f>J86</f>
        <v>164237517.42047715</v>
      </c>
      <c r="K87" s="154">
        <f>K86</f>
        <v>126950141.31037545</v>
      </c>
      <c r="L87" s="154">
        <f t="shared" si="44"/>
        <v>181365697.31340915</v>
      </c>
      <c r="M87" s="154">
        <f t="shared" si="44"/>
        <v>307708808.62311828</v>
      </c>
      <c r="N87" s="154">
        <f t="shared" si="44"/>
        <v>267955777.19035402</v>
      </c>
      <c r="O87" s="155">
        <f t="shared" si="44"/>
        <v>241026979.75911093</v>
      </c>
      <c r="P87" s="154">
        <f t="shared" ref="P87" si="45">P86</f>
        <v>454415824.9403007</v>
      </c>
      <c r="Q87" s="150"/>
    </row>
    <row r="88" spans="1:17">
      <c r="A88" s="40" t="s">
        <v>86</v>
      </c>
      <c r="B88" s="156">
        <v>19</v>
      </c>
      <c r="C88" s="157">
        <f>(POWER((1+$B$88/100),1/4)-1)*100</f>
        <v>4.4447802172789874</v>
      </c>
      <c r="D88" s="157">
        <f t="shared" ref="D88:M88" si="46">(POWER((1+$B$88/100),1/4)-1)*100</f>
        <v>4.4447802172789874</v>
      </c>
      <c r="E88" s="157">
        <f t="shared" si="46"/>
        <v>4.4447802172789874</v>
      </c>
      <c r="F88" s="157">
        <f t="shared" si="46"/>
        <v>4.4447802172789874</v>
      </c>
      <c r="G88" s="157">
        <f t="shared" si="46"/>
        <v>4.4447802172789874</v>
      </c>
      <c r="H88" s="157">
        <f t="shared" si="46"/>
        <v>4.4447802172789874</v>
      </c>
      <c r="I88" s="157">
        <f t="shared" si="46"/>
        <v>4.4447802172789874</v>
      </c>
      <c r="J88" s="157">
        <f t="shared" si="46"/>
        <v>4.4447802172789874</v>
      </c>
      <c r="K88" s="157">
        <f t="shared" si="46"/>
        <v>4.4447802172789874</v>
      </c>
      <c r="L88" s="157">
        <f t="shared" si="46"/>
        <v>4.4447802172789874</v>
      </c>
      <c r="M88" s="157">
        <f t="shared" si="46"/>
        <v>4.4447802172789874</v>
      </c>
      <c r="N88" s="157">
        <f>M88</f>
        <v>4.4447802172789874</v>
      </c>
      <c r="O88" s="158">
        <f>N88</f>
        <v>4.4447802172789874</v>
      </c>
      <c r="P88" s="157">
        <f>O88</f>
        <v>4.4447802172789874</v>
      </c>
      <c r="Q88" s="159">
        <f>O88</f>
        <v>4.4447802172789874</v>
      </c>
    </row>
    <row r="89" spans="1:17">
      <c r="A89" s="40" t="s">
        <v>87</v>
      </c>
      <c r="B89" s="160"/>
      <c r="C89" s="161">
        <f>1/(1+C88/100)^0.5</f>
        <v>0.9784905367330925</v>
      </c>
      <c r="D89" s="161">
        <f>C89/(1+D88/100)</f>
        <v>0.9368496297254062</v>
      </c>
      <c r="E89" s="161">
        <f>D89/(1+E88/100)</f>
        <v>0.89698080437955385</v>
      </c>
      <c r="F89" s="161">
        <f>E89/(1+F88/100)</f>
        <v>0.85880864751071628</v>
      </c>
      <c r="G89" s="161">
        <f t="shared" ref="G89:P89" si="47">F89/(1+G88/100)</f>
        <v>0.82226095523789322</v>
      </c>
      <c r="H89" s="161">
        <f t="shared" si="47"/>
        <v>0.7872685964079047</v>
      </c>
      <c r="I89" s="161">
        <f t="shared" si="47"/>
        <v>0.75376538183155817</v>
      </c>
      <c r="J89" s="161">
        <f t="shared" si="47"/>
        <v>0.7216879390846358</v>
      </c>
      <c r="K89" s="161">
        <f t="shared" si="47"/>
        <v>0.69097559263688524</v>
      </c>
      <c r="L89" s="161">
        <f t="shared" si="47"/>
        <v>0.66157024908227302</v>
      </c>
      <c r="M89" s="161">
        <f t="shared" si="47"/>
        <v>0.63341628725341037</v>
      </c>
      <c r="N89" s="161">
        <f t="shared" si="47"/>
        <v>0.60646045301229912</v>
      </c>
      <c r="O89" s="162">
        <f t="shared" si="47"/>
        <v>0.58065175851839113</v>
      </c>
      <c r="P89" s="161">
        <f t="shared" si="47"/>
        <v>0.55594138578342289</v>
      </c>
      <c r="Q89" s="163">
        <f>O89/(1+Q88/100)</f>
        <v>0.55594138578342289</v>
      </c>
    </row>
    <row r="90" spans="1:17" ht="26.25" customHeight="1" thickBot="1">
      <c r="A90" s="164" t="s">
        <v>100</v>
      </c>
      <c r="B90" s="165">
        <f>SUM(C90:Q90)</f>
        <v>771601140.15286112</v>
      </c>
      <c r="C90" s="166">
        <f>C86*C89</f>
        <v>-83522502.07299152</v>
      </c>
      <c r="D90" s="166">
        <f>D86*D89</f>
        <v>-19710117.135019351</v>
      </c>
      <c r="E90" s="166">
        <f>E86*E89</f>
        <v>-149871384.78689209</v>
      </c>
      <c r="F90" s="166">
        <f>F86*F89</f>
        <v>-345264497.81410843</v>
      </c>
      <c r="G90" s="166">
        <f>G86*G89</f>
        <v>414031437.75459766</v>
      </c>
      <c r="H90" s="166">
        <f t="shared" ref="H90:N90" si="48">H86*H89</f>
        <v>181930755.86024329</v>
      </c>
      <c r="I90" s="166">
        <f t="shared" si="48"/>
        <v>6345476.840215167</v>
      </c>
      <c r="J90" s="166">
        <f t="shared" si="48"/>
        <v>118528235.46756113</v>
      </c>
      <c r="K90" s="166">
        <f t="shared" si="48"/>
        <v>87719449.127273008</v>
      </c>
      <c r="L90" s="166">
        <f t="shared" si="48"/>
        <v>119986149.54661223</v>
      </c>
      <c r="M90" s="166">
        <f t="shared" si="48"/>
        <v>194907771.11322576</v>
      </c>
      <c r="N90" s="166">
        <f t="shared" si="48"/>
        <v>162504582.0221248</v>
      </c>
      <c r="O90" s="167">
        <f>O86*O89</f>
        <v>139952739.64750442</v>
      </c>
      <c r="P90" s="166">
        <f t="shared" ref="P90" si="49">P86*P89</f>
        <v>252628563.43922809</v>
      </c>
      <c r="Q90" s="168">
        <f>Q86*Q89</f>
        <v>-308565518.856713</v>
      </c>
    </row>
    <row r="91" spans="1:17" s="14" customFormat="1" ht="13.5" thickTop="1">
      <c r="A91" s="169"/>
      <c r="B91" s="551"/>
      <c r="C91" s="171"/>
      <c r="D91" s="172"/>
      <c r="E91" s="172"/>
      <c r="F91" s="172"/>
      <c r="G91" s="172"/>
      <c r="H91" s="172"/>
      <c r="I91" s="172"/>
      <c r="J91" s="172"/>
      <c r="K91" s="172"/>
      <c r="L91" s="172"/>
      <c r="M91" s="173"/>
    </row>
    <row r="92" spans="1:17" s="183" customFormat="1" ht="18.75">
      <c r="A92" s="169"/>
      <c r="B92" s="169"/>
      <c r="C92" s="169"/>
      <c r="D92" s="169"/>
      <c r="E92" s="169"/>
      <c r="F92" s="169"/>
      <c r="G92" s="169"/>
      <c r="H92" s="169"/>
      <c r="I92" s="169"/>
      <c r="J92" s="169"/>
      <c r="K92" s="169"/>
      <c r="L92" s="184"/>
    </row>
    <row r="93" spans="1:17" s="14" customFormat="1" ht="15.75">
      <c r="A93" s="529" t="s">
        <v>101</v>
      </c>
      <c r="B93" s="529"/>
      <c r="C93" s="529"/>
      <c r="D93" s="529"/>
      <c r="E93" s="529"/>
      <c r="F93" s="385"/>
      <c r="G93" s="387"/>
      <c r="H93" s="549"/>
      <c r="I93" s="549"/>
      <c r="J93" s="549"/>
      <c r="K93" s="549"/>
      <c r="L93" s="549"/>
      <c r="M93" s="549"/>
    </row>
    <row r="94" spans="1:17" ht="15.75">
      <c r="A94" s="530" t="s">
        <v>102</v>
      </c>
      <c r="B94" s="530"/>
      <c r="C94" s="530"/>
      <c r="D94" s="531">
        <f>B86</f>
        <v>1256156984.3194733</v>
      </c>
      <c r="E94" s="531"/>
      <c r="F94" s="386"/>
      <c r="G94" s="388"/>
      <c r="H94" s="549"/>
      <c r="I94" s="549"/>
      <c r="J94" s="549"/>
      <c r="K94" s="549"/>
      <c r="L94" s="549"/>
      <c r="M94" s="549"/>
    </row>
    <row r="95" spans="1:17" ht="15.75">
      <c r="A95" s="530" t="s">
        <v>103</v>
      </c>
      <c r="B95" s="530"/>
      <c r="C95" s="530"/>
      <c r="D95" s="531">
        <f>B90</f>
        <v>771601140.15286112</v>
      </c>
      <c r="E95" s="531"/>
      <c r="F95" s="386"/>
      <c r="G95" s="388"/>
      <c r="H95" s="549"/>
      <c r="I95" s="549"/>
      <c r="J95" s="549"/>
      <c r="K95" s="549"/>
      <c r="L95" s="549"/>
      <c r="M95" s="549"/>
    </row>
    <row r="96" spans="1:17" ht="15.75">
      <c r="A96" s="530" t="s">
        <v>104</v>
      </c>
      <c r="B96" s="530"/>
      <c r="C96" s="530"/>
      <c r="D96" s="380">
        <f>F123+(-F127/(-F127+G127))</f>
        <v>5.7442119720053659</v>
      </c>
      <c r="E96" s="380">
        <f>D96/4</f>
        <v>1.4360529930013415</v>
      </c>
      <c r="F96" s="445"/>
      <c r="G96" s="446"/>
      <c r="H96" s="549"/>
      <c r="I96" s="549"/>
      <c r="J96" s="549"/>
      <c r="K96" s="549"/>
      <c r="L96" s="549"/>
      <c r="M96" s="549"/>
    </row>
    <row r="97" spans="1:16" ht="15.75">
      <c r="A97" s="530" t="s">
        <v>105</v>
      </c>
      <c r="B97" s="530"/>
      <c r="C97" s="530"/>
      <c r="D97" s="380">
        <f>G123+(-G130/(-G130+H130))</f>
        <v>6.379216291346343</v>
      </c>
      <c r="E97" s="380">
        <f>D97/4</f>
        <v>1.5948040728365858</v>
      </c>
      <c r="F97" s="445"/>
      <c r="G97" s="446"/>
      <c r="H97" s="549"/>
      <c r="I97" s="549"/>
      <c r="J97" s="549"/>
      <c r="K97" s="549"/>
      <c r="L97" s="549"/>
      <c r="M97" s="549"/>
    </row>
    <row r="98" spans="1:16" ht="15.75">
      <c r="A98" s="530" t="s">
        <v>106</v>
      </c>
      <c r="B98" s="530"/>
      <c r="C98" s="530"/>
      <c r="D98" s="381">
        <f>IRR(B126:O126)</f>
        <v>0.28180800467489253</v>
      </c>
      <c r="E98" s="381">
        <f>(1+D98)^4-1</f>
        <v>1.6995533671573475</v>
      </c>
      <c r="F98" s="386"/>
      <c r="G98" s="388"/>
      <c r="H98" s="549"/>
      <c r="I98" s="549"/>
      <c r="J98" s="549"/>
      <c r="K98" s="549"/>
      <c r="L98" s="549"/>
      <c r="M98" s="549"/>
    </row>
    <row r="99" spans="1:16" ht="15.75">
      <c r="A99" s="530" t="s">
        <v>107</v>
      </c>
      <c r="B99" s="530"/>
      <c r="C99" s="530"/>
      <c r="D99" s="537">
        <f>SUM(B131:O131)/SUM(B132:O132)</f>
        <v>1.3452823534053628</v>
      </c>
      <c r="E99" s="537"/>
      <c r="F99" s="386"/>
      <c r="G99" s="388"/>
    </row>
    <row r="100" spans="1:16" ht="15.75">
      <c r="A100" s="532" t="s">
        <v>108</v>
      </c>
      <c r="B100" s="533"/>
      <c r="C100" s="533"/>
      <c r="D100" s="534"/>
      <c r="E100" s="339"/>
    </row>
    <row r="101" spans="1:16" ht="15.75">
      <c r="A101" s="535" t="s">
        <v>191</v>
      </c>
      <c r="B101" s="536"/>
      <c r="C101" s="536"/>
      <c r="D101" s="536"/>
      <c r="E101" s="339"/>
    </row>
    <row r="102" spans="1:16" ht="15.75">
      <c r="A102" s="536"/>
      <c r="B102" s="536"/>
      <c r="C102" s="536"/>
      <c r="D102" s="536"/>
      <c r="E102" s="339"/>
    </row>
    <row r="103" spans="1:16" ht="15.75">
      <c r="A103" s="536"/>
      <c r="B103" s="536"/>
      <c r="C103" s="536"/>
      <c r="D103" s="536"/>
      <c r="E103" s="339"/>
    </row>
    <row r="104" spans="1:16" ht="15.75">
      <c r="A104" s="536"/>
      <c r="B104" s="536"/>
      <c r="C104" s="536"/>
      <c r="D104" s="536"/>
      <c r="E104" s="339"/>
    </row>
    <row r="105" spans="1:16" ht="15.75">
      <c r="A105" s="536"/>
      <c r="B105" s="536"/>
      <c r="C105" s="536"/>
      <c r="D105" s="536"/>
      <c r="E105" s="339"/>
    </row>
    <row r="106" spans="1:16" ht="15.75">
      <c r="A106" s="536"/>
      <c r="B106" s="536"/>
      <c r="C106" s="536"/>
      <c r="D106" s="536"/>
      <c r="E106" s="339"/>
    </row>
    <row r="107" spans="1:16" ht="15.75">
      <c r="A107" s="536"/>
      <c r="B107" s="536"/>
      <c r="C107" s="536"/>
      <c r="D107" s="536"/>
      <c r="E107" s="339"/>
    </row>
    <row r="109" spans="1:16" hidden="1"/>
    <row r="112" spans="1:16">
      <c r="P112" s="14"/>
    </row>
    <row r="113" spans="1:17" s="14" customFormat="1" ht="12.75" hidden="1" customHeight="1">
      <c r="A113" s="524"/>
      <c r="B113" s="524"/>
      <c r="C113" s="524"/>
      <c r="D113" s="524"/>
      <c r="E113" s="524"/>
      <c r="F113" s="524"/>
      <c r="G113" s="524"/>
      <c r="H113" s="524"/>
      <c r="I113" s="524"/>
      <c r="J113" s="524"/>
      <c r="K113" s="524"/>
      <c r="L113" s="178"/>
      <c r="M113" s="178"/>
      <c r="N113" s="177"/>
    </row>
    <row r="114" spans="1:17" s="14" customFormat="1" ht="12.75" hidden="1" customHeight="1">
      <c r="A114" s="524"/>
      <c r="B114" s="524"/>
      <c r="C114" s="524"/>
      <c r="D114" s="524"/>
      <c r="E114" s="524"/>
      <c r="F114" s="524"/>
      <c r="G114" s="524"/>
      <c r="H114" s="524"/>
      <c r="I114" s="524"/>
      <c r="J114" s="524"/>
      <c r="K114" s="524"/>
      <c r="L114" s="179"/>
      <c r="M114" s="179"/>
      <c r="N114" s="177"/>
    </row>
    <row r="115" spans="1:17" s="14" customFormat="1" ht="12.75" hidden="1" customHeight="1">
      <c r="A115" s="524"/>
      <c r="B115" s="524"/>
      <c r="C115" s="524"/>
      <c r="D115" s="524"/>
      <c r="E115" s="524"/>
      <c r="F115" s="524"/>
      <c r="G115" s="524"/>
      <c r="H115" s="524"/>
      <c r="I115" s="524"/>
      <c r="J115" s="524"/>
      <c r="K115" s="524"/>
      <c r="L115" s="179"/>
      <c r="M115" s="179"/>
      <c r="N115" s="177"/>
    </row>
    <row r="116" spans="1:17" s="14" customFormat="1" ht="26.25" hidden="1" customHeight="1">
      <c r="A116" s="524"/>
      <c r="B116" s="524"/>
      <c r="C116" s="524"/>
      <c r="D116" s="524"/>
      <c r="E116" s="524"/>
      <c r="F116" s="524"/>
      <c r="G116" s="524"/>
      <c r="H116" s="524"/>
      <c r="I116" s="524"/>
      <c r="J116" s="524"/>
      <c r="K116" s="524"/>
      <c r="L116" s="179"/>
      <c r="M116" s="179"/>
      <c r="N116" s="177"/>
    </row>
    <row r="117" spans="1:17" s="14" customFormat="1" ht="26.25" hidden="1" customHeight="1">
      <c r="A117" s="524"/>
      <c r="B117" s="524"/>
      <c r="C117" s="524"/>
      <c r="D117" s="524"/>
      <c r="E117" s="524"/>
      <c r="F117" s="524"/>
      <c r="G117" s="524"/>
      <c r="H117" s="524"/>
      <c r="I117" s="524"/>
      <c r="J117" s="524"/>
      <c r="K117" s="524"/>
      <c r="L117" s="180"/>
      <c r="M117" s="180"/>
      <c r="N117" s="177"/>
    </row>
    <row r="118" spans="1:17" s="14" customFormat="1" ht="39.75" hidden="1" customHeight="1" outlineLevel="1">
      <c r="A118" s="524"/>
      <c r="B118" s="524"/>
      <c r="C118" s="524"/>
      <c r="D118" s="524"/>
      <c r="E118" s="524"/>
      <c r="F118" s="524"/>
      <c r="G118" s="524"/>
      <c r="H118" s="524"/>
      <c r="I118" s="524"/>
      <c r="J118" s="524"/>
      <c r="K118" s="524"/>
      <c r="L118" s="180"/>
      <c r="M118" s="180"/>
      <c r="N118" s="177"/>
    </row>
    <row r="119" spans="1:17" s="183" customFormat="1" ht="65.25" hidden="1" customHeight="1" outlineLevel="1">
      <c r="A119" s="524"/>
      <c r="B119" s="524"/>
      <c r="C119" s="524"/>
      <c r="D119" s="524"/>
      <c r="E119" s="524"/>
      <c r="F119" s="524"/>
      <c r="G119" s="524"/>
      <c r="H119" s="524"/>
      <c r="I119" s="524"/>
      <c r="J119" s="524"/>
      <c r="K119" s="524"/>
      <c r="L119" s="181"/>
      <c r="M119" s="182"/>
      <c r="N119" s="182"/>
    </row>
    <row r="120" spans="1:17" s="182" customFormat="1" ht="18.75" hidden="1" collapsed="1">
      <c r="A120" s="524"/>
      <c r="B120" s="524"/>
      <c r="C120" s="524"/>
      <c r="D120" s="524"/>
      <c r="E120" s="524"/>
      <c r="F120" s="524"/>
      <c r="G120" s="524"/>
      <c r="H120" s="524"/>
      <c r="I120" s="524"/>
      <c r="J120" s="524"/>
      <c r="K120" s="524"/>
      <c r="L120" s="181"/>
    </row>
    <row r="121" spans="1:17">
      <c r="P121" s="14"/>
    </row>
    <row r="122" spans="1:17">
      <c r="A122" s="447" t="s">
        <v>194</v>
      </c>
      <c r="B122" s="550">
        <v>1</v>
      </c>
      <c r="C122" s="550"/>
      <c r="D122" s="550"/>
      <c r="E122" s="550"/>
      <c r="F122" s="550">
        <v>2</v>
      </c>
      <c r="G122" s="550"/>
      <c r="H122" s="550"/>
      <c r="I122" s="550"/>
      <c r="J122" s="550">
        <v>3</v>
      </c>
      <c r="K122" s="550"/>
      <c r="L122" s="550"/>
      <c r="M122" s="550"/>
      <c r="N122" s="550">
        <v>4</v>
      </c>
      <c r="O122" s="550"/>
      <c r="P122" s="550"/>
      <c r="Q122" s="550"/>
    </row>
    <row r="123" spans="1:17">
      <c r="A123" s="447" t="s">
        <v>193</v>
      </c>
      <c r="B123" s="188">
        <v>1</v>
      </c>
      <c r="C123" s="188">
        <v>2</v>
      </c>
      <c r="D123" s="188">
        <v>3</v>
      </c>
      <c r="E123" s="188">
        <v>4</v>
      </c>
      <c r="F123" s="188">
        <v>5</v>
      </c>
      <c r="G123" s="188">
        <v>6</v>
      </c>
      <c r="H123" s="188">
        <v>7</v>
      </c>
      <c r="I123" s="188">
        <v>8</v>
      </c>
      <c r="J123" s="188">
        <v>9</v>
      </c>
      <c r="K123" s="188">
        <v>10</v>
      </c>
      <c r="L123" s="188">
        <v>11</v>
      </c>
      <c r="M123" s="188">
        <v>12</v>
      </c>
      <c r="N123" s="188">
        <v>13</v>
      </c>
      <c r="O123" s="188">
        <v>14</v>
      </c>
      <c r="P123" s="14" t="s">
        <v>187</v>
      </c>
    </row>
    <row r="124" spans="1:17">
      <c r="A124" s="447" t="s">
        <v>180</v>
      </c>
      <c r="B124" s="449">
        <f>C78</f>
        <v>85358517.979999989</v>
      </c>
      <c r="C124" s="449">
        <f t="shared" ref="C124:O124" si="50">D78</f>
        <v>21038720.099399999</v>
      </c>
      <c r="D124" s="449">
        <f t="shared" si="50"/>
        <v>167084272.09940001</v>
      </c>
      <c r="E124" s="449">
        <f t="shared" si="50"/>
        <v>402027272.09939998</v>
      </c>
      <c r="F124" s="449">
        <f t="shared" si="50"/>
        <v>382978272.09939998</v>
      </c>
      <c r="G124" s="449">
        <f t="shared" si="50"/>
        <v>573473272.09940004</v>
      </c>
      <c r="H124" s="449">
        <f t="shared" si="50"/>
        <v>763967272.09940004</v>
      </c>
      <c r="I124" s="449">
        <f t="shared" si="50"/>
        <v>573473272.09940004</v>
      </c>
      <c r="J124" s="449">
        <f t="shared" si="50"/>
        <v>573473272.09940004</v>
      </c>
      <c r="K124" s="449">
        <f t="shared" si="50"/>
        <v>382978272.09939998</v>
      </c>
      <c r="L124" s="449">
        <f t="shared" si="50"/>
        <v>192484272.09940001</v>
      </c>
      <c r="M124" s="449">
        <f t="shared" si="50"/>
        <v>1989272.0993999997</v>
      </c>
      <c r="N124" s="449">
        <f t="shared" si="50"/>
        <v>994636.04969999986</v>
      </c>
      <c r="O124" s="449">
        <f t="shared" si="50"/>
        <v>994636.04969999986</v>
      </c>
      <c r="P124" s="14"/>
    </row>
    <row r="125" spans="1:17">
      <c r="A125" s="447" t="s">
        <v>186</v>
      </c>
      <c r="B125" s="455">
        <f>C65</f>
        <v>0</v>
      </c>
      <c r="C125" s="455">
        <f t="shared" ref="C125:O125" si="51">D65</f>
        <v>0</v>
      </c>
      <c r="D125" s="455">
        <f t="shared" si="51"/>
        <v>0</v>
      </c>
      <c r="E125" s="455">
        <f t="shared" si="51"/>
        <v>0</v>
      </c>
      <c r="F125" s="456">
        <f t="shared" si="51"/>
        <v>886506300.66158772</v>
      </c>
      <c r="G125" s="456">
        <f t="shared" si="51"/>
        <v>804564359.29676127</v>
      </c>
      <c r="H125" s="456">
        <f t="shared" si="51"/>
        <v>772385643.37667525</v>
      </c>
      <c r="I125" s="456">
        <f t="shared" si="51"/>
        <v>737710789.5198772</v>
      </c>
      <c r="J125" s="456">
        <f t="shared" si="51"/>
        <v>700423413.4097755</v>
      </c>
      <c r="K125" s="456">
        <f t="shared" si="51"/>
        <v>564343969.41280913</v>
      </c>
      <c r="L125" s="456">
        <f t="shared" si="51"/>
        <v>500193080.72251832</v>
      </c>
      <c r="M125" s="456">
        <f t="shared" si="51"/>
        <v>269945049.28975403</v>
      </c>
      <c r="N125" s="456">
        <f t="shared" si="51"/>
        <v>242021615.80881092</v>
      </c>
      <c r="O125" s="456">
        <f t="shared" si="51"/>
        <v>455410460.99000072</v>
      </c>
      <c r="P125" s="14"/>
    </row>
    <row r="126" spans="1:17" ht="15">
      <c r="A126" s="447" t="s">
        <v>192</v>
      </c>
      <c r="B126" s="453">
        <f>B125-B124</f>
        <v>-85358517.979999989</v>
      </c>
      <c r="C126" s="453">
        <f t="shared" ref="C126:O126" si="52">C125-C124</f>
        <v>-21038720.099399999</v>
      </c>
      <c r="D126" s="453">
        <f t="shared" si="52"/>
        <v>-167084272.09940001</v>
      </c>
      <c r="E126" s="453">
        <f t="shared" si="52"/>
        <v>-402027272.09939998</v>
      </c>
      <c r="F126" s="453">
        <f t="shared" si="52"/>
        <v>503528028.56218773</v>
      </c>
      <c r="G126" s="453">
        <f t="shared" si="52"/>
        <v>231091087.19736123</v>
      </c>
      <c r="H126" s="453">
        <f t="shared" si="52"/>
        <v>8418371.2772752047</v>
      </c>
      <c r="I126" s="453">
        <f t="shared" si="52"/>
        <v>164237517.42047715</v>
      </c>
      <c r="J126" s="453">
        <f t="shared" si="52"/>
        <v>126950141.31037545</v>
      </c>
      <c r="K126" s="453">
        <f t="shared" si="52"/>
        <v>181365697.31340915</v>
      </c>
      <c r="L126" s="453">
        <f t="shared" si="52"/>
        <v>307708808.62311828</v>
      </c>
      <c r="M126" s="453">
        <f t="shared" si="52"/>
        <v>267955777.19035402</v>
      </c>
      <c r="N126" s="453">
        <f t="shared" si="52"/>
        <v>241026979.75911093</v>
      </c>
      <c r="O126" s="453">
        <f t="shared" si="52"/>
        <v>454415824.9403007</v>
      </c>
      <c r="P126" s="458">
        <f>SUM(B126:O126)</f>
        <v>1811189451.3157699</v>
      </c>
    </row>
    <row r="127" spans="1:17" ht="15">
      <c r="A127" s="448" t="s">
        <v>133</v>
      </c>
      <c r="B127" s="453">
        <f>B126</f>
        <v>-85358517.979999989</v>
      </c>
      <c r="C127" s="453">
        <f>B127+C126</f>
        <v>-106397238.07939999</v>
      </c>
      <c r="D127" s="453">
        <f t="shared" ref="D127:O127" si="53">C127+D126</f>
        <v>-273481510.17879999</v>
      </c>
      <c r="E127" s="453">
        <f t="shared" si="53"/>
        <v>-675508782.27819991</v>
      </c>
      <c r="F127" s="453">
        <f t="shared" si="53"/>
        <v>-171980753.71601218</v>
      </c>
      <c r="G127" s="453">
        <f t="shared" si="53"/>
        <v>59110333.481349051</v>
      </c>
      <c r="H127" s="453">
        <f t="shared" si="53"/>
        <v>67528704.758624256</v>
      </c>
      <c r="I127" s="453">
        <f t="shared" si="53"/>
        <v>231766222.17910141</v>
      </c>
      <c r="J127" s="453">
        <f t="shared" si="53"/>
        <v>358716363.48947686</v>
      </c>
      <c r="K127" s="453">
        <f t="shared" si="53"/>
        <v>540082060.80288601</v>
      </c>
      <c r="L127" s="453">
        <f t="shared" si="53"/>
        <v>847790869.42600429</v>
      </c>
      <c r="M127" s="453">
        <f t="shared" si="53"/>
        <v>1115746646.6163583</v>
      </c>
      <c r="N127" s="453">
        <f t="shared" si="53"/>
        <v>1356773626.3754692</v>
      </c>
      <c r="O127" s="453">
        <f t="shared" si="53"/>
        <v>1811189451.3157699</v>
      </c>
      <c r="P127" s="453" t="b">
        <f>O127=P126</f>
        <v>1</v>
      </c>
    </row>
    <row r="128" spans="1:17" ht="15">
      <c r="A128" s="457" t="s">
        <v>188</v>
      </c>
      <c r="B128" s="459">
        <f>C89</f>
        <v>0.9784905367330925</v>
      </c>
      <c r="C128" s="459">
        <f t="shared" ref="C128:O128" si="54">D89</f>
        <v>0.9368496297254062</v>
      </c>
      <c r="D128" s="459">
        <f t="shared" si="54"/>
        <v>0.89698080437955385</v>
      </c>
      <c r="E128" s="459">
        <f t="shared" si="54"/>
        <v>0.85880864751071628</v>
      </c>
      <c r="F128" s="459">
        <f t="shared" si="54"/>
        <v>0.82226095523789322</v>
      </c>
      <c r="G128" s="459">
        <f t="shared" si="54"/>
        <v>0.7872685964079047</v>
      </c>
      <c r="H128" s="459">
        <f t="shared" si="54"/>
        <v>0.75376538183155817</v>
      </c>
      <c r="I128" s="459">
        <f t="shared" si="54"/>
        <v>0.7216879390846358</v>
      </c>
      <c r="J128" s="459">
        <f t="shared" si="54"/>
        <v>0.69097559263688524</v>
      </c>
      <c r="K128" s="459">
        <f t="shared" si="54"/>
        <v>0.66157024908227302</v>
      </c>
      <c r="L128" s="459">
        <f t="shared" si="54"/>
        <v>0.63341628725341037</v>
      </c>
      <c r="M128" s="459">
        <f t="shared" si="54"/>
        <v>0.60646045301229912</v>
      </c>
      <c r="N128" s="459">
        <f t="shared" si="54"/>
        <v>0.58065175851839113</v>
      </c>
      <c r="O128" s="459">
        <f t="shared" si="54"/>
        <v>0.55594138578342289</v>
      </c>
      <c r="P128" s="14"/>
    </row>
    <row r="129" spans="1:29" ht="23.25" customHeight="1">
      <c r="A129" s="448" t="s">
        <v>127</v>
      </c>
      <c r="B129" s="452">
        <f>B126*B128</f>
        <v>-83522502.07299152</v>
      </c>
      <c r="C129" s="452">
        <f t="shared" ref="C129:O129" si="55">C126*C128</f>
        <v>-19710117.135019351</v>
      </c>
      <c r="D129" s="452">
        <f t="shared" si="55"/>
        <v>-149871384.78689209</v>
      </c>
      <c r="E129" s="452">
        <f t="shared" si="55"/>
        <v>-345264497.81410843</v>
      </c>
      <c r="F129" s="452">
        <f t="shared" si="55"/>
        <v>414031437.75459766</v>
      </c>
      <c r="G129" s="452">
        <f t="shared" si="55"/>
        <v>181930755.86024329</v>
      </c>
      <c r="H129" s="452">
        <f t="shared" si="55"/>
        <v>6345476.840215167</v>
      </c>
      <c r="I129" s="452">
        <f t="shared" si="55"/>
        <v>118528235.46756113</v>
      </c>
      <c r="J129" s="452">
        <f t="shared" si="55"/>
        <v>87719449.127273008</v>
      </c>
      <c r="K129" s="452">
        <f t="shared" si="55"/>
        <v>119986149.54661223</v>
      </c>
      <c r="L129" s="452">
        <f t="shared" si="55"/>
        <v>194907771.11322576</v>
      </c>
      <c r="M129" s="452">
        <f t="shared" si="55"/>
        <v>162504582.0221248</v>
      </c>
      <c r="N129" s="452">
        <f t="shared" si="55"/>
        <v>139952739.64750442</v>
      </c>
      <c r="O129" s="452">
        <f t="shared" si="55"/>
        <v>252628563.43922809</v>
      </c>
      <c r="P129" s="450"/>
    </row>
    <row r="130" spans="1:29" ht="23.25" customHeight="1">
      <c r="A130" s="448" t="s">
        <v>134</v>
      </c>
      <c r="B130" s="452">
        <f>B129</f>
        <v>-83522502.07299152</v>
      </c>
      <c r="C130" s="452">
        <f>B130+C129</f>
        <v>-103232619.20801087</v>
      </c>
      <c r="D130" s="452">
        <f t="shared" ref="D130:O130" si="56">C130+D129</f>
        <v>-253104003.99490297</v>
      </c>
      <c r="E130" s="452">
        <f t="shared" si="56"/>
        <v>-598368501.80901146</v>
      </c>
      <c r="F130" s="452">
        <f t="shared" si="56"/>
        <v>-184337064.0544138</v>
      </c>
      <c r="G130" s="452">
        <f t="shared" si="56"/>
        <v>-2406308.1941705048</v>
      </c>
      <c r="H130" s="452">
        <f t="shared" si="56"/>
        <v>3939168.6460446622</v>
      </c>
      <c r="I130" s="452">
        <f t="shared" si="56"/>
        <v>122467404.11360578</v>
      </c>
      <c r="J130" s="452">
        <f t="shared" si="56"/>
        <v>210186853.24087879</v>
      </c>
      <c r="K130" s="452">
        <f t="shared" si="56"/>
        <v>330173002.78749102</v>
      </c>
      <c r="L130" s="452">
        <f t="shared" si="56"/>
        <v>525080773.90071678</v>
      </c>
      <c r="M130" s="452">
        <f t="shared" si="56"/>
        <v>687585355.92284155</v>
      </c>
      <c r="N130" s="452">
        <f t="shared" si="56"/>
        <v>827538095.570346</v>
      </c>
      <c r="O130" s="452">
        <f t="shared" si="56"/>
        <v>1080166659.0095742</v>
      </c>
      <c r="P130" s="450"/>
      <c r="Q130" s="461"/>
    </row>
    <row r="131" spans="1:29" ht="15" customHeight="1">
      <c r="A131" s="448" t="s">
        <v>189</v>
      </c>
      <c r="B131" s="454">
        <f>B128*B125</f>
        <v>0</v>
      </c>
      <c r="C131" s="454">
        <f t="shared" ref="C131:O131" si="57">C128*C125</f>
        <v>0</v>
      </c>
      <c r="D131" s="454">
        <f t="shared" si="57"/>
        <v>0</v>
      </c>
      <c r="E131" s="454">
        <f t="shared" si="57"/>
        <v>0</v>
      </c>
      <c r="F131" s="454">
        <f t="shared" si="57"/>
        <v>728939517.60640812</v>
      </c>
      <c r="G131" s="454">
        <f t="shared" si="57"/>
        <v>633408253.86338639</v>
      </c>
      <c r="H131" s="454">
        <f t="shared" si="57"/>
        <v>582197559.40103328</v>
      </c>
      <c r="I131" s="454">
        <f t="shared" si="57"/>
        <v>532396979.32909971</v>
      </c>
      <c r="J131" s="454">
        <f t="shared" si="57"/>
        <v>483975483.17756969</v>
      </c>
      <c r="K131" s="454">
        <f t="shared" si="57"/>
        <v>373353180.41251081</v>
      </c>
      <c r="L131" s="454">
        <f t="shared" si="57"/>
        <v>316830444.10110295</v>
      </c>
      <c r="M131" s="454">
        <f t="shared" si="57"/>
        <v>163710996.88069165</v>
      </c>
      <c r="N131" s="454">
        <f t="shared" si="57"/>
        <v>140530276.81884852</v>
      </c>
      <c r="O131" s="454">
        <f t="shared" si="57"/>
        <v>253181522.78304845</v>
      </c>
      <c r="P131" s="548"/>
    </row>
    <row r="132" spans="1:29">
      <c r="A132" s="447" t="s">
        <v>190</v>
      </c>
      <c r="B132" s="460">
        <f>B128*B124</f>
        <v>83522502.07299152</v>
      </c>
      <c r="C132" s="460">
        <f t="shared" ref="C132:O132" si="58">C128*C124</f>
        <v>19710117.135019351</v>
      </c>
      <c r="D132" s="460">
        <f t="shared" si="58"/>
        <v>149871384.78689209</v>
      </c>
      <c r="E132" s="460">
        <f t="shared" si="58"/>
        <v>345264497.81410843</v>
      </c>
      <c r="F132" s="460">
        <f t="shared" si="58"/>
        <v>314908079.8518104</v>
      </c>
      <c r="G132" s="460">
        <f t="shared" si="58"/>
        <v>451477498.00314307</v>
      </c>
      <c r="H132" s="460">
        <f t="shared" si="58"/>
        <v>575852082.5608182</v>
      </c>
      <c r="I132" s="460">
        <f t="shared" si="58"/>
        <v>413868743.86153859</v>
      </c>
      <c r="J132" s="460">
        <f t="shared" si="58"/>
        <v>396256034.05029666</v>
      </c>
      <c r="K132" s="460">
        <f t="shared" si="58"/>
        <v>253367030.86589858</v>
      </c>
      <c r="L132" s="460">
        <f t="shared" si="58"/>
        <v>121922672.98787716</v>
      </c>
      <c r="M132" s="460">
        <f t="shared" si="58"/>
        <v>1206414.8585668511</v>
      </c>
      <c r="N132" s="460">
        <f t="shared" si="58"/>
        <v>577537.17134409084</v>
      </c>
      <c r="O132" s="460">
        <f t="shared" si="58"/>
        <v>552959.34382036736</v>
      </c>
      <c r="P132" s="14"/>
    </row>
    <row r="133" spans="1:29">
      <c r="O133" s="451"/>
    </row>
    <row r="136" spans="1:29">
      <c r="C136" s="189"/>
    </row>
    <row r="137" spans="1:29">
      <c r="B137" s="22"/>
      <c r="C137" s="15"/>
      <c r="D137" s="15"/>
      <c r="E137" s="15"/>
      <c r="F137" s="15"/>
      <c r="G137" s="15"/>
      <c r="H137" s="15"/>
      <c r="I137" s="15"/>
      <c r="J137" s="15"/>
      <c r="K137" s="15"/>
      <c r="L137" s="15"/>
    </row>
    <row r="138" spans="1:29"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</row>
    <row r="140" spans="1:29"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C140" s="190"/>
    </row>
    <row r="142" spans="1:29">
      <c r="D142" s="191"/>
      <c r="E142" s="191"/>
    </row>
  </sheetData>
  <mergeCells count="35">
    <mergeCell ref="B122:E122"/>
    <mergeCell ref="F122:I122"/>
    <mergeCell ref="J122:M122"/>
    <mergeCell ref="N122:Q122"/>
    <mergeCell ref="A99:C99"/>
    <mergeCell ref="D99:E99"/>
    <mergeCell ref="K16:M16"/>
    <mergeCell ref="A16:B17"/>
    <mergeCell ref="C16:F16"/>
    <mergeCell ref="G16:J16"/>
    <mergeCell ref="A98:C98"/>
    <mergeCell ref="A113:K120"/>
    <mergeCell ref="C20:F20"/>
    <mergeCell ref="G20:J20"/>
    <mergeCell ref="K20:M20"/>
    <mergeCell ref="T53:W55"/>
    <mergeCell ref="C67:E67"/>
    <mergeCell ref="F67:M67"/>
    <mergeCell ref="A93:E93"/>
    <mergeCell ref="A94:C94"/>
    <mergeCell ref="D94:E94"/>
    <mergeCell ref="A95:C95"/>
    <mergeCell ref="D95:E95"/>
    <mergeCell ref="A100:D100"/>
    <mergeCell ref="A101:D107"/>
    <mergeCell ref="A96:C96"/>
    <mergeCell ref="A97:C97"/>
    <mergeCell ref="A2:B2"/>
    <mergeCell ref="Q4:T6"/>
    <mergeCell ref="A11:A12"/>
    <mergeCell ref="A13:A14"/>
    <mergeCell ref="U4:X6"/>
    <mergeCell ref="A9:A10"/>
    <mergeCell ref="Q1:T3"/>
    <mergeCell ref="U1:X3"/>
  </mergeCells>
  <printOptions horizontalCentered="1" verticalCentered="1"/>
  <pageMargins left="0.39370078740157483" right="0.39370078740157483" top="0.31496062992125984" bottom="0.31496062992125984" header="0.19685039370078741" footer="0.19685039370078741"/>
  <pageSetup scale="52" fitToHeight="2" orientation="landscape" horizontalDpi="300" verticalDpi="300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indexed="10"/>
  </sheetPr>
  <dimension ref="A1:AC157"/>
  <sheetViews>
    <sheetView topLeftCell="A104" zoomScale="85" zoomScaleNormal="85" zoomScaleSheetLayoutView="75" workbookViewId="0">
      <selection activeCell="D83" sqref="D83:N83"/>
    </sheetView>
  </sheetViews>
  <sheetFormatPr defaultColWidth="9.140625" defaultRowHeight="12.75" outlineLevelRow="1"/>
  <cols>
    <col min="1" max="1" width="62.28515625" style="15" customWidth="1"/>
    <col min="2" max="2" width="17.140625" style="188" customWidth="1"/>
    <col min="3" max="3" width="15.42578125" style="22" bestFit="1" customWidth="1"/>
    <col min="4" max="4" width="15.85546875" style="22" customWidth="1"/>
    <col min="5" max="5" width="13.140625" style="22" bestFit="1" customWidth="1"/>
    <col min="6" max="6" width="15.140625" style="22" bestFit="1" customWidth="1"/>
    <col min="7" max="7" width="16.7109375" style="22" bestFit="1" customWidth="1"/>
    <col min="8" max="8" width="14.28515625" style="22" bestFit="1" customWidth="1"/>
    <col min="9" max="9" width="16.7109375" style="22" bestFit="1" customWidth="1"/>
    <col min="10" max="11" width="14.28515625" style="22" bestFit="1" customWidth="1"/>
    <col min="12" max="12" width="14.42578125" style="22" bestFit="1" customWidth="1"/>
    <col min="13" max="13" width="14.42578125" style="15" bestFit="1" customWidth="1"/>
    <col min="14" max="14" width="14.28515625" style="15" bestFit="1" customWidth="1"/>
    <col min="15" max="15" width="14.42578125" style="15" bestFit="1" customWidth="1"/>
    <col min="16" max="16" width="14.42578125" style="15" customWidth="1"/>
    <col min="17" max="17" width="17.140625" style="15" bestFit="1" customWidth="1"/>
    <col min="18" max="18" width="16.42578125" style="15" customWidth="1"/>
    <col min="19" max="19" width="18.85546875" style="15" customWidth="1"/>
    <col min="20" max="20" width="9.140625" style="15" customWidth="1"/>
    <col min="21" max="21" width="17.7109375" style="15" customWidth="1"/>
    <col min="22" max="28" width="9.140625" style="15" customWidth="1"/>
    <col min="29" max="29" width="14.42578125" style="15" customWidth="1"/>
    <col min="30" max="16384" width="9.140625" style="15"/>
  </cols>
  <sheetData>
    <row r="1" spans="1:24" s="6" customFormat="1">
      <c r="A1" s="1"/>
      <c r="B1" s="2"/>
      <c r="C1" s="3"/>
      <c r="D1" s="4"/>
      <c r="E1" s="4"/>
      <c r="F1" s="4"/>
      <c r="G1" s="4"/>
      <c r="H1" s="4"/>
      <c r="I1" s="4"/>
      <c r="J1" s="4"/>
      <c r="K1" s="4"/>
      <c r="L1" s="5"/>
      <c r="Q1" s="521" t="s">
        <v>0</v>
      </c>
      <c r="R1" s="522"/>
      <c r="S1" s="522"/>
      <c r="T1" s="523"/>
      <c r="U1" s="521"/>
      <c r="V1" s="522"/>
      <c r="W1" s="522"/>
      <c r="X1" s="523"/>
    </row>
    <row r="2" spans="1:24" s="10" customFormat="1" ht="15.75">
      <c r="A2" s="509" t="s">
        <v>1</v>
      </c>
      <c r="B2" s="510"/>
      <c r="C2" s="8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521"/>
      <c r="R2" s="522"/>
      <c r="S2" s="522"/>
      <c r="T2" s="523"/>
      <c r="U2" s="521"/>
      <c r="V2" s="522"/>
      <c r="W2" s="522"/>
      <c r="X2" s="523"/>
    </row>
    <row r="3" spans="1:24">
      <c r="A3" s="11" t="s">
        <v>2</v>
      </c>
      <c r="B3" s="12">
        <f>[30]Исход!B5</f>
        <v>63630</v>
      </c>
      <c r="C3" s="9"/>
      <c r="D3" s="9"/>
      <c r="E3" s="9"/>
      <c r="F3" s="9"/>
      <c r="G3" s="9"/>
      <c r="H3" s="9"/>
      <c r="I3" s="9"/>
      <c r="J3" s="9"/>
      <c r="K3" s="9"/>
      <c r="L3" s="13"/>
      <c r="M3" s="9"/>
      <c r="N3" s="9"/>
      <c r="O3" s="9"/>
      <c r="P3" s="9"/>
      <c r="Q3" s="521"/>
      <c r="R3" s="522"/>
      <c r="S3" s="522"/>
      <c r="T3" s="523"/>
      <c r="U3" s="521"/>
      <c r="V3" s="522"/>
      <c r="W3" s="522"/>
      <c r="X3" s="523"/>
    </row>
    <row r="4" spans="1:24" ht="20.25" customHeight="1">
      <c r="A4" s="11" t="s">
        <v>3</v>
      </c>
      <c r="B4" s="12">
        <f>[30]Исход!B7</f>
        <v>90879.2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511" t="s">
        <v>4</v>
      </c>
      <c r="R4" s="512"/>
      <c r="S4" s="512"/>
      <c r="T4" s="513"/>
      <c r="U4" s="511"/>
      <c r="V4" s="512"/>
      <c r="W4" s="512"/>
      <c r="X4" s="513"/>
    </row>
    <row r="5" spans="1:24">
      <c r="A5" s="11" t="s">
        <v>5</v>
      </c>
      <c r="B5" s="12">
        <f>[30]Исход!B8</f>
        <v>62858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511"/>
      <c r="R5" s="512"/>
      <c r="S5" s="512"/>
      <c r="T5" s="513"/>
      <c r="U5" s="511"/>
      <c r="V5" s="512"/>
      <c r="W5" s="512"/>
      <c r="X5" s="513"/>
    </row>
    <row r="6" spans="1:24">
      <c r="A6" s="16" t="s">
        <v>6</v>
      </c>
      <c r="B6" s="17">
        <f>[30]Исход!B11</f>
        <v>1127.3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514"/>
      <c r="R6" s="515"/>
      <c r="S6" s="515"/>
      <c r="T6" s="516"/>
      <c r="U6" s="514"/>
      <c r="V6" s="515"/>
      <c r="W6" s="515"/>
      <c r="X6" s="516"/>
    </row>
    <row r="7" spans="1:24">
      <c r="A7" s="18" t="s">
        <v>7</v>
      </c>
      <c r="B7" s="19">
        <v>45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</row>
    <row r="8" spans="1:24" hidden="1">
      <c r="A8" s="20"/>
      <c r="B8" s="1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</row>
    <row r="9" spans="1:24" hidden="1">
      <c r="A9" s="519" t="s">
        <v>8</v>
      </c>
      <c r="B9" s="21">
        <v>1</v>
      </c>
      <c r="C9" s="9"/>
      <c r="D9" s="9"/>
      <c r="E9" s="9"/>
      <c r="G9" s="9"/>
      <c r="H9" s="9"/>
      <c r="I9" s="9"/>
      <c r="J9" s="9"/>
      <c r="K9" s="9"/>
      <c r="L9" s="9"/>
      <c r="M9" s="9"/>
      <c r="N9" s="9"/>
      <c r="O9" s="9"/>
      <c r="P9" s="9"/>
    </row>
    <row r="10" spans="1:24" ht="19.5" hidden="1" customHeight="1" thickBot="1">
      <c r="A10" s="520"/>
      <c r="B10" s="23">
        <f>B6*B9</f>
        <v>1127.3</v>
      </c>
      <c r="C10" s="9"/>
      <c r="D10" s="9"/>
      <c r="E10" s="9"/>
      <c r="G10" s="9"/>
      <c r="H10" s="9"/>
      <c r="I10" s="9"/>
      <c r="J10" s="9"/>
      <c r="K10" s="9"/>
      <c r="L10" s="9"/>
      <c r="M10" s="9"/>
      <c r="N10" s="9"/>
      <c r="O10" s="9"/>
      <c r="P10" s="9"/>
    </row>
    <row r="11" spans="1:24" hidden="1">
      <c r="A11" s="517" t="s">
        <v>9</v>
      </c>
      <c r="B11" s="24">
        <v>1</v>
      </c>
      <c r="C11" s="25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</row>
    <row r="12" spans="1:24" ht="13.5" hidden="1" thickBot="1">
      <c r="A12" s="518"/>
      <c r="B12" s="23">
        <f>B5*B11</f>
        <v>62858</v>
      </c>
      <c r="C12" s="26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</row>
    <row r="13" spans="1:24" hidden="1">
      <c r="A13" s="519" t="s">
        <v>10</v>
      </c>
      <c r="B13" s="24">
        <v>0</v>
      </c>
      <c r="C13" s="26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</row>
    <row r="14" spans="1:24" ht="13.5" hidden="1" thickBot="1">
      <c r="A14" s="520"/>
      <c r="B14" s="23">
        <f>B5*B13</f>
        <v>0</v>
      </c>
      <c r="C14" s="27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</row>
    <row r="15" spans="1:24" ht="13.5" thickBot="1">
      <c r="A15" s="28"/>
      <c r="B15" s="29"/>
      <c r="C15" s="27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</row>
    <row r="16" spans="1:24" ht="13.5" customHeight="1">
      <c r="A16" s="544" t="s">
        <v>11</v>
      </c>
      <c r="B16" s="545"/>
      <c r="C16" s="547" t="s">
        <v>12</v>
      </c>
      <c r="D16" s="547"/>
      <c r="E16" s="547"/>
      <c r="F16" s="547"/>
      <c r="G16" s="547" t="s">
        <v>13</v>
      </c>
      <c r="H16" s="547"/>
      <c r="I16" s="547"/>
      <c r="J16" s="547"/>
      <c r="K16" s="547" t="s">
        <v>14</v>
      </c>
      <c r="L16" s="547"/>
      <c r="M16" s="547"/>
      <c r="N16" s="244"/>
      <c r="O16" s="245"/>
      <c r="P16" s="389"/>
    </row>
    <row r="17" spans="1:20" s="6" customFormat="1" ht="13.5" customHeight="1">
      <c r="A17" s="546"/>
      <c r="B17" s="542"/>
      <c r="C17" s="194">
        <v>1</v>
      </c>
      <c r="D17" s="194">
        <f t="shared" ref="D17:M17" si="0">C17+1</f>
        <v>2</v>
      </c>
      <c r="E17" s="194">
        <f t="shared" si="0"/>
        <v>3</v>
      </c>
      <c r="F17" s="194">
        <f t="shared" si="0"/>
        <v>4</v>
      </c>
      <c r="G17" s="194">
        <f t="shared" si="0"/>
        <v>5</v>
      </c>
      <c r="H17" s="194">
        <f t="shared" si="0"/>
        <v>6</v>
      </c>
      <c r="I17" s="194">
        <f t="shared" si="0"/>
        <v>7</v>
      </c>
      <c r="J17" s="194">
        <f t="shared" si="0"/>
        <v>8</v>
      </c>
      <c r="K17" s="194">
        <f t="shared" si="0"/>
        <v>9</v>
      </c>
      <c r="L17" s="194">
        <f t="shared" si="0"/>
        <v>10</v>
      </c>
      <c r="M17" s="194">
        <f t="shared" si="0"/>
        <v>11</v>
      </c>
      <c r="N17" s="195">
        <v>12</v>
      </c>
      <c r="O17" s="246">
        <v>13</v>
      </c>
      <c r="P17" s="390"/>
      <c r="R17" s="30"/>
    </row>
    <row r="18" spans="1:20" s="33" customFormat="1" ht="15.75">
      <c r="A18" s="247" t="s">
        <v>15</v>
      </c>
      <c r="B18" s="197"/>
      <c r="C18" s="198" t="str">
        <f>'[31]М. остатка'!D11</f>
        <v>1 квартал</v>
      </c>
      <c r="D18" s="198" t="str">
        <f>'[31]М. остатка'!E11</f>
        <v>2 квартал</v>
      </c>
      <c r="E18" s="198" t="str">
        <f>'[31]М. остатка'!F11</f>
        <v>3 квартал</v>
      </c>
      <c r="F18" s="198" t="str">
        <f>'[31]М. остатка'!G11</f>
        <v>4 квартал</v>
      </c>
      <c r="G18" s="198" t="str">
        <f>'[31]М. остатка'!H11</f>
        <v>5 квартал</v>
      </c>
      <c r="H18" s="198" t="str">
        <f>'[31]М. остатка'!I11</f>
        <v>6 квартал</v>
      </c>
      <c r="I18" s="198" t="str">
        <f>'[31]М. остатка'!J11</f>
        <v>7 квартал</v>
      </c>
      <c r="J18" s="198" t="str">
        <f>'[31]М. остатка'!K11</f>
        <v>8 квартал</v>
      </c>
      <c r="K18" s="198" t="str">
        <f>'[31]М. остатка'!L11</f>
        <v>9 квартал</v>
      </c>
      <c r="L18" s="198" t="str">
        <f>'[31]М. остатка'!M11</f>
        <v>10 квартал</v>
      </c>
      <c r="M18" s="198" t="str">
        <f>'[31]М. остатка'!N11</f>
        <v>11 квартал</v>
      </c>
      <c r="N18" s="198" t="s">
        <v>16</v>
      </c>
      <c r="O18" s="248" t="s">
        <v>17</v>
      </c>
      <c r="P18" s="248" t="s">
        <v>69</v>
      </c>
      <c r="Q18" s="31" t="s">
        <v>18</v>
      </c>
      <c r="R18" s="32" t="s">
        <v>19</v>
      </c>
      <c r="S18" s="15"/>
      <c r="T18" s="15"/>
    </row>
    <row r="19" spans="1:20">
      <c r="A19" s="249" t="s">
        <v>20</v>
      </c>
      <c r="B19" s="213">
        <v>82630</v>
      </c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6"/>
      <c r="O19" s="250"/>
      <c r="P19" s="250"/>
      <c r="Q19" s="38">
        <f>((1+Q20)^(1/4))-1</f>
        <v>1.6106667595102708E-2</v>
      </c>
      <c r="R19" s="39">
        <f>((1+R20)^(1/4))-1</f>
        <v>1.2272234429039353E-2</v>
      </c>
    </row>
    <row r="20" spans="1:20">
      <c r="A20" s="251" t="s">
        <v>21</v>
      </c>
      <c r="B20" s="41"/>
      <c r="C20" s="525">
        <f>Q20</f>
        <v>6.6000000000000003E-2</v>
      </c>
      <c r="D20" s="525"/>
      <c r="E20" s="525"/>
      <c r="F20" s="525"/>
      <c r="G20" s="525">
        <f>C20</f>
        <v>6.6000000000000003E-2</v>
      </c>
      <c r="H20" s="525"/>
      <c r="I20" s="525"/>
      <c r="J20" s="525"/>
      <c r="K20" s="525">
        <f>G20</f>
        <v>6.6000000000000003E-2</v>
      </c>
      <c r="L20" s="525"/>
      <c r="M20" s="525"/>
      <c r="N20" s="214">
        <f>(1+C20)^(1/4)-1</f>
        <v>1.6106667595102708E-2</v>
      </c>
      <c r="O20" s="252">
        <f>Q19</f>
        <v>1.6106667595102708E-2</v>
      </c>
      <c r="P20" s="252">
        <f>R19</f>
        <v>1.2272234429039353E-2</v>
      </c>
      <c r="Q20" s="42">
        <v>6.6000000000000003E-2</v>
      </c>
      <c r="R20" s="43">
        <v>0.05</v>
      </c>
    </row>
    <row r="21" spans="1:20">
      <c r="A21" s="251" t="s">
        <v>22</v>
      </c>
      <c r="B21" s="44"/>
      <c r="C21" s="45">
        <f>Q19</f>
        <v>1.6106667595102708E-2</v>
      </c>
      <c r="D21" s="45">
        <f>Q19</f>
        <v>1.6106667595102708E-2</v>
      </c>
      <c r="E21" s="45">
        <f t="shared" ref="E21:M21" si="1">D21</f>
        <v>1.6106667595102708E-2</v>
      </c>
      <c r="F21" s="45">
        <f t="shared" si="1"/>
        <v>1.6106667595102708E-2</v>
      </c>
      <c r="G21" s="45">
        <f t="shared" si="1"/>
        <v>1.6106667595102708E-2</v>
      </c>
      <c r="H21" s="45">
        <f t="shared" si="1"/>
        <v>1.6106667595102708E-2</v>
      </c>
      <c r="I21" s="45">
        <f t="shared" si="1"/>
        <v>1.6106667595102708E-2</v>
      </c>
      <c r="J21" s="45">
        <f t="shared" si="1"/>
        <v>1.6106667595102708E-2</v>
      </c>
      <c r="K21" s="45">
        <f t="shared" si="1"/>
        <v>1.6106667595102708E-2</v>
      </c>
      <c r="L21" s="45">
        <f t="shared" si="1"/>
        <v>1.6106667595102708E-2</v>
      </c>
      <c r="M21" s="45">
        <f t="shared" si="1"/>
        <v>1.6106667595102708E-2</v>
      </c>
      <c r="N21" s="46">
        <v>1.61E-2</v>
      </c>
      <c r="O21" s="253">
        <f>N21</f>
        <v>1.61E-2</v>
      </c>
      <c r="P21" s="253">
        <f>O21</f>
        <v>1.61E-2</v>
      </c>
    </row>
    <row r="22" spans="1:20">
      <c r="A22" s="251" t="s">
        <v>23</v>
      </c>
      <c r="B22" s="44"/>
      <c r="C22" s="48">
        <f>(1+C21)</f>
        <v>1.0161066675951027</v>
      </c>
      <c r="D22" s="48">
        <f>C22*(1+D21)</f>
        <v>1.0324727599312244</v>
      </c>
      <c r="E22" s="48">
        <f>D22*(1+E21)</f>
        <v>1.049102455476435</v>
      </c>
      <c r="F22" s="48">
        <f>E22*(1+F21)</f>
        <v>1.0660000000000001</v>
      </c>
      <c r="G22" s="48">
        <f>F22*(1+G21)</f>
        <v>1.0831697076563795</v>
      </c>
      <c r="H22" s="48">
        <f t="shared" ref="H22:M22" si="2">G22*(1+H21)</f>
        <v>1.1006159620866853</v>
      </c>
      <c r="I22" s="48">
        <f t="shared" si="2"/>
        <v>1.1183432175378798</v>
      </c>
      <c r="J22" s="48">
        <f t="shared" si="2"/>
        <v>1.1363560000000001</v>
      </c>
      <c r="K22" s="48">
        <f t="shared" si="2"/>
        <v>1.1546589083617007</v>
      </c>
      <c r="L22" s="48">
        <f t="shared" si="2"/>
        <v>1.1732566155844069</v>
      </c>
      <c r="M22" s="48">
        <f t="shared" si="2"/>
        <v>1.1921538698953802</v>
      </c>
      <c r="N22" s="49">
        <f>M22*(1+N21)</f>
        <v>1.2113475472006958</v>
      </c>
      <c r="O22" s="254">
        <f>N22*(1+O21)</f>
        <v>1.2308502427106269</v>
      </c>
      <c r="P22" s="254">
        <f>O22*(1+P21)</f>
        <v>1.2506669316182679</v>
      </c>
    </row>
    <row r="23" spans="1:20">
      <c r="A23" s="251" t="s">
        <v>24</v>
      </c>
      <c r="B23" s="51"/>
      <c r="C23" s="52">
        <f t="shared" ref="C23:N23" si="3">$B$19*C22</f>
        <v>83960.893943383344</v>
      </c>
      <c r="D23" s="52">
        <f t="shared" si="3"/>
        <v>85313.224153117073</v>
      </c>
      <c r="E23" s="52">
        <f t="shared" si="3"/>
        <v>86687.33589601783</v>
      </c>
      <c r="F23" s="52">
        <f t="shared" si="3"/>
        <v>88083.58</v>
      </c>
      <c r="G23" s="52">
        <f>$B$19*G22</f>
        <v>89502.312943646641</v>
      </c>
      <c r="H23" s="52">
        <f t="shared" si="3"/>
        <v>90943.896947222805</v>
      </c>
      <c r="I23" s="52">
        <f t="shared" si="3"/>
        <v>92408.700065155004</v>
      </c>
      <c r="J23" s="52">
        <f t="shared" si="3"/>
        <v>93897.096280000012</v>
      </c>
      <c r="K23" s="52">
        <f t="shared" si="3"/>
        <v>95409.465597927323</v>
      </c>
      <c r="L23" s="52">
        <f t="shared" si="3"/>
        <v>96946.194145739544</v>
      </c>
      <c r="M23" s="52">
        <f t="shared" si="3"/>
        <v>98507.674269455267</v>
      </c>
      <c r="N23" s="52">
        <f t="shared" si="3"/>
        <v>100093.64782519349</v>
      </c>
      <c r="O23" s="255">
        <f>$B$19*O22</f>
        <v>101705.15555517911</v>
      </c>
      <c r="P23" s="255">
        <f>$B$19*P22</f>
        <v>103342.60855961748</v>
      </c>
    </row>
    <row r="24" spans="1:20" ht="12" customHeight="1">
      <c r="A24" s="249" t="s">
        <v>25</v>
      </c>
      <c r="B24" s="54">
        <f>R19*100</f>
        <v>1.2272234429039353</v>
      </c>
      <c r="C24" s="55"/>
      <c r="D24" s="55"/>
      <c r="E24" s="55"/>
      <c r="F24" s="55"/>
      <c r="G24" s="56">
        <f>B24</f>
        <v>1.2272234429039353</v>
      </c>
      <c r="H24" s="56">
        <f t="shared" ref="H24:P24" si="4">G24</f>
        <v>1.2272234429039353</v>
      </c>
      <c r="I24" s="56">
        <f t="shared" si="4"/>
        <v>1.2272234429039353</v>
      </c>
      <c r="J24" s="56">
        <f t="shared" si="4"/>
        <v>1.2272234429039353</v>
      </c>
      <c r="K24" s="56">
        <f t="shared" si="4"/>
        <v>1.2272234429039353</v>
      </c>
      <c r="L24" s="56">
        <f t="shared" si="4"/>
        <v>1.2272234429039353</v>
      </c>
      <c r="M24" s="56">
        <f t="shared" si="4"/>
        <v>1.2272234429039353</v>
      </c>
      <c r="N24" s="56">
        <f t="shared" si="4"/>
        <v>1.2272234429039353</v>
      </c>
      <c r="O24" s="256">
        <f t="shared" si="4"/>
        <v>1.2272234429039353</v>
      </c>
      <c r="P24" s="256">
        <f t="shared" si="4"/>
        <v>1.2272234429039353</v>
      </c>
    </row>
    <row r="25" spans="1:20">
      <c r="A25" s="251" t="s">
        <v>26</v>
      </c>
      <c r="B25" s="51"/>
      <c r="C25" s="58"/>
      <c r="D25" s="58"/>
      <c r="E25" s="58"/>
      <c r="F25" s="58"/>
      <c r="G25" s="59">
        <f>H25/(1+G24/100)</f>
        <v>0.91816075685173582</v>
      </c>
      <c r="H25" s="59">
        <f t="shared" ref="H25:M25" si="5">I25/(1+H24/100)</f>
        <v>0.92942864090336452</v>
      </c>
      <c r="I25" s="59">
        <f t="shared" si="5"/>
        <v>0.94083480706959399</v>
      </c>
      <c r="J25" s="59">
        <f t="shared" si="5"/>
        <v>0.95238095238095211</v>
      </c>
      <c r="K25" s="59">
        <f t="shared" si="5"/>
        <v>0.96406879469432294</v>
      </c>
      <c r="L25" s="59">
        <f t="shared" si="5"/>
        <v>0.97590007294853309</v>
      </c>
      <c r="M25" s="59">
        <f t="shared" si="5"/>
        <v>0.98787654742307407</v>
      </c>
      <c r="N25" s="59">
        <v>1</v>
      </c>
      <c r="O25" s="257">
        <v>1</v>
      </c>
      <c r="P25" s="257">
        <v>2</v>
      </c>
    </row>
    <row r="26" spans="1:20">
      <c r="A26" s="251" t="s">
        <v>27</v>
      </c>
      <c r="B26" s="61"/>
      <c r="C26" s="61"/>
      <c r="D26" s="61"/>
      <c r="E26" s="62"/>
      <c r="F26" s="62"/>
      <c r="G26" s="62">
        <f>G23*G25</f>
        <v>82177.511392319517</v>
      </c>
      <c r="H26" s="62">
        <f t="shared" ref="H26:O26" si="6">H23*H25</f>
        <v>84525.862538112939</v>
      </c>
      <c r="I26" s="62">
        <f t="shared" si="6"/>
        <v>86941.321497352081</v>
      </c>
      <c r="J26" s="62">
        <f t="shared" si="6"/>
        <v>89425.805980952369</v>
      </c>
      <c r="K26" s="62">
        <f t="shared" si="6"/>
        <v>91981.28850142326</v>
      </c>
      <c r="L26" s="62">
        <f t="shared" si="6"/>
        <v>94609.797938909876</v>
      </c>
      <c r="M26" s="62">
        <f t="shared" si="6"/>
        <v>97313.421151986258</v>
      </c>
      <c r="N26" s="62">
        <f t="shared" si="6"/>
        <v>100093.64782519349</v>
      </c>
      <c r="O26" s="258">
        <f t="shared" si="6"/>
        <v>101705.15555517911</v>
      </c>
      <c r="P26" s="258">
        <f t="shared" ref="P26" si="7">P23*P25</f>
        <v>206685.21711923496</v>
      </c>
    </row>
    <row r="27" spans="1:20" ht="13.5" thickBot="1">
      <c r="A27" s="300" t="s">
        <v>28</v>
      </c>
      <c r="B27" s="301">
        <f>SUM(C27:P27)</f>
        <v>100</v>
      </c>
      <c r="C27" s="302">
        <f>'[31]М. остатка'!D31</f>
        <v>0</v>
      </c>
      <c r="D27" s="302">
        <f>'[31]М. остатка'!E31</f>
        <v>0</v>
      </c>
      <c r="E27" s="302">
        <f>'[31]М. остатка'!F31</f>
        <v>0</v>
      </c>
      <c r="F27" s="302">
        <f>'[31]М. остатка'!G31</f>
        <v>0</v>
      </c>
      <c r="G27" s="303">
        <v>17</v>
      </c>
      <c r="H27" s="303">
        <v>15</v>
      </c>
      <c r="I27" s="303">
        <v>14</v>
      </c>
      <c r="J27" s="303">
        <v>13</v>
      </c>
      <c r="K27" s="303">
        <f>'[30]График реализации'!D22*100</f>
        <v>12</v>
      </c>
      <c r="L27" s="303">
        <f>'[30]График реализации'!D25*100</f>
        <v>9.4</v>
      </c>
      <c r="M27" s="303">
        <f>'[30]График реализации'!D28*100</f>
        <v>8.1</v>
      </c>
      <c r="N27" s="304">
        <v>4.25</v>
      </c>
      <c r="O27" s="305">
        <v>3.75</v>
      </c>
      <c r="P27" s="305">
        <v>3.5</v>
      </c>
      <c r="Q27" s="409">
        <f>SUM(G27:P27)</f>
        <v>100</v>
      </c>
    </row>
    <row r="28" spans="1:20">
      <c r="A28" s="259" t="s">
        <v>29</v>
      </c>
      <c r="B28" s="66">
        <f t="shared" ref="B28:B41" si="8">SUM(C28:M28)</f>
        <v>100</v>
      </c>
      <c r="C28" s="67"/>
      <c r="D28" s="67"/>
      <c r="E28" s="67"/>
      <c r="F28" s="67"/>
      <c r="G28" s="216">
        <v>100</v>
      </c>
      <c r="H28" s="68">
        <f t="shared" ref="H28:P28" si="9">(100-$G$28)/($M$17-$G$17)</f>
        <v>0</v>
      </c>
      <c r="I28" s="68">
        <f t="shared" si="9"/>
        <v>0</v>
      </c>
      <c r="J28" s="68">
        <f t="shared" si="9"/>
        <v>0</v>
      </c>
      <c r="K28" s="68">
        <f t="shared" si="9"/>
        <v>0</v>
      </c>
      <c r="L28" s="68">
        <f t="shared" si="9"/>
        <v>0</v>
      </c>
      <c r="M28" s="68">
        <f t="shared" si="9"/>
        <v>0</v>
      </c>
      <c r="N28" s="68">
        <f t="shared" si="9"/>
        <v>0</v>
      </c>
      <c r="O28" s="68">
        <f t="shared" si="9"/>
        <v>0</v>
      </c>
      <c r="P28" s="68">
        <f t="shared" si="9"/>
        <v>0</v>
      </c>
      <c r="Q28" s="70"/>
    </row>
    <row r="29" spans="1:20" ht="13.5" thickBot="1">
      <c r="A29" s="260" t="s">
        <v>30</v>
      </c>
      <c r="B29" s="72">
        <f t="shared" si="8"/>
        <v>878137381.88673151</v>
      </c>
      <c r="C29" s="73"/>
      <c r="D29" s="73"/>
      <c r="E29" s="73"/>
      <c r="F29" s="73"/>
      <c r="G29" s="74">
        <f>$B$5*(1-$O$48)*$G$26*$G$27%*G28%</f>
        <v>878137381.88673151</v>
      </c>
      <c r="H29" s="75">
        <f t="shared" ref="H29:M29" si="10">$B$5*(1-$M$48)*$G$26*$G$27%*H28%</f>
        <v>0</v>
      </c>
      <c r="I29" s="74">
        <f t="shared" si="10"/>
        <v>0</v>
      </c>
      <c r="J29" s="74">
        <f t="shared" si="10"/>
        <v>0</v>
      </c>
      <c r="K29" s="74">
        <f t="shared" si="10"/>
        <v>0</v>
      </c>
      <c r="L29" s="74">
        <f t="shared" si="10"/>
        <v>0</v>
      </c>
      <c r="M29" s="74">
        <f t="shared" si="10"/>
        <v>0</v>
      </c>
      <c r="N29" s="74">
        <f t="shared" ref="N29:P29" si="11">$B$5*(1-$M$48)*$G$26*$G$27%*N28%</f>
        <v>0</v>
      </c>
      <c r="O29" s="74">
        <f t="shared" si="11"/>
        <v>0</v>
      </c>
      <c r="P29" s="74">
        <f t="shared" si="11"/>
        <v>0</v>
      </c>
    </row>
    <row r="30" spans="1:20">
      <c r="A30" s="259" t="s">
        <v>31</v>
      </c>
      <c r="B30" s="66">
        <f t="shared" si="8"/>
        <v>100</v>
      </c>
      <c r="C30" s="67"/>
      <c r="D30" s="67"/>
      <c r="E30" s="67"/>
      <c r="F30" s="67"/>
      <c r="G30" s="67"/>
      <c r="H30" s="216">
        <v>100</v>
      </c>
      <c r="I30" s="68">
        <f>(100-$H$30)/($M$17-$H$17)</f>
        <v>0</v>
      </c>
      <c r="J30" s="68">
        <f>(100-$H$30)/($M$17-$H$17)</f>
        <v>0</v>
      </c>
      <c r="K30" s="68">
        <f t="shared" ref="K30:P30" si="12">(100-$H$30)/($M$17-$H$17)</f>
        <v>0</v>
      </c>
      <c r="L30" s="68">
        <f t="shared" si="12"/>
        <v>0</v>
      </c>
      <c r="M30" s="68">
        <f t="shared" si="12"/>
        <v>0</v>
      </c>
      <c r="N30" s="68">
        <f t="shared" si="12"/>
        <v>0</v>
      </c>
      <c r="O30" s="68">
        <f t="shared" si="12"/>
        <v>0</v>
      </c>
      <c r="P30" s="68">
        <f t="shared" si="12"/>
        <v>0</v>
      </c>
    </row>
    <row r="31" spans="1:20" ht="13.5" thickBot="1">
      <c r="A31" s="260" t="s">
        <v>32</v>
      </c>
      <c r="B31" s="72">
        <f t="shared" si="8"/>
        <v>796969000.11310542</v>
      </c>
      <c r="C31" s="73"/>
      <c r="D31" s="73"/>
      <c r="E31" s="73"/>
      <c r="F31" s="73"/>
      <c r="G31" s="73"/>
      <c r="H31" s="74">
        <f>$B$5*(1-$M$48)*$H$26*$H$27%*H30%</f>
        <v>796969000.11310542</v>
      </c>
      <c r="I31" s="74">
        <f>$B$5*(1-$M$48)*$H$26*$H$27%*I30%</f>
        <v>0</v>
      </c>
      <c r="J31" s="74">
        <f>$B$5*(1-$M$48)*$H$26*$H$27%*J30%</f>
        <v>0</v>
      </c>
      <c r="K31" s="74">
        <f t="shared" ref="K31:P31" si="13">$B$5*(1-$M$48)*$H$26*$H$27%*K30%</f>
        <v>0</v>
      </c>
      <c r="L31" s="74">
        <f t="shared" si="13"/>
        <v>0</v>
      </c>
      <c r="M31" s="74">
        <f t="shared" si="13"/>
        <v>0</v>
      </c>
      <c r="N31" s="74">
        <f t="shared" si="13"/>
        <v>0</v>
      </c>
      <c r="O31" s="74">
        <f t="shared" si="13"/>
        <v>0</v>
      </c>
      <c r="P31" s="74">
        <f t="shared" si="13"/>
        <v>0</v>
      </c>
    </row>
    <row r="32" spans="1:20">
      <c r="A32" s="259" t="s">
        <v>33</v>
      </c>
      <c r="B32" s="66">
        <f t="shared" si="8"/>
        <v>100</v>
      </c>
      <c r="C32" s="67"/>
      <c r="D32" s="67"/>
      <c r="E32" s="67"/>
      <c r="F32" s="77"/>
      <c r="G32" s="77"/>
      <c r="H32" s="77"/>
      <c r="I32" s="216">
        <v>100</v>
      </c>
      <c r="J32" s="68">
        <f>(100-$H$30)/($M$17-$H$17)</f>
        <v>0</v>
      </c>
      <c r="K32" s="68">
        <f t="shared" ref="K32:P44" si="14">(100-$H$30)/($M$17-$H$17)</f>
        <v>0</v>
      </c>
      <c r="L32" s="68">
        <f t="shared" si="14"/>
        <v>0</v>
      </c>
      <c r="M32" s="68">
        <f t="shared" si="14"/>
        <v>0</v>
      </c>
      <c r="N32" s="68">
        <f t="shared" si="14"/>
        <v>0</v>
      </c>
      <c r="O32" s="68">
        <f t="shared" si="14"/>
        <v>0</v>
      </c>
      <c r="P32" s="68">
        <f t="shared" si="14"/>
        <v>0</v>
      </c>
    </row>
    <row r="33" spans="1:16" ht="13.5" thickBot="1">
      <c r="A33" s="260" t="s">
        <v>34</v>
      </c>
      <c r="B33" s="72">
        <f t="shared" si="8"/>
        <v>765094062.13527811</v>
      </c>
      <c r="C33" s="73"/>
      <c r="D33" s="73"/>
      <c r="E33" s="73"/>
      <c r="F33" s="78"/>
      <c r="G33" s="78"/>
      <c r="H33" s="78"/>
      <c r="I33" s="74">
        <f>$B$5*(1-$M$48)*$I$26*$I$27%*I32%</f>
        <v>765094062.13527811</v>
      </c>
      <c r="J33" s="74">
        <f>$B$5*(1-$M$48)*$H$26*$H$27%*J32%</f>
        <v>0</v>
      </c>
      <c r="K33" s="74">
        <f>$B$5*(1-$M$48)*$H$26*$H$27%*K32%</f>
        <v>0</v>
      </c>
      <c r="L33" s="74">
        <f t="shared" ref="L33:P33" si="15">$B$5*(1-$M$48)*$H$26*$H$27%*L32%</f>
        <v>0</v>
      </c>
      <c r="M33" s="74">
        <f t="shared" si="15"/>
        <v>0</v>
      </c>
      <c r="N33" s="74">
        <f t="shared" si="15"/>
        <v>0</v>
      </c>
      <c r="O33" s="74">
        <f t="shared" si="15"/>
        <v>0</v>
      </c>
      <c r="P33" s="74">
        <f t="shared" si="15"/>
        <v>0</v>
      </c>
    </row>
    <row r="34" spans="1:16">
      <c r="A34" s="259" t="s">
        <v>35</v>
      </c>
      <c r="B34" s="66">
        <f t="shared" si="8"/>
        <v>100</v>
      </c>
      <c r="C34" s="67"/>
      <c r="D34" s="67"/>
      <c r="E34" s="67"/>
      <c r="F34" s="77"/>
      <c r="G34" s="77"/>
      <c r="H34" s="77"/>
      <c r="I34" s="77"/>
      <c r="J34" s="216">
        <v>100</v>
      </c>
      <c r="K34" s="68">
        <f t="shared" si="14"/>
        <v>0</v>
      </c>
      <c r="L34" s="68">
        <f t="shared" si="14"/>
        <v>0</v>
      </c>
      <c r="M34" s="68">
        <f t="shared" si="14"/>
        <v>0</v>
      </c>
      <c r="N34" s="68">
        <f t="shared" si="14"/>
        <v>0</v>
      </c>
      <c r="O34" s="68">
        <f t="shared" si="14"/>
        <v>0</v>
      </c>
      <c r="P34" s="68">
        <f t="shared" si="14"/>
        <v>0</v>
      </c>
    </row>
    <row r="35" spans="1:16" ht="13.5" thickBot="1">
      <c r="A35" s="260" t="s">
        <v>36</v>
      </c>
      <c r="B35" s="72">
        <f t="shared" si="8"/>
        <v>730746550.60559154</v>
      </c>
      <c r="C35" s="73"/>
      <c r="D35" s="73"/>
      <c r="E35" s="73"/>
      <c r="F35" s="73"/>
      <c r="G35" s="78"/>
      <c r="H35" s="78"/>
      <c r="I35" s="78"/>
      <c r="J35" s="74">
        <f>$B$5*(1-$M$48)*$J$26*$J$27%*J34%</f>
        <v>730746550.60559154</v>
      </c>
      <c r="K35" s="74">
        <f>$B$5*(1-$M$48)*$H$26*$H$27%*K34%</f>
        <v>0</v>
      </c>
      <c r="L35" s="74">
        <f>$B$5*(1-$M$48)*$H$26*$H$27%*L34%</f>
        <v>0</v>
      </c>
      <c r="M35" s="74">
        <f t="shared" ref="M35:P35" si="16">$B$5*(1-$M$48)*$H$26*$H$27%*M34%</f>
        <v>0</v>
      </c>
      <c r="N35" s="74">
        <f t="shared" si="16"/>
        <v>0</v>
      </c>
      <c r="O35" s="74">
        <f t="shared" si="16"/>
        <v>0</v>
      </c>
      <c r="P35" s="74">
        <f t="shared" si="16"/>
        <v>0</v>
      </c>
    </row>
    <row r="36" spans="1:16">
      <c r="A36" s="259" t="s">
        <v>37</v>
      </c>
      <c r="B36" s="66">
        <f>SUM(C36:M36)</f>
        <v>100</v>
      </c>
      <c r="C36" s="67"/>
      <c r="D36" s="67"/>
      <c r="E36" s="67"/>
      <c r="F36" s="77"/>
      <c r="G36" s="77"/>
      <c r="H36" s="77"/>
      <c r="I36" s="77"/>
      <c r="J36" s="77"/>
      <c r="K36" s="216">
        <v>100</v>
      </c>
      <c r="L36" s="68">
        <f t="shared" si="14"/>
        <v>0</v>
      </c>
      <c r="M36" s="68">
        <f t="shared" si="14"/>
        <v>0</v>
      </c>
      <c r="N36" s="68">
        <f t="shared" si="14"/>
        <v>0</v>
      </c>
      <c r="O36" s="68">
        <f t="shared" si="14"/>
        <v>0</v>
      </c>
      <c r="P36" s="68">
        <f t="shared" si="14"/>
        <v>0</v>
      </c>
    </row>
    <row r="37" spans="1:16" ht="13.5" thickBot="1">
      <c r="A37" s="260" t="s">
        <v>38</v>
      </c>
      <c r="B37" s="72">
        <f>SUM(C37:M37)</f>
        <v>693811179.91469562</v>
      </c>
      <c r="C37" s="73"/>
      <c r="D37" s="73"/>
      <c r="E37" s="73"/>
      <c r="F37" s="73"/>
      <c r="G37" s="78"/>
      <c r="H37" s="78"/>
      <c r="I37" s="78"/>
      <c r="J37" s="78"/>
      <c r="K37" s="74">
        <f>$B$5*(1-$M$48)*$K$26*$K$27%*K36%</f>
        <v>693811179.91469562</v>
      </c>
      <c r="L37" s="74">
        <f>$B$5*(1-$M$48)*$H$26*$H$27%*L36%</f>
        <v>0</v>
      </c>
      <c r="M37" s="74">
        <f>$B$5*(1-$M$48)*$H$26*$H$27%*M36%</f>
        <v>0</v>
      </c>
      <c r="N37" s="74">
        <f t="shared" ref="N37:P37" si="17">$B$5*(1-$M$48)*$H$26*$H$27%*N36%</f>
        <v>0</v>
      </c>
      <c r="O37" s="74">
        <f t="shared" si="17"/>
        <v>0</v>
      </c>
      <c r="P37" s="74">
        <f t="shared" si="17"/>
        <v>0</v>
      </c>
    </row>
    <row r="38" spans="1:16">
      <c r="A38" s="259" t="s">
        <v>39</v>
      </c>
      <c r="B38" s="66">
        <f>SUM(C38:M38)</f>
        <v>100</v>
      </c>
      <c r="C38" s="67"/>
      <c r="D38" s="67"/>
      <c r="E38" s="67"/>
      <c r="F38" s="77"/>
      <c r="G38" s="77"/>
      <c r="H38" s="77"/>
      <c r="I38" s="77"/>
      <c r="J38" s="77"/>
      <c r="K38" s="77"/>
      <c r="L38" s="216">
        <v>100</v>
      </c>
      <c r="M38" s="68">
        <f t="shared" si="14"/>
        <v>0</v>
      </c>
      <c r="N38" s="68">
        <f t="shared" si="14"/>
        <v>0</v>
      </c>
      <c r="O38" s="68">
        <f t="shared" si="14"/>
        <v>0</v>
      </c>
      <c r="P38" s="68">
        <f t="shared" si="14"/>
        <v>0</v>
      </c>
    </row>
    <row r="39" spans="1:16" ht="13.5" thickBot="1">
      <c r="A39" s="260" t="s">
        <v>40</v>
      </c>
      <c r="B39" s="72">
        <f>SUM(C39:M39)</f>
        <v>559016371.81133568</v>
      </c>
      <c r="C39" s="73"/>
      <c r="D39" s="73"/>
      <c r="E39" s="73"/>
      <c r="F39" s="73"/>
      <c r="G39" s="78"/>
      <c r="H39" s="78"/>
      <c r="I39" s="78"/>
      <c r="J39" s="78"/>
      <c r="K39" s="78"/>
      <c r="L39" s="74">
        <f>$B$5*(1-$M$48)*$L$26*$L$27%*L38%</f>
        <v>559016371.81133568</v>
      </c>
      <c r="M39" s="74">
        <f>$B$5*(1-$M$48)*$H$26*$H$27%*M38%</f>
        <v>0</v>
      </c>
      <c r="N39" s="74">
        <f>$B$5*(1-$M$48)*$H$26*$H$27%*N38%</f>
        <v>0</v>
      </c>
      <c r="O39" s="74">
        <f t="shared" ref="O39:P39" si="18">$B$5*(1-$M$48)*$H$26*$H$27%*O38%</f>
        <v>0</v>
      </c>
      <c r="P39" s="74">
        <f t="shared" si="18"/>
        <v>0</v>
      </c>
    </row>
    <row r="40" spans="1:16">
      <c r="A40" s="259" t="s">
        <v>41</v>
      </c>
      <c r="B40" s="66">
        <f t="shared" si="8"/>
        <v>100</v>
      </c>
      <c r="C40" s="67"/>
      <c r="D40" s="67"/>
      <c r="E40" s="67"/>
      <c r="F40" s="79"/>
      <c r="G40" s="79"/>
      <c r="H40" s="79"/>
      <c r="I40" s="79"/>
      <c r="J40" s="79"/>
      <c r="K40" s="79"/>
      <c r="L40" s="79"/>
      <c r="M40" s="216">
        <v>100</v>
      </c>
      <c r="N40" s="68">
        <f t="shared" si="14"/>
        <v>0</v>
      </c>
      <c r="O40" s="68">
        <f t="shared" si="14"/>
        <v>0</v>
      </c>
      <c r="P40" s="68">
        <f t="shared" si="14"/>
        <v>0</v>
      </c>
    </row>
    <row r="41" spans="1:16" ht="13.5" thickBot="1">
      <c r="A41" s="260" t="s">
        <v>42</v>
      </c>
      <c r="B41" s="72">
        <f t="shared" si="8"/>
        <v>495471089.16849571</v>
      </c>
      <c r="C41" s="73"/>
      <c r="D41" s="73"/>
      <c r="E41" s="73"/>
      <c r="F41" s="78"/>
      <c r="G41" s="78"/>
      <c r="H41" s="78"/>
      <c r="I41" s="78"/>
      <c r="J41" s="78"/>
      <c r="K41" s="78"/>
      <c r="L41" s="78"/>
      <c r="M41" s="74">
        <f>$B$5*(1-$M$48)*$M$26*$M$27%*M40%</f>
        <v>495471089.16849571</v>
      </c>
      <c r="N41" s="74">
        <f t="shared" ref="N41:O41" si="19">$B$5*(1-$M$48)*$H$26*$H$27%*N40%</f>
        <v>0</v>
      </c>
      <c r="O41" s="74">
        <f t="shared" si="19"/>
        <v>0</v>
      </c>
      <c r="P41" s="74">
        <f t="shared" ref="P41" si="20">$B$5*(1-$M$48)*$H$26*$H$27%*P40%</f>
        <v>0</v>
      </c>
    </row>
    <row r="42" spans="1:16">
      <c r="A42" s="259" t="s">
        <v>43</v>
      </c>
      <c r="B42" s="66">
        <v>100</v>
      </c>
      <c r="C42" s="67"/>
      <c r="D42" s="67"/>
      <c r="E42" s="67"/>
      <c r="F42" s="79"/>
      <c r="G42" s="79"/>
      <c r="H42" s="79"/>
      <c r="I42" s="79"/>
      <c r="J42" s="79"/>
      <c r="K42" s="79"/>
      <c r="L42" s="79"/>
      <c r="M42" s="80"/>
      <c r="N42" s="216">
        <v>100</v>
      </c>
      <c r="O42" s="68">
        <f t="shared" si="14"/>
        <v>0</v>
      </c>
      <c r="P42" s="68">
        <f t="shared" si="14"/>
        <v>0</v>
      </c>
    </row>
    <row r="43" spans="1:16" ht="13.5" thickBot="1">
      <c r="A43" s="260" t="s">
        <v>44</v>
      </c>
      <c r="B43" s="72">
        <f>N43</f>
        <v>267396676.88733056</v>
      </c>
      <c r="C43" s="73"/>
      <c r="D43" s="73"/>
      <c r="E43" s="73"/>
      <c r="F43" s="78"/>
      <c r="G43" s="78"/>
      <c r="H43" s="78"/>
      <c r="I43" s="78"/>
      <c r="J43" s="78"/>
      <c r="K43" s="78"/>
      <c r="L43" s="78"/>
      <c r="M43" s="74"/>
      <c r="N43" s="74">
        <f>$B$5*(1-$M$48)*$N$26*$N$27%*N42%</f>
        <v>267396676.88733056</v>
      </c>
      <c r="O43" s="74">
        <f t="shared" ref="O43:P43" si="21">$B$5*(1-$M$48)*$H$26*$H$27%*O42%</f>
        <v>0</v>
      </c>
      <c r="P43" s="74">
        <f t="shared" si="21"/>
        <v>0</v>
      </c>
    </row>
    <row r="44" spans="1:16">
      <c r="A44" s="259" t="s">
        <v>45</v>
      </c>
      <c r="B44" s="66">
        <v>100</v>
      </c>
      <c r="C44" s="67"/>
      <c r="D44" s="67"/>
      <c r="E44" s="67"/>
      <c r="F44" s="79"/>
      <c r="G44" s="79"/>
      <c r="H44" s="79"/>
      <c r="I44" s="79"/>
      <c r="J44" s="79"/>
      <c r="K44" s="79"/>
      <c r="L44" s="79"/>
      <c r="M44" s="80"/>
      <c r="N44" s="404"/>
      <c r="O44" s="408">
        <v>100</v>
      </c>
      <c r="P44" s="68">
        <f t="shared" si="14"/>
        <v>0</v>
      </c>
    </row>
    <row r="45" spans="1:16" ht="13.5" thickBot="1">
      <c r="A45" s="395" t="s">
        <v>46</v>
      </c>
      <c r="B45" s="391">
        <f>O45</f>
        <v>239736850.04577932</v>
      </c>
      <c r="C45" s="392"/>
      <c r="D45" s="392"/>
      <c r="E45" s="392"/>
      <c r="F45" s="393"/>
      <c r="G45" s="393"/>
      <c r="H45" s="393"/>
      <c r="I45" s="393"/>
      <c r="J45" s="393"/>
      <c r="K45" s="393"/>
      <c r="L45" s="393"/>
      <c r="M45" s="394"/>
      <c r="N45" s="405"/>
      <c r="O45" s="408">
        <f>$B$5*(1-$O$48)*$O$26*$O$27%*N42%</f>
        <v>239736850.04577932</v>
      </c>
      <c r="P45" s="74">
        <f t="shared" ref="P45" si="22">$B$5*(1-$M$48)*$H$26*$H$27%*P44%</f>
        <v>0</v>
      </c>
    </row>
    <row r="46" spans="1:16">
      <c r="A46" s="259" t="s">
        <v>162</v>
      </c>
      <c r="B46" s="400">
        <v>100</v>
      </c>
      <c r="C46" s="401"/>
      <c r="D46" s="401"/>
      <c r="E46" s="401"/>
      <c r="F46" s="402"/>
      <c r="G46" s="402"/>
      <c r="H46" s="402"/>
      <c r="I46" s="402"/>
      <c r="J46" s="402"/>
      <c r="K46" s="402"/>
      <c r="L46" s="402"/>
      <c r="M46" s="12"/>
      <c r="N46" s="406"/>
      <c r="O46" s="408"/>
      <c r="P46" s="403">
        <v>100</v>
      </c>
    </row>
    <row r="47" spans="1:16" ht="13.5" thickBot="1">
      <c r="A47" s="395" t="s">
        <v>163</v>
      </c>
      <c r="B47" s="396">
        <f>P47</f>
        <v>454713678.21883059</v>
      </c>
      <c r="C47" s="397"/>
      <c r="D47" s="397"/>
      <c r="E47" s="397"/>
      <c r="F47" s="398"/>
      <c r="G47" s="398"/>
      <c r="H47" s="398"/>
      <c r="I47" s="398"/>
      <c r="J47" s="398"/>
      <c r="K47" s="398"/>
      <c r="L47" s="398"/>
      <c r="M47" s="399"/>
      <c r="N47" s="399"/>
      <c r="O47" s="407"/>
      <c r="P47" s="261">
        <f>$B$5*(1-$M$48)*$P$26*$P$27%*P46%</f>
        <v>454713678.21883059</v>
      </c>
    </row>
    <row r="48" spans="1:16">
      <c r="A48" s="262" t="s">
        <v>47</v>
      </c>
      <c r="B48" s="83">
        <v>100</v>
      </c>
      <c r="C48" s="84"/>
      <c r="D48" s="84"/>
      <c r="E48" s="84"/>
      <c r="F48" s="85"/>
      <c r="G48" s="85"/>
      <c r="H48" s="85"/>
      <c r="I48" s="85"/>
      <c r="J48" s="85"/>
      <c r="K48" s="85"/>
      <c r="L48" s="85"/>
      <c r="M48" s="86"/>
      <c r="N48" s="87"/>
      <c r="O48" s="263"/>
      <c r="P48" s="263">
        <v>1</v>
      </c>
    </row>
    <row r="49" spans="1:23">
      <c r="A49" s="264" t="s">
        <v>48</v>
      </c>
      <c r="B49" s="90">
        <f>B29+B31+B33+B35+B37+B39+B41+B43+B47+B45</f>
        <v>5881092840.7871752</v>
      </c>
      <c r="C49" s="91"/>
      <c r="D49" s="91"/>
      <c r="E49" s="91"/>
      <c r="F49" s="92"/>
      <c r="G49" s="92"/>
      <c r="H49" s="92"/>
      <c r="I49" s="92"/>
      <c r="J49" s="92"/>
      <c r="K49" s="92"/>
      <c r="L49" s="92"/>
      <c r="M49" s="93"/>
      <c r="N49" s="52"/>
      <c r="O49" s="265"/>
      <c r="P49" s="265">
        <f>B5*P26*P48</f>
        <v>12991819377.680872</v>
      </c>
    </row>
    <row r="50" spans="1:23">
      <c r="A50" s="306" t="s">
        <v>94</v>
      </c>
      <c r="B50" s="307">
        <f>SUM(C50:P57)</f>
        <v>5881145084.9286709</v>
      </c>
      <c r="C50" s="308">
        <f t="shared" ref="C50:H50" si="23">C29+C31+C33+C35+C37+C39+C49+C41</f>
        <v>0</v>
      </c>
      <c r="D50" s="308">
        <f t="shared" si="23"/>
        <v>0</v>
      </c>
      <c r="E50" s="308">
        <f t="shared" si="23"/>
        <v>0</v>
      </c>
      <c r="F50" s="308">
        <f t="shared" si="23"/>
        <v>0</v>
      </c>
      <c r="G50" s="309">
        <f t="shared" si="23"/>
        <v>878137381.88673151</v>
      </c>
      <c r="H50" s="309">
        <f t="shared" si="23"/>
        <v>796969000.11310542</v>
      </c>
      <c r="I50" s="309">
        <f>I33</f>
        <v>765094062.13527811</v>
      </c>
      <c r="J50" s="309">
        <f>J35</f>
        <v>730746550.60559154</v>
      </c>
      <c r="K50" s="309">
        <f>K37</f>
        <v>693811179.91469562</v>
      </c>
      <c r="L50" s="309">
        <f>L39</f>
        <v>559016371.81133568</v>
      </c>
      <c r="M50" s="309">
        <f>M41</f>
        <v>495471089.16849571</v>
      </c>
      <c r="N50" s="309">
        <f>N43</f>
        <v>267396676.88733056</v>
      </c>
      <c r="O50" s="310">
        <f>O45</f>
        <v>239736850.04577932</v>
      </c>
      <c r="P50" s="310">
        <f>P47</f>
        <v>454713678.21883059</v>
      </c>
    </row>
    <row r="51" spans="1:23" hidden="1">
      <c r="A51" s="266" t="s">
        <v>50</v>
      </c>
      <c r="B51" s="97">
        <f>'[31]М. остатка'!C34</f>
        <v>3360</v>
      </c>
      <c r="C51" s="41"/>
      <c r="D51" s="41"/>
      <c r="E51" s="41"/>
      <c r="F51" s="58"/>
      <c r="G51" s="36"/>
      <c r="H51" s="36"/>
      <c r="I51" s="36"/>
      <c r="J51" s="36"/>
      <c r="K51" s="36"/>
      <c r="L51" s="36"/>
      <c r="M51" s="36"/>
      <c r="N51" s="36"/>
      <c r="O51" s="250"/>
      <c r="P51" s="250"/>
    </row>
    <row r="52" spans="1:23" hidden="1">
      <c r="A52" s="266" t="s">
        <v>51</v>
      </c>
      <c r="B52" s="98"/>
      <c r="C52" s="52"/>
      <c r="D52" s="52"/>
      <c r="E52" s="52"/>
      <c r="F52" s="52"/>
      <c r="G52" s="52">
        <f t="shared" ref="G52:M52" si="24">$B$51*G22</f>
        <v>3639.4502177254353</v>
      </c>
      <c r="H52" s="52">
        <f t="shared" si="24"/>
        <v>3698.0696326112629</v>
      </c>
      <c r="I52" s="52">
        <f t="shared" si="24"/>
        <v>3757.6332109272762</v>
      </c>
      <c r="J52" s="52">
        <f t="shared" si="24"/>
        <v>3818.1561600000005</v>
      </c>
      <c r="K52" s="52">
        <f t="shared" si="24"/>
        <v>3879.6539320953143</v>
      </c>
      <c r="L52" s="52">
        <f t="shared" si="24"/>
        <v>3942.142228363607</v>
      </c>
      <c r="M52" s="99">
        <f t="shared" si="24"/>
        <v>4005.6370028484776</v>
      </c>
      <c r="N52" s="36"/>
      <c r="O52" s="250"/>
      <c r="P52" s="250"/>
    </row>
    <row r="53" spans="1:23" ht="25.5" hidden="1">
      <c r="A53" s="249" t="s">
        <v>52</v>
      </c>
      <c r="B53" s="54">
        <f>B24</f>
        <v>1.2272234429039353</v>
      </c>
      <c r="C53" s="55"/>
      <c r="D53" s="55"/>
      <c r="E53" s="55"/>
      <c r="F53" s="55"/>
      <c r="G53" s="56">
        <f t="shared" ref="G53:M53" si="25">G24</f>
        <v>1.2272234429039353</v>
      </c>
      <c r="H53" s="56">
        <f t="shared" si="25"/>
        <v>1.2272234429039353</v>
      </c>
      <c r="I53" s="56">
        <f t="shared" si="25"/>
        <v>1.2272234429039353</v>
      </c>
      <c r="J53" s="56">
        <f t="shared" si="25"/>
        <v>1.2272234429039353</v>
      </c>
      <c r="K53" s="56">
        <f t="shared" si="25"/>
        <v>1.2272234429039353</v>
      </c>
      <c r="L53" s="56">
        <f t="shared" si="25"/>
        <v>1.2272234429039353</v>
      </c>
      <c r="M53" s="56">
        <f t="shared" si="25"/>
        <v>1.2272234429039353</v>
      </c>
      <c r="N53" s="36"/>
      <c r="O53" s="250"/>
      <c r="P53" s="250"/>
      <c r="T53" s="521" t="s">
        <v>53</v>
      </c>
      <c r="U53" s="526"/>
      <c r="V53" s="526"/>
      <c r="W53" s="526"/>
    </row>
    <row r="54" spans="1:23" hidden="1">
      <c r="A54" s="266" t="s">
        <v>54</v>
      </c>
      <c r="B54" s="100"/>
      <c r="C54" s="100"/>
      <c r="D54" s="100"/>
      <c r="E54" s="52"/>
      <c r="F54" s="52"/>
      <c r="G54" s="52">
        <f t="shared" ref="G54:M54" si="26">G52*G25</f>
        <v>3341.6003664310006</v>
      </c>
      <c r="H54" s="52">
        <f t="shared" si="26"/>
        <v>3437.0918326038905</v>
      </c>
      <c r="I54" s="52">
        <f t="shared" si="26"/>
        <v>3535.3121170410627</v>
      </c>
      <c r="J54" s="52">
        <f t="shared" si="26"/>
        <v>3636.3391999999994</v>
      </c>
      <c r="K54" s="52">
        <f t="shared" si="26"/>
        <v>3740.2532901462205</v>
      </c>
      <c r="L54" s="52">
        <f t="shared" si="26"/>
        <v>3847.1368882335369</v>
      </c>
      <c r="M54" s="101">
        <f t="shared" si="26"/>
        <v>3957.0748526040643</v>
      </c>
      <c r="N54" s="102"/>
      <c r="O54" s="267"/>
      <c r="P54" s="267"/>
      <c r="T54" s="521"/>
      <c r="U54" s="526"/>
      <c r="V54" s="526"/>
      <c r="W54" s="526"/>
    </row>
    <row r="55" spans="1:23" hidden="1">
      <c r="A55" s="268" t="s">
        <v>55</v>
      </c>
      <c r="B55" s="105">
        <f>SUM(C55:M55)</f>
        <v>0</v>
      </c>
      <c r="C55" s="106"/>
      <c r="D55" s="106"/>
      <c r="E55" s="107">
        <f>E27</f>
        <v>0</v>
      </c>
      <c r="F55" s="107">
        <f>F27</f>
        <v>0</v>
      </c>
      <c r="G55" s="106"/>
      <c r="H55" s="106"/>
      <c r="I55" s="106"/>
      <c r="J55" s="106"/>
      <c r="K55" s="106"/>
      <c r="L55" s="106"/>
      <c r="M55" s="106"/>
      <c r="N55" s="52"/>
      <c r="O55" s="255"/>
      <c r="P55" s="255"/>
      <c r="T55" s="521"/>
      <c r="U55" s="526"/>
      <c r="V55" s="526"/>
      <c r="W55" s="526"/>
    </row>
    <row r="56" spans="1:23" hidden="1">
      <c r="A56" s="269" t="s">
        <v>56</v>
      </c>
      <c r="B56" s="61">
        <f>SUM(C56:M56)</f>
        <v>0</v>
      </c>
      <c r="C56" s="61"/>
      <c r="D56" s="61"/>
      <c r="E56" s="109">
        <f>E55%*E54*$B$6</f>
        <v>0</v>
      </c>
      <c r="F56" s="109">
        <f>F55%*F54*$B$6</f>
        <v>0</v>
      </c>
      <c r="G56" s="61"/>
      <c r="H56" s="61"/>
      <c r="I56" s="61"/>
      <c r="J56" s="61"/>
      <c r="K56" s="61"/>
      <c r="L56" s="61"/>
      <c r="M56" s="61"/>
      <c r="N56" s="62"/>
      <c r="O56" s="258"/>
      <c r="P56" s="258"/>
      <c r="T56" s="110" t="s">
        <v>4</v>
      </c>
    </row>
    <row r="57" spans="1:23" hidden="1">
      <c r="A57" s="270" t="s">
        <v>57</v>
      </c>
      <c r="B57" s="95">
        <f>SUM(C57:M57)</f>
        <v>0</v>
      </c>
      <c r="C57" s="95"/>
      <c r="D57" s="95"/>
      <c r="E57" s="112">
        <f t="shared" ref="E57:M57" si="27">E56</f>
        <v>0</v>
      </c>
      <c r="F57" s="112">
        <f t="shared" si="27"/>
        <v>0</v>
      </c>
      <c r="G57" s="95">
        <f t="shared" si="27"/>
        <v>0</v>
      </c>
      <c r="H57" s="95">
        <f t="shared" si="27"/>
        <v>0</v>
      </c>
      <c r="I57" s="95">
        <f t="shared" si="27"/>
        <v>0</v>
      </c>
      <c r="J57" s="95">
        <f t="shared" si="27"/>
        <v>0</v>
      </c>
      <c r="K57" s="95">
        <f t="shared" si="27"/>
        <v>0</v>
      </c>
      <c r="L57" s="95">
        <f t="shared" si="27"/>
        <v>0</v>
      </c>
      <c r="M57" s="95">
        <f t="shared" si="27"/>
        <v>0</v>
      </c>
      <c r="N57" s="113"/>
      <c r="O57" s="271"/>
      <c r="P57" s="271"/>
    </row>
    <row r="58" spans="1:23">
      <c r="A58" s="266" t="s">
        <v>58</v>
      </c>
      <c r="B58" s="212">
        <v>1300000</v>
      </c>
      <c r="C58" s="41"/>
      <c r="D58" s="41"/>
      <c r="E58" s="41"/>
      <c r="F58" s="58"/>
      <c r="G58" s="36"/>
      <c r="H58" s="36"/>
      <c r="I58" s="36"/>
      <c r="J58" s="36"/>
      <c r="K58" s="36"/>
      <c r="L58" s="36"/>
      <c r="M58" s="36"/>
      <c r="N58" s="36"/>
      <c r="O58" s="250"/>
      <c r="P58" s="250"/>
      <c r="T58" s="115"/>
    </row>
    <row r="59" spans="1:23" hidden="1">
      <c r="A59" s="266" t="s">
        <v>51</v>
      </c>
      <c r="B59" s="98"/>
      <c r="C59" s="52"/>
      <c r="D59" s="52"/>
      <c r="E59" s="52"/>
      <c r="F59" s="52"/>
      <c r="G59" s="52"/>
      <c r="H59" s="52"/>
      <c r="I59" s="52"/>
      <c r="J59" s="52"/>
      <c r="K59" s="52"/>
      <c r="L59" s="52"/>
      <c r="M59" s="99"/>
      <c r="N59" s="36"/>
      <c r="O59" s="250"/>
      <c r="P59" s="250"/>
    </row>
    <row r="60" spans="1:23">
      <c r="A60" s="249" t="s">
        <v>59</v>
      </c>
      <c r="B60" s="54">
        <f>B24</f>
        <v>1.2272234429039353</v>
      </c>
      <c r="C60" s="116"/>
      <c r="D60" s="116"/>
      <c r="E60" s="117"/>
      <c r="F60" s="117"/>
      <c r="G60" s="118">
        <f>G25*G22</f>
        <v>0.99452391858065481</v>
      </c>
      <c r="H60" s="118">
        <f t="shared" ref="H60:O60" si="28">H25*H22</f>
        <v>1.0229439977987769</v>
      </c>
      <c r="I60" s="118">
        <f t="shared" si="28"/>
        <v>1.0521762253098401</v>
      </c>
      <c r="J60" s="118">
        <f t="shared" si="28"/>
        <v>1.0822438095238094</v>
      </c>
      <c r="K60" s="118">
        <f t="shared" si="28"/>
        <v>1.1131706220673274</v>
      </c>
      <c r="L60" s="118">
        <f t="shared" si="28"/>
        <v>1.1449812167361717</v>
      </c>
      <c r="M60" s="118">
        <f t="shared" si="28"/>
        <v>1.1777008489893048</v>
      </c>
      <c r="N60" s="118">
        <f t="shared" si="28"/>
        <v>1.2113475472006958</v>
      </c>
      <c r="O60" s="272">
        <f t="shared" si="28"/>
        <v>1.2308502427106269</v>
      </c>
      <c r="P60" s="272">
        <f t="shared" ref="P60" si="29">P25*P22</f>
        <v>2.5013338632365358</v>
      </c>
    </row>
    <row r="61" spans="1:23">
      <c r="A61" s="266" t="s">
        <v>60</v>
      </c>
      <c r="B61" s="100"/>
      <c r="C61" s="100"/>
      <c r="D61" s="100"/>
      <c r="E61" s="120">
        <f>E59*E25</f>
        <v>0</v>
      </c>
      <c r="F61" s="120">
        <f>F59*F25</f>
        <v>0</v>
      </c>
      <c r="G61" s="121">
        <f>$B$58*G60</f>
        <v>1292881.0941548513</v>
      </c>
      <c r="H61" s="121">
        <f t="shared" ref="H61:O61" si="30">$B$58*H60</f>
        <v>1329827.1971384098</v>
      </c>
      <c r="I61" s="121">
        <f t="shared" si="30"/>
        <v>1367829.0929027922</v>
      </c>
      <c r="J61" s="121">
        <f t="shared" si="30"/>
        <v>1406916.9523809522</v>
      </c>
      <c r="K61" s="121">
        <f t="shared" si="30"/>
        <v>1447121.8086875256</v>
      </c>
      <c r="L61" s="121">
        <f t="shared" si="30"/>
        <v>1488475.5817570232</v>
      </c>
      <c r="M61" s="121">
        <f t="shared" si="30"/>
        <v>1531011.1036860964</v>
      </c>
      <c r="N61" s="121">
        <f t="shared" si="30"/>
        <v>1574751.8113609045</v>
      </c>
      <c r="O61" s="273">
        <f t="shared" si="30"/>
        <v>1600105.3155238151</v>
      </c>
      <c r="P61" s="273">
        <f t="shared" ref="P61" si="31">$B$58*P60</f>
        <v>3251734.0222074967</v>
      </c>
    </row>
    <row r="62" spans="1:23">
      <c r="A62" s="312" t="s">
        <v>61</v>
      </c>
      <c r="B62" s="313">
        <f>SUM(C62:P62)</f>
        <v>100</v>
      </c>
      <c r="C62" s="314"/>
      <c r="D62" s="314"/>
      <c r="E62" s="315">
        <f>ROUND(E55%*$B$7,0)</f>
        <v>0</v>
      </c>
      <c r="F62" s="315">
        <f>ROUND(F55%*$B$7,0)</f>
        <v>0</v>
      </c>
      <c r="G62" s="316">
        <f>G27</f>
        <v>17</v>
      </c>
      <c r="H62" s="316">
        <f t="shared" ref="H62:O62" si="32">H27</f>
        <v>15</v>
      </c>
      <c r="I62" s="316">
        <f t="shared" si="32"/>
        <v>14</v>
      </c>
      <c r="J62" s="316">
        <f t="shared" si="32"/>
        <v>13</v>
      </c>
      <c r="K62" s="316">
        <f t="shared" si="32"/>
        <v>12</v>
      </c>
      <c r="L62" s="316">
        <f t="shared" si="32"/>
        <v>9.4</v>
      </c>
      <c r="M62" s="316">
        <f t="shared" si="32"/>
        <v>8.1</v>
      </c>
      <c r="N62" s="316">
        <f t="shared" si="32"/>
        <v>4.25</v>
      </c>
      <c r="O62" s="317">
        <f t="shared" si="32"/>
        <v>3.75</v>
      </c>
      <c r="P62" s="317">
        <f t="shared" ref="P62" si="33">P27</f>
        <v>3.5</v>
      </c>
    </row>
    <row r="63" spans="1:23" s="123" customFormat="1">
      <c r="A63" s="274" t="s">
        <v>62</v>
      </c>
      <c r="B63" s="318">
        <f>SUM(C63:M63)</f>
        <v>55405906.3583657</v>
      </c>
      <c r="C63" s="318"/>
      <c r="D63" s="318"/>
      <c r="E63" s="308">
        <f>E62*E61</f>
        <v>0</v>
      </c>
      <c r="F63" s="308">
        <f>F62*F61</f>
        <v>0</v>
      </c>
      <c r="G63" s="318">
        <f>$B$7*G61*G62%</f>
        <v>9890540.3702846132</v>
      </c>
      <c r="H63" s="318">
        <f t="shared" ref="H63:O63" si="34">$B$7*H61*H62%</f>
        <v>8976333.5806842651</v>
      </c>
      <c r="I63" s="318">
        <f t="shared" si="34"/>
        <v>8617323.2852875907</v>
      </c>
      <c r="J63" s="318">
        <f t="shared" si="34"/>
        <v>8230464.1714285705</v>
      </c>
      <c r="K63" s="318">
        <f t="shared" si="34"/>
        <v>7814457.7669126373</v>
      </c>
      <c r="L63" s="318">
        <f t="shared" si="34"/>
        <v>6296251.7108322084</v>
      </c>
      <c r="M63" s="318">
        <f t="shared" si="34"/>
        <v>5580535.4729358209</v>
      </c>
      <c r="N63" s="318">
        <f t="shared" si="34"/>
        <v>3011712.8392277304</v>
      </c>
      <c r="O63" s="319">
        <f t="shared" si="34"/>
        <v>2700177.719946438</v>
      </c>
      <c r="P63" s="319">
        <f t="shared" ref="P63" si="35">$B$7*P61*P62%</f>
        <v>5121481.0849768072</v>
      </c>
    </row>
    <row r="64" spans="1:23" ht="56.25" hidden="1" customHeight="1" thickBot="1">
      <c r="A64" s="270" t="s">
        <v>63</v>
      </c>
      <c r="B64" s="95">
        <f>SUM(C64:M64)</f>
        <v>0</v>
      </c>
      <c r="C64" s="95"/>
      <c r="D64" s="95"/>
      <c r="E64" s="112">
        <f>E63</f>
        <v>0</v>
      </c>
      <c r="F64" s="112">
        <f>F63</f>
        <v>0</v>
      </c>
      <c r="G64" s="95"/>
      <c r="H64" s="95"/>
      <c r="I64" s="95"/>
      <c r="J64" s="95"/>
      <c r="K64" s="95"/>
      <c r="L64" s="95"/>
      <c r="M64" s="95"/>
      <c r="N64" s="52"/>
      <c r="O64" s="255"/>
      <c r="P64" s="255"/>
    </row>
    <row r="65" spans="1:21" s="6" customFormat="1" ht="15" customHeight="1">
      <c r="A65" s="275" t="s">
        <v>93</v>
      </c>
      <c r="B65" s="208">
        <f>SUM(C65:P65)</f>
        <v>5947332118.789691</v>
      </c>
      <c r="C65" s="209">
        <f>C50+C57+C64</f>
        <v>0</v>
      </c>
      <c r="D65" s="209">
        <f>D50+D57+D64</f>
        <v>0</v>
      </c>
      <c r="E65" s="209">
        <f>E50+E57+E64</f>
        <v>0</v>
      </c>
      <c r="F65" s="209">
        <f>F50+F57+F64</f>
        <v>0</v>
      </c>
      <c r="G65" s="208">
        <f>SUM(G50+G63)</f>
        <v>888027922.25701606</v>
      </c>
      <c r="H65" s="208">
        <f t="shared" ref="H65:O65" si="36">SUM(H50+H63)</f>
        <v>805945333.69378972</v>
      </c>
      <c r="I65" s="208">
        <f t="shared" si="36"/>
        <v>773711385.42056572</v>
      </c>
      <c r="J65" s="208">
        <f t="shared" si="36"/>
        <v>738977014.7770201</v>
      </c>
      <c r="K65" s="208">
        <f t="shared" si="36"/>
        <v>701625637.6816082</v>
      </c>
      <c r="L65" s="208">
        <f t="shared" si="36"/>
        <v>565312623.52216792</v>
      </c>
      <c r="M65" s="208">
        <f t="shared" si="36"/>
        <v>501051624.64143151</v>
      </c>
      <c r="N65" s="208">
        <f t="shared" si="36"/>
        <v>270408389.72655827</v>
      </c>
      <c r="O65" s="276">
        <f t="shared" si="36"/>
        <v>242437027.76572576</v>
      </c>
      <c r="P65" s="276">
        <f t="shared" ref="P65" si="37">SUM(P50+P63)</f>
        <v>459835159.30380738</v>
      </c>
    </row>
    <row r="66" spans="1:21" s="7" customFormat="1">
      <c r="A66" s="277" t="s">
        <v>65</v>
      </c>
      <c r="B66" s="236">
        <f>SUM(C66:P66)</f>
        <v>991222019.79828191</v>
      </c>
      <c r="C66" s="125">
        <f t="shared" ref="C66:O66" si="38">C65/(1+$B$99)*$B$99</f>
        <v>0</v>
      </c>
      <c r="D66" s="125">
        <f t="shared" si="38"/>
        <v>0</v>
      </c>
      <c r="E66" s="125">
        <f t="shared" si="38"/>
        <v>0</v>
      </c>
      <c r="F66" s="125">
        <f t="shared" si="38"/>
        <v>0</v>
      </c>
      <c r="G66" s="91">
        <f t="shared" si="38"/>
        <v>148004653.70950267</v>
      </c>
      <c r="H66" s="91">
        <f t="shared" si="38"/>
        <v>134324222.2822983</v>
      </c>
      <c r="I66" s="91">
        <f t="shared" si="38"/>
        <v>128951897.5700943</v>
      </c>
      <c r="J66" s="91">
        <f t="shared" si="38"/>
        <v>123162835.79617003</v>
      </c>
      <c r="K66" s="91">
        <f t="shared" si="38"/>
        <v>116937606.28026806</v>
      </c>
      <c r="L66" s="91">
        <f t="shared" si="38"/>
        <v>94218770.587027997</v>
      </c>
      <c r="M66" s="91">
        <f t="shared" si="38"/>
        <v>83508604.106905267</v>
      </c>
      <c r="N66" s="91">
        <f t="shared" si="38"/>
        <v>45068064.954426378</v>
      </c>
      <c r="O66" s="278">
        <f t="shared" si="38"/>
        <v>40406171.294287629</v>
      </c>
      <c r="P66" s="278">
        <f t="shared" ref="P66" si="39">P65/(1+$B$99)*$B$99</f>
        <v>76639193.217301235</v>
      </c>
    </row>
    <row r="67" spans="1:21" s="6" customFormat="1" ht="15" customHeight="1">
      <c r="A67" s="275" t="s">
        <v>89</v>
      </c>
      <c r="B67" s="208"/>
      <c r="C67" s="209"/>
      <c r="D67" s="209"/>
      <c r="E67" s="209"/>
      <c r="F67" s="209"/>
      <c r="G67" s="208"/>
      <c r="H67" s="208"/>
      <c r="I67" s="208"/>
      <c r="J67" s="208"/>
      <c r="K67" s="208"/>
      <c r="L67" s="208"/>
      <c r="M67" s="208"/>
      <c r="N67" s="208">
        <f>SUM(G65:N65)</f>
        <v>5245059931.7201576</v>
      </c>
      <c r="O67" s="276">
        <f>O65</f>
        <v>242437027.76572576</v>
      </c>
      <c r="P67" s="276">
        <f>P65</f>
        <v>459835159.30380738</v>
      </c>
    </row>
    <row r="68" spans="1:21" s="7" customFormat="1" ht="15.75">
      <c r="A68" s="247" t="s">
        <v>67</v>
      </c>
      <c r="B68" s="197" t="s">
        <v>68</v>
      </c>
      <c r="C68" s="198" t="str">
        <f t="shared" ref="C68:O68" si="40">C18</f>
        <v>1 квартал</v>
      </c>
      <c r="D68" s="198" t="str">
        <f t="shared" si="40"/>
        <v>2 квартал</v>
      </c>
      <c r="E68" s="198" t="str">
        <f t="shared" si="40"/>
        <v>3 квартал</v>
      </c>
      <c r="F68" s="198" t="str">
        <f t="shared" si="40"/>
        <v>4 квартал</v>
      </c>
      <c r="G68" s="198" t="str">
        <f t="shared" si="40"/>
        <v>5 квартал</v>
      </c>
      <c r="H68" s="198" t="str">
        <f t="shared" si="40"/>
        <v>6 квартал</v>
      </c>
      <c r="I68" s="198" t="str">
        <f t="shared" si="40"/>
        <v>7 квартал</v>
      </c>
      <c r="J68" s="198" t="str">
        <f t="shared" si="40"/>
        <v>8 квартал</v>
      </c>
      <c r="K68" s="198" t="str">
        <f t="shared" si="40"/>
        <v>9 квартал</v>
      </c>
      <c r="L68" s="198" t="str">
        <f t="shared" si="40"/>
        <v>10 квартал</v>
      </c>
      <c r="M68" s="198" t="str">
        <f t="shared" si="40"/>
        <v>11 квартал</v>
      </c>
      <c r="N68" s="198" t="str">
        <f t="shared" si="40"/>
        <v>12 квартал</v>
      </c>
      <c r="O68" s="248" t="str">
        <f t="shared" si="40"/>
        <v>13 квартал</v>
      </c>
      <c r="P68" s="248" t="str">
        <f t="shared" ref="P68" si="41">P18</f>
        <v>14 квартал</v>
      </c>
      <c r="Q68" s="130" t="s">
        <v>164</v>
      </c>
      <c r="R68" s="149"/>
      <c r="T68" s="7" t="s">
        <v>181</v>
      </c>
    </row>
    <row r="69" spans="1:21" s="7" customFormat="1">
      <c r="A69" s="279" t="s">
        <v>70</v>
      </c>
      <c r="B69" s="132">
        <f>SUM(C69:P69)</f>
        <v>0.99999999999999989</v>
      </c>
      <c r="C69" s="133">
        <f>C70/$B$70</f>
        <v>4.4020529777142239E-3</v>
      </c>
      <c r="D69" s="133">
        <f t="shared" ref="D69:P69" si="42">D70/$B$70</f>
        <v>4.4020529777142239E-3</v>
      </c>
      <c r="E69" s="133">
        <f t="shared" si="42"/>
        <v>3.815107589236863E-2</v>
      </c>
      <c r="F69" s="133">
        <f t="shared" si="42"/>
        <v>9.2443018249076969E-2</v>
      </c>
      <c r="G69" s="133">
        <f t="shared" si="42"/>
        <v>8.8041068797708177E-2</v>
      </c>
      <c r="H69" s="133">
        <f t="shared" si="42"/>
        <v>0.13206171873935851</v>
      </c>
      <c r="I69" s="133">
        <f t="shared" si="42"/>
        <v>0.17608213759541635</v>
      </c>
      <c r="J69" s="133">
        <f t="shared" si="42"/>
        <v>0.13206171873935851</v>
      </c>
      <c r="K69" s="133">
        <f t="shared" si="42"/>
        <v>0.13206171873935851</v>
      </c>
      <c r="L69" s="133">
        <f t="shared" si="42"/>
        <v>8.8041068797708177E-2</v>
      </c>
      <c r="M69" s="133">
        <f t="shared" si="42"/>
        <v>4.4020649941650336E-2</v>
      </c>
      <c r="N69" s="133">
        <f t="shared" si="42"/>
        <v>6.8231718552567405E-2</v>
      </c>
      <c r="O69" s="133">
        <f t="shared" si="42"/>
        <v>0</v>
      </c>
      <c r="P69" s="133">
        <f t="shared" si="42"/>
        <v>0</v>
      </c>
      <c r="Q69" s="134" t="b">
        <f>B69=100%</f>
        <v>1</v>
      </c>
      <c r="R69" s="149"/>
      <c r="S69" s="417" t="s">
        <v>175</v>
      </c>
      <c r="T69" s="418">
        <v>1</v>
      </c>
      <c r="U69" s="419">
        <f>B78</f>
        <v>4417581231.1727991</v>
      </c>
    </row>
    <row r="70" spans="1:21" s="7" customFormat="1" ht="27.75" customHeight="1">
      <c r="A70" s="280" t="s">
        <v>71</v>
      </c>
      <c r="B70" s="91">
        <f>SUM(C70:P70)</f>
        <v>4327400896</v>
      </c>
      <c r="C70" s="237">
        <v>19049448</v>
      </c>
      <c r="D70" s="237">
        <f>19049448</f>
        <v>19049448</v>
      </c>
      <c r="E70" s="237">
        <f>165095000</f>
        <v>165095000</v>
      </c>
      <c r="F70" s="237">
        <v>400038000</v>
      </c>
      <c r="G70" s="237">
        <v>380989000</v>
      </c>
      <c r="H70" s="237">
        <v>571484000</v>
      </c>
      <c r="I70" s="237">
        <v>761978000</v>
      </c>
      <c r="J70" s="237">
        <v>571484000</v>
      </c>
      <c r="K70" s="237">
        <v>571484000</v>
      </c>
      <c r="L70" s="237">
        <v>380989000</v>
      </c>
      <c r="M70" s="237">
        <v>190495000</v>
      </c>
      <c r="N70" s="91">
        <v>295266000</v>
      </c>
      <c r="O70" s="278">
        <v>0</v>
      </c>
      <c r="P70" s="278">
        <v>0</v>
      </c>
      <c r="Q70" s="134" t="b">
        <f>B70='[32]График Стр-ва'!$AN$24</f>
        <v>0</v>
      </c>
      <c r="R70" s="149"/>
      <c r="S70" s="417" t="s">
        <v>176</v>
      </c>
      <c r="T70" s="418">
        <v>0.15</v>
      </c>
      <c r="U70" s="419">
        <f>U69*T70</f>
        <v>662637184.67591989</v>
      </c>
    </row>
    <row r="71" spans="1:21" s="7" customFormat="1">
      <c r="A71" s="282" t="s">
        <v>72</v>
      </c>
      <c r="B71" s="91">
        <f>SUM(C71:P76)</f>
        <v>721233482.66666675</v>
      </c>
      <c r="C71" s="90">
        <f>C70/(1+$B$99)*$B$99</f>
        <v>3174908</v>
      </c>
      <c r="D71" s="90">
        <f t="shared" ref="D71:P71" si="43">D70/(1+$B$99)*$B$99</f>
        <v>3174908</v>
      </c>
      <c r="E71" s="90">
        <f t="shared" si="43"/>
        <v>27515833.33333334</v>
      </c>
      <c r="F71" s="90">
        <f t="shared" si="43"/>
        <v>66673000</v>
      </c>
      <c r="G71" s="90">
        <f>G70/(1+$B$99)*$B$99</f>
        <v>63498166.666666679</v>
      </c>
      <c r="H71" s="90">
        <f>H70/(1+$B$99)*$B$99</f>
        <v>95247333.333333343</v>
      </c>
      <c r="I71" s="90">
        <f>I70/(1+$B$99)*$B$99</f>
        <v>126996333.33333336</v>
      </c>
      <c r="J71" s="90">
        <f>J70/(1+$B$99)*$B$99</f>
        <v>95247333.333333343</v>
      </c>
      <c r="K71" s="90">
        <f>K70/(1+$B$99)*$B$99</f>
        <v>95247333.333333343</v>
      </c>
      <c r="L71" s="90">
        <f t="shared" si="43"/>
        <v>63498166.666666679</v>
      </c>
      <c r="M71" s="90">
        <f t="shared" si="43"/>
        <v>31749166.666666672</v>
      </c>
      <c r="N71" s="90">
        <f t="shared" si="43"/>
        <v>49211000</v>
      </c>
      <c r="O71" s="90">
        <f t="shared" si="43"/>
        <v>0</v>
      </c>
      <c r="P71" s="90">
        <f t="shared" si="43"/>
        <v>0</v>
      </c>
      <c r="Q71" s="137"/>
      <c r="R71" s="149"/>
      <c r="S71" s="417" t="s">
        <v>177</v>
      </c>
      <c r="T71" s="418">
        <v>0.85</v>
      </c>
      <c r="U71" s="419">
        <f>U69*T71</f>
        <v>3754944046.4968791</v>
      </c>
    </row>
    <row r="72" spans="1:21" s="7" customFormat="1" hidden="1">
      <c r="A72" s="283" t="s">
        <v>73</v>
      </c>
      <c r="B72" s="91">
        <f>SUM(C72:M72)</f>
        <v>0</v>
      </c>
      <c r="C72" s="91">
        <f>0%*C50</f>
        <v>0</v>
      </c>
      <c r="D72" s="91">
        <f>0%*D50</f>
        <v>0</v>
      </c>
      <c r="E72" s="91">
        <f>0%*E50</f>
        <v>0</v>
      </c>
      <c r="F72" s="91">
        <f>0%*F50</f>
        <v>0</v>
      </c>
      <c r="G72" s="91">
        <f>0%*G50</f>
        <v>0</v>
      </c>
      <c r="H72" s="91"/>
      <c r="I72" s="91"/>
      <c r="J72" s="91"/>
      <c r="K72" s="91"/>
      <c r="L72" s="91">
        <f>0%*L50</f>
        <v>0</v>
      </c>
      <c r="M72" s="91">
        <f>0%*M50</f>
        <v>0</v>
      </c>
      <c r="N72" s="91"/>
      <c r="O72" s="278"/>
      <c r="P72" s="278"/>
      <c r="Q72" s="137"/>
      <c r="R72" s="149"/>
    </row>
    <row r="73" spans="1:21" s="7" customFormat="1" hidden="1">
      <c r="A73" s="264" t="s">
        <v>74</v>
      </c>
      <c r="B73" s="91">
        <f t="shared" ref="B73:B75" si="44">SUM(C73:M73)</f>
        <v>0</v>
      </c>
      <c r="C73" s="90">
        <f>C72/(1+$B$99)*$B$99</f>
        <v>0</v>
      </c>
      <c r="D73" s="90">
        <f>D72/(1+$B$99)*$B$99</f>
        <v>0</v>
      </c>
      <c r="E73" s="90">
        <f>E72/(1+$B$99)*$B$99</f>
        <v>0</v>
      </c>
      <c r="F73" s="90">
        <f>F72/(1+$B$99)*$B$99</f>
        <v>0</v>
      </c>
      <c r="G73" s="90">
        <f>G72/(1+$B$99)*$B$99</f>
        <v>0</v>
      </c>
      <c r="H73" s="90"/>
      <c r="I73" s="90"/>
      <c r="J73" s="90"/>
      <c r="K73" s="90"/>
      <c r="L73" s="90">
        <f>L72/(1+$B$99)*$B$99</f>
        <v>0</v>
      </c>
      <c r="M73" s="90">
        <f>M72/(1+$B$99)*$B$99</f>
        <v>0</v>
      </c>
      <c r="N73" s="90"/>
      <c r="O73" s="281"/>
      <c r="P73" s="281"/>
      <c r="Q73" s="137"/>
      <c r="R73" s="149"/>
    </row>
    <row r="74" spans="1:21" s="7" customFormat="1" hidden="1">
      <c r="A74" s="283" t="s">
        <v>75</v>
      </c>
      <c r="B74" s="91">
        <f t="shared" si="44"/>
        <v>0</v>
      </c>
      <c r="C74" s="91">
        <v>0</v>
      </c>
      <c r="D74" s="91">
        <v>0</v>
      </c>
      <c r="E74" s="91">
        <v>0</v>
      </c>
      <c r="F74" s="91">
        <v>0</v>
      </c>
      <c r="G74" s="91">
        <v>0</v>
      </c>
      <c r="H74" s="91"/>
      <c r="I74" s="91"/>
      <c r="J74" s="91"/>
      <c r="K74" s="91"/>
      <c r="L74" s="91">
        <v>0</v>
      </c>
      <c r="M74" s="91">
        <v>0</v>
      </c>
      <c r="N74" s="91"/>
      <c r="O74" s="278"/>
      <c r="P74" s="278"/>
      <c r="Q74" s="137"/>
      <c r="R74" s="149"/>
    </row>
    <row r="75" spans="1:21" s="7" customFormat="1" hidden="1">
      <c r="A75" s="264" t="s">
        <v>74</v>
      </c>
      <c r="B75" s="91">
        <f t="shared" si="44"/>
        <v>0</v>
      </c>
      <c r="C75" s="90">
        <f>C74/(1+$B$99)*$B$99</f>
        <v>0</v>
      </c>
      <c r="D75" s="90">
        <f>D74/(1+$B$99)*$B$99</f>
        <v>0</v>
      </c>
      <c r="E75" s="90">
        <f>E74/(1+$B$99)*$B$99</f>
        <v>0</v>
      </c>
      <c r="F75" s="90">
        <f>F74/(1+$B$99)*$B$99</f>
        <v>0</v>
      </c>
      <c r="G75" s="90">
        <f>G74/(1+$B$99)*$B$99</f>
        <v>0</v>
      </c>
      <c r="H75" s="90"/>
      <c r="I75" s="90"/>
      <c r="J75" s="90"/>
      <c r="K75" s="90"/>
      <c r="L75" s="90">
        <f>L74/(1+$B$99)*$B$99</f>
        <v>0</v>
      </c>
      <c r="M75" s="90">
        <f>M74/(1+$B$99)*$B$99</f>
        <v>0</v>
      </c>
      <c r="N75" s="90"/>
      <c r="O75" s="281"/>
      <c r="P75" s="281"/>
      <c r="Q75" s="137"/>
      <c r="R75" s="149"/>
    </row>
    <row r="76" spans="1:21" s="7" customFormat="1" ht="29.25" hidden="1" customHeight="1">
      <c r="A76" s="284" t="s">
        <v>76</v>
      </c>
      <c r="B76" s="141">
        <f>SUM(C76:M76)</f>
        <v>0</v>
      </c>
      <c r="C76" s="141">
        <f t="shared" ref="C76:L76" si="45">$B$118*C65</f>
        <v>0</v>
      </c>
      <c r="D76" s="141">
        <f t="shared" si="45"/>
        <v>0</v>
      </c>
      <c r="E76" s="141">
        <f t="shared" si="45"/>
        <v>0</v>
      </c>
      <c r="F76" s="141">
        <f t="shared" si="45"/>
        <v>0</v>
      </c>
      <c r="G76" s="141">
        <f t="shared" si="45"/>
        <v>0</v>
      </c>
      <c r="H76" s="141">
        <f t="shared" si="45"/>
        <v>0</v>
      </c>
      <c r="I76" s="141">
        <f t="shared" si="45"/>
        <v>0</v>
      </c>
      <c r="J76" s="141">
        <f t="shared" si="45"/>
        <v>0</v>
      </c>
      <c r="K76" s="141">
        <f t="shared" si="45"/>
        <v>0</v>
      </c>
      <c r="L76" s="141">
        <f t="shared" si="45"/>
        <v>0</v>
      </c>
      <c r="M76" s="91">
        <f>$B$118*(M65-M49)</f>
        <v>0</v>
      </c>
      <c r="N76" s="90"/>
      <c r="O76" s="281"/>
      <c r="P76" s="281"/>
      <c r="Q76" s="137"/>
      <c r="R76" s="149"/>
    </row>
    <row r="77" spans="1:21" s="7" customFormat="1" ht="12" customHeight="1">
      <c r="A77" s="283" t="s">
        <v>77</v>
      </c>
      <c r="B77" s="142">
        <f>SUM(C77:P77)</f>
        <v>90180335.172800004</v>
      </c>
      <c r="C77" s="143">
        <f>'[32]График Стр-ва'!$C$25:$E$25*1000</f>
        <v>66309069.979999997</v>
      </c>
      <c r="D77" s="143">
        <f>$C$77*0.015*2</f>
        <v>1989272.0993999997</v>
      </c>
      <c r="E77" s="143">
        <f t="shared" ref="E77:N77" si="46">$C$77*0.015*2</f>
        <v>1989272.0993999997</v>
      </c>
      <c r="F77" s="143">
        <f t="shared" si="46"/>
        <v>1989272.0993999997</v>
      </c>
      <c r="G77" s="143">
        <f t="shared" si="46"/>
        <v>1989272.0993999997</v>
      </c>
      <c r="H77" s="143">
        <f t="shared" si="46"/>
        <v>1989272.0993999997</v>
      </c>
      <c r="I77" s="143">
        <f t="shared" si="46"/>
        <v>1989272.0993999997</v>
      </c>
      <c r="J77" s="143">
        <f t="shared" si="46"/>
        <v>1989272.0993999997</v>
      </c>
      <c r="K77" s="143">
        <f t="shared" si="46"/>
        <v>1989272.0993999997</v>
      </c>
      <c r="L77" s="143">
        <f t="shared" si="46"/>
        <v>1989272.0993999997</v>
      </c>
      <c r="M77" s="143">
        <f t="shared" si="46"/>
        <v>1989272.0993999997</v>
      </c>
      <c r="N77" s="143">
        <f t="shared" si="46"/>
        <v>1989272.0993999997</v>
      </c>
      <c r="O77" s="143">
        <f>$C$77*0.015</f>
        <v>994636.04969999986</v>
      </c>
      <c r="P77" s="143">
        <f>$C$77*0.015</f>
        <v>994636.04969999986</v>
      </c>
      <c r="Q77" s="137"/>
      <c r="R77" s="149"/>
    </row>
    <row r="78" spans="1:21" s="7" customFormat="1" ht="24" customHeight="1">
      <c r="A78" s="285" t="s">
        <v>78</v>
      </c>
      <c r="B78" s="208">
        <f>SUM(C78:P78)</f>
        <v>4417581231.1727991</v>
      </c>
      <c r="C78" s="208">
        <f>C70+C77</f>
        <v>85358517.979999989</v>
      </c>
      <c r="D78" s="208">
        <f t="shared" ref="D78:P78" si="47">D70+D72+D74+D76+D77</f>
        <v>21038720.099399999</v>
      </c>
      <c r="E78" s="208">
        <f t="shared" si="47"/>
        <v>167084272.09940001</v>
      </c>
      <c r="F78" s="208">
        <f t="shared" si="47"/>
        <v>402027272.09939998</v>
      </c>
      <c r="G78" s="208">
        <f t="shared" si="47"/>
        <v>382978272.09939998</v>
      </c>
      <c r="H78" s="208">
        <f t="shared" si="47"/>
        <v>573473272.09940004</v>
      </c>
      <c r="I78" s="208">
        <f t="shared" si="47"/>
        <v>763967272.09940004</v>
      </c>
      <c r="J78" s="208">
        <f t="shared" si="47"/>
        <v>573473272.09940004</v>
      </c>
      <c r="K78" s="208">
        <f t="shared" si="47"/>
        <v>573473272.09940004</v>
      </c>
      <c r="L78" s="208">
        <f t="shared" si="47"/>
        <v>382978272.09939998</v>
      </c>
      <c r="M78" s="208">
        <f t="shared" si="47"/>
        <v>192484272.09940001</v>
      </c>
      <c r="N78" s="208">
        <f t="shared" si="47"/>
        <v>297255272.09939998</v>
      </c>
      <c r="O78" s="208">
        <f>O70+O72+O74+O76+O77</f>
        <v>994636.04969999986</v>
      </c>
      <c r="P78" s="208">
        <f t="shared" si="47"/>
        <v>994636.04969999986</v>
      </c>
      <c r="Q78" s="137"/>
      <c r="R78" s="149"/>
    </row>
    <row r="79" spans="1:21" s="7" customFormat="1">
      <c r="A79" s="286" t="s">
        <v>65</v>
      </c>
      <c r="B79" s="242">
        <f>SUM(C79:P79)</f>
        <v>721233482.66666675</v>
      </c>
      <c r="C79" s="242">
        <f>C71+C73+C75</f>
        <v>3174908</v>
      </c>
      <c r="D79" s="242">
        <f t="shared" ref="D79:P79" si="48">D71+D73+D75</f>
        <v>3174908</v>
      </c>
      <c r="E79" s="242">
        <f t="shared" si="48"/>
        <v>27515833.33333334</v>
      </c>
      <c r="F79" s="242">
        <f t="shared" si="48"/>
        <v>66673000</v>
      </c>
      <c r="G79" s="242">
        <f>G71+G73+G75</f>
        <v>63498166.666666679</v>
      </c>
      <c r="H79" s="242">
        <f t="shared" si="48"/>
        <v>95247333.333333343</v>
      </c>
      <c r="I79" s="242">
        <f t="shared" si="48"/>
        <v>126996333.33333336</v>
      </c>
      <c r="J79" s="242">
        <f t="shared" si="48"/>
        <v>95247333.333333343</v>
      </c>
      <c r="K79" s="242">
        <f t="shared" si="48"/>
        <v>95247333.333333343</v>
      </c>
      <c r="L79" s="242">
        <f t="shared" si="48"/>
        <v>63498166.666666679</v>
      </c>
      <c r="M79" s="242">
        <f t="shared" si="48"/>
        <v>31749166.666666672</v>
      </c>
      <c r="N79" s="242">
        <f t="shared" si="48"/>
        <v>49211000</v>
      </c>
      <c r="O79" s="242">
        <f t="shared" si="48"/>
        <v>0</v>
      </c>
      <c r="P79" s="242">
        <f t="shared" si="48"/>
        <v>0</v>
      </c>
      <c r="Q79" s="243"/>
      <c r="R79" s="149"/>
    </row>
    <row r="80" spans="1:21" s="7" customFormat="1">
      <c r="A80" s="426"/>
      <c r="B80" s="427"/>
      <c r="C80" s="427"/>
      <c r="D80" s="427"/>
      <c r="E80" s="427"/>
      <c r="F80" s="427"/>
      <c r="G80" s="427"/>
      <c r="H80" s="427"/>
      <c r="I80" s="427"/>
      <c r="J80" s="427"/>
      <c r="K80" s="427"/>
      <c r="L80" s="427"/>
      <c r="M80" s="427"/>
      <c r="N80" s="427"/>
      <c r="O80" s="427"/>
      <c r="P80" s="427"/>
      <c r="Q80" s="243"/>
      <c r="R80" s="149"/>
    </row>
    <row r="81" spans="1:18" s="149" customFormat="1">
      <c r="A81" s="412" t="s">
        <v>165</v>
      </c>
      <c r="B81" s="424">
        <f>U71</f>
        <v>3754944046.4968791</v>
      </c>
      <c r="C81" s="420"/>
      <c r="D81" s="420"/>
      <c r="E81" s="420"/>
      <c r="F81" s="421"/>
      <c r="G81" s="421"/>
      <c r="H81" s="421"/>
      <c r="I81" s="421"/>
      <c r="J81" s="421"/>
      <c r="K81" s="421"/>
      <c r="L81" s="421"/>
      <c r="M81" s="422"/>
      <c r="N81" s="422"/>
      <c r="O81" s="423"/>
      <c r="P81" s="423"/>
      <c r="Q81" s="134"/>
    </row>
    <row r="82" spans="1:18" s="149" customFormat="1" ht="20.100000000000001" customHeight="1">
      <c r="A82" s="413" t="s">
        <v>166</v>
      </c>
      <c r="B82" s="425">
        <v>0.115</v>
      </c>
      <c r="C82" s="414"/>
      <c r="D82" s="414"/>
      <c r="E82" s="414"/>
      <c r="F82" s="415"/>
      <c r="G82" s="415"/>
      <c r="H82" s="415"/>
      <c r="I82" s="415"/>
      <c r="J82" s="415"/>
      <c r="K82" s="415"/>
      <c r="L82" s="415"/>
      <c r="M82" s="416"/>
      <c r="N82" s="416"/>
      <c r="O82" s="416"/>
      <c r="P82" s="416"/>
    </row>
    <row r="83" spans="1:18" s="149" customFormat="1" ht="20.100000000000001" customHeight="1">
      <c r="A83" s="413" t="s">
        <v>167</v>
      </c>
      <c r="B83" s="414">
        <f>SUM(C83:P83)</f>
        <v>2</v>
      </c>
      <c r="C83" s="414"/>
      <c r="D83" s="414"/>
      <c r="E83" s="414"/>
      <c r="F83" s="415"/>
      <c r="G83" s="414"/>
      <c r="H83" s="414"/>
      <c r="I83" s="414"/>
      <c r="J83" s="415"/>
      <c r="K83" s="414"/>
      <c r="L83" s="414"/>
      <c r="M83" s="414"/>
      <c r="N83" s="415"/>
      <c r="O83" s="416">
        <v>1</v>
      </c>
      <c r="P83" s="416">
        <v>1</v>
      </c>
      <c r="R83" s="410"/>
    </row>
    <row r="84" spans="1:18" s="149" customFormat="1" ht="20.100000000000001" customHeight="1">
      <c r="A84" s="413" t="s">
        <v>168</v>
      </c>
      <c r="B84" s="414"/>
      <c r="C84" s="414">
        <f>B81</f>
        <v>3754944046.4968791</v>
      </c>
      <c r="D84" s="414"/>
      <c r="E84" s="414"/>
      <c r="F84" s="415"/>
      <c r="G84" s="415"/>
      <c r="H84" s="415"/>
      <c r="I84" s="415"/>
      <c r="J84" s="415"/>
      <c r="K84" s="415"/>
      <c r="L84" s="415"/>
      <c r="M84" s="416"/>
      <c r="N84" s="416"/>
      <c r="O84" s="416"/>
      <c r="P84" s="416"/>
      <c r="R84" s="410"/>
    </row>
    <row r="85" spans="1:18" s="149" customFormat="1" ht="20.100000000000001" customHeight="1">
      <c r="A85" s="413" t="s">
        <v>169</v>
      </c>
      <c r="B85" s="414"/>
      <c r="C85" s="414">
        <f>C84</f>
        <v>3754944046.4968791</v>
      </c>
      <c r="D85" s="414">
        <f>C89</f>
        <v>4186762611.8440204</v>
      </c>
      <c r="E85" s="414">
        <f t="shared" ref="E85:P85" si="49">D89</f>
        <v>4186762611.8440204</v>
      </c>
      <c r="F85" s="414">
        <f t="shared" si="49"/>
        <v>4186762611.8440204</v>
      </c>
      <c r="G85" s="414">
        <f t="shared" si="49"/>
        <v>4186762611.8440204</v>
      </c>
      <c r="H85" s="414">
        <f t="shared" si="49"/>
        <v>4186762611.8440204</v>
      </c>
      <c r="I85" s="414">
        <f t="shared" si="49"/>
        <v>4186762611.8440204</v>
      </c>
      <c r="J85" s="414">
        <f t="shared" si="49"/>
        <v>4186762611.8440204</v>
      </c>
      <c r="K85" s="414">
        <f t="shared" si="49"/>
        <v>4186762611.8440204</v>
      </c>
      <c r="L85" s="414">
        <f t="shared" si="49"/>
        <v>4186762611.8440204</v>
      </c>
      <c r="M85" s="414">
        <f t="shared" si="49"/>
        <v>4186762611.8440204</v>
      </c>
      <c r="N85" s="414">
        <f t="shared" si="49"/>
        <v>4186762611.8440204</v>
      </c>
      <c r="O85" s="414">
        <f t="shared" si="49"/>
        <v>4186762611.8440204</v>
      </c>
      <c r="P85" s="414">
        <f t="shared" si="49"/>
        <v>2207205821.3740344</v>
      </c>
      <c r="R85" s="410"/>
    </row>
    <row r="86" spans="1:18" s="149" customFormat="1" ht="20.100000000000001" customHeight="1">
      <c r="A86" s="413" t="s">
        <v>170</v>
      </c>
      <c r="B86" s="414"/>
      <c r="C86" s="414">
        <f>C85*$B$82</f>
        <v>431818565.34714109</v>
      </c>
      <c r="D86" s="414">
        <f t="shared" ref="D86:N86" si="50">D85*$B$82</f>
        <v>481477700.36206234</v>
      </c>
      <c r="E86" s="414">
        <f t="shared" si="50"/>
        <v>481477700.36206234</v>
      </c>
      <c r="F86" s="414">
        <f t="shared" si="50"/>
        <v>481477700.36206234</v>
      </c>
      <c r="G86" s="414">
        <f t="shared" si="50"/>
        <v>481477700.36206234</v>
      </c>
      <c r="H86" s="414">
        <f t="shared" si="50"/>
        <v>481477700.36206234</v>
      </c>
      <c r="I86" s="414">
        <f t="shared" si="50"/>
        <v>481477700.36206234</v>
      </c>
      <c r="J86" s="414">
        <f t="shared" si="50"/>
        <v>481477700.36206234</v>
      </c>
      <c r="K86" s="414">
        <f t="shared" si="50"/>
        <v>481477700.36206234</v>
      </c>
      <c r="L86" s="414">
        <f t="shared" si="50"/>
        <v>481477700.36206234</v>
      </c>
      <c r="M86" s="414">
        <f t="shared" si="50"/>
        <v>481477700.36206234</v>
      </c>
      <c r="N86" s="414">
        <f t="shared" si="50"/>
        <v>481477700.36206234</v>
      </c>
      <c r="O86" s="416"/>
      <c r="P86" s="416"/>
      <c r="R86" s="410"/>
    </row>
    <row r="87" spans="1:18" s="149" customFormat="1" ht="20.100000000000001" customHeight="1">
      <c r="A87" s="413" t="s">
        <v>171</v>
      </c>
      <c r="B87" s="414"/>
      <c r="C87" s="414"/>
      <c r="D87" s="414"/>
      <c r="E87" s="414"/>
      <c r="F87" s="414"/>
      <c r="G87" s="414"/>
      <c r="H87" s="414"/>
      <c r="I87" s="414"/>
      <c r="J87" s="414"/>
      <c r="K87" s="414"/>
      <c r="L87" s="414"/>
      <c r="M87" s="414"/>
      <c r="N87" s="414"/>
      <c r="O87" s="414">
        <f t="shared" ref="O87:P87" si="51">O85*$B$82</f>
        <v>481477700.36206234</v>
      </c>
      <c r="P87" s="414">
        <f t="shared" si="51"/>
        <v>253828669.45801398</v>
      </c>
      <c r="Q87" s="149" t="s">
        <v>183</v>
      </c>
      <c r="R87" s="410"/>
    </row>
    <row r="88" spans="1:18" s="149" customFormat="1" ht="20.100000000000001" customHeight="1">
      <c r="A88" s="413" t="s">
        <v>172</v>
      </c>
      <c r="B88" s="414"/>
      <c r="C88" s="414"/>
      <c r="D88" s="414"/>
      <c r="E88" s="414"/>
      <c r="F88" s="414"/>
      <c r="G88" s="414"/>
      <c r="H88" s="414"/>
      <c r="I88" s="414"/>
      <c r="J88" s="414"/>
      <c r="K88" s="414"/>
      <c r="L88" s="414"/>
      <c r="M88" s="414"/>
      <c r="N88" s="414"/>
      <c r="O88" s="414">
        <f t="shared" ref="O88:P88" si="52">$D$90-O87</f>
        <v>1979556790.469986</v>
      </c>
      <c r="P88" s="414">
        <f t="shared" si="52"/>
        <v>2207205821.3740344</v>
      </c>
      <c r="Q88" s="149" t="s">
        <v>184</v>
      </c>
      <c r="R88" s="410"/>
    </row>
    <row r="89" spans="1:18" s="149" customFormat="1" ht="20.100000000000001" customHeight="1">
      <c r="A89" s="413" t="s">
        <v>173</v>
      </c>
      <c r="B89" s="414"/>
      <c r="C89" s="414">
        <f>C85+C86</f>
        <v>4186762611.8440204</v>
      </c>
      <c r="D89" s="414">
        <f>C89-D88</f>
        <v>4186762611.8440204</v>
      </c>
      <c r="E89" s="414">
        <f t="shared" ref="E89:P89" si="53">D89-E88</f>
        <v>4186762611.8440204</v>
      </c>
      <c r="F89" s="414">
        <f t="shared" si="53"/>
        <v>4186762611.8440204</v>
      </c>
      <c r="G89" s="414">
        <f t="shared" si="53"/>
        <v>4186762611.8440204</v>
      </c>
      <c r="H89" s="414">
        <f t="shared" si="53"/>
        <v>4186762611.8440204</v>
      </c>
      <c r="I89" s="414">
        <f t="shared" si="53"/>
        <v>4186762611.8440204</v>
      </c>
      <c r="J89" s="414">
        <f t="shared" si="53"/>
        <v>4186762611.8440204</v>
      </c>
      <c r="K89" s="414">
        <f t="shared" si="53"/>
        <v>4186762611.8440204</v>
      </c>
      <c r="L89" s="414">
        <f t="shared" si="53"/>
        <v>4186762611.8440204</v>
      </c>
      <c r="M89" s="414">
        <f t="shared" si="53"/>
        <v>4186762611.8440204</v>
      </c>
      <c r="N89" s="414">
        <f t="shared" si="53"/>
        <v>4186762611.8440204</v>
      </c>
      <c r="O89" s="414">
        <f t="shared" si="53"/>
        <v>2207205821.3740344</v>
      </c>
      <c r="P89" s="414">
        <f t="shared" si="53"/>
        <v>0</v>
      </c>
      <c r="R89" s="410"/>
    </row>
    <row r="90" spans="1:18" s="149" customFormat="1" ht="20.100000000000001" customHeight="1">
      <c r="A90" s="413" t="s">
        <v>174</v>
      </c>
      <c r="B90" s="414"/>
      <c r="C90" s="414"/>
      <c r="D90" s="414">
        <f>-PMT(B82,B83,C89,,0)</f>
        <v>2461034490.8320484</v>
      </c>
      <c r="E90" s="414"/>
      <c r="F90" s="415"/>
      <c r="G90" s="415"/>
      <c r="H90" s="415"/>
      <c r="I90" s="415"/>
      <c r="J90" s="415"/>
      <c r="K90" s="415"/>
      <c r="L90" s="415"/>
      <c r="M90" s="416"/>
      <c r="N90" s="416"/>
      <c r="O90" s="416"/>
      <c r="P90" s="416"/>
      <c r="R90" s="410"/>
    </row>
    <row r="91" spans="1:18" s="149" customFormat="1" ht="20.100000000000001" customHeight="1">
      <c r="A91" s="428"/>
      <c r="B91" s="429"/>
      <c r="C91" s="429"/>
      <c r="D91" s="429"/>
      <c r="E91" s="429"/>
      <c r="F91" s="430"/>
      <c r="G91" s="430"/>
      <c r="H91" s="430"/>
      <c r="I91" s="430"/>
      <c r="J91" s="430"/>
      <c r="K91" s="430"/>
      <c r="L91" s="430"/>
      <c r="M91" s="431"/>
      <c r="N91" s="431"/>
      <c r="O91" s="431"/>
      <c r="P91" s="432">
        <f>P89</f>
        <v>0</v>
      </c>
      <c r="R91" s="410"/>
    </row>
    <row r="92" spans="1:18" s="149" customFormat="1">
      <c r="A92" s="287"/>
      <c r="B92" s="288" t="s">
        <v>182</v>
      </c>
      <c r="C92" s="288" t="s">
        <v>179</v>
      </c>
      <c r="D92" s="288" t="s">
        <v>180</v>
      </c>
      <c r="E92" s="288"/>
      <c r="F92" s="289"/>
      <c r="G92" s="289"/>
      <c r="H92" s="289"/>
      <c r="I92" s="289"/>
      <c r="J92" s="289"/>
      <c r="K92" s="289"/>
      <c r="L92" s="289"/>
      <c r="O92" s="435">
        <f>O88+O87</f>
        <v>2461034490.8320484</v>
      </c>
      <c r="P92" s="435">
        <f>P88+P87</f>
        <v>2461034490.8320484</v>
      </c>
      <c r="Q92" s="435">
        <f>SUM(C92:P92)</f>
        <v>4922068981.6640968</v>
      </c>
    </row>
    <row r="93" spans="1:18" s="149" customFormat="1" ht="13.5" thickBot="1">
      <c r="A93" s="433" t="s">
        <v>178</v>
      </c>
      <c r="B93" s="434">
        <f>C93-D93</f>
        <v>362625952.44967461</v>
      </c>
      <c r="C93" s="434">
        <f>C84+B65</f>
        <v>9702276165.2865696</v>
      </c>
      <c r="D93" s="434">
        <f>B78+Q92</f>
        <v>9339650212.836895</v>
      </c>
      <c r="E93" s="239"/>
      <c r="F93" s="240"/>
      <c r="G93" s="240"/>
      <c r="H93" s="240"/>
      <c r="I93" s="240"/>
      <c r="J93" s="240"/>
      <c r="K93" s="240"/>
      <c r="L93" s="240"/>
      <c r="M93" s="241"/>
      <c r="N93" s="241"/>
      <c r="O93" s="241"/>
      <c r="P93" s="241"/>
      <c r="Q93" s="241"/>
    </row>
    <row r="94" spans="1:18" s="6" customFormat="1">
      <c r="A94" s="292" t="s">
        <v>79</v>
      </c>
      <c r="B94" s="436">
        <f>SUM(C94:P94)</f>
        <v>362625952.44967318</v>
      </c>
      <c r="C94" s="436">
        <f>C67-C78+C84</f>
        <v>3669585528.5168791</v>
      </c>
      <c r="D94" s="436">
        <f>D67-D78</f>
        <v>-21038720.099399999</v>
      </c>
      <c r="E94" s="293">
        <f t="shared" ref="E94:N94" si="54">E67-E78</f>
        <v>-167084272.09940001</v>
      </c>
      <c r="F94" s="293">
        <f t="shared" si="54"/>
        <v>-402027272.09939998</v>
      </c>
      <c r="G94" s="293">
        <f t="shared" si="54"/>
        <v>-382978272.09939998</v>
      </c>
      <c r="H94" s="293">
        <f t="shared" si="54"/>
        <v>-573473272.09940004</v>
      </c>
      <c r="I94" s="293">
        <f t="shared" si="54"/>
        <v>-763967272.09940004</v>
      </c>
      <c r="J94" s="293">
        <f t="shared" si="54"/>
        <v>-573473272.09940004</v>
      </c>
      <c r="K94" s="293">
        <f t="shared" si="54"/>
        <v>-573473272.09940004</v>
      </c>
      <c r="L94" s="293">
        <f t="shared" si="54"/>
        <v>-382978272.09939998</v>
      </c>
      <c r="M94" s="293">
        <f t="shared" si="54"/>
        <v>-192484272.09940001</v>
      </c>
      <c r="N94" s="293">
        <f t="shared" si="54"/>
        <v>4947804659.6207581</v>
      </c>
      <c r="O94" s="293">
        <f>O67-O78-O92</f>
        <v>-2219592099.1160226</v>
      </c>
      <c r="P94" s="293">
        <f>P67-P78-P92</f>
        <v>-2002193967.5779409</v>
      </c>
      <c r="Q94" s="238"/>
    </row>
    <row r="95" spans="1:18" s="323" customFormat="1" ht="25.5">
      <c r="A95" s="320" t="s">
        <v>92</v>
      </c>
      <c r="B95" s="321"/>
      <c r="C95" s="321">
        <f>C94-C96</f>
        <v>3669585528.5168791</v>
      </c>
      <c r="D95" s="321">
        <f t="shared" ref="D95:M95" si="55">D94-D96</f>
        <v>-21038720.099399999</v>
      </c>
      <c r="E95" s="321">
        <f t="shared" si="55"/>
        <v>-167084272.09940001</v>
      </c>
      <c r="F95" s="321">
        <f t="shared" si="55"/>
        <v>-402027272.09939998</v>
      </c>
      <c r="G95" s="321">
        <f t="shared" si="55"/>
        <v>-382978272.09939998</v>
      </c>
      <c r="H95" s="321">
        <f t="shared" si="55"/>
        <v>-573473272.09940004</v>
      </c>
      <c r="I95" s="321">
        <f t="shared" si="55"/>
        <v>-763967272.09940004</v>
      </c>
      <c r="J95" s="321">
        <f t="shared" si="55"/>
        <v>-573473272.09940004</v>
      </c>
      <c r="K95" s="321">
        <f t="shared" si="55"/>
        <v>-573473272.09940004</v>
      </c>
      <c r="L95" s="321">
        <f t="shared" si="55"/>
        <v>-382978272.09939998</v>
      </c>
      <c r="M95" s="321">
        <f t="shared" si="55"/>
        <v>-192484272.09940001</v>
      </c>
      <c r="N95" s="321">
        <f>N94-N96</f>
        <v>-297255272.09939957</v>
      </c>
      <c r="O95" s="321">
        <f t="shared" ref="O95:P95" si="56">O94-O96</f>
        <v>-2462029126.8817482</v>
      </c>
      <c r="P95" s="321">
        <f t="shared" si="56"/>
        <v>-2462029126.8817482</v>
      </c>
      <c r="Q95" s="322"/>
    </row>
    <row r="96" spans="1:18" s="323" customFormat="1" ht="26.25" thickBot="1">
      <c r="A96" s="320" t="s">
        <v>95</v>
      </c>
      <c r="B96" s="324"/>
      <c r="C96" s="325"/>
      <c r="D96" s="325"/>
      <c r="E96" s="325"/>
      <c r="F96" s="325"/>
      <c r="G96" s="324"/>
      <c r="H96" s="324"/>
      <c r="I96" s="324"/>
      <c r="J96" s="324"/>
      <c r="K96" s="324"/>
      <c r="L96" s="324"/>
      <c r="M96" s="324"/>
      <c r="N96" s="324">
        <f>SUM(G65:N65)</f>
        <v>5245059931.7201576</v>
      </c>
      <c r="O96" s="326">
        <f>O65</f>
        <v>242437027.76572576</v>
      </c>
      <c r="P96" s="326">
        <f>P65</f>
        <v>459835159.30380738</v>
      </c>
      <c r="Q96" s="411"/>
    </row>
    <row r="97" spans="1:17" s="6" customFormat="1">
      <c r="A97" s="292" t="s">
        <v>97</v>
      </c>
      <c r="B97" s="293"/>
      <c r="C97" s="293"/>
      <c r="D97" s="293"/>
      <c r="E97" s="293"/>
      <c r="F97" s="293"/>
      <c r="G97" s="293"/>
      <c r="H97" s="293"/>
      <c r="I97" s="293"/>
      <c r="J97" s="293"/>
      <c r="K97" s="293"/>
      <c r="L97" s="293"/>
      <c r="M97" s="293"/>
      <c r="N97" s="293"/>
      <c r="O97" s="293"/>
      <c r="P97" s="293"/>
      <c r="Q97" s="238"/>
    </row>
    <row r="98" spans="1:17" s="311" customFormat="1">
      <c r="A98" s="333" t="s">
        <v>80</v>
      </c>
      <c r="B98" s="329">
        <f>SUM(C98:P98)</f>
        <v>1619931222.7896905</v>
      </c>
      <c r="C98" s="329">
        <f t="shared" ref="C98:O98" si="57">C65-C78+C77</f>
        <v>-19049447.999999993</v>
      </c>
      <c r="D98" s="329">
        <f t="shared" si="57"/>
        <v>-19049448</v>
      </c>
      <c r="E98" s="329">
        <f t="shared" si="57"/>
        <v>-165095000</v>
      </c>
      <c r="F98" s="329">
        <f t="shared" si="57"/>
        <v>-400038000</v>
      </c>
      <c r="G98" s="329">
        <f t="shared" si="57"/>
        <v>507038922.25701606</v>
      </c>
      <c r="H98" s="329">
        <f t="shared" si="57"/>
        <v>234461333.69378969</v>
      </c>
      <c r="I98" s="329">
        <f t="shared" si="57"/>
        <v>11733385.42056568</v>
      </c>
      <c r="J98" s="329">
        <f t="shared" si="57"/>
        <v>167493014.77702007</v>
      </c>
      <c r="K98" s="329">
        <f t="shared" si="57"/>
        <v>130141637.68160816</v>
      </c>
      <c r="L98" s="329">
        <f t="shared" si="57"/>
        <v>184323623.52216795</v>
      </c>
      <c r="M98" s="329">
        <f t="shared" si="57"/>
        <v>310556624.64143151</v>
      </c>
      <c r="N98" s="329">
        <f t="shared" si="57"/>
        <v>-24857610.273441717</v>
      </c>
      <c r="O98" s="330">
        <f t="shared" si="57"/>
        <v>242437027.76572576</v>
      </c>
      <c r="P98" s="330">
        <f t="shared" ref="P98" si="58">P65-P78+P77</f>
        <v>459835159.30380738</v>
      </c>
      <c r="Q98" s="331"/>
    </row>
    <row r="99" spans="1:17" s="311" customFormat="1">
      <c r="A99" s="333" t="s">
        <v>81</v>
      </c>
      <c r="B99" s="334">
        <v>0.2</v>
      </c>
      <c r="C99" s="329">
        <v>0</v>
      </c>
      <c r="D99" s="329">
        <v>0</v>
      </c>
      <c r="E99" s="329">
        <v>0</v>
      </c>
      <c r="F99" s="329">
        <v>0</v>
      </c>
      <c r="G99" s="329">
        <v>0</v>
      </c>
      <c r="H99" s="329">
        <v>0</v>
      </c>
      <c r="I99" s="329">
        <v>0</v>
      </c>
      <c r="J99" s="329">
        <v>0</v>
      </c>
      <c r="K99" s="329">
        <v>0</v>
      </c>
      <c r="L99" s="329">
        <v>0</v>
      </c>
      <c r="M99" s="329">
        <v>0</v>
      </c>
      <c r="N99" s="329">
        <v>0</v>
      </c>
      <c r="O99" s="330">
        <v>0</v>
      </c>
      <c r="P99" s="437">
        <v>1</v>
      </c>
      <c r="Q99" s="331">
        <f>B98/(1+B99)*B99</f>
        <v>269988537.1316151</v>
      </c>
    </row>
    <row r="100" spans="1:17" s="311" customFormat="1">
      <c r="A100" s="333" t="s">
        <v>82</v>
      </c>
      <c r="B100" s="329">
        <f>SUM(C100:Q100)</f>
        <v>92637414.318058074</v>
      </c>
      <c r="C100" s="329">
        <f>C94-C99</f>
        <v>3669585528.5168791</v>
      </c>
      <c r="D100" s="329">
        <f t="shared" ref="D100:M100" si="59">D94-D99</f>
        <v>-21038720.099399999</v>
      </c>
      <c r="E100" s="329">
        <f t="shared" si="59"/>
        <v>-167084272.09940001</v>
      </c>
      <c r="F100" s="329">
        <f t="shared" si="59"/>
        <v>-402027272.09939998</v>
      </c>
      <c r="G100" s="329">
        <f t="shared" si="59"/>
        <v>-382978272.09939998</v>
      </c>
      <c r="H100" s="329">
        <f>H94-H99</f>
        <v>-573473272.09940004</v>
      </c>
      <c r="I100" s="329">
        <f>I94-I99</f>
        <v>-763967272.09940004</v>
      </c>
      <c r="J100" s="329">
        <f>J94-J99</f>
        <v>-573473272.09940004</v>
      </c>
      <c r="K100" s="329">
        <f>K94-K99</f>
        <v>-573473272.09940004</v>
      </c>
      <c r="L100" s="329">
        <f t="shared" si="59"/>
        <v>-382978272.09939998</v>
      </c>
      <c r="M100" s="329">
        <f t="shared" si="59"/>
        <v>-192484272.09940001</v>
      </c>
      <c r="N100" s="329">
        <f>N94-N99</f>
        <v>4947804659.6207581</v>
      </c>
      <c r="O100" s="330">
        <f>O94-O99</f>
        <v>-2219592099.1160226</v>
      </c>
      <c r="P100" s="330">
        <f>P94-P99</f>
        <v>-2002193968.5779409</v>
      </c>
      <c r="Q100" s="335">
        <f>Q94-Q99</f>
        <v>-269988537.1316151</v>
      </c>
    </row>
    <row r="101" spans="1:17" s="332" customFormat="1">
      <c r="A101" s="336" t="s">
        <v>83</v>
      </c>
      <c r="B101" s="298">
        <v>0.2</v>
      </c>
      <c r="C101" s="298">
        <v>0</v>
      </c>
      <c r="D101" s="298">
        <v>0</v>
      </c>
      <c r="E101" s="298">
        <v>0</v>
      </c>
      <c r="F101" s="298">
        <v>0</v>
      </c>
      <c r="G101" s="298">
        <v>0</v>
      </c>
      <c r="H101" s="298">
        <v>0</v>
      </c>
      <c r="I101" s="298">
        <v>0</v>
      </c>
      <c r="J101" s="298">
        <v>0</v>
      </c>
      <c r="K101" s="298">
        <v>0</v>
      </c>
      <c r="L101" s="298">
        <v>0</v>
      </c>
      <c r="M101" s="298">
        <v>0</v>
      </c>
      <c r="N101" s="298">
        <v>0</v>
      </c>
      <c r="O101" s="299">
        <v>0</v>
      </c>
      <c r="P101" s="299">
        <v>1</v>
      </c>
      <c r="Q101" s="331">
        <f>-B100*B101</f>
        <v>-18527482.863611616</v>
      </c>
    </row>
    <row r="102" spans="1:17" s="332" customFormat="1">
      <c r="A102" s="337" t="s">
        <v>96</v>
      </c>
      <c r="B102" s="338"/>
      <c r="C102" s="338">
        <f>C99+C101</f>
        <v>0</v>
      </c>
      <c r="D102" s="338">
        <f t="shared" ref="D102:O102" si="60">D99+D101</f>
        <v>0</v>
      </c>
      <c r="E102" s="338">
        <f t="shared" si="60"/>
        <v>0</v>
      </c>
      <c r="F102" s="338">
        <f t="shared" si="60"/>
        <v>0</v>
      </c>
      <c r="G102" s="338">
        <f t="shared" si="60"/>
        <v>0</v>
      </c>
      <c r="H102" s="338">
        <f t="shared" si="60"/>
        <v>0</v>
      </c>
      <c r="I102" s="338">
        <f t="shared" si="60"/>
        <v>0</v>
      </c>
      <c r="J102" s="338">
        <f t="shared" si="60"/>
        <v>0</v>
      </c>
      <c r="K102" s="338">
        <f t="shared" si="60"/>
        <v>0</v>
      </c>
      <c r="L102" s="338">
        <f t="shared" si="60"/>
        <v>0</v>
      </c>
      <c r="M102" s="338">
        <f t="shared" si="60"/>
        <v>0</v>
      </c>
      <c r="N102" s="338">
        <f t="shared" si="60"/>
        <v>0</v>
      </c>
      <c r="O102" s="338">
        <f t="shared" si="60"/>
        <v>0</v>
      </c>
      <c r="P102" s="338">
        <f t="shared" ref="P102" si="61">P99+P101</f>
        <v>2</v>
      </c>
      <c r="Q102" s="338">
        <f>Q100+Q101</f>
        <v>-288516019.99522674</v>
      </c>
    </row>
    <row r="103" spans="1:17" s="311" customFormat="1" ht="13.5" thickBot="1">
      <c r="A103" s="327"/>
      <c r="B103" s="328"/>
      <c r="C103" s="329"/>
      <c r="D103" s="329"/>
      <c r="E103" s="329"/>
      <c r="F103" s="329"/>
      <c r="G103" s="329"/>
      <c r="H103" s="329"/>
      <c r="I103" s="329"/>
      <c r="J103" s="329"/>
      <c r="K103" s="329"/>
      <c r="L103" s="329"/>
      <c r="M103" s="329"/>
      <c r="N103" s="329"/>
      <c r="O103" s="330"/>
      <c r="P103" s="330"/>
      <c r="Q103" s="331"/>
    </row>
    <row r="104" spans="1:17" s="6" customFormat="1">
      <c r="A104" s="292" t="s">
        <v>98</v>
      </c>
      <c r="B104" s="293"/>
      <c r="C104" s="293"/>
      <c r="D104" s="293"/>
      <c r="E104" s="293"/>
      <c r="F104" s="293"/>
      <c r="G104" s="293"/>
      <c r="H104" s="293"/>
      <c r="I104" s="293"/>
      <c r="J104" s="293"/>
      <c r="K104" s="293"/>
      <c r="L104" s="293"/>
      <c r="M104" s="293"/>
      <c r="N104" s="293"/>
      <c r="O104" s="293"/>
      <c r="P104" s="293"/>
      <c r="Q104" s="238"/>
    </row>
    <row r="105" spans="1:17">
      <c r="A105" s="251" t="s">
        <v>86</v>
      </c>
      <c r="B105" s="156">
        <v>19</v>
      </c>
      <c r="C105" s="157">
        <f>(POWER((1+$B$105/100),1/4)-1)*100</f>
        <v>4.4447802172789874</v>
      </c>
      <c r="D105" s="157">
        <f t="shared" ref="D105:M105" si="62">(POWER((1+$B$105/100),1/4)-1)*100</f>
        <v>4.4447802172789874</v>
      </c>
      <c r="E105" s="157">
        <f t="shared" si="62"/>
        <v>4.4447802172789874</v>
      </c>
      <c r="F105" s="157">
        <f t="shared" si="62"/>
        <v>4.4447802172789874</v>
      </c>
      <c r="G105" s="157">
        <f t="shared" si="62"/>
        <v>4.4447802172789874</v>
      </c>
      <c r="H105" s="157">
        <f t="shared" si="62"/>
        <v>4.4447802172789874</v>
      </c>
      <c r="I105" s="157">
        <f t="shared" si="62"/>
        <v>4.4447802172789874</v>
      </c>
      <c r="J105" s="157">
        <f t="shared" si="62"/>
        <v>4.4447802172789874</v>
      </c>
      <c r="K105" s="157">
        <f t="shared" si="62"/>
        <v>4.4447802172789874</v>
      </c>
      <c r="L105" s="157">
        <f t="shared" si="62"/>
        <v>4.4447802172789874</v>
      </c>
      <c r="M105" s="157">
        <f t="shared" si="62"/>
        <v>4.4447802172789874</v>
      </c>
      <c r="N105" s="157">
        <f>M105</f>
        <v>4.4447802172789874</v>
      </c>
      <c r="O105" s="294">
        <f>N105</f>
        <v>4.4447802172789874</v>
      </c>
      <c r="P105" s="294">
        <f>O105</f>
        <v>4.4447802172789874</v>
      </c>
      <c r="Q105" s="159">
        <f>O105</f>
        <v>4.4447802172789874</v>
      </c>
    </row>
    <row r="106" spans="1:17" ht="25.5">
      <c r="A106" s="249" t="s">
        <v>90</v>
      </c>
      <c r="B106" s="160"/>
      <c r="C106" s="161">
        <f>1/(1+C105/100)^0.5</f>
        <v>0.9784905367330925</v>
      </c>
      <c r="D106" s="161">
        <f>C106/(1+D105/100)</f>
        <v>0.9368496297254062</v>
      </c>
      <c r="E106" s="161">
        <f>D106/(1+E105/100)</f>
        <v>0.89698080437955385</v>
      </c>
      <c r="F106" s="161">
        <f>E106/(1+F105/100)</f>
        <v>0.85880864751071628</v>
      </c>
      <c r="G106" s="161">
        <f t="shared" ref="G106:P106" si="63">F106/(1+G105/100)</f>
        <v>0.82226095523789322</v>
      </c>
      <c r="H106" s="161">
        <f t="shared" si="63"/>
        <v>0.7872685964079047</v>
      </c>
      <c r="I106" s="161">
        <f t="shared" si="63"/>
        <v>0.75376538183155817</v>
      </c>
      <c r="J106" s="161">
        <f t="shared" si="63"/>
        <v>0.7216879390846358</v>
      </c>
      <c r="K106" s="161">
        <f t="shared" si="63"/>
        <v>0.69097559263688524</v>
      </c>
      <c r="L106" s="161">
        <f t="shared" si="63"/>
        <v>0.66157024908227302</v>
      </c>
      <c r="M106" s="161">
        <f t="shared" si="63"/>
        <v>0.63341628725341037</v>
      </c>
      <c r="N106" s="161">
        <f t="shared" si="63"/>
        <v>0.60646045301229912</v>
      </c>
      <c r="O106" s="295">
        <f t="shared" si="63"/>
        <v>0.58065175851839113</v>
      </c>
      <c r="P106" s="295">
        <f t="shared" si="63"/>
        <v>0.55594138578342289</v>
      </c>
      <c r="Q106" s="163">
        <f>O106/(1+Q105/100)</f>
        <v>0.55594138578342289</v>
      </c>
    </row>
    <row r="107" spans="1:17" ht="38.25">
      <c r="A107" s="249" t="s">
        <v>91</v>
      </c>
      <c r="B107" s="160"/>
      <c r="C107" s="161">
        <f>1/(1+C106/100)</f>
        <v>0.99030991123424306</v>
      </c>
      <c r="D107" s="161">
        <f>C107/(1+D105/100)</f>
        <v>0.94816601573968329</v>
      </c>
      <c r="E107" s="161">
        <f t="shared" ref="E107:N107" si="64">D107/(1+E105/100)</f>
        <v>0.9078156072205722</v>
      </c>
      <c r="F107" s="161">
        <f t="shared" si="64"/>
        <v>0.86918236156179518</v>
      </c>
      <c r="G107" s="161">
        <f t="shared" si="64"/>
        <v>0.83219320271785169</v>
      </c>
      <c r="H107" s="161">
        <f t="shared" si="64"/>
        <v>0.79677816448712913</v>
      </c>
      <c r="I107" s="161">
        <f t="shared" si="64"/>
        <v>0.76287025816854837</v>
      </c>
      <c r="J107" s="161">
        <f t="shared" si="64"/>
        <v>0.73040534585024841</v>
      </c>
      <c r="K107" s="161">
        <f t="shared" si="64"/>
        <v>0.69932201909063196</v>
      </c>
      <c r="L107" s="161">
        <f t="shared" si="64"/>
        <v>0.66956148276229366</v>
      </c>
      <c r="M107" s="161">
        <f t="shared" si="64"/>
        <v>0.64106744383911651</v>
      </c>
      <c r="N107" s="161">
        <f t="shared" si="64"/>
        <v>0.6137860049161753</v>
      </c>
      <c r="O107" s="295">
        <f>N107/(1+O105/100)</f>
        <v>0.5876655622610355</v>
      </c>
      <c r="P107" s="295">
        <f>O107/(1+P105/100)</f>
        <v>0.56265670820360836</v>
      </c>
      <c r="Q107" s="163">
        <f>O107/(1+Q105/100)</f>
        <v>0.56265670820360836</v>
      </c>
    </row>
    <row r="108" spans="1:17" ht="26.25" customHeight="1" thickBot="1">
      <c r="A108" s="164" t="s">
        <v>99</v>
      </c>
      <c r="B108" s="296">
        <f>SUM(C108:Q108)</f>
        <v>1029705193.2626386</v>
      </c>
      <c r="C108" s="297">
        <f>C95*C106+C96*C107+C102*C106</f>
        <v>3590654713.3864698</v>
      </c>
      <c r="D108" s="297">
        <f t="shared" ref="D108:O108" si="65">D95*D106+D96*D107+D102*D106</f>
        <v>-19710117.135019351</v>
      </c>
      <c r="E108" s="297">
        <f t="shared" si="65"/>
        <v>-149871384.78689209</v>
      </c>
      <c r="F108" s="297">
        <f t="shared" si="65"/>
        <v>-345264497.81410843</v>
      </c>
      <c r="G108" s="297">
        <f t="shared" si="65"/>
        <v>-314908079.8518104</v>
      </c>
      <c r="H108" s="297">
        <f t="shared" si="65"/>
        <v>-451477498.00314307</v>
      </c>
      <c r="I108" s="297">
        <f t="shared" si="65"/>
        <v>-575852082.5608182</v>
      </c>
      <c r="J108" s="297">
        <f t="shared" si="65"/>
        <v>-413868743.86153859</v>
      </c>
      <c r="K108" s="297">
        <f t="shared" si="65"/>
        <v>-396256034.05029666</v>
      </c>
      <c r="L108" s="297">
        <f t="shared" si="65"/>
        <v>-253367030.86589858</v>
      </c>
      <c r="M108" s="297">
        <f t="shared" si="65"/>
        <v>-121922672.98787716</v>
      </c>
      <c r="N108" s="297">
        <f t="shared" si="65"/>
        <v>3039070814.0587268</v>
      </c>
      <c r="O108" s="297">
        <f t="shared" si="65"/>
        <v>-1287109649.8125467</v>
      </c>
      <c r="P108" s="297">
        <f t="shared" ref="P108" si="66">P95*P106+P96*P107+P102*P106</f>
        <v>-1110014546.475745</v>
      </c>
      <c r="Q108" s="297">
        <f>Q95*Q106+Q96*Q107+Q102*Q106</f>
        <v>-160397995.9768641</v>
      </c>
    </row>
    <row r="109" spans="1:17" s="14" customFormat="1" ht="13.5" thickTop="1">
      <c r="A109" s="169"/>
      <c r="B109" s="170"/>
      <c r="C109" s="170"/>
      <c r="D109" s="290"/>
      <c r="E109" s="290"/>
      <c r="F109" s="290"/>
      <c r="G109" s="290"/>
      <c r="H109" s="290"/>
      <c r="I109" s="290"/>
      <c r="J109" s="290"/>
      <c r="K109" s="290"/>
      <c r="L109" s="290"/>
      <c r="M109" s="291"/>
    </row>
    <row r="110" spans="1:17" s="14" customFormat="1">
      <c r="A110" s="174"/>
      <c r="B110" s="543"/>
      <c r="C110" s="543"/>
      <c r="D110" s="543"/>
      <c r="E110" s="175"/>
      <c r="F110" s="176"/>
      <c r="G110" s="176"/>
      <c r="H110" s="176"/>
      <c r="I110" s="176"/>
      <c r="J110" s="176"/>
      <c r="K110" s="176"/>
      <c r="L110" s="176"/>
      <c r="M110" s="176"/>
      <c r="N110" s="177"/>
    </row>
    <row r="111" spans="1:17" s="14" customFormat="1" ht="12.75" customHeight="1">
      <c r="A111" s="524" t="s">
        <v>88</v>
      </c>
      <c r="B111" s="524"/>
      <c r="C111" s="524"/>
      <c r="D111" s="524"/>
      <c r="E111" s="524"/>
      <c r="F111" s="524"/>
      <c r="G111" s="524"/>
      <c r="H111" s="524"/>
      <c r="I111" s="524"/>
      <c r="J111" s="524"/>
      <c r="K111" s="524"/>
      <c r="L111" s="178"/>
      <c r="M111" s="178"/>
      <c r="N111" s="177"/>
    </row>
    <row r="112" spans="1:17" s="14" customFormat="1" ht="12.75" customHeight="1">
      <c r="A112" s="524"/>
      <c r="B112" s="524"/>
      <c r="C112" s="524"/>
      <c r="D112" s="524"/>
      <c r="E112" s="524"/>
      <c r="F112" s="524"/>
      <c r="G112" s="524"/>
      <c r="H112" s="524"/>
      <c r="I112" s="524"/>
      <c r="J112" s="524"/>
      <c r="K112" s="524"/>
      <c r="L112" s="179"/>
      <c r="M112" s="179"/>
      <c r="N112" s="177"/>
    </row>
    <row r="113" spans="1:14" s="14" customFormat="1" ht="12.75" customHeight="1">
      <c r="A113" s="524"/>
      <c r="B113" s="524"/>
      <c r="C113" s="524"/>
      <c r="D113" s="524"/>
      <c r="E113" s="524"/>
      <c r="F113" s="524"/>
      <c r="G113" s="524"/>
      <c r="H113" s="524"/>
      <c r="I113" s="524"/>
      <c r="J113" s="524"/>
      <c r="K113" s="524"/>
      <c r="L113" s="179"/>
      <c r="M113" s="179"/>
      <c r="N113" s="177"/>
    </row>
    <row r="114" spans="1:14" s="14" customFormat="1" ht="26.25" customHeight="1">
      <c r="A114" s="524"/>
      <c r="B114" s="524"/>
      <c r="C114" s="524"/>
      <c r="D114" s="524"/>
      <c r="E114" s="524"/>
      <c r="F114" s="524"/>
      <c r="G114" s="524"/>
      <c r="H114" s="524"/>
      <c r="I114" s="524"/>
      <c r="J114" s="524"/>
      <c r="K114" s="524"/>
      <c r="L114" s="179"/>
      <c r="M114" s="179"/>
      <c r="N114" s="177"/>
    </row>
    <row r="115" spans="1:14" s="14" customFormat="1" ht="26.25" customHeight="1">
      <c r="A115" s="524"/>
      <c r="B115" s="524"/>
      <c r="C115" s="524"/>
      <c r="D115" s="524"/>
      <c r="E115" s="524"/>
      <c r="F115" s="524"/>
      <c r="G115" s="524"/>
      <c r="H115" s="524"/>
      <c r="I115" s="524"/>
      <c r="J115" s="524"/>
      <c r="K115" s="524"/>
      <c r="L115" s="180"/>
      <c r="M115" s="180"/>
      <c r="N115" s="177"/>
    </row>
    <row r="116" spans="1:14" s="14" customFormat="1" ht="39.75" hidden="1" customHeight="1" outlineLevel="1">
      <c r="A116" s="524"/>
      <c r="B116" s="524"/>
      <c r="C116" s="524"/>
      <c r="D116" s="524"/>
      <c r="E116" s="524"/>
      <c r="F116" s="524"/>
      <c r="G116" s="524"/>
      <c r="H116" s="524"/>
      <c r="I116" s="524"/>
      <c r="J116" s="524"/>
      <c r="K116" s="524"/>
      <c r="L116" s="180"/>
      <c r="M116" s="180"/>
      <c r="N116" s="177"/>
    </row>
    <row r="117" spans="1:14" s="183" customFormat="1" ht="65.25" hidden="1" customHeight="1" outlineLevel="1">
      <c r="A117" s="524"/>
      <c r="B117" s="524"/>
      <c r="C117" s="524"/>
      <c r="D117" s="524"/>
      <c r="E117" s="524"/>
      <c r="F117" s="524"/>
      <c r="G117" s="524"/>
      <c r="H117" s="524"/>
      <c r="I117" s="524"/>
      <c r="J117" s="524"/>
      <c r="K117" s="524"/>
      <c r="L117" s="181"/>
      <c r="M117" s="182"/>
      <c r="N117" s="182"/>
    </row>
    <row r="118" spans="1:14" s="182" customFormat="1" ht="18.75" collapsed="1">
      <c r="A118" s="524"/>
      <c r="B118" s="524"/>
      <c r="C118" s="524"/>
      <c r="D118" s="524"/>
      <c r="E118" s="524"/>
      <c r="F118" s="524"/>
      <c r="G118" s="524"/>
      <c r="H118" s="524"/>
      <c r="I118" s="524"/>
      <c r="J118" s="524"/>
      <c r="K118" s="524"/>
      <c r="L118" s="181"/>
    </row>
    <row r="119" spans="1:14" s="183" customFormat="1" ht="18.75">
      <c r="A119" s="169"/>
      <c r="B119" s="169"/>
      <c r="C119" s="169"/>
      <c r="D119" s="169"/>
      <c r="E119" s="169"/>
      <c r="F119" s="169"/>
      <c r="G119" s="169"/>
      <c r="H119" s="169"/>
      <c r="I119" s="169"/>
      <c r="J119" s="169"/>
      <c r="K119" s="169"/>
      <c r="L119" s="184"/>
    </row>
    <row r="120" spans="1:14" s="14" customFormat="1">
      <c r="B120" s="185"/>
      <c r="C120" s="186"/>
      <c r="D120" s="186"/>
      <c r="E120" s="186"/>
      <c r="F120" s="186"/>
      <c r="G120" s="186"/>
      <c r="H120" s="186"/>
      <c r="I120" s="186"/>
      <c r="J120" s="186"/>
      <c r="K120" s="186"/>
      <c r="L120" s="186"/>
    </row>
    <row r="121" spans="1:14" ht="15.75" customHeight="1">
      <c r="B121" s="187"/>
    </row>
    <row r="151" spans="2:29">
      <c r="C151" s="189"/>
    </row>
    <row r="152" spans="2:29">
      <c r="B152" s="22"/>
      <c r="C152" s="15"/>
      <c r="D152" s="15"/>
      <c r="E152" s="15"/>
      <c r="F152" s="15"/>
      <c r="G152" s="15"/>
      <c r="H152" s="15"/>
      <c r="I152" s="15"/>
      <c r="J152" s="15"/>
      <c r="K152" s="15"/>
      <c r="L152" s="15"/>
    </row>
    <row r="153" spans="2:29"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</row>
    <row r="155" spans="2:29"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C155" s="190"/>
    </row>
    <row r="157" spans="2:29">
      <c r="B157" s="15"/>
      <c r="C157" s="15"/>
      <c r="D157" s="191"/>
      <c r="E157" s="191"/>
      <c r="F157" s="15"/>
      <c r="G157" s="15"/>
      <c r="H157" s="15"/>
      <c r="I157" s="15"/>
      <c r="J157" s="15"/>
      <c r="K157" s="15"/>
      <c r="L157" s="15"/>
    </row>
  </sheetData>
  <mergeCells count="18">
    <mergeCell ref="A9:A10"/>
    <mergeCell ref="Q1:T3"/>
    <mergeCell ref="U1:X3"/>
    <mergeCell ref="A2:B2"/>
    <mergeCell ref="Q4:T6"/>
    <mergeCell ref="U4:X6"/>
    <mergeCell ref="T53:W55"/>
    <mergeCell ref="A11:A12"/>
    <mergeCell ref="A13:A14"/>
    <mergeCell ref="A16:B17"/>
    <mergeCell ref="C16:F16"/>
    <mergeCell ref="G16:J16"/>
    <mergeCell ref="K16:M16"/>
    <mergeCell ref="B110:D110"/>
    <mergeCell ref="A111:K118"/>
    <mergeCell ref="C20:F20"/>
    <mergeCell ref="G20:J20"/>
    <mergeCell ref="K20:M20"/>
  </mergeCells>
  <printOptions horizontalCentered="1" verticalCentered="1"/>
  <pageMargins left="0.39370078740157483" right="0.39370078740157483" top="0.31496062992125984" bottom="0.31496062992125984" header="0.19685039370078741" footer="0.19685039370078741"/>
  <pageSetup scale="52" fitToHeight="2" orientation="landscape" horizontalDpi="300" verticalDpi="300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2</vt:i4>
      </vt:variant>
    </vt:vector>
  </HeadingPairs>
  <TitlesOfParts>
    <vt:vector size="5" baseType="lpstr">
      <vt:lpstr>Задачи</vt:lpstr>
      <vt:lpstr>Весь проект</vt:lpstr>
      <vt:lpstr>Весь проект_эскроу</vt:lpstr>
      <vt:lpstr>'Весь проект'!Область_печати</vt:lpstr>
      <vt:lpstr>'Весь проект_эскроу'!Область_печати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N.V.Braila</dc:creator>
  <cp:lastModifiedBy>D4 D9D9</cp:lastModifiedBy>
  <dcterms:created xsi:type="dcterms:W3CDTF">2021-11-22T07:29:14Z</dcterms:created>
  <dcterms:modified xsi:type="dcterms:W3CDTF">2023-12-26T09:43:14Z</dcterms:modified>
</cp:coreProperties>
</file>