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 activeTab="1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D22" i="115" l="1"/>
  <c r="AN24" i="147" l="1"/>
  <c r="AM29" i="147"/>
  <c r="AM26" i="147"/>
  <c r="AM27" i="147"/>
  <c r="AM28" i="147"/>
  <c r="AM25" i="147"/>
  <c r="I8" i="160" l="1"/>
  <c r="F52" i="147" l="1"/>
  <c r="I52" i="147"/>
  <c r="L52" i="147"/>
  <c r="O52" i="147"/>
  <c r="R52" i="147"/>
  <c r="U52" i="147"/>
  <c r="X52" i="147"/>
  <c r="AA52" i="147"/>
  <c r="AD52" i="147"/>
  <c r="AG52" i="147"/>
  <c r="AJ52" i="147"/>
  <c r="F51" i="147"/>
  <c r="L51" i="147"/>
  <c r="O51" i="147"/>
  <c r="R51" i="147"/>
  <c r="U51" i="147"/>
  <c r="X51" i="147"/>
  <c r="AA51" i="147"/>
  <c r="AD51" i="147"/>
  <c r="AG51" i="147"/>
  <c r="AJ51" i="147"/>
  <c r="F50" i="147"/>
  <c r="I50" i="147"/>
  <c r="L50" i="147"/>
  <c r="O50" i="147"/>
  <c r="R50" i="147"/>
  <c r="U50" i="147"/>
  <c r="X50" i="147"/>
  <c r="AA50" i="147"/>
  <c r="AD50" i="147"/>
  <c r="AG50" i="147"/>
  <c r="AJ50" i="147"/>
  <c r="C50" i="147"/>
  <c r="F26" i="161"/>
  <c r="F49" i="147"/>
  <c r="I49" i="147"/>
  <c r="L49" i="147"/>
  <c r="O49" i="147"/>
  <c r="R49" i="147"/>
  <c r="U49" i="147"/>
  <c r="X49" i="147"/>
  <c r="AA49" i="147"/>
  <c r="AD49" i="147"/>
  <c r="AG49" i="147"/>
  <c r="AJ49" i="147"/>
  <c r="X38" i="147"/>
  <c r="Y38" i="147"/>
  <c r="Z38" i="147"/>
  <c r="AA38" i="147"/>
  <c r="AB38" i="147"/>
  <c r="AC38" i="147"/>
  <c r="AD38" i="147"/>
  <c r="AE38" i="147"/>
  <c r="AF38" i="147"/>
  <c r="AG38" i="147"/>
  <c r="AH38" i="147"/>
  <c r="AI38" i="147"/>
  <c r="AJ38" i="147"/>
  <c r="AK38" i="147"/>
  <c r="AL38" i="147"/>
  <c r="F37" i="147"/>
  <c r="G37" i="147" s="1"/>
  <c r="H37" i="147" s="1"/>
  <c r="I37" i="147" s="1"/>
  <c r="J37" i="147" s="1"/>
  <c r="K37" i="147" s="1"/>
  <c r="L37" i="147" s="1"/>
  <c r="M37" i="147" s="1"/>
  <c r="N37" i="147" s="1"/>
  <c r="O37" i="147" s="1"/>
  <c r="P37" i="147" s="1"/>
  <c r="Q37" i="147" s="1"/>
  <c r="R37" i="147" s="1"/>
  <c r="S37" i="147" s="1"/>
  <c r="T37" i="147" s="1"/>
  <c r="U37" i="147" s="1"/>
  <c r="V37" i="147" s="1"/>
  <c r="W37" i="147" s="1"/>
  <c r="X37" i="147" s="1"/>
  <c r="Y37" i="147" s="1"/>
  <c r="Z37" i="147" s="1"/>
  <c r="AA37" i="147" s="1"/>
  <c r="AB37" i="147" s="1"/>
  <c r="AC37" i="147" s="1"/>
  <c r="AD37" i="147" s="1"/>
  <c r="AE37" i="147" s="1"/>
  <c r="AF37" i="147" s="1"/>
  <c r="AG37" i="147" s="1"/>
  <c r="AH37" i="147" s="1"/>
  <c r="AI37" i="147" s="1"/>
  <c r="AJ37" i="147" s="1"/>
  <c r="AK37" i="147" s="1"/>
  <c r="AL37" i="147" s="1"/>
  <c r="E37" i="147"/>
  <c r="F53" i="147" l="1"/>
  <c r="R53" i="147"/>
  <c r="X53" i="147"/>
  <c r="AJ53" i="147"/>
  <c r="AM52" i="147"/>
  <c r="AN52" i="147" s="1"/>
  <c r="I53" i="147"/>
  <c r="L53" i="147"/>
  <c r="O53" i="147"/>
  <c r="U53" i="147"/>
  <c r="AA53" i="147"/>
  <c r="AG53" i="147"/>
  <c r="C53" i="147"/>
  <c r="AM53" i="147" s="1"/>
  <c r="AD53" i="147"/>
  <c r="AJ30" i="147"/>
  <c r="AJ29" i="147"/>
  <c r="F30" i="147"/>
  <c r="I30" i="147"/>
  <c r="L30" i="147"/>
  <c r="O30" i="147"/>
  <c r="R30" i="147"/>
  <c r="U30" i="147"/>
  <c r="X30" i="147"/>
  <c r="AA30" i="147"/>
  <c r="AD30" i="147"/>
  <c r="AG30" i="147"/>
  <c r="L28" i="147"/>
  <c r="I28" i="147"/>
  <c r="AD27" i="147"/>
  <c r="AG27" i="147"/>
  <c r="AJ27" i="147"/>
  <c r="X27" i="147"/>
  <c r="AA27" i="147"/>
  <c r="O27" i="147"/>
  <c r="R27" i="147"/>
  <c r="U27" i="147"/>
  <c r="L27" i="147"/>
  <c r="I26" i="147"/>
  <c r="F26" i="147"/>
  <c r="C26" i="147"/>
  <c r="AJ35" i="147"/>
  <c r="AJ36" i="147"/>
  <c r="AK36" i="147" s="1"/>
  <c r="AL36" i="147" s="1"/>
  <c r="AJ23" i="147"/>
  <c r="AJ24" i="147"/>
  <c r="AK24" i="147" s="1"/>
  <c r="AL24" i="147" s="1"/>
  <c r="AM16" i="147"/>
  <c r="I20" i="160"/>
  <c r="K12" i="160" l="1"/>
  <c r="K11" i="160"/>
  <c r="J8" i="160"/>
  <c r="J9" i="160"/>
  <c r="I12" i="160"/>
  <c r="I11" i="160"/>
  <c r="K8" i="160"/>
  <c r="C25" i="147" s="1"/>
  <c r="C30" i="147" s="1"/>
  <c r="I48" i="160"/>
  <c r="I41" i="160"/>
  <c r="I34" i="160"/>
  <c r="I47" i="160"/>
  <c r="I40" i="160"/>
  <c r="I33" i="160"/>
  <c r="I21" i="160"/>
  <c r="I18" i="160"/>
  <c r="I19" i="160"/>
  <c r="C49" i="147" l="1"/>
  <c r="F31" i="147"/>
  <c r="R31" i="147"/>
  <c r="U31" i="147"/>
  <c r="AA31" i="147"/>
  <c r="I31" i="147"/>
  <c r="L31" i="147"/>
  <c r="AG31" i="147"/>
  <c r="O31" i="147"/>
  <c r="AD31" i="147"/>
  <c r="C31" i="147"/>
  <c r="AJ31" i="147"/>
  <c r="X31" i="147"/>
  <c r="AJ12" i="147"/>
  <c r="AM31" i="147" l="1"/>
  <c r="C51" i="147"/>
  <c r="AM49" i="147"/>
  <c r="L10" i="160"/>
  <c r="K10" i="160"/>
  <c r="J10" i="160"/>
  <c r="H10" i="160"/>
  <c r="I10" i="160"/>
  <c r="C52" i="147" l="1"/>
  <c r="AM51" i="147"/>
  <c r="B26" i="115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AJ48" i="147" s="1"/>
  <c r="AK48" i="147" s="1"/>
  <c r="AL48" i="147" s="1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l="1"/>
  <c r="AJ40" i="147"/>
  <c r="AK40" i="147" s="1"/>
  <c r="AL40" i="147" s="1"/>
  <c r="AJ41" i="147" s="1"/>
  <c r="H11" i="161"/>
  <c r="F15" i="161"/>
  <c r="H17" i="161" l="1"/>
  <c r="H22" i="161" s="1"/>
  <c r="H25" i="161" s="1"/>
  <c r="H27" i="161" s="1"/>
  <c r="G27" i="161" s="1"/>
  <c r="K9" i="160"/>
  <c r="K7" i="160"/>
  <c r="E8" i="160"/>
  <c r="E9" i="160" s="1"/>
  <c r="E10" i="160" s="1"/>
  <c r="E11" i="160" s="1"/>
  <c r="E12" i="160" s="1"/>
  <c r="I9" i="160"/>
  <c r="H29" i="161" l="1"/>
  <c r="G29" i="161" s="1"/>
  <c r="G17" i="160" s="1"/>
  <c r="K13" i="160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F23" i="147"/>
  <c r="F35" i="147" s="1"/>
  <c r="I23" i="147"/>
  <c r="I35" i="147" s="1"/>
  <c r="L23" i="147"/>
  <c r="L35" i="147" s="1"/>
  <c r="O23" i="147"/>
  <c r="O35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M12" i="160" l="1"/>
  <c r="M5" i="160"/>
  <c r="M7" i="160"/>
  <c r="M10" i="160"/>
  <c r="M4" i="160"/>
  <c r="M6" i="160"/>
  <c r="M9" i="160"/>
  <c r="M3" i="160"/>
  <c r="M11" i="160"/>
  <c r="M8" i="160"/>
  <c r="G23" i="160"/>
  <c r="G24" i="160"/>
  <c r="G25" i="160" s="1"/>
  <c r="I17" i="160"/>
  <c r="C34" i="147"/>
  <c r="AA35" i="147"/>
  <c r="AG12" i="147"/>
  <c r="AD12" i="147"/>
  <c r="M13" i="160" l="1"/>
  <c r="I23" i="160"/>
  <c r="I24" i="160"/>
  <c r="I25" i="160" s="1"/>
  <c r="AG23" i="147"/>
  <c r="AD23" i="147"/>
  <c r="AD35" i="147" l="1"/>
  <c r="AG35" i="147"/>
  <c r="D13" i="115"/>
</calcChain>
</file>

<file path=xl/sharedStrings.xml><?xml version="1.0" encoding="utf-8"?>
<sst xmlns="http://schemas.openxmlformats.org/spreadsheetml/2006/main" count="231" uniqueCount="170">
  <si>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</si>
  <si>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</si>
  <si>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</si>
  <si>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</si>
  <si>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</si>
  <si>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</si>
  <si>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</si>
  <si>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</si>
  <si>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</si>
  <si>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</si>
  <si>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</si>
  <si>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</si>
  <si>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</si>
  <si>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</si>
  <si>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</si>
  <si>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</si>
  <si>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</si>
  <si>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</si>
  <si>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</si>
  <si>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</si>
  <si>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</si>
  <si>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</si>
  <si>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</si>
  <si>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</si>
  <si>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</si>
  <si>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</si>
  <si>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</si>
  <si>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</si>
  <si>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</si>
  <si>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</si>
  <si>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</si>
  <si>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</si>
  <si>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</si>
  <si>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</si>
  <si>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</si>
  <si>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</si>
  <si>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</si>
  <si>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</si>
  <si>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</si>
  <si>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</si>
  <si>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</si>
  <si>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</si>
  <si>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</si>
  <si>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</si>
  <si>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</si>
  <si>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</si>
  <si>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</si>
  <si>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</si>
  <si>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</si>
  <si>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</si>
  <si>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</si>
  <si>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</si>
  <si>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</si>
  <si>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</si>
  <si>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</si>
  <si>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</si>
  <si>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</si>
  <si>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</si>
  <si>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</si>
  <si>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</si>
  <si>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</si>
  <si>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</si>
  <si>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</si>
  <si>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</si>
  <si>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</si>
  <si>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</si>
  <si>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</si>
  <si>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</si>
  <si>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</si>
  <si>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</si>
  <si>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</si>
  <si>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</si>
  <si>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</si>
  <si>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</si>
  <si>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</si>
  <si>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</si>
  <si>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</si>
  <si>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</si>
  <si>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</si>
  <si>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</si>
  <si>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</si>
  <si>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</si>
  <si>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</si>
  <si>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</si>
  <si>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</si>
  <si>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</si>
  <si>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</si>
  <si>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</si>
  <si>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</si>
  <si>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</si>
  <si>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</si>
  <si>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</si>
  <si>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</si>
  <si>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</si>
  <si>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</si>
  <si>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</si>
  <si>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</si>
  <si>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</si>
  <si>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</si>
  <si>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</si>
  <si>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</si>
  <si>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</si>
  <si>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</si>
  <si>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</si>
  <si>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</si>
  <si>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</si>
  <si>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</si>
  <si>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</si>
  <si>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</si>
  <si>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</si>
  <si>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</si>
  <si>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</si>
  <si>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</si>
  <si>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</si>
  <si>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</si>
  <si>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</si>
  <si>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</si>
  <si>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</si>
  <si>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</si>
  <si>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</si>
  <si>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</si>
  <si>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</si>
  <si>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</si>
  <si>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</si>
  <si>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</si>
  <si>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</si>
  <si>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</si>
  <si>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</si>
  <si>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</si>
  <si>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</si>
  <si>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</si>
  <si>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</si>
  <si>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</si>
  <si>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</si>
  <si>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</si>
  <si>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</si>
  <si>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</si>
  <si>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</si>
  <si>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</si>
  <si>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</si>
  <si>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</si>
  <si>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</si>
  <si>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</si>
  <si>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</si>
  <si>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</si>
  <si>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</si>
  <si>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</si>
  <si>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</si>
  <si>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</si>
  <si>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</si>
  <si>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</si>
  <si>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</si>
  <si>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</si>
  <si>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</si>
  <si>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</si>
  <si>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</si>
  <si>
    <t>Затраты на приобретение прав на земельный участок (право собственности) пусто</t>
  </si>
  <si>
    <t>на мудле есть пример</t>
  </si>
  <si>
    <t>сделать по НЦС</t>
  </si>
  <si>
    <t>стр 82</t>
  </si>
  <si>
    <t xml:space="preserve">НЦС (01-05-004) </t>
  </si>
  <si>
    <t>17 -этажный жилой дом каркасный с заполнением легкобетонными блоками</t>
  </si>
  <si>
    <t>4 прогнозный год</t>
  </si>
  <si>
    <t>5 прогнозный год</t>
  </si>
  <si>
    <t>Значение, тыс. руб. с НДС</t>
  </si>
  <si>
    <t>Принятое значение,  тыс.
руб. с НДС</t>
  </si>
  <si>
    <t>Минстрой утвердил нормативную стоимость жилья на I половину 2023 года: «квадрат» в России подорожал на 5,6% - Новости ЕРЗ.РФ (erzrf.ru)</t>
  </si>
  <si>
    <t>строка для выноса выбивающегося значения</t>
  </si>
  <si>
    <t>Разработка проектной документации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</si>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</sst>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5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0.0"/>
    <numFmt numFmtId="181" formatCode="00\ 00\ 00"/>
    <numFmt numFmtId="182" formatCode="#,##0\ ;\ \(#,##0\)"/>
    <numFmt numFmtId="183" formatCode="[$$-409]#,##0_ ;[Red]\-[$$-409]#,##0\ "/>
    <numFmt numFmtId="184" formatCode="\?\ #,##0_);[Red]\(\?\ #,##0\)"/>
    <numFmt numFmtId="185" formatCode="0.000"/>
    <numFmt numFmtId="186" formatCode="#,##0.00_ ;[Red]\-#,##0.00\ "/>
    <numFmt numFmtId="187" formatCode="_(* #,##0_);_(* \(#,##0\);_(* &quot;-&quot;_);_(@_)"/>
    <numFmt numFmtId="188" formatCode="#"/>
    <numFmt numFmtId="189" formatCode="#,##0\ &quot;K?&quot;;[Red]\-#,##0\ &quot;K?&quot;"/>
    <numFmt numFmtId="190" formatCode="#,##0.00;[Red]\-#,##0.00"/>
    <numFmt numFmtId="191" formatCode="#,##0.00&quot;?.&quot;;\-#,##0.00&quot;?.&quot;"/>
    <numFmt numFmtId="192" formatCode="&quot;?&quot;#,##0.00;[Red]\-&quot;?&quot;#,##0.00"/>
    <numFmt numFmtId="193" formatCode="_(* #,##0.00_);_(* \(#,##0.00\);_(* &quot;-&quot;??_);_(@_)"/>
    <numFmt numFmtId="194" formatCode="_-* #,##0_-;\-* #,##0_-;_-* &quot;-&quot;_-;_-@_-"/>
    <numFmt numFmtId="195" formatCode="#,##0.000_ ;\-#,##0.000\ "/>
    <numFmt numFmtId="196" formatCode="%#.00"/>
    <numFmt numFmtId="197" formatCode="0.0_)\%;\(0.0\)\%;0.0_)\%;@_)_%"/>
    <numFmt numFmtId="198" formatCode="#,##0.0_)_%;\(#,##0.0\)_%;0.0_)_%;@_)_%"/>
    <numFmt numFmtId="199" formatCode="#,##0\ ;\(#,##0\)"/>
    <numFmt numFmtId="200" formatCode="#,##0.0_);\(#,##0.0\)"/>
    <numFmt numFmtId="201" formatCode="#,##0.0_);\(#,##0.0\);#,##0.0_);@_)"/>
    <numFmt numFmtId="202" formatCode="&quot;$&quot;_(#,##0.00_);&quot;$&quot;\(#,##0.00\);&quot;$&quot;_(0.00_);@_)"/>
    <numFmt numFmtId="203" formatCode="#,##0.00_);\(#,##0.00\);0.00_);@_)"/>
    <numFmt numFmtId="204" formatCode="\€_(#,##0.00_);\€\(#,##0.00\);\€_(0.00_);@_)"/>
    <numFmt numFmtId="205" formatCode="#,##0.0;\(#,##0.0\)"/>
    <numFmt numFmtId="206" formatCode="#,##0_)\x;\(#,##0\)\x;0_)\x;@_)_x"/>
    <numFmt numFmtId="207" formatCode="#,##0_)_x;\(#,##0\)_x;0_)_x;@_)_x"/>
    <numFmt numFmtId="208" formatCode="_-#,##0_-;[Red]\(#,##0\);_-\ \ &quot;-&quot;_-;_-@_-"/>
    <numFmt numFmtId="209" formatCode="_-#,##0.00_-;\(#,##0.00\);_-\ \ &quot;-&quot;_-;_-@_-"/>
    <numFmt numFmtId="210" formatCode="mmm/dd/yyyy;_-\ &quot;N/A&quot;_-;_-\ &quot;-&quot;_-"/>
    <numFmt numFmtId="211" formatCode="mmm/yyyy;_-\ &quot;N/A&quot;_-;_-\ &quot;-&quot;_-"/>
    <numFmt numFmtId="212" formatCode="_-#,##0%_-;\(#,##0%\);_-\ &quot;-&quot;_-"/>
    <numFmt numFmtId="213" formatCode="_-#,###,_-;\(#,###,\);_-\ \ &quot;-&quot;_-;_-@_-"/>
    <numFmt numFmtId="214" formatCode="_-#,###.00,_-;\(#,###.00,\);_-\ \ &quot;-&quot;_-;_-@_-"/>
    <numFmt numFmtId="215" formatCode="_-#0&quot;.&quot;0,_-;\(#0&quot;.&quot;0,\);_-\ \ &quot;-&quot;_-;_-@_-"/>
    <numFmt numFmtId="216" formatCode="_-#0&quot;.&quot;0000_-;\(#0&quot;.&quot;0000\);_-\ \ &quot;-&quot;_-;_-@_-"/>
    <numFmt numFmtId="217" formatCode="_-* #,##0.00\ _$_-;\-* #,##0.00\ _$_-;_-* &quot;-&quot;??\ _$_-;_-@_-"/>
    <numFmt numFmtId="218" formatCode="\£\ #,##0_);[Red]\(\£\ #,##0\)"/>
    <numFmt numFmtId="219" formatCode="\¥\ #,##0_);[Red]\(\¥\ #,##0\)"/>
    <numFmt numFmtId="220" formatCode="#,##0;\(#,##0\);&quot;-&quot;"/>
    <numFmt numFmtId="221" formatCode="\$#,##0_);[Red]&quot;($&quot;#,##0\)"/>
    <numFmt numFmtId="222" formatCode="#,##0&quot;р.&quot;;[Red]\-#,##0&quot;р.&quot;"/>
    <numFmt numFmtId="223" formatCode="#,##0;\(#,##0\)"/>
    <numFmt numFmtId="224" formatCode="0%;\(0%\)"/>
    <numFmt numFmtId="225" formatCode="_-* #,##0\ &quot;руб&quot;_-;\-* #,##0\ &quot;руб&quot;_-;_-* &quot;-&quot;\ &quot;руб&quot;_-;_-@_-"/>
    <numFmt numFmtId="226" formatCode="0_)"/>
    <numFmt numFmtId="227" formatCode="0,"/>
    <numFmt numFmtId="228" formatCode="0.0%_);\(0.0%\);\-_)"/>
    <numFmt numFmtId="229" formatCode="#,##0\ &quot;Kc&quot;;[Red]\-#,##0\ &quot;Kc&quot;"/>
    <numFmt numFmtId="230" formatCode="#,##0\ &quot;Kč&quot;;[Red]\-#,##0\ &quot;Kč&quot;"/>
    <numFmt numFmtId="231" formatCode="_-* #,##0\ &quot;Kc&quot;_-;\-* #,##0\ &quot;Kc&quot;_-;_-* &quot;-&quot;\ &quot;Kc&quot;_-;_-@_-"/>
    <numFmt numFmtId="232" formatCode="_-* #,##0\ &quot;Kč&quot;_-;\-* #,##0\ &quot;Kč&quot;_-;_-* &quot;-&quot;\ &quot;Kč&quot;_-;_-@_-"/>
    <numFmt numFmtId="233" formatCode="_-* #,##0&quot;đ.&quot;_-;\-* #,##0&quot;đ.&quot;_-;_-* &quot;-&quot;&quot;đ.&quot;_-;_-@_-"/>
    <numFmt numFmtId="234" formatCode="#,##0\ &quot;Kи&quot;;[Red]\-#,##0\ &quot;Kи&quot;"/>
    <numFmt numFmtId="235" formatCode="0.0%_);\(0.0%\);\ &quot;-&quot;_-;_-@_-"/>
    <numFmt numFmtId="236" formatCode="[$-409]dd\-mmm\-yy;@"/>
    <numFmt numFmtId="237" formatCode="#,##0.00;\(#,##0.00\)"/>
    <numFmt numFmtId="238" formatCode="#,##0.00_);\(#,##0.00\);\-\ "/>
    <numFmt numFmtId="239" formatCode="000000"/>
    <numFmt numFmtId="240" formatCode="_-* #,##0.00&quot;р.&quot;_-;\-* #,##0.00&quot;р.&quot;_-;_-* &quot;-&quot;??&quot;р.&quot;_-;_-@_-"/>
    <numFmt numFmtId="241" formatCode="_-* #,##0&quot;р.&quot;_-;\-* #,##0&quot;р.&quot;_-;_-* &quot;-&quot;&quot;р.&quot;_-;_-@_-"/>
    <numFmt numFmtId="242" formatCode="0_);\(0\)"/>
    <numFmt numFmtId="243" formatCode="_(* #,##0_);_(* \(#,##0\);_(* &quot;-&quot;??_);_(@_)"/>
    <numFmt numFmtId="244" formatCode="_(* #,##0.0_);_(* \(#,##0.0\);_(* &quot;--- &quot;_)"/>
    <numFmt numFmtId="245" formatCode="#,##0;[Red]#,##0"/>
    <numFmt numFmtId="246" formatCode="&quot;\&quot;#,##0;[Red]\-&quot;\&quot;#,##0"/>
    <numFmt numFmtId="247" formatCode="#,##0.000000"/>
    <numFmt numFmtId="248" formatCode="_-* #,##0\ &quot;đ.&quot;_-;\-* #,##0\ &quot;đ.&quot;_-;_-* &quot;-&quot;\ &quot;đ.&quot;_-;_-@_-"/>
    <numFmt numFmtId="249" formatCode="#,##0.0\x_);\(#,##0.0\x\)"/>
    <numFmt numFmtId="250" formatCode="_-&quot;?&quot;* #,##0_-;\-&quot;?&quot;* #,##0_-;_-&quot;?&quot;* &quot;-&quot;_-;_-@_-"/>
    <numFmt numFmtId="251" formatCode="#,##0.00\ &quot;Kc&quot;;[Red]\-#,##0.00\ &quot;Kc&quot;"/>
    <numFmt numFmtId="252" formatCode="#,##0.00\ &quot;Kč&quot;;[Red]\-#,##0.00\ &quot;Kč&quot;"/>
    <numFmt numFmtId="253" formatCode="_-* #,##0.00&quot;đ.&quot;_-;\-* #,##0.00&quot;đ.&quot;_-;_-* &quot;-&quot;??&quot;đ.&quot;_-;_-@_-"/>
    <numFmt numFmtId="254" formatCode="d/m/yy"/>
    <numFmt numFmtId="255" formatCode="_-* #,##0.00\ &quot;đ.&quot;_-;\-* #,##0.00\ &quot;đ.&quot;_-;_-* &quot;-&quot;??\ &quot;đ.&quot;_-;_-@_-"/>
    <numFmt numFmtId="256" formatCode="dd\-mmm\-yy"/>
    <numFmt numFmtId="257" formatCode="_-* #,##0.00\ &quot;Kc&quot;_-;\-* #,##0.00\ &quot;Kc&quot;_-;_-* &quot;-&quot;??\ &quot;Kc&quot;_-;_-@_-"/>
    <numFmt numFmtId="258" formatCode="#,##0.000_);\(#,##0.000\)"/>
    <numFmt numFmtId="259" formatCode="_-&quot;?&quot;* #,##0.00_-;\-&quot;?&quot;* #,##0.00_-;_-&quot;?&quot;* &quot;-&quot;??_-;_-@_-"/>
    <numFmt numFmtId="260" formatCode="#,###;\ \(#,##0\);\-"/>
    <numFmt numFmtId="261" formatCode="0&quot;    &quot;"/>
    <numFmt numFmtId="262" formatCode="#,##0,,,_);[Red]\(#,##0,,,\)"/>
    <numFmt numFmtId="263" formatCode="&quot;р.&quot;&quot; &quot;#,##0_);\(&quot;р.&quot;&quot; &quot;#,##0\);\-_)"/>
    <numFmt numFmtId="264" formatCode="0%_);\(0%\);\-_)"/>
    <numFmt numFmtId="265" formatCode="&quot;р.&quot;&quot; &quot;#,##0.0_);\(&quot;р.&quot;&quot; &quot;#,##0.0\);\-_)"/>
    <numFmt numFmtId="266" formatCode="#,##0.0_);\(#,##0.0\);\-_)"/>
    <numFmt numFmtId="267" formatCode="&quot;р.&quot;&quot; &quot;#,##0.00_);\(&quot;р.&quot;&quot; &quot;#,##0.00\);\-_)"/>
    <numFmt numFmtId="268" formatCode="0.00%_);\(0.00%\);\-_)"/>
    <numFmt numFmtId="269" formatCode="#,##0.00_);\(#,##0.00\);\-_)"/>
    <numFmt numFmtId="270" formatCode="#,##0&quot;р.&quot;;\-#,##0&quot;р.&quot;"/>
    <numFmt numFmtId="271" formatCode="_(* #,##0.0_);_(* \(#,##0.0\);_(* &quot;-&quot;?_);@_)"/>
    <numFmt numFmtId="272" formatCode="\£#,##0_);\(\£#,##0\)"/>
    <numFmt numFmtId="273" formatCode="\•\ \ @"/>
    <numFmt numFmtId="274" formatCode="#,##0_);\(#,##0\);\-_)"/>
    <numFmt numFmtId="275" formatCode="_-* ##,##0_-;\(##,##0\);_-* &quot;-&quot;_-;_-@_-"/>
    <numFmt numFmtId="276" formatCode="&quot;р.&quot;&quot; &quot;#,##0.000_);\(&quot;р.&quot;&quot; &quot;#,##0.000\);\-\ "/>
    <numFmt numFmtId="277" formatCode="#,##0.0000_ ;[Red]\-#,##0.0000\ "/>
    <numFmt numFmtId="278" formatCode="_(* #,##0.00_);_(* \(#,##0.00\);_(* &quot;-&quot;?_);_(@_)"/>
    <numFmt numFmtId="279" formatCode="_(* #,##0.000_);_(* \(#,##0.000\);_(* &quot;-&quot;?_);_(@_)"/>
    <numFmt numFmtId="280" formatCode="_(* #,##0.0000_);_(* \(#,##0.0000\);_(* &quot;-&quot;?_);_(@_)"/>
    <numFmt numFmtId="281" formatCode="_(* #,##0.00000_);_(* \(#,##0.00000\);_(* &quot;-&quot;?_);_(@_)"/>
    <numFmt numFmtId="282" formatCode="_(* #,##0.000000_);_(* \(#,##0.000000\);_(* &quot;-&quot;?_);_(@_)"/>
    <numFmt numFmtId="283" formatCode="_-* #,##0.000_р_._-;\-* #,##0.000_р_._-;_-* &quot;-&quot;???_р_._-;_-@_-"/>
    <numFmt numFmtId="284" formatCode="_(* #,##0.0000000_);_(* \(#,##0.0000000\);_(* &quot;-&quot;?_);_(@_)"/>
    <numFmt numFmtId="285" formatCode="dd\/mm\/yy"/>
    <numFmt numFmtId="286" formatCode="_(* #,##0.00000000_);_(* \(#,##0.00000000\);_(* &quot;-&quot;?_);_(@_)"/>
    <numFmt numFmtId="287" formatCode="_(* #,##0.000000000_);_(* \(#,##0.000000000\);_(* &quot;-&quot;?_);_(@_)"/>
    <numFmt numFmtId="288" formatCode="mmm/yyyy"/>
    <numFmt numFmtId="289" formatCode="0.000000"/>
    <numFmt numFmtId="290" formatCode="yyyy"/>
    <numFmt numFmtId="291" formatCode="[h]"/>
    <numFmt numFmtId="292" formatCode="_-* #,##0\ _K_c_-;\-* #,##0\ _K_c_-;_-* &quot;-&quot;\ _K_c_-;_-@_-"/>
    <numFmt numFmtId="293" formatCode="_-* #,##0\ _K_č_-;\-* #,##0\ _K_č_-;_-* &quot;-&quot;\ _K_č_-;_-@_-"/>
    <numFmt numFmtId="294" formatCode="#,##0.00\ &quot;Kč&quot;;\-#,##0.00\ &quot;Kč&quot;"/>
    <numFmt numFmtId="295" formatCode="_-* #,##0_đ_._-;\-* #,##0_đ_._-;_-* &quot;-&quot;_đ_._-;_-@_-"/>
    <numFmt numFmtId="296" formatCode="_-* #,##0.00\ _K_c_-;\-* #,##0.00\ _K_c_-;_-* &quot;-&quot;??\ _K_c_-;_-@_-"/>
    <numFmt numFmtId="297" formatCode="_-* #,##0.00\ _K_č_-;\-* #,##0.00\ _K_č_-;_-* &quot;-&quot;??\ _K_č_-;_-@_-"/>
    <numFmt numFmtId="298" formatCode="_-* #,##0.00_đ_._-;\-* #,##0.00_đ_._-;_-* &quot;-&quot;??_đ_._-;_-@_-"/>
    <numFmt numFmtId="299" formatCode="[$$-409]#,##0.00_ ;[Red]\-[$$-409]#,##0.00\ "/>
    <numFmt numFmtId="300" formatCode="_(#,##0_);\(#,##0\);\-"/>
    <numFmt numFmtId="301" formatCode="&quot;error&quot;;&quot;error&quot;;&quot;OK&quot;;&quot;  &quot;@"/>
    <numFmt numFmtId="302" formatCode="#,##0.00;\(#,##0.00\);\-"/>
    <numFmt numFmtId="303" formatCode="_(* #,##0_);_(* \(#,##0\);_(* &quot;-&quot;_);_-@_-"/>
    <numFmt numFmtId="304" formatCode="&quot;Q2 '&quot;yy_)"/>
    <numFmt numFmtId="305" formatCode="&quot;Q3 '&quot;yy_)"/>
    <numFmt numFmtId="306" formatCode="_(\ #,##0.0%_);_(\ \(#,##0.0%\);_(\ &quot; - &quot;\%_);_(@_)"/>
    <numFmt numFmtId="307" formatCode="#,##0_);\(#,##0\);&quot; - &quot;_);@_)"/>
    <numFmt numFmtId="308" formatCode="\ #,##0.00_);\(#,##0.00\);&quot; - &quot;_);@_)"/>
    <numFmt numFmtId="309" formatCode="#,##0_);[Red]\(#,##0_)"/>
    <numFmt numFmtId="310" formatCode="_-* #,##0.00_-;\-* #,##0.00_-;_-* &quot;-&quot;??_-;_-@_-"/>
    <numFmt numFmtId="311" formatCode="#,##0_)\x;\(#,##0&quot;)x&quot;"/>
    <numFmt numFmtId="312" formatCode="#,##0.0_)\x;\(#,##0.0&quot;)x&quot;"/>
    <numFmt numFmtId="313" formatCode="#,##0.00_)\x;\(#,##0.00&quot;)x&quot;"/>
    <numFmt numFmtId="314" formatCode="#,##0;[Red]\(#,##0\)"/>
    <numFmt numFmtId="315" formatCode="#,##0.0;[Red]\(#,##0.0\)"/>
    <numFmt numFmtId="316" formatCode="* \(#,##0\);* #,##0_);&quot;-&quot;??_);@"/>
    <numFmt numFmtId="317" formatCode="\$#,##0\ ;\(\$#,##0\)"/>
    <numFmt numFmtId="318" formatCode="0.0;[Red]0.0"/>
    <numFmt numFmtId="319" formatCode="#,##0.0;[Red]#,##0.0"/>
    <numFmt numFmtId="320" formatCode="000"/>
    <numFmt numFmtId="321" formatCode="d\/m\/yy"/>
    <numFmt numFmtId="322" formatCode="* #,##0_);* \(#,##0\);&quot;-&quot;??_);@"/>
    <numFmt numFmtId="323" formatCode="#,###"/>
    <numFmt numFmtId="324" formatCode="[$-419]General"/>
    <numFmt numFmtId="325" formatCode="#,##0_ ;[Red]\-#,##0\ "/>
    <numFmt numFmtId="326" formatCode="#\.##\.##0"/>
    <numFmt numFmtId="327" formatCode="#\.##\.####"/>
    <numFmt numFmtId="328" formatCode="#\.##\.###"/>
    <numFmt numFmtId="329" formatCode="0000000"/>
    <numFmt numFmtId="330" formatCode="_-* #,##0.00\ &quot;Kč&quot;_-;\-* #,##0.00\ &quot;Kč&quot;_-;_-* &quot;-&quot;??\ &quot;Kč&quot;_-;_-@_-"/>
    <numFmt numFmtId="331" formatCode="#,##0.00&quot; FB&quot;;[Red]\-#,##0.00&quot; FB&quot;"/>
    <numFmt numFmtId="332" formatCode="#,##0__\ \ \ \ "/>
    <numFmt numFmtId="333" formatCode="_-&quot;£&quot;* #,##0_-;\-&quot;£&quot;* #,##0_-;_-&quot;£&quot;* &quot;-&quot;_-;_-@_-"/>
    <numFmt numFmtId="334" formatCode="_-&quot;£&quot;* #,##0.00_-;\-&quot;£&quot;* #,##0.00_-;_-&quot;£&quot;* &quot;-&quot;??_-;_-@_-"/>
    <numFmt numFmtId="335" formatCode="#,##0.00\ &quot;Kи&quot;;[Red]\-#,##0.00\ &quot;Kи&quot;"/>
    <numFmt numFmtId="336" formatCode="#,##0.00\ ;\(#,##0.00\)"/>
    <numFmt numFmtId="337" formatCode="#,##0_);[Red]\(#,##0\);&quot;-----&quot;"/>
    <numFmt numFmtId="338" formatCode="#,##0.00_);[Red]\(#,##0.00\);&quot;-----&quot;"/>
    <numFmt numFmtId="339" formatCode="_-* #,##0\ _đ_._-;\-* #,##0\ _đ_._-;_-* &quot;-&quot;\ _đ_._-;_-@_-"/>
    <numFmt numFmtId="340" formatCode="#,###.0"/>
    <numFmt numFmtId="341" formatCode="_-* #,##0.00\ _đ_._-;\-* #,##0.00\ _đ_._-;_-* &quot;-&quot;??\ _đ_._-;_-@_-"/>
    <numFmt numFmtId="342" formatCode="_-* #,##0.0_р_._-;\-* #,##0.0_р_._-;_-* &quot;-&quot;?_р_._-;_-@_-"/>
    <numFmt numFmtId="343" formatCode="#,##0______;;&quot;------------      &quot;"/>
    <numFmt numFmtId="344" formatCode="\G\e\w\i\c\h\t\ 0\ %"/>
    <numFmt numFmtId="345" formatCode="0.00\ %;[Red]\ \ \-0.00\ %"/>
    <numFmt numFmtId="346" formatCode="#,##0.00&quot; &quot;[$руб.-419];[Red]&quot;-&quot;#,##0.00&quot; &quot;[$руб.-419]"/>
    <numFmt numFmtId="347" formatCode="&quot;p.&quot;#,##0.00;[Red]\-&quot;p.&quot;#,##0.00"/>
    <numFmt numFmtId="348" formatCode="_-#,##0_-;\-#,##0_-;_-&quot;-&quot;_-;_-@_-"/>
    <numFmt numFmtId="349" formatCode="_-* #,##0_р_._-;_-* #,##0_р_.\-;_-* &quot;-&quot;_р_._-;_-@_-"/>
    <numFmt numFmtId="350" formatCode="\G\e\w\i\c\h\t\ \V\e\r\t\r\a\g\s\p\a\r\t\n\e\r\ 0\ %"/>
    <numFmt numFmtId="351" formatCode="_-* #,##0_?_._-;\-* #,##0_?_._-;_-* &quot;-&quot;_?_._-;_-@_-"/>
    <numFmt numFmtId="352" formatCode="_-* #,##0.00&quot;?.&quot;_-;\-* #,##0.00&quot;?.&quot;_-;_-* &quot;-&quot;??&quot;?.&quot;_-;_-@_-"/>
    <numFmt numFmtId="353" formatCode="_-&quot;Ј&quot;* #,##0_-;\-&quot;Ј&quot;* #,##0_-;_-&quot;Ј&quot;* &quot;-&quot;_-;_-@_-"/>
    <numFmt numFmtId="354" formatCode="_-&quot;Ј&quot;* #,##0.00_-;\-&quot;Ј&quot;* #,##0.00_-;_-&quot;Ј&quot;* &quot;-&quot;??_-;_-@_-"/>
    <numFmt numFmtId="355" formatCode="#,##0\в"/>
    <numFmt numFmtId="356" formatCode="[$-FC19]dd\ mmmm\ yyyy\ \г\.;@"/>
    <numFmt numFmtId="357" formatCode="[$-419]mmmm\ yyyy;@"/>
    <numFmt numFmtId="358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7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181" fontId="45" fillId="2" borderId="37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2" fontId="5" fillId="0" borderId="0"/>
    <xf numFmtId="0" fontId="5" fillId="0" borderId="0" applyFont="0" applyFill="0" applyBorder="0" applyProtection="0">
      <alignment horizontal="right"/>
    </xf>
    <xf numFmtId="183" fontId="4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4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5" fontId="57" fillId="0" borderId="3"/>
    <xf numFmtId="186" fontId="58" fillId="0" borderId="3">
      <alignment vertical="top" wrapText="1"/>
    </xf>
    <xf numFmtId="187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6" fontId="58" fillId="0" borderId="3">
      <alignment vertical="top" wrapText="1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1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9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3" fillId="10" borderId="0" applyNumberFormat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77" fontId="21" fillId="0" borderId="0" applyFont="0" applyFill="0" applyBorder="0" applyAlignment="0" applyProtection="0"/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188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0" fontId="21" fillId="0" borderId="0" applyFont="0" applyFill="0" applyBorder="0" applyAlignment="0" applyProtection="0"/>
    <xf numFmtId="191" fontId="65" fillId="0" borderId="0"/>
    <xf numFmtId="192" fontId="4" fillId="0" borderId="0" applyFont="0" applyFill="0" applyBorder="0" applyAlignment="0" applyProtection="0"/>
    <xf numFmtId="0" fontId="21" fillId="0" borderId="0"/>
    <xf numFmtId="193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4" fontId="67" fillId="0" borderId="0" applyFont="0" applyFill="0" applyBorder="0" applyAlignment="0" applyProtection="0"/>
    <xf numFmtId="195" fontId="66" fillId="0" borderId="3">
      <alignment vertical="top" wrapText="1"/>
    </xf>
    <xf numFmtId="196" fontId="68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196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0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68" fillId="0" borderId="38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7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8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199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1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3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4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5" fontId="67" fillId="0" borderId="0" applyFill="0" applyBorder="0" applyAlignment="0" applyProtection="0"/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205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0" applyNumberFormat="0" applyFill="0" applyAlignment="0" applyProtection="0"/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100" fillId="0" borderId="41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200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8" fontId="106" fillId="0" borderId="0" applyFill="0" applyBorder="0">
      <alignment horizontal="right"/>
    </xf>
    <xf numFmtId="209" fontId="106" fillId="0" borderId="0" applyFill="0" applyBorder="0" applyProtection="0">
      <alignment horizontal="right"/>
    </xf>
    <xf numFmtId="210" fontId="107" fillId="0" borderId="0" applyFill="0" applyBorder="0" applyProtection="0">
      <alignment horizontal="center"/>
    </xf>
    <xf numFmtId="211" fontId="107" fillId="0" borderId="0" applyFill="0" applyBorder="0" applyProtection="0">
      <alignment horizontal="center"/>
    </xf>
    <xf numFmtId="212" fontId="108" fillId="0" borderId="0" applyFill="0" applyBorder="0" applyProtection="0">
      <alignment horizontal="right"/>
    </xf>
    <xf numFmtId="213" fontId="106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8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194" fontId="109" fillId="0" borderId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0" fontId="111" fillId="0" borderId="42">
      <alignment horizontal="left" vertical="center"/>
    </xf>
    <xf numFmtId="174" fontId="112" fillId="0" borderId="0"/>
    <xf numFmtId="174" fontId="112" fillId="0" borderId="0"/>
    <xf numFmtId="174" fontId="112" fillId="0" borderId="0"/>
    <xf numFmtId="221" fontId="112" fillId="0" borderId="0"/>
    <xf numFmtId="222" fontId="112" fillId="0" borderId="0"/>
    <xf numFmtId="174" fontId="112" fillId="0" borderId="0"/>
    <xf numFmtId="221" fontId="112" fillId="0" borderId="0"/>
    <xf numFmtId="220" fontId="111" fillId="0" borderId="42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3" fontId="67" fillId="0" borderId="0"/>
    <xf numFmtId="224" fontId="118" fillId="0" borderId="0" applyFont="0" applyFill="0" applyBorder="0" applyAlignment="0" applyProtection="0"/>
    <xf numFmtId="0" fontId="67" fillId="0" borderId="0"/>
    <xf numFmtId="225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3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6" fontId="17" fillId="0" borderId="0"/>
    <xf numFmtId="226" fontId="17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19" fillId="0" borderId="0"/>
    <xf numFmtId="226" fontId="119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6" fontId="17" fillId="0" borderId="0"/>
    <xf numFmtId="223" fontId="27" fillId="0" borderId="0"/>
    <xf numFmtId="227" fontId="121" fillId="0" borderId="0" applyFont="0" applyFill="0" applyBorder="0" applyAlignment="0" applyProtection="0"/>
    <xf numFmtId="226" fontId="67" fillId="0" borderId="44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5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8" fontId="135" fillId="0" borderId="0">
      <alignment horizontal="right"/>
    </xf>
    <xf numFmtId="226" fontId="67" fillId="36" borderId="46"/>
    <xf numFmtId="189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4" fontId="21" fillId="0" borderId="0" applyFont="0" applyFill="0" applyBorder="0" applyAlignment="0" applyProtection="0"/>
    <xf numFmtId="226" fontId="67" fillId="36" borderId="46"/>
    <xf numFmtId="226" fontId="67" fillId="36" borderId="46"/>
    <xf numFmtId="0" fontId="90" fillId="0" borderId="0"/>
    <xf numFmtId="200" fontId="5" fillId="0" borderId="0"/>
    <xf numFmtId="220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5" fontId="47" fillId="0" borderId="44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5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5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6" fontId="167" fillId="16" borderId="0" applyNumberFormat="0" applyBorder="0" applyAlignment="0" applyProtection="0"/>
    <xf numFmtId="0" fontId="167" fillId="16" borderId="0" applyNumberFormat="0" applyBorder="0" applyAlignment="0" applyProtection="0"/>
    <xf numFmtId="236" fontId="167" fillId="17" borderId="0" applyNumberFormat="0" applyBorder="0" applyAlignment="0" applyProtection="0"/>
    <xf numFmtId="0" fontId="167" fillId="17" borderId="0" applyNumberFormat="0" applyBorder="0" applyAlignment="0" applyProtection="0"/>
    <xf numFmtId="236" fontId="167" fillId="18" borderId="0" applyNumberFormat="0" applyBorder="0" applyAlignment="0" applyProtection="0"/>
    <xf numFmtId="0" fontId="167" fillId="18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0" borderId="0" applyNumberFormat="0" applyBorder="0" applyAlignment="0" applyProtection="0"/>
    <xf numFmtId="0" fontId="167" fillId="20" borderId="0" applyNumberFormat="0" applyBorder="0" applyAlignment="0" applyProtection="0"/>
    <xf numFmtId="236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7" fontId="158" fillId="0" borderId="0" applyFill="0" applyBorder="0" applyProtection="0">
      <alignment horizontal="right"/>
    </xf>
    <xf numFmtId="238" fontId="67" fillId="0" borderId="47" applyBorder="0">
      <alignment horizontal="right"/>
    </xf>
    <xf numFmtId="238" fontId="67" fillId="0" borderId="47" applyBorder="0">
      <alignment horizontal="right"/>
    </xf>
    <xf numFmtId="220" fontId="111" fillId="0" borderId="42">
      <alignment horizontal="left" vertical="center"/>
    </xf>
    <xf numFmtId="185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8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3" borderId="0" applyNumberFormat="0" applyBorder="0" applyAlignment="0" applyProtection="0"/>
    <xf numFmtId="0" fontId="167" fillId="23" borderId="0" applyNumberFormat="0" applyBorder="0" applyAlignment="0" applyProtection="0"/>
    <xf numFmtId="236" fontId="167" fillId="24" borderId="0" applyNumberFormat="0" applyBorder="0" applyAlignment="0" applyProtection="0"/>
    <xf numFmtId="0" fontId="167" fillId="24" borderId="0" applyNumberFormat="0" applyBorder="0" applyAlignment="0" applyProtection="0"/>
    <xf numFmtId="236" fontId="167" fillId="19" borderId="0" applyNumberFormat="0" applyBorder="0" applyAlignment="0" applyProtection="0"/>
    <xf numFmtId="0" fontId="167" fillId="19" borderId="0" applyNumberFormat="0" applyBorder="0" applyAlignment="0" applyProtection="0"/>
    <xf numFmtId="236" fontId="167" fillId="22" borderId="0" applyNumberFormat="0" applyBorder="0" applyAlignment="0" applyProtection="0"/>
    <xf numFmtId="0" fontId="167" fillId="22" borderId="0" applyNumberFormat="0" applyBorder="0" applyAlignment="0" applyProtection="0"/>
    <xf numFmtId="236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6" fontId="175" fillId="26" borderId="0" applyNumberFormat="0" applyBorder="0" applyAlignment="0" applyProtection="0"/>
    <xf numFmtId="0" fontId="175" fillId="26" borderId="0" applyNumberFormat="0" applyBorder="0" applyAlignment="0" applyProtection="0"/>
    <xf numFmtId="236" fontId="175" fillId="23" borderId="0" applyNumberFormat="0" applyBorder="0" applyAlignment="0" applyProtection="0"/>
    <xf numFmtId="0" fontId="175" fillId="23" borderId="0" applyNumberFormat="0" applyBorder="0" applyAlignment="0" applyProtection="0"/>
    <xf numFmtId="236" fontId="175" fillId="24" borderId="0" applyNumberFormat="0" applyBorder="0" applyAlignment="0" applyProtection="0"/>
    <xf numFmtId="0" fontId="175" fillId="24" borderId="0" applyNumberFormat="0" applyBorder="0" applyAlignment="0" applyProtection="0"/>
    <xf numFmtId="236" fontId="175" fillId="27" borderId="0" applyNumberFormat="0" applyBorder="0" applyAlignment="0" applyProtection="0"/>
    <xf numFmtId="0" fontId="175" fillId="27" borderId="0" applyNumberFormat="0" applyBorder="0" applyAlignment="0" applyProtection="0"/>
    <xf numFmtId="236" fontId="175" fillId="28" borderId="0" applyNumberFormat="0" applyBorder="0" applyAlignment="0" applyProtection="0"/>
    <xf numFmtId="0" fontId="175" fillId="28" borderId="0" applyNumberFormat="0" applyBorder="0" applyAlignment="0" applyProtection="0"/>
    <xf numFmtId="236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39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1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0" fontId="67" fillId="42" borderId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200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200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23" fillId="5" borderId="0" applyNumberFormat="0" applyFont="0" applyBorder="0" applyAlignment="0" applyProtection="0"/>
    <xf numFmtId="200" fontId="19" fillId="48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200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200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0" fontId="183" fillId="0" borderId="0">
      <alignment horizontal="left" indent="1"/>
    </xf>
    <xf numFmtId="200" fontId="184" fillId="0" borderId="0" applyBorder="0"/>
    <xf numFmtId="0" fontId="67" fillId="50" borderId="0" applyNumberForma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200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0" borderId="0" applyBorder="0">
      <alignment horizontal="right"/>
    </xf>
    <xf numFmtId="200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0" fontId="5" fillId="0" borderId="51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1" borderId="0" applyNumberFormat="0" applyBorder="0" applyAlignment="0" applyProtection="0"/>
    <xf numFmtId="0" fontId="76" fillId="61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76" fillId="58" borderId="0" applyNumberFormat="0" applyBorder="0" applyAlignment="0" applyProtection="0"/>
    <xf numFmtId="0" fontId="76" fillId="58" borderId="0" applyNumberFormat="0" applyBorder="0" applyAlignment="0" applyProtection="0"/>
    <xf numFmtId="236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6" fontId="76" fillId="62" borderId="0" applyNumberFormat="0" applyBorder="0" applyAlignment="0" applyProtection="0"/>
    <xf numFmtId="0" fontId="76" fillId="62" borderId="0" applyNumberFormat="0" applyBorder="0" applyAlignment="0" applyProtection="0"/>
    <xf numFmtId="236" fontId="76" fillId="54" borderId="0" applyNumberFormat="0" applyBorder="0" applyAlignment="0" applyProtection="0"/>
    <xf numFmtId="0" fontId="76" fillId="54" borderId="0" applyNumberFormat="0" applyBorder="0" applyAlignment="0" applyProtection="0"/>
    <xf numFmtId="236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6" fontId="76" fillId="57" borderId="0" applyNumberFormat="0" applyBorder="0" applyAlignment="0" applyProtection="0"/>
    <xf numFmtId="0" fontId="76" fillId="57" borderId="0" applyNumberFormat="0" applyBorder="0" applyAlignment="0" applyProtection="0"/>
    <xf numFmtId="236" fontId="76" fillId="64" borderId="0" applyNumberFormat="0" applyBorder="0" applyAlignment="0" applyProtection="0"/>
    <xf numFmtId="0" fontId="76" fillId="64" borderId="0" applyNumberFormat="0" applyBorder="0" applyAlignment="0" applyProtection="0"/>
    <xf numFmtId="236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2" fontId="141" fillId="0" borderId="4" applyFont="0" applyFill="0">
      <alignment horizontal="right" vertical="center"/>
      <protection locked="0"/>
    </xf>
    <xf numFmtId="243" fontId="5" fillId="0" borderId="0" applyFont="0" applyFill="0" applyBorder="0" applyProtection="0"/>
    <xf numFmtId="244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5" fontId="27" fillId="0" borderId="0" applyFont="0" applyFill="0" applyBorder="0" applyAlignment="0" applyProtection="0"/>
    <xf numFmtId="246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29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4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9" fontId="47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29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189" fillId="0" borderId="0" applyFont="0" applyFill="0" applyBorder="0" applyAlignment="0" applyProtection="0"/>
    <xf numFmtId="230" fontId="21" fillId="0" borderId="0" applyFont="0" applyFill="0" applyBorder="0" applyAlignment="0" applyProtection="0"/>
    <xf numFmtId="233" fontId="4" fillId="0" borderId="0" applyFont="0" applyFill="0" applyBorder="0" applyAlignment="0" applyProtection="0"/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4" fillId="0" borderId="0" applyFont="0" applyFill="0" applyBorder="0" applyAlignment="0" applyProtection="0"/>
    <xf numFmtId="256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258" fontId="47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9" fontId="2" fillId="0" borderId="0" applyFont="0" applyFill="0" applyBorder="0" applyAlignment="0" applyProtection="0"/>
    <xf numFmtId="259" fontId="2" fillId="0" borderId="0" applyFont="0" applyFill="0" applyBorder="0" applyAlignment="0" applyProtection="0"/>
    <xf numFmtId="254" fontId="21" fillId="0" borderId="0" applyFont="0" applyFill="0" applyBorder="0" applyAlignment="0" applyProtection="0"/>
    <xf numFmtId="255" fontId="189" fillId="0" borderId="0" applyFont="0" applyFill="0" applyBorder="0" applyAlignment="0" applyProtection="0"/>
    <xf numFmtId="256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0" fontId="126" fillId="66" borderId="3">
      <alignment vertical="center"/>
    </xf>
    <xf numFmtId="0" fontId="190" fillId="0" borderId="0" applyAlignment="0"/>
    <xf numFmtId="40" fontId="130" fillId="0" borderId="52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3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6" fontId="193" fillId="32" borderId="54" applyNumberFormat="0" applyAlignment="0" applyProtection="0"/>
    <xf numFmtId="236" fontId="193" fillId="32" borderId="54" applyNumberFormat="0" applyAlignment="0" applyProtection="0"/>
    <xf numFmtId="0" fontId="193" fillId="32" borderId="54" applyNumberFormat="0" applyAlignment="0" applyProtection="0"/>
    <xf numFmtId="243" fontId="194" fillId="67" borderId="3"/>
    <xf numFmtId="243" fontId="194" fillId="67" borderId="3"/>
    <xf numFmtId="0" fontId="195" fillId="68" borderId="0" applyNumberFormat="0" applyFill="0" applyBorder="0" applyAlignment="0"/>
    <xf numFmtId="205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5" applyNumberFormat="0" applyFont="0" applyFill="0" applyAlignment="0" applyProtection="0"/>
    <xf numFmtId="9" fontId="5" fillId="0" borderId="56" applyNumberFormat="0" applyFont="0" applyFill="0" applyAlignment="0" applyProtection="0"/>
    <xf numFmtId="0" fontId="88" fillId="39" borderId="0">
      <alignment horizontal="center" vertical="center"/>
    </xf>
    <xf numFmtId="199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6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1">
      <alignment vertical="top"/>
      <protection locked="0"/>
    </xf>
    <xf numFmtId="167" fontId="205" fillId="0" borderId="51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1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1" applyNumberFormat="0">
      <alignment horizontal="left" vertical="top" wrapText="1"/>
    </xf>
    <xf numFmtId="49" fontId="146" fillId="38" borderId="3">
      <alignment horizontal="center" vertical="center" wrapText="1"/>
    </xf>
    <xf numFmtId="262" fontId="208" fillId="5" borderId="3" applyFont="0" applyFill="0" applyBorder="0" applyAlignment="0" applyProtection="0"/>
    <xf numFmtId="40" fontId="130" fillId="0" borderId="57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3" fontId="6" fillId="0" borderId="0" applyFont="0" applyFill="0" applyBorder="0" applyAlignment="0" applyProtection="0"/>
    <xf numFmtId="264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0" fontId="218" fillId="0" borderId="49" applyAlignment="0" applyProtection="0"/>
    <xf numFmtId="0" fontId="219" fillId="0" borderId="28" applyNumberFormat="0" applyFont="0" applyFill="0" applyAlignment="0" applyProtection="0"/>
    <xf numFmtId="0" fontId="106" fillId="0" borderId="58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49"/>
    <xf numFmtId="49" fontId="220" fillId="0" borderId="0" applyFont="0" applyFill="0" applyBorder="0" applyAlignment="0" applyProtection="0">
      <alignment horizontal="left"/>
    </xf>
    <xf numFmtId="271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59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2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3" fontId="27" fillId="0" borderId="0" applyFont="0" applyFill="0" applyBorder="0" applyAlignment="0" applyProtection="0"/>
    <xf numFmtId="273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6" fontId="67" fillId="0" borderId="0"/>
    <xf numFmtId="274" fontId="226" fillId="0" borderId="0" applyNumberFormat="0"/>
    <xf numFmtId="226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4" applyFill="0" applyBorder="0">
      <alignment horizontal="right" vertical="center"/>
    </xf>
    <xf numFmtId="263" fontId="233" fillId="2" borderId="60" applyNumberFormat="0" applyFont="0" applyBorder="0">
      <alignment horizontal="right"/>
    </xf>
    <xf numFmtId="263" fontId="233" fillId="2" borderId="60" applyNumberFormat="0" applyFont="0" applyBorder="0">
      <alignment horizontal="right"/>
    </xf>
    <xf numFmtId="275" fontId="19" fillId="0" borderId="0" applyFill="0" applyBorder="0">
      <alignment horizontal="right"/>
    </xf>
    <xf numFmtId="265" fontId="5" fillId="0" borderId="0" applyFont="0" applyFill="0" applyBorder="0" applyAlignment="0" applyProtection="0"/>
    <xf numFmtId="275" fontId="230" fillId="0" borderId="0" applyFill="0" applyBorder="0">
      <alignment horizontal="right"/>
    </xf>
    <xf numFmtId="267" fontId="5" fillId="0" borderId="0" applyFont="0" applyFill="0" applyBorder="0" applyAlignment="0" applyProtection="0"/>
    <xf numFmtId="226" fontId="67" fillId="36" borderId="0"/>
    <xf numFmtId="37" fontId="67" fillId="0" borderId="0"/>
    <xf numFmtId="276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7" fontId="2" fillId="0" borderId="0"/>
    <xf numFmtId="278" fontId="2" fillId="0" borderId="0"/>
    <xf numFmtId="279" fontId="2" fillId="0" borderId="0"/>
    <xf numFmtId="277" fontId="2" fillId="0" borderId="49"/>
    <xf numFmtId="278" fontId="2" fillId="0" borderId="49"/>
    <xf numFmtId="279" fontId="2" fillId="0" borderId="49"/>
    <xf numFmtId="167" fontId="2" fillId="0" borderId="49"/>
    <xf numFmtId="167" fontId="2" fillId="0" borderId="0"/>
    <xf numFmtId="280" fontId="2" fillId="0" borderId="0"/>
    <xf numFmtId="0" fontId="29" fillId="0" borderId="0" applyFill="0" applyBorder="0" applyAlignment="0"/>
    <xf numFmtId="176" fontId="180" fillId="0" borderId="0" applyFill="0" applyBorder="0" applyAlignment="0"/>
    <xf numFmtId="281" fontId="2" fillId="0" borderId="0"/>
    <xf numFmtId="282" fontId="2" fillId="0" borderId="0"/>
    <xf numFmtId="280" fontId="2" fillId="0" borderId="49"/>
    <xf numFmtId="281" fontId="2" fillId="0" borderId="49"/>
    <xf numFmtId="282" fontId="2" fillId="0" borderId="49"/>
    <xf numFmtId="283" fontId="2" fillId="0" borderId="49"/>
    <xf numFmtId="283" fontId="2" fillId="0" borderId="0"/>
    <xf numFmtId="284" fontId="2" fillId="0" borderId="0">
      <alignment horizontal="right"/>
      <protection locked="0"/>
    </xf>
    <xf numFmtId="285" fontId="2" fillId="0" borderId="0">
      <alignment horizontal="right"/>
      <protection locked="0"/>
    </xf>
    <xf numFmtId="286" fontId="2" fillId="0" borderId="0"/>
    <xf numFmtId="185" fontId="180" fillId="0" borderId="0" applyFill="0" applyBorder="0" applyAlignment="0"/>
    <xf numFmtId="200" fontId="97" fillId="0" borderId="0" applyFill="0" applyBorder="0" applyAlignment="0"/>
    <xf numFmtId="258" fontId="97" fillId="0" borderId="0" applyFill="0" applyBorder="0" applyAlignment="0"/>
    <xf numFmtId="287" fontId="2" fillId="0" borderId="0"/>
    <xf numFmtId="288" fontId="2" fillId="0" borderId="0"/>
    <xf numFmtId="286" fontId="2" fillId="0" borderId="49"/>
    <xf numFmtId="287" fontId="2" fillId="0" borderId="49"/>
    <xf numFmtId="288" fontId="2" fillId="0" borderId="49"/>
    <xf numFmtId="289" fontId="2" fillId="0" borderId="49"/>
    <xf numFmtId="289" fontId="2" fillId="0" borderId="0"/>
    <xf numFmtId="290" fontId="5" fillId="0" borderId="0" applyFill="0" applyBorder="0" applyAlignment="0"/>
    <xf numFmtId="291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6"/>
    <xf numFmtId="37" fontId="9" fillId="2" borderId="46"/>
    <xf numFmtId="37" fontId="9" fillId="2" borderId="46"/>
    <xf numFmtId="0" fontId="234" fillId="32" borderId="54" applyNumberFormat="0" applyAlignment="0" applyProtection="0"/>
    <xf numFmtId="0" fontId="50" fillId="0" borderId="0"/>
    <xf numFmtId="0" fontId="235" fillId="15" borderId="36" applyNumberFormat="0" applyAlignment="0" applyProtection="0"/>
    <xf numFmtId="0" fontId="50" fillId="0" borderId="0"/>
    <xf numFmtId="187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2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2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6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1" applyNumberFormat="0" applyFill="0" applyAlignment="0" applyProtection="0"/>
    <xf numFmtId="299" fontId="236" fillId="0" borderId="61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0" fontId="237" fillId="75" borderId="62"/>
    <xf numFmtId="1" fontId="238" fillId="0" borderId="0"/>
    <xf numFmtId="0" fontId="239" fillId="47" borderId="0"/>
    <xf numFmtId="0" fontId="84" fillId="0" borderId="0" applyAlignment="0"/>
    <xf numFmtId="301" fontId="88" fillId="0" borderId="0" applyFont="0" applyFill="0" applyBorder="0" applyAlignment="0" applyProtection="0"/>
    <xf numFmtId="302" fontId="126" fillId="10" borderId="3">
      <alignment vertical="center"/>
    </xf>
    <xf numFmtId="0" fontId="240" fillId="76" borderId="63" applyNumberFormat="0" applyAlignment="0" applyProtection="0"/>
    <xf numFmtId="0" fontId="50" fillId="0" borderId="0"/>
    <xf numFmtId="0" fontId="50" fillId="0" borderId="0"/>
    <xf numFmtId="0" fontId="241" fillId="59" borderId="63" applyNumberFormat="0" applyAlignment="0" applyProtection="0"/>
    <xf numFmtId="0" fontId="241" fillId="59" borderId="63" applyNumberFormat="0" applyAlignment="0" applyProtection="0"/>
    <xf numFmtId="0" fontId="241" fillId="59" borderId="63" applyNumberFormat="0" applyAlignment="0" applyProtection="0"/>
    <xf numFmtId="236" fontId="241" fillId="59" borderId="63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3" fontId="4" fillId="5" borderId="0">
      <alignment vertical="center"/>
      <protection locked="0"/>
    </xf>
    <xf numFmtId="0" fontId="39" fillId="77" borderId="64" applyProtection="0">
      <alignment horizontal="center" vertical="center"/>
    </xf>
    <xf numFmtId="49" fontId="4" fillId="5" borderId="0">
      <protection locked="0"/>
    </xf>
    <xf numFmtId="304" fontId="47" fillId="0" borderId="0" applyFont="0" applyFill="0" applyBorder="0" applyAlignment="0" applyProtection="0"/>
    <xf numFmtId="305" fontId="47" fillId="0" borderId="0" applyFont="0" applyFill="0" applyBorder="0" applyAlignment="0" applyProtection="0"/>
    <xf numFmtId="166" fontId="243" fillId="0" borderId="0">
      <alignment horizontal="right" vertical="top"/>
    </xf>
    <xf numFmtId="306" fontId="244" fillId="0" borderId="46">
      <alignment horizontal="right" vertical="top"/>
    </xf>
    <xf numFmtId="306" fontId="244" fillId="0" borderId="46">
      <alignment horizontal="right" vertical="top"/>
    </xf>
    <xf numFmtId="223" fontId="243" fillId="0" borderId="0">
      <alignment horizontal="right" vertical="center" shrinkToFit="1"/>
    </xf>
    <xf numFmtId="223" fontId="243" fillId="0" borderId="0">
      <alignment horizontal="right" vertical="center"/>
    </xf>
    <xf numFmtId="307" fontId="244" fillId="0" borderId="46">
      <alignment horizontal="right" vertical="center"/>
    </xf>
    <xf numFmtId="39" fontId="243" fillId="0" borderId="0">
      <alignment horizontal="right" vertical="top"/>
    </xf>
    <xf numFmtId="308" fontId="244" fillId="0" borderId="46">
      <alignment horizontal="right" vertical="top"/>
    </xf>
    <xf numFmtId="308" fontId="244" fillId="0" borderId="46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24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309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0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3" fontId="251" fillId="0" borderId="0" applyFont="0" applyFill="0" applyBorder="0" applyAlignment="0" applyProtection="0"/>
    <xf numFmtId="193" fontId="34" fillId="0" borderId="0" applyFont="0" applyFill="0" applyBorder="0" applyAlignment="0" applyProtection="0"/>
    <xf numFmtId="193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0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3" fontId="88" fillId="0" borderId="0" applyFont="0" applyFill="0" applyBorder="0" applyAlignment="0" applyProtection="0"/>
    <xf numFmtId="193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3" fontId="5" fillId="0" borderId="0" applyFont="0" applyFill="0" applyBorder="0" applyAlignment="0" applyProtection="0">
      <alignment wrapText="1"/>
    </xf>
    <xf numFmtId="193" fontId="255" fillId="0" borderId="0" applyFont="0" applyFill="0" applyBorder="0" applyAlignment="0" applyProtection="0"/>
    <xf numFmtId="310" fontId="47" fillId="0" borderId="0" applyFont="0" applyFill="0" applyBorder="0" applyAlignment="0" applyProtection="0"/>
    <xf numFmtId="193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3" fontId="106" fillId="0" borderId="0"/>
    <xf numFmtId="0" fontId="44" fillId="0" borderId="0"/>
    <xf numFmtId="37" fontId="118" fillId="0" borderId="0" applyFont="0" applyFill="0" applyBorder="0" applyAlignment="0" applyProtection="0"/>
    <xf numFmtId="200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1" fontId="67" fillId="0" borderId="0" applyFill="0" applyBorder="0" applyAlignment="0" applyProtection="0"/>
    <xf numFmtId="200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2" fontId="67" fillId="0" borderId="0" applyFill="0" applyBorder="0" applyAlignment="0" applyProtection="0"/>
    <xf numFmtId="39" fontId="67" fillId="0" borderId="0" applyFill="0" applyBorder="0" applyAlignment="0" applyProtection="0"/>
    <xf numFmtId="313" fontId="67" fillId="0" borderId="0" applyFill="0" applyBorder="0" applyAlignment="0" applyProtection="0"/>
    <xf numFmtId="258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4" fontId="88" fillId="0" borderId="0"/>
    <xf numFmtId="220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2" fontId="184" fillId="0" borderId="33" applyNumberFormat="0" applyFill="0" applyBorder="0" applyAlignment="0" applyProtection="0"/>
    <xf numFmtId="205" fontId="261" fillId="0" borderId="0"/>
    <xf numFmtId="315" fontId="261" fillId="0" borderId="0"/>
    <xf numFmtId="314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6" fontId="106" fillId="0" borderId="0" applyFill="0" applyBorder="0" applyProtection="0"/>
    <xf numFmtId="316" fontId="106" fillId="0" borderId="49" applyFill="0" applyProtection="0"/>
    <xf numFmtId="316" fontId="106" fillId="0" borderId="38" applyFill="0" applyProtection="0"/>
    <xf numFmtId="316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1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0" fontId="5" fillId="0" borderId="0" applyFont="0" applyFill="0" applyBorder="0" applyAlignment="0" applyProtection="0"/>
    <xf numFmtId="317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7" fontId="2" fillId="11" borderId="46">
      <protection locked="0"/>
    </xf>
    <xf numFmtId="278" fontId="2" fillId="11" borderId="46">
      <protection locked="0"/>
    </xf>
    <xf numFmtId="279" fontId="2" fillId="11" borderId="46">
      <protection locked="0"/>
    </xf>
    <xf numFmtId="167" fontId="2" fillId="11" borderId="46">
      <protection locked="0"/>
    </xf>
    <xf numFmtId="318" fontId="2" fillId="11" borderId="46">
      <protection locked="0"/>
    </xf>
    <xf numFmtId="319" fontId="2" fillId="11" borderId="46">
      <protection locked="0"/>
    </xf>
    <xf numFmtId="245" fontId="2" fillId="11" borderId="46">
      <protection locked="0"/>
    </xf>
    <xf numFmtId="179" fontId="2" fillId="11" borderId="46">
      <protection locked="0"/>
    </xf>
    <xf numFmtId="284" fontId="2" fillId="8" borderId="46">
      <alignment horizontal="right"/>
      <protection locked="0"/>
    </xf>
    <xf numFmtId="285" fontId="2" fillId="8" borderId="46">
      <alignment horizontal="right"/>
      <protection locked="0"/>
    </xf>
    <xf numFmtId="0" fontId="24" fillId="49" borderId="46">
      <alignment horizontal="left"/>
      <protection locked="0"/>
    </xf>
    <xf numFmtId="49" fontId="24" fillId="5" borderId="46">
      <alignment horizontal="left" vertical="top" wrapText="1"/>
      <protection locked="0"/>
    </xf>
    <xf numFmtId="286" fontId="2" fillId="11" borderId="46">
      <protection locked="0"/>
    </xf>
    <xf numFmtId="287" fontId="2" fillId="11" borderId="46">
      <protection locked="0"/>
    </xf>
    <xf numFmtId="288" fontId="2" fillId="11" borderId="46">
      <protection locked="0"/>
    </xf>
    <xf numFmtId="289" fontId="2" fillId="11" borderId="46">
      <protection locked="0"/>
    </xf>
    <xf numFmtId="49" fontId="24" fillId="5" borderId="46">
      <alignment horizontal="left"/>
      <protection locked="0"/>
    </xf>
    <xf numFmtId="320" fontId="24" fillId="11" borderId="46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1" fontId="19" fillId="0" borderId="0" applyFill="0" applyBorder="0">
      <alignment vertical="center"/>
    </xf>
    <xf numFmtId="322" fontId="106" fillId="0" borderId="0" applyFill="0" applyBorder="0" applyProtection="0"/>
    <xf numFmtId="322" fontId="106" fillId="0" borderId="49" applyFill="0" applyProtection="0"/>
    <xf numFmtId="322" fontId="106" fillId="0" borderId="38" applyFill="0" applyProtection="0"/>
    <xf numFmtId="322" fontId="6" fillId="0" borderId="0" applyFill="0" applyBorder="0" applyProtection="0"/>
    <xf numFmtId="0" fontId="5" fillId="0" borderId="3" applyFill="0">
      <alignment horizontal="center" vertical="center" wrapText="1"/>
    </xf>
    <xf numFmtId="194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3" fontId="5" fillId="0" borderId="65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6" applyNumberFormat="0" applyFont="0" applyBorder="0" applyAlignment="0" applyProtection="0"/>
    <xf numFmtId="166" fontId="88" fillId="5" borderId="66" applyNumberFormat="0" applyFont="0" applyBorder="0" applyAlignment="0" applyProtection="0"/>
    <xf numFmtId="200" fontId="279" fillId="5" borderId="0" applyNumberFormat="0" applyFont="0" applyAlignment="0"/>
    <xf numFmtId="40" fontId="130" fillId="0" borderId="67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8">
      <alignment horizontal="left" vertical="center"/>
    </xf>
    <xf numFmtId="0" fontId="20" fillId="0" borderId="68">
      <alignment horizontal="left" vertical="center"/>
    </xf>
    <xf numFmtId="0" fontId="20" fillId="0" borderId="68">
      <alignment horizontal="left" vertical="center"/>
    </xf>
    <xf numFmtId="324" fontId="281" fillId="0" borderId="0">
      <alignment horizontal="center"/>
    </xf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4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2">
      <protection locked="0"/>
    </xf>
    <xf numFmtId="0" fontId="30" fillId="0" borderId="66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3" fontId="47" fillId="11" borderId="66">
      <alignment horizontal="right" vertical="center"/>
    </xf>
    <xf numFmtId="223" fontId="38" fillId="11" borderId="66">
      <alignment horizontal="right" vertical="center"/>
    </xf>
    <xf numFmtId="325" fontId="291" fillId="0" borderId="66">
      <alignment horizontal="center" vertical="center" wrapText="1"/>
    </xf>
    <xf numFmtId="325" fontId="291" fillId="0" borderId="66">
      <alignment horizontal="center" vertical="center" wrapText="1"/>
    </xf>
    <xf numFmtId="0" fontId="292" fillId="21" borderId="54" applyNumberFormat="0" applyAlignment="0" applyProtection="0"/>
    <xf numFmtId="0" fontId="50" fillId="0" borderId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4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6" fontId="293" fillId="0" borderId="0">
      <alignment horizontal="center"/>
    </xf>
    <xf numFmtId="327" fontId="294" fillId="0" borderId="0">
      <alignment horizontal="center"/>
    </xf>
    <xf numFmtId="328" fontId="88" fillId="0" borderId="0" applyFill="0">
      <alignment horizontal="center"/>
    </xf>
    <xf numFmtId="327" fontId="138" fillId="0" borderId="0" applyFont="0" applyAlignment="0">
      <alignment horizontal="center"/>
    </xf>
    <xf numFmtId="40" fontId="126" fillId="0" borderId="73">
      <protection locked="0"/>
    </xf>
    <xf numFmtId="40" fontId="130" fillId="85" borderId="74"/>
    <xf numFmtId="40" fontId="19" fillId="0" borderId="74">
      <protection locked="0"/>
    </xf>
    <xf numFmtId="38" fontId="88" fillId="0" borderId="75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3" fontId="301" fillId="0" borderId="0">
      <alignment horizontal="right" vertical="center"/>
    </xf>
    <xf numFmtId="223" fontId="302" fillId="0" borderId="0">
      <alignment horizontal="right" vertical="center"/>
    </xf>
    <xf numFmtId="237" fontId="302" fillId="0" borderId="0">
      <alignment horizontal="right" vertical="center"/>
    </xf>
    <xf numFmtId="0" fontId="303" fillId="0" borderId="61" applyNumberFormat="0" applyFill="0" applyAlignment="0" applyProtection="0"/>
    <xf numFmtId="0" fontId="50" fillId="0" borderId="0"/>
    <xf numFmtId="0" fontId="50" fillId="0" borderId="0"/>
    <xf numFmtId="192" fontId="4" fillId="0" borderId="0" applyFont="0" applyFill="0" applyBorder="0" applyAlignment="0" applyProtection="0"/>
    <xf numFmtId="49" fontId="78" fillId="86" borderId="76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29" fontId="126" fillId="0" borderId="0">
      <alignment horizontal="center"/>
    </xf>
    <xf numFmtId="329" fontId="304" fillId="0" borderId="0">
      <alignment horizontal="center"/>
    </xf>
    <xf numFmtId="40" fontId="5" fillId="0" borderId="77"/>
    <xf numFmtId="329" fontId="304" fillId="0" borderId="0">
      <alignment horizontal="center"/>
    </xf>
    <xf numFmtId="251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331" fontId="13" fillId="0" borderId="0" applyFont="0" applyFill="0" applyBorder="0" applyAlignment="0" applyProtection="0"/>
    <xf numFmtId="331" fontId="13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30" fontId="21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7" fontId="136" fillId="0" borderId="0" applyFont="0" applyFill="0" applyBorder="0" applyAlignment="0" applyProtection="0"/>
    <xf numFmtId="330" fontId="136" fillId="0" borderId="0" applyFont="0" applyFill="0" applyBorder="0" applyAlignment="0" applyProtection="0"/>
    <xf numFmtId="25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194" fontId="305" fillId="0" borderId="0" applyFont="0" applyFill="0" applyBorder="0" applyAlignment="0" applyProtection="0"/>
    <xf numFmtId="310" fontId="305" fillId="0" borderId="0" applyFont="0" applyFill="0" applyBorder="0" applyAlignment="0" applyProtection="0"/>
    <xf numFmtId="332" fontId="306" fillId="0" borderId="66">
      <alignment horizontal="right"/>
      <protection locked="0"/>
    </xf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3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5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6" applyFont="0" applyBorder="0" applyAlignment="0">
      <alignment horizontal="center" vertical="center"/>
    </xf>
    <xf numFmtId="0" fontId="21" fillId="0" borderId="0"/>
    <xf numFmtId="0" fontId="17" fillId="0" borderId="46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8" applyBorder="0">
      <alignment horizontal="left" vertical="center" indent="2"/>
    </xf>
    <xf numFmtId="37" fontId="309" fillId="4" borderId="68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8" applyNumberFormat="0" applyFont="0" applyAlignment="0" applyProtection="0"/>
    <xf numFmtId="0" fontId="50" fillId="0" borderId="0"/>
    <xf numFmtId="0" fontId="50" fillId="0" borderId="0"/>
    <xf numFmtId="336" fontId="158" fillId="0" borderId="0" applyBorder="0" applyProtection="0">
      <protection locked="0" hidden="1"/>
    </xf>
    <xf numFmtId="337" fontId="313" fillId="0" borderId="79" applyBorder="0">
      <alignment horizontal="center"/>
    </xf>
    <xf numFmtId="338" fontId="314" fillId="0" borderId="79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2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56" fontId="21" fillId="0" borderId="0" applyFont="0" applyFill="0" applyBorder="0" applyAlignment="0" applyProtection="0"/>
    <xf numFmtId="339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5" fontId="4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315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4" fillId="0" borderId="0" applyFont="0" applyFill="0" applyBorder="0" applyAlignment="0" applyProtection="0"/>
    <xf numFmtId="254" fontId="21" fillId="0" borderId="0" applyFont="0" applyFill="0" applyBorder="0" applyAlignment="0" applyProtection="0"/>
    <xf numFmtId="296" fontId="136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42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190" fontId="136" fillId="0" borderId="0" applyFont="0" applyFill="0" applyBorder="0" applyAlignment="0" applyProtection="0"/>
    <xf numFmtId="190" fontId="136" fillId="0" borderId="0" applyFont="0" applyFill="0" applyBorder="0" applyAlignment="0" applyProtection="0"/>
    <xf numFmtId="310" fontId="2" fillId="0" borderId="0" applyFont="0" applyFill="0" applyBorder="0" applyAlignment="0" applyProtection="0"/>
    <xf numFmtId="310" fontId="2" fillId="0" borderId="0" applyFont="0" applyFill="0" applyBorder="0" applyAlignment="0" applyProtection="0"/>
    <xf numFmtId="220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340" fontId="21" fillId="0" borderId="0" applyFont="0" applyFill="0" applyBorder="0" applyAlignment="0" applyProtection="0"/>
    <xf numFmtId="341" fontId="189" fillId="0" borderId="0" applyFont="0" applyFill="0" applyBorder="0" applyAlignment="0" applyProtection="0"/>
    <xf numFmtId="254" fontId="21" fillId="0" borderId="0" applyFont="0" applyFill="0" applyBorder="0" applyAlignment="0" applyProtection="0"/>
    <xf numFmtId="298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0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3" fontId="319" fillId="0" borderId="81" applyBorder="0">
      <alignment horizontal="right"/>
      <protection locked="0"/>
    </xf>
    <xf numFmtId="3" fontId="10" fillId="0" borderId="46" applyNumberFormat="0" applyAlignment="0">
      <alignment vertical="top"/>
    </xf>
    <xf numFmtId="344" fontId="5" fillId="0" borderId="0">
      <alignment horizontal="right"/>
    </xf>
    <xf numFmtId="345" fontId="138" fillId="0" borderId="82">
      <alignment horizontal="right"/>
    </xf>
    <xf numFmtId="345" fontId="138" fillId="0" borderId="83">
      <alignment horizontal="right"/>
      <protection locked="0"/>
    </xf>
    <xf numFmtId="324" fontId="320" fillId="0" borderId="0"/>
    <xf numFmtId="346" fontId="320" fillId="0" borderId="0"/>
    <xf numFmtId="347" fontId="4" fillId="0" borderId="66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4" applyNumberFormat="0" applyProtection="0">
      <alignment vertical="center"/>
    </xf>
    <xf numFmtId="4" fontId="333" fillId="11" borderId="84" applyNumberFormat="0" applyProtection="0">
      <alignment vertical="center"/>
    </xf>
    <xf numFmtId="4" fontId="202" fillId="11" borderId="84" applyNumberFormat="0" applyProtection="0">
      <alignment horizontal="left" vertical="center" indent="1"/>
    </xf>
    <xf numFmtId="0" fontId="202" fillId="11" borderId="84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4" applyNumberFormat="0" applyProtection="0">
      <alignment horizontal="right" vertical="center"/>
    </xf>
    <xf numFmtId="4" fontId="75" fillId="23" borderId="84" applyNumberFormat="0" applyProtection="0">
      <alignment horizontal="right" vertical="center"/>
    </xf>
    <xf numFmtId="4" fontId="75" fillId="56" borderId="84" applyNumberFormat="0" applyProtection="0">
      <alignment horizontal="right" vertical="center"/>
    </xf>
    <xf numFmtId="4" fontId="75" fillId="25" borderId="84" applyNumberFormat="0" applyProtection="0">
      <alignment horizontal="right" vertical="center"/>
    </xf>
    <xf numFmtId="4" fontId="75" fillId="29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0" borderId="84" applyNumberFormat="0" applyProtection="0">
      <alignment horizontal="right" vertical="center"/>
    </xf>
    <xf numFmtId="4" fontId="75" fillId="87" borderId="84" applyNumberFormat="0" applyProtection="0">
      <alignment horizontal="right" vertical="center"/>
    </xf>
    <xf numFmtId="4" fontId="75" fillId="24" borderId="84" applyNumberFormat="0" applyProtection="0">
      <alignment horizontal="right" vertical="center"/>
    </xf>
    <xf numFmtId="4" fontId="202" fillId="88" borderId="85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4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4" applyNumberFormat="0" applyProtection="0">
      <alignment horizontal="left" vertical="center" indent="1"/>
    </xf>
    <xf numFmtId="0" fontId="5" fillId="36" borderId="84" applyNumberFormat="0" applyProtection="0">
      <alignment horizontal="left" vertical="top" indent="1"/>
    </xf>
    <xf numFmtId="0" fontId="5" fillId="30" borderId="84" applyNumberFormat="0" applyProtection="0">
      <alignment horizontal="left" vertical="center" indent="1"/>
    </xf>
    <xf numFmtId="0" fontId="5" fillId="30" borderId="84" applyNumberFormat="0" applyProtection="0">
      <alignment horizontal="left" vertical="top" indent="1"/>
    </xf>
    <xf numFmtId="0" fontId="5" fillId="6" borderId="84" applyNumberFormat="0" applyProtection="0">
      <alignment horizontal="left" vertical="center" indent="1"/>
    </xf>
    <xf numFmtId="0" fontId="5" fillId="6" borderId="84" applyNumberFormat="0" applyProtection="0">
      <alignment horizontal="left" vertical="top" indent="1"/>
    </xf>
    <xf numFmtId="0" fontId="5" fillId="10" borderId="84" applyNumberFormat="0" applyProtection="0">
      <alignment horizontal="left" vertical="center" indent="1"/>
    </xf>
    <xf numFmtId="0" fontId="5" fillId="10" borderId="84" applyNumberFormat="0" applyProtection="0">
      <alignment horizontal="left" vertical="top" indent="1"/>
    </xf>
    <xf numFmtId="4" fontId="75" fillId="3" borderId="84" applyNumberFormat="0" applyProtection="0">
      <alignment vertical="center"/>
    </xf>
    <xf numFmtId="4" fontId="334" fillId="3" borderId="84" applyNumberFormat="0" applyProtection="0">
      <alignment vertical="center"/>
    </xf>
    <xf numFmtId="4" fontId="75" fillId="3" borderId="84" applyNumberFormat="0" applyProtection="0">
      <alignment horizontal="left" vertical="center" indent="1"/>
    </xf>
    <xf numFmtId="0" fontId="75" fillId="3" borderId="84" applyNumberFormat="0" applyProtection="0">
      <alignment horizontal="left" vertical="top" indent="1"/>
    </xf>
    <xf numFmtId="4" fontId="75" fillId="89" borderId="84" applyNumberFormat="0" applyProtection="0">
      <alignment horizontal="right" vertical="center"/>
    </xf>
    <xf numFmtId="4" fontId="334" fillId="89" borderId="84" applyNumberFormat="0" applyProtection="0">
      <alignment horizontal="right" vertical="center"/>
    </xf>
    <xf numFmtId="4" fontId="75" fillId="90" borderId="84" applyNumberFormat="0" applyProtection="0">
      <alignment horizontal="left" vertical="center" indent="1"/>
    </xf>
    <xf numFmtId="0" fontId="75" fillId="30" borderId="84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4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6"/>
    <xf numFmtId="49" fontId="339" fillId="93" borderId="0"/>
    <xf numFmtId="0" fontId="337" fillId="4" borderId="86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4"/>
    <xf numFmtId="40" fontId="130" fillId="5" borderId="67"/>
    <xf numFmtId="40" fontId="127" fillId="0" borderId="87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8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3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7" fillId="0" borderId="0" applyFill="0" applyBorder="0"/>
    <xf numFmtId="0" fontId="5" fillId="0" borderId="0"/>
    <xf numFmtId="349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0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1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3" fontId="5" fillId="0" borderId="0" applyFont="0" applyFill="0" applyBorder="0" applyAlignment="0" applyProtection="0"/>
    <xf numFmtId="354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89">
      <protection locked="0"/>
    </xf>
    <xf numFmtId="355" fontId="38" fillId="0" borderId="44">
      <alignment horizontal="center"/>
    </xf>
    <xf numFmtId="0" fontId="292" fillId="21" borderId="54" applyNumberFormat="0" applyAlignment="0" applyProtection="0"/>
    <xf numFmtId="0" fontId="50" fillId="0" borderId="0"/>
    <xf numFmtId="0" fontId="50" fillId="0" borderId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3" fontId="56" fillId="0" borderId="0">
      <alignment horizontal="center" vertical="center" textRotation="90" wrapText="1"/>
    </xf>
    <xf numFmtId="195" fontId="66" fillId="0" borderId="3">
      <alignment vertical="top" wrapText="1"/>
    </xf>
    <xf numFmtId="0" fontId="316" fillId="32" borderId="90" applyNumberFormat="0" applyAlignment="0" applyProtection="0"/>
    <xf numFmtId="0" fontId="50" fillId="0" borderId="0"/>
    <xf numFmtId="0" fontId="50" fillId="0" borderId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234" fillId="32" borderId="54" applyNumberFormat="0" applyAlignment="0" applyProtection="0"/>
    <xf numFmtId="0" fontId="50" fillId="0" borderId="0"/>
    <xf numFmtId="0" fontId="50" fillId="0" borderId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6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6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6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6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356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7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6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6" fontId="60" fillId="0" borderId="3"/>
    <xf numFmtId="186" fontId="60" fillId="0" borderId="3"/>
    <xf numFmtId="186" fontId="58" fillId="0" borderId="3">
      <alignment horizontal="center" vertical="center" wrapText="1"/>
    </xf>
    <xf numFmtId="186" fontId="58" fillId="0" borderId="3">
      <alignment horizontal="center" vertical="center" wrapText="1"/>
    </xf>
    <xf numFmtId="186" fontId="58" fillId="0" borderId="3">
      <alignment vertical="top" wrapText="1"/>
    </xf>
    <xf numFmtId="0" fontId="9" fillId="0" borderId="0" applyBorder="0"/>
    <xf numFmtId="358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1" fontId="6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240" fontId="4" fillId="0" borderId="0" applyFont="0" applyFill="0" applyBorder="0" applyAlignment="0" applyProtection="0"/>
    <xf numFmtId="0" fontId="50" fillId="0" borderId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3" fontId="5" fillId="0" borderId="0" applyFont="0" applyFill="0" applyBorder="0" applyAlignment="0" applyProtection="0"/>
    <xf numFmtId="240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0" fontId="1" fillId="0" borderId="0" applyFont="0" applyFill="0" applyBorder="0" applyAlignment="0" applyProtection="0"/>
    <xf numFmtId="240" fontId="1" fillId="0" borderId="0" applyFont="0" applyFill="0" applyBorder="0" applyAlignment="0" applyProtection="0"/>
    <xf numFmtId="0" fontId="63" fillId="10" borderId="0" applyNumberFormat="0"/>
    <xf numFmtId="0" fontId="282" fillId="0" borderId="69" applyNumberFormat="0" applyFill="0" applyAlignment="0" applyProtection="0"/>
    <xf numFmtId="0" fontId="50" fillId="0" borderId="0"/>
    <xf numFmtId="0" fontId="50" fillId="0" borderId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50" fillId="0" borderId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89"/>
    <xf numFmtId="177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0" fontId="346" fillId="0" borderId="88" applyNumberFormat="0" applyFill="0" applyAlignment="0" applyProtection="0"/>
    <xf numFmtId="0" fontId="50" fillId="0" borderId="0"/>
    <xf numFmtId="0" fontId="50" fillId="0" borderId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185" fontId="57" fillId="0" borderId="3"/>
    <xf numFmtId="185" fontId="57" fillId="0" borderId="3"/>
    <xf numFmtId="0" fontId="240" fillId="76" borderId="63" applyNumberFormat="0" applyAlignment="0" applyProtection="0"/>
    <xf numFmtId="0" fontId="50" fillId="0" borderId="0"/>
    <xf numFmtId="0" fontId="50" fillId="0" borderId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4" fillId="0" borderId="0" xfId="26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38" fillId="100" borderId="0" xfId="0" applyFont="1" applyFill="1" applyBorder="1" applyAlignment="1">
      <alignment horizontal="center" vertical="center" wrapText="1"/>
    </xf>
    <xf numFmtId="0" fontId="0" fillId="100" borderId="0" xfId="0" applyFont="1" applyFill="1"/>
    <xf numFmtId="0" fontId="39" fillId="12" borderId="13" xfId="0" applyFont="1" applyFill="1" applyBorder="1" applyAlignment="1">
      <alignment horizontal="center" vertical="center"/>
    </xf>
    <xf numFmtId="167" fontId="39" fillId="12" borderId="12" xfId="0" applyNumberFormat="1" applyFont="1" applyFill="1" applyBorder="1" applyAlignment="1">
      <alignment horizontal="center" vertical="center"/>
    </xf>
    <xf numFmtId="4" fontId="39" fillId="12" borderId="34" xfId="0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4" fontId="38" fillId="12" borderId="3" xfId="0" applyNumberFormat="1" applyFont="1" applyFill="1" applyBorder="1" applyAlignment="1">
      <alignment vertical="center"/>
    </xf>
    <xf numFmtId="0" fontId="38" fillId="12" borderId="3" xfId="0" applyFont="1" applyFill="1" applyBorder="1" applyAlignment="1">
      <alignment horizontal="right" vertical="center"/>
    </xf>
    <xf numFmtId="3" fontId="0" fillId="0" borderId="66" xfId="0" applyNumberFormat="1" applyBorder="1" applyAlignment="1">
      <alignment horizontal="center"/>
    </xf>
    <xf numFmtId="170" fontId="378" fillId="0" borderId="3" xfId="28" applyNumberFormat="1" applyFont="1" applyFill="1" applyBorder="1" applyAlignment="1">
      <alignment horizontal="center" vertical="center" wrapText="1"/>
    </xf>
    <xf numFmtId="166" fontId="4" fillId="0" borderId="0" xfId="26" applyNumberFormat="1"/>
    <xf numFmtId="10" fontId="4" fillId="0" borderId="0" xfId="26" applyNumberFormat="1"/>
    <xf numFmtId="3" fontId="4" fillId="0" borderId="0" xfId="26" applyNumberFormat="1"/>
    <xf numFmtId="2" fontId="4" fillId="0" borderId="0" xfId="26" applyNumberFormat="1"/>
    <xf numFmtId="4" fontId="12" fillId="0" borderId="0" xfId="0" applyNumberFormat="1" applyFont="1"/>
    <xf numFmtId="3" fontId="0" fillId="0" borderId="0" xfId="0" applyNumberFormat="1"/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2" xfId="0" applyFont="1" applyFill="1" applyBorder="1" applyAlignment="1">
      <alignment horizontal="center" vertical="center" wrapText="1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91" xfId="0" applyFont="1" applyFill="1" applyBorder="1" applyAlignment="1">
      <alignment horizontal="center" vertical="center" wrapText="1"/>
    </xf>
    <xf numFmtId="0" fontId="315" fillId="95" borderId="35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0" borderId="0" xfId="44466" applyFont="1" applyAlignment="1">
      <alignment horizontal="left" vertical="center"/>
    </xf>
    <xf numFmtId="0" fontId="370" fillId="96" borderId="3" xfId="44466" applyFont="1" applyFill="1" applyBorder="1" applyAlignment="1">
      <alignment horizontal="righ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49" xfId="44466" applyFont="1" applyFill="1" applyBorder="1" applyAlignment="1">
      <alignment horizontal="right" vertical="center" wrapText="1"/>
    </xf>
    <xf numFmtId="0" fontId="376" fillId="13" borderId="3" xfId="27" applyFont="1" applyFill="1" applyBorder="1" applyAlignment="1">
      <alignment horizontal="center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3" fontId="9" fillId="12" borderId="3" xfId="28" applyNumberFormat="1" applyFont="1" applyFill="1" applyBorder="1" applyAlignment="1">
      <alignment horizontal="center" vertical="center" wrapText="1"/>
    </xf>
    <xf numFmtId="170" fontId="9" fillId="12" borderId="3" xfId="28" applyNumberFormat="1" applyFont="1" applyFill="1" applyBorder="1" applyAlignment="1">
      <alignment horizontal="center" vertical="center" wrapText="1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10" fontId="9" fillId="2" borderId="3" xfId="28" applyNumberFormat="1" applyFont="1" applyFill="1" applyBorder="1" applyAlignment="1">
      <alignment horizontal="center"/>
    </xf>
    <xf numFmtId="166" fontId="9" fillId="14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3" fontId="9" fillId="0" borderId="3" xfId="26" applyNumberFormat="1" applyFont="1" applyFill="1" applyBorder="1" applyAlignment="1">
      <alignment horizontal="center"/>
    </xf>
    <xf numFmtId="0" fontId="9" fillId="0" borderId="3" xfId="26" applyFont="1" applyFill="1" applyBorder="1" applyAlignment="1">
      <alignment horizontal="center"/>
    </xf>
    <xf numFmtId="0" fontId="376" fillId="13" borderId="92" xfId="26" applyFont="1" applyFill="1" applyBorder="1" applyAlignment="1">
      <alignment horizontal="center"/>
    </xf>
    <xf numFmtId="0" fontId="376" fillId="13" borderId="25" xfId="26" applyFont="1" applyFill="1" applyBorder="1" applyAlignment="1">
      <alignment horizontal="center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8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166" fontId="9" fillId="12" borderId="3" xfId="28" applyNumberFormat="1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0" fontId="377" fillId="97" borderId="25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166" fontId="9" fillId="0" borderId="3" xfId="28" applyNumberFormat="1" applyFont="1" applyFill="1" applyBorder="1" applyAlignment="1">
      <alignment horizontal="center" vertical="center" wrapText="1"/>
    </xf>
    <xf numFmtId="0" fontId="376" fillId="13" borderId="31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8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98" borderId="3" xfId="28" applyFont="1" applyFill="1" applyBorder="1" applyAlignment="1">
      <alignment horizontal="center" vertical="center" wrapText="1"/>
    </xf>
    <xf numFmtId="9" fontId="9" fillId="12" borderId="3" xfId="28" applyFont="1" applyFill="1" applyBorder="1" applyAlignment="1">
      <alignment horizontal="center" vertical="center" wrapText="1"/>
    </xf>
    <xf numFmtId="9" fontId="9" fillId="0" borderId="3" xfId="28" applyFont="1" applyFill="1" applyBorder="1" applyAlignment="1">
      <alignment horizontal="center" vertical="center" wrapText="1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903799476428"/>
          <c:y val="0.17857115949435753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Стр-ва'!$C$49:$AL$49</c15:sqref>
                  </c15:fullRef>
                </c:ext>
              </c:extLst>
              <c:f>('График Стр-ва'!$C$49,'График Стр-ва'!$F$49,'График Стр-ва'!$I$49,'График Стр-ва'!$L$49,'График Стр-ва'!$O$49,'График Стр-ва'!$R$49,'График Стр-ва'!$U$49,'График Стр-ва'!$X$49,'График Стр-ва'!$AA$49,'График Стр-ва'!$AD$49,'График Стр-ва'!$AG$49,'График Стр-ва'!$AJ$49)</c:f>
              <c:numCache>
                <c:formatCode>#,##0</c:formatCode>
                <c:ptCount val="12"/>
                <c:pt idx="0">
                  <c:v>85358.517980000004</c:v>
                </c:pt>
                <c:pt idx="1">
                  <c:v>19049.448</c:v>
                </c:pt>
                <c:pt idx="2">
                  <c:v>165095.21600000001</c:v>
                </c:pt>
                <c:pt idx="3">
                  <c:v>400038.42800000007</c:v>
                </c:pt>
                <c:pt idx="4">
                  <c:v>380989</c:v>
                </c:pt>
                <c:pt idx="5">
                  <c:v>571483.5</c:v>
                </c:pt>
                <c:pt idx="6">
                  <c:v>761978</c:v>
                </c:pt>
                <c:pt idx="7">
                  <c:v>571483.5</c:v>
                </c:pt>
                <c:pt idx="8">
                  <c:v>571483.5</c:v>
                </c:pt>
                <c:pt idx="9">
                  <c:v>380989</c:v>
                </c:pt>
                <c:pt idx="10">
                  <c:v>190494.5</c:v>
                </c:pt>
                <c:pt idx="11">
                  <c:v>295266.46399999998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'График Стр-ва'!$C$47:$AL$47</c15:sqref>
                  </c15:fullRef>
                </c:ext>
              </c:extLst>
              <c:f>('График Стр-ва'!$C$47,'График Стр-ва'!$F$47,'График Стр-ва'!$I$47,'График Стр-ва'!$L$47,'График Стр-ва'!$O$47,'График Стр-ва'!$R$47,'График Стр-ва'!$U$47,'График Стр-ва'!$X$47,'График Стр-ва'!$AA$47,'График Стр-ва'!$AD$47,'График Стр-ва'!$AG$47,'График Стр-ва'!$AJ$47)</c:f>
              <c:strCache>
                <c:ptCount val="12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1 кв.</c:v>
                </c:pt>
                <c:pt idx="5">
                  <c:v>2 кв.</c:v>
                </c:pt>
                <c:pt idx="6">
                  <c:v>3 кв.</c:v>
                </c:pt>
                <c:pt idx="7">
                  <c:v>4 кв.</c:v>
                </c:pt>
                <c:pt idx="8">
                  <c:v>1 кв.</c:v>
                </c:pt>
                <c:pt idx="9">
                  <c:v>2 кв.</c:v>
                </c:pt>
                <c:pt idx="10">
                  <c:v>3 кв.</c:v>
                </c:pt>
                <c:pt idx="11">
                  <c:v>4 кв.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'График Стр-ва'!$C$52:$AL$52</c15:sqref>
                  </c15:fullRef>
                </c:ext>
              </c:extLst>
              <c:f>('График Стр-ва'!$C$52,'График Стр-ва'!$F$52,'График Стр-ва'!$I$52,'График Стр-ва'!$L$52,'График Стр-ва'!$O$52,'График Стр-ва'!$R$52,'График Стр-ва'!$U$52,'График Стр-ва'!$X$52,'График Стр-ва'!$AA$52,'График Стр-ва'!$AD$52,'График Стр-ва'!$AG$52,'График Стр-ва'!$AJ$52)</c:f>
              <c:numCache>
                <c:formatCode>General</c:formatCode>
                <c:ptCount val="12"/>
                <c:pt idx="0" formatCode="#,##0">
                  <c:v>89736.767408020212</c:v>
                </c:pt>
                <c:pt idx="1" formatCode="#,##0">
                  <c:v>20671.887383481364</c:v>
                </c:pt>
                <c:pt idx="2" formatCode="#,##0">
                  <c:v>0</c:v>
                </c:pt>
                <c:pt idx="3" formatCode="#,##0">
                  <c:v>461214.19421126612</c:v>
                </c:pt>
                <c:pt idx="4" formatCode="#,##0">
                  <c:v>452158.56099837431</c:v>
                </c:pt>
                <c:pt idx="5" formatCode="#,##0">
                  <c:v>697598.22645853739</c:v>
                </c:pt>
                <c:pt idx="6" formatCode="#,##0">
                  <c:v>955944.81522601738</c:v>
                </c:pt>
                <c:pt idx="7" formatCode="#,##0">
                  <c:v>736318.99638048885</c:v>
                </c:pt>
                <c:pt idx="8" formatCode="#,##0">
                  <c:v>755679.38134146447</c:v>
                </c:pt>
                <c:pt idx="9" formatCode="#,##0">
                  <c:v>516693.17753496009</c:v>
                </c:pt>
                <c:pt idx="10" formatCode="#,##0">
                  <c:v>264800.05042113859</c:v>
                </c:pt>
                <c:pt idx="11" formatCode="#,##0">
                  <c:v>420442.92805255094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D-4A29-9E3F-022138E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Стр-ва'!$C$47:$AJ$47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Стр-ва'!$C$47:$AL$47</c:f>
              <c:strCache>
                <c:ptCount val="34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cat>
          <c:val>
            <c:numRef>
              <c:f>'График Стр-ва'!$C$49:$AL$49</c:f>
              <c:numCache>
                <c:formatCode>#,##0</c:formatCode>
                <c:ptCount val="36"/>
                <c:pt idx="0">
                  <c:v>85358.517980000004</c:v>
                </c:pt>
                <c:pt idx="3">
                  <c:v>19049.448</c:v>
                </c:pt>
                <c:pt idx="6">
                  <c:v>165095.21600000001</c:v>
                </c:pt>
                <c:pt idx="9">
                  <c:v>400038.42800000007</c:v>
                </c:pt>
                <c:pt idx="12">
                  <c:v>380989</c:v>
                </c:pt>
                <c:pt idx="15">
                  <c:v>571483.5</c:v>
                </c:pt>
                <c:pt idx="18">
                  <c:v>761978</c:v>
                </c:pt>
                <c:pt idx="21">
                  <c:v>571483.5</c:v>
                </c:pt>
                <c:pt idx="24">
                  <c:v>571483.5</c:v>
                </c:pt>
                <c:pt idx="27">
                  <c:v>380989</c:v>
                </c:pt>
                <c:pt idx="30">
                  <c:v>190494.5</c:v>
                </c:pt>
                <c:pt idx="33">
                  <c:v>295266.46399999998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CAA-B5F8-FD6155096A32}"/>
            </c:ext>
          </c:extLst>
        </c:ser>
        <c:ser>
          <c:idx val="1"/>
          <c:order val="1"/>
          <c:tx>
            <c:strRef>
              <c:f>'График Стр-ва'!$C$47:$AL$47</c:f>
              <c:strCache>
                <c:ptCount val="36"/>
                <c:pt idx="0">
                  <c:v>1 кв.</c:v>
                </c:pt>
                <c:pt idx="3">
                  <c:v>2 кв.</c:v>
                </c:pt>
                <c:pt idx="6">
                  <c:v>3 кв.</c:v>
                </c:pt>
                <c:pt idx="9">
                  <c:v>4 кв.</c:v>
                </c:pt>
                <c:pt idx="12">
                  <c:v>1 кв.</c:v>
                </c:pt>
                <c:pt idx="15">
                  <c:v>2 кв.</c:v>
                </c:pt>
                <c:pt idx="18">
                  <c:v>3 кв.</c:v>
                </c:pt>
                <c:pt idx="21">
                  <c:v>4 кв.</c:v>
                </c:pt>
                <c:pt idx="24">
                  <c:v>1 кв.</c:v>
                </c:pt>
                <c:pt idx="27">
                  <c:v>2 кв.</c:v>
                </c:pt>
                <c:pt idx="30">
                  <c:v>3 кв.</c:v>
                </c:pt>
                <c:pt idx="33">
                  <c:v>4 кв.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'График Стр-ва'!$C$52:$AL$52</c:f>
              <c:numCache>
                <c:formatCode>General</c:formatCode>
                <c:ptCount val="36"/>
                <c:pt idx="0" formatCode="#,##0">
                  <c:v>89736.767408020212</c:v>
                </c:pt>
                <c:pt idx="3" formatCode="#,##0">
                  <c:v>20671.887383481364</c:v>
                </c:pt>
                <c:pt idx="6" formatCode="#,##0">
                  <c:v>0</c:v>
                </c:pt>
                <c:pt idx="9" formatCode="#,##0">
                  <c:v>461214.19421126612</c:v>
                </c:pt>
                <c:pt idx="12" formatCode="#,##0">
                  <c:v>452158.56099837431</c:v>
                </c:pt>
                <c:pt idx="15" formatCode="#,##0">
                  <c:v>697598.22645853739</c:v>
                </c:pt>
                <c:pt idx="18" formatCode="#,##0">
                  <c:v>955944.81522601738</c:v>
                </c:pt>
                <c:pt idx="21" formatCode="#,##0">
                  <c:v>736318.99638048885</c:v>
                </c:pt>
                <c:pt idx="24" formatCode="#,##0">
                  <c:v>755679.38134146447</c:v>
                </c:pt>
                <c:pt idx="27" formatCode="#,##0">
                  <c:v>516693.17753496009</c:v>
                </c:pt>
                <c:pt idx="30" formatCode="#,##0">
                  <c:v>264800.05042113859</c:v>
                </c:pt>
                <c:pt idx="33" formatCode="#,##0">
                  <c:v>420442.92805255094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5-4CAA-B5F8-FD615509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37069112"/>
        <c:axId val="437075016"/>
      </c:barChart>
      <c:catAx>
        <c:axId val="4370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75016"/>
        <c:crosses val="autoZero"/>
        <c:auto val="1"/>
        <c:lblAlgn val="ctr"/>
        <c:lblOffset val="100"/>
        <c:noMultiLvlLbl val="0"/>
      </c:catAx>
      <c:valAx>
        <c:axId val="4370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0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651730</xdr:colOff>
      <xdr:row>3</xdr:row>
      <xdr:rowOff>45426</xdr:rowOff>
    </xdr:from>
    <xdr:to>
      <xdr:col>7</xdr:col>
      <xdr:colOff>619980</xdr:colOff>
      <xdr:row>12</xdr:row>
      <xdr:rowOff>140676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09355" y="1359876"/>
          <a:ext cx="2311400" cy="1714500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623889</xdr:colOff>
      <xdr:row>25</xdr:row>
      <xdr:rowOff>0</xdr:rowOff>
    </xdr:from>
    <xdr:to>
      <xdr:col>7</xdr:col>
      <xdr:colOff>161925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481514" y="5038725"/>
          <a:ext cx="1881186" cy="257176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573088</xdr:colOff>
      <xdr:row>27</xdr:row>
      <xdr:rowOff>106362</xdr:rowOff>
    </xdr:from>
    <xdr:to>
      <xdr:col>7</xdr:col>
      <xdr:colOff>111124</xdr:colOff>
      <xdr:row>32</xdr:row>
      <xdr:rowOff>122237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30713" y="5468937"/>
          <a:ext cx="1881186" cy="1149350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400050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619125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293205</xdr:colOff>
      <xdr:row>23</xdr:row>
      <xdr:rowOff>119685</xdr:rowOff>
    </xdr:from>
    <xdr:to>
      <xdr:col>17</xdr:col>
      <xdr:colOff>255105</xdr:colOff>
      <xdr:row>30</xdr:row>
      <xdr:rowOff>91109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306879" y="5403989"/>
          <a:ext cx="3183835" cy="1288359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317224</xdr:colOff>
      <xdr:row>20</xdr:row>
      <xdr:rowOff>97320</xdr:rowOff>
    </xdr:from>
    <xdr:to>
      <xdr:col>18</xdr:col>
      <xdr:colOff>193399</xdr:colOff>
      <xdr:row>23</xdr:row>
      <xdr:rowOff>68746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330898" y="4727298"/>
          <a:ext cx="3628197" cy="625752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2721</xdr:colOff>
          <xdr:row>26</xdr:row>
          <xdr:rowOff>297996</xdr:rowOff>
        </xdr:from>
        <xdr:to>
          <xdr:col>1</xdr:col>
          <xdr:colOff>145596</xdr:colOff>
          <xdr:row>27</xdr:row>
          <xdr:rowOff>65314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311727</xdr:colOff>
      <xdr:row>3</xdr:row>
      <xdr:rowOff>190501</xdr:rowOff>
    </xdr:from>
    <xdr:to>
      <xdr:col>30</xdr:col>
      <xdr:colOff>305773</xdr:colOff>
      <xdr:row>20</xdr:row>
      <xdr:rowOff>374220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8318" y="848592"/>
          <a:ext cx="6973273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383189</xdr:colOff>
      <xdr:row>2</xdr:row>
      <xdr:rowOff>111224</xdr:rowOff>
    </xdr:from>
    <xdr:to>
      <xdr:col>40</xdr:col>
      <xdr:colOff>367983</xdr:colOff>
      <xdr:row>7</xdr:row>
      <xdr:rowOff>5087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235260" y="437795"/>
          <a:ext cx="2379652" cy="710292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1</xdr:col>
      <xdr:colOff>561</xdr:colOff>
      <xdr:row>54</xdr:row>
      <xdr:rowOff>14008</xdr:rowOff>
    </xdr:from>
    <xdr:to>
      <xdr:col>21</xdr:col>
      <xdr:colOff>246530</xdr:colOff>
      <xdr:row>78</xdr:row>
      <xdr:rowOff>67237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302558</xdr:colOff>
      <xdr:row>53</xdr:row>
      <xdr:rowOff>146795</xdr:rowOff>
    </xdr:from>
    <xdr:to>
      <xdr:col>37</xdr:col>
      <xdr:colOff>504264</xdr:colOff>
      <xdr:row>78</xdr:row>
      <xdr:rowOff>56029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rzrf.ru/news/minstroy-utverdil-normativnuyu-stoimost-zhilya-na-i-polovinu-2023-goda-kvadrat-v-rossii-podros-na-56" TargetMode="Externa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zoomScaleNormal="100" workbookViewId="0">
      <selection activeCell="H21" sqref="H21"/>
    </sheetView>
  </sheetViews>
  <sheetFormatPr defaultRowHeight="12.75"/>
  <cols>
    <col min="1" max="1" width="39.1640625" style="1" customWidth="1"/>
    <col min="2" max="2" width="17.1640625" style="2" customWidth="1"/>
    <col min="3" max="3" width="11.164062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3"/>
      <c r="B1" s="14"/>
      <c r="C1" s="15"/>
      <c r="D1" s="16"/>
      <c r="F1" s="18" t="s">
        <v>148</v>
      </c>
      <c r="I1" s="97" t="s">
        <v>150</v>
      </c>
    </row>
    <row r="2" spans="1:11" ht="78" customHeight="1">
      <c r="A2" s="125" t="s">
        <v>155</v>
      </c>
      <c r="B2" s="125"/>
      <c r="C2" s="125"/>
      <c r="D2" s="16"/>
    </row>
    <row r="3" spans="1:11">
      <c r="A3" s="126" t="s">
        <v>0</v>
      </c>
      <c r="B3" s="127"/>
      <c r="C3" s="128"/>
      <c r="D3" s="4"/>
    </row>
    <row r="4" spans="1:11" ht="25.5">
      <c r="A4" s="20" t="s">
        <v>20</v>
      </c>
      <c r="B4" s="20" t="s">
        <v>31</v>
      </c>
      <c r="C4" s="20" t="s">
        <v>32</v>
      </c>
      <c r="D4" s="4"/>
    </row>
    <row r="5" spans="1:11">
      <c r="A5" s="122" t="s">
        <v>43</v>
      </c>
      <c r="B5" s="123"/>
      <c r="C5" s="124"/>
      <c r="D5" s="4"/>
    </row>
    <row r="6" spans="1:11">
      <c r="A6" s="9" t="s">
        <v>1</v>
      </c>
      <c r="B6" s="11">
        <v>24506</v>
      </c>
      <c r="C6" s="6" t="s">
        <v>2</v>
      </c>
      <c r="D6" s="5"/>
    </row>
    <row r="7" spans="1:11" ht="12.75" customHeight="1">
      <c r="A7" s="9" t="s">
        <v>19</v>
      </c>
      <c r="B7" s="11">
        <v>20770</v>
      </c>
      <c r="C7" s="7" t="s">
        <v>2</v>
      </c>
      <c r="D7" s="4"/>
    </row>
    <row r="8" spans="1:11">
      <c r="A8" s="28" t="s">
        <v>64</v>
      </c>
      <c r="B8" s="129" t="s">
        <v>149</v>
      </c>
      <c r="C8" s="129"/>
      <c r="D8" s="4"/>
    </row>
    <row r="9" spans="1:11" ht="12.75" customHeight="1">
      <c r="A9" s="21" t="s">
        <v>46</v>
      </c>
      <c r="B9" s="98" t="s">
        <v>151</v>
      </c>
      <c r="C9" s="7" t="s">
        <v>11</v>
      </c>
    </row>
    <row r="10" spans="1:11" ht="12.75" customHeight="1">
      <c r="A10" s="21" t="s">
        <v>4</v>
      </c>
      <c r="B10" s="12">
        <v>192500</v>
      </c>
      <c r="C10" s="22" t="s">
        <v>5</v>
      </c>
    </row>
    <row r="11" spans="1:11" ht="12.75" customHeight="1">
      <c r="A11" s="21" t="s">
        <v>44</v>
      </c>
      <c r="B11" s="99">
        <v>66597.5</v>
      </c>
      <c r="C11" s="7" t="s">
        <v>2</v>
      </c>
    </row>
    <row r="12" spans="1:11" ht="12.75" customHeight="1">
      <c r="A12" s="119" t="s">
        <v>52</v>
      </c>
      <c r="B12" s="120"/>
      <c r="C12" s="121"/>
    </row>
    <row r="13" spans="1:11" ht="12.75" customHeight="1">
      <c r="A13" s="21" t="s">
        <v>42</v>
      </c>
      <c r="B13" s="12">
        <v>42343.31</v>
      </c>
      <c r="C13" s="7" t="s">
        <v>2</v>
      </c>
      <c r="D13" s="4" t="b">
        <f>B13=SUM(B14:B16)</f>
        <v>1</v>
      </c>
      <c r="G13" s="17"/>
      <c r="H13" s="17"/>
      <c r="I13" s="17"/>
      <c r="J13" s="17"/>
      <c r="K13" s="17"/>
    </row>
    <row r="14" spans="1:11" ht="12.75" customHeight="1">
      <c r="A14" s="23" t="s">
        <v>47</v>
      </c>
      <c r="B14" s="12"/>
      <c r="C14" s="7" t="s">
        <v>2</v>
      </c>
      <c r="D14" s="4"/>
      <c r="E14" s="96"/>
      <c r="G14" s="17"/>
      <c r="H14" s="17"/>
      <c r="I14" s="17"/>
      <c r="J14" s="17"/>
      <c r="K14" s="17"/>
    </row>
    <row r="15" spans="1:11" ht="12.75" customHeight="1">
      <c r="A15" s="23" t="s">
        <v>48</v>
      </c>
      <c r="B15" s="12">
        <f>30*B18-W56</f>
        <v>36583.31</v>
      </c>
      <c r="C15" s="7" t="s">
        <v>2</v>
      </c>
      <c r="D15" s="4"/>
      <c r="E15" s="96"/>
      <c r="G15" s="17"/>
      <c r="H15" s="17"/>
      <c r="I15" s="17"/>
      <c r="J15" s="17"/>
      <c r="K15" s="17"/>
    </row>
    <row r="16" spans="1:11" ht="12.75" customHeight="1">
      <c r="A16" s="23" t="s">
        <v>49</v>
      </c>
      <c r="B16" s="12">
        <f>40*B19</f>
        <v>5760</v>
      </c>
      <c r="C16" s="7" t="s">
        <v>2</v>
      </c>
      <c r="D16" s="4"/>
      <c r="G16" s="17"/>
      <c r="H16" s="17"/>
      <c r="I16" s="17"/>
      <c r="J16" s="17"/>
      <c r="K16" s="17"/>
    </row>
    <row r="17" spans="1:11" ht="12.75" customHeight="1">
      <c r="A17" s="21" t="s">
        <v>53</v>
      </c>
      <c r="B17" s="12">
        <v>1422</v>
      </c>
      <c r="C17" s="22" t="s">
        <v>54</v>
      </c>
      <c r="D17" s="4" t="b">
        <f>B17=SUM(B18:B19)</f>
        <v>1</v>
      </c>
      <c r="G17" s="17"/>
      <c r="H17" s="17"/>
      <c r="I17" s="17"/>
      <c r="J17" s="17"/>
      <c r="K17" s="17"/>
    </row>
    <row r="18" spans="1:11" ht="12.75" customHeight="1">
      <c r="A18" s="23" t="s">
        <v>48</v>
      </c>
      <c r="B18" s="12">
        <v>1278</v>
      </c>
      <c r="C18" s="22" t="s">
        <v>54</v>
      </c>
      <c r="D18" s="4"/>
      <c r="G18" s="17"/>
      <c r="H18" s="17"/>
      <c r="I18" s="17"/>
      <c r="J18" s="17"/>
      <c r="K18" s="17"/>
    </row>
    <row r="19" spans="1:11" ht="12.75" customHeight="1">
      <c r="A19" s="23" t="s">
        <v>49</v>
      </c>
      <c r="B19" s="12">
        <f>36*4</f>
        <v>144</v>
      </c>
      <c r="C19" s="22" t="s">
        <v>54</v>
      </c>
      <c r="D19" s="4"/>
      <c r="G19" s="17"/>
      <c r="H19" s="17"/>
      <c r="I19" s="17"/>
      <c r="J19" s="17"/>
      <c r="K19" s="17"/>
    </row>
    <row r="20" spans="1:11" ht="12.75" customHeight="1">
      <c r="A20" s="21" t="s">
        <v>55</v>
      </c>
      <c r="B20" s="12"/>
      <c r="C20" s="7" t="s">
        <v>2</v>
      </c>
      <c r="D20" s="4"/>
      <c r="G20" s="17"/>
      <c r="H20" s="17"/>
      <c r="I20" s="17"/>
      <c r="J20" s="17"/>
      <c r="K20" s="17"/>
    </row>
    <row r="21" spans="1:11" ht="12.75" customHeight="1">
      <c r="A21" s="23" t="s">
        <v>48</v>
      </c>
      <c r="B21" s="98" t="s">
        <v>153</v>
      </c>
      <c r="C21" s="7" t="s">
        <v>2</v>
      </c>
      <c r="D21" s="4"/>
      <c r="G21" s="17"/>
      <c r="H21" s="17"/>
      <c r="I21" s="17"/>
      <c r="J21" s="17"/>
      <c r="K21" s="17"/>
    </row>
    <row r="22" spans="1:11" ht="12.75" customHeight="1">
      <c r="A22" s="23" t="s">
        <v>49</v>
      </c>
      <c r="B22" s="98" t="s">
        <v>152</v>
      </c>
      <c r="C22" s="7" t="s">
        <v>2</v>
      </c>
      <c r="D22" s="117">
        <f>B28+B13</f>
        <v>45551.79</v>
      </c>
      <c r="G22" s="17"/>
      <c r="H22" s="17"/>
      <c r="I22" s="17"/>
      <c r="J22" s="17"/>
      <c r="K22" s="17"/>
    </row>
    <row r="23" spans="1:11" ht="12.75" customHeight="1">
      <c r="A23" s="23" t="s">
        <v>50</v>
      </c>
      <c r="B23" s="12"/>
      <c r="C23" s="7" t="s">
        <v>2</v>
      </c>
      <c r="D23" s="4"/>
      <c r="G23" s="17"/>
      <c r="H23" s="17"/>
      <c r="I23" s="17"/>
      <c r="J23" s="17"/>
      <c r="K23" s="17"/>
    </row>
    <row r="24" spans="1:11" ht="12.75" customHeight="1">
      <c r="A24" s="23" t="s">
        <v>51</v>
      </c>
      <c r="B24" s="12"/>
      <c r="C24" s="7" t="s">
        <v>2</v>
      </c>
      <c r="D24" s="4"/>
      <c r="G24" s="17"/>
      <c r="H24" s="17"/>
      <c r="I24" s="17"/>
      <c r="J24" s="17"/>
      <c r="K24" s="17"/>
    </row>
    <row r="25" spans="1:11" ht="12.75" customHeight="1">
      <c r="A25" s="119" t="s">
        <v>22</v>
      </c>
      <c r="B25" s="120"/>
      <c r="C25" s="121"/>
      <c r="D25" s="4"/>
      <c r="G25" s="17"/>
      <c r="H25" s="17"/>
      <c r="I25" s="17"/>
      <c r="J25" s="17"/>
      <c r="K25" s="17"/>
    </row>
    <row r="26" spans="1:11" ht="12.75" customHeight="1">
      <c r="A26" s="21" t="s">
        <v>154</v>
      </c>
      <c r="B26" s="11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1">
        <v>45</v>
      </c>
      <c r="C27" s="22" t="s">
        <v>45</v>
      </c>
      <c r="D27" s="4"/>
    </row>
    <row r="28" spans="1:11" ht="38.25">
      <c r="A28" s="21" t="s">
        <v>56</v>
      </c>
      <c r="B28" s="12">
        <v>3208.48</v>
      </c>
      <c r="C28" s="7" t="s">
        <v>2</v>
      </c>
      <c r="D28" s="4"/>
    </row>
    <row r="29" spans="1:11">
      <c r="A29" s="122" t="s">
        <v>38</v>
      </c>
      <c r="B29" s="123"/>
      <c r="C29" s="124"/>
      <c r="D29" s="4"/>
    </row>
    <row r="30" spans="1:11">
      <c r="A30" s="19" t="s">
        <v>38</v>
      </c>
      <c r="B30" s="8"/>
      <c r="C30" s="100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abSelected="1" zoomScale="115" zoomScaleNormal="115" workbookViewId="0">
      <selection activeCell="U13" sqref="U13"/>
    </sheetView>
  </sheetViews>
  <sheetFormatPr defaultRowHeight="12.75"/>
  <cols>
    <col min="5" max="5" width="5.83203125" customWidth="1"/>
    <col min="6" max="6" width="43.33203125" customWidth="1"/>
    <col min="7" max="7" width="12.33203125" customWidth="1"/>
    <col min="8" max="8" width="11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30" t="s">
        <v>126</v>
      </c>
      <c r="F1" s="130"/>
      <c r="G1" s="130"/>
      <c r="H1" s="130"/>
      <c r="I1" s="130"/>
      <c r="J1" s="130"/>
      <c r="K1" s="130"/>
      <c r="L1" s="130"/>
      <c r="M1" s="130"/>
    </row>
    <row r="2" spans="5:19" ht="40.5">
      <c r="E2" s="41" t="s">
        <v>57</v>
      </c>
      <c r="F2" s="42" t="s">
        <v>58</v>
      </c>
      <c r="G2" s="43" t="s">
        <v>59</v>
      </c>
      <c r="H2" s="44" t="s">
        <v>68</v>
      </c>
      <c r="I2" s="31" t="s">
        <v>69</v>
      </c>
      <c r="J2" s="32" t="s">
        <v>72</v>
      </c>
      <c r="K2" s="31" t="s">
        <v>70</v>
      </c>
      <c r="L2" s="32" t="s">
        <v>71</v>
      </c>
      <c r="M2" s="45" t="s">
        <v>134</v>
      </c>
      <c r="O2" s="139" t="s">
        <v>83</v>
      </c>
      <c r="P2" s="140"/>
      <c r="Q2" s="140"/>
      <c r="R2" s="140"/>
      <c r="S2" s="141"/>
    </row>
    <row r="3" spans="5:19" ht="13.5">
      <c r="E3" s="46">
        <v>1</v>
      </c>
      <c r="F3" s="25" t="s">
        <v>67</v>
      </c>
      <c r="G3" s="26" t="s">
        <v>65</v>
      </c>
      <c r="H3" s="29">
        <v>42343</v>
      </c>
      <c r="I3" s="33">
        <v>3174908</v>
      </c>
      <c r="J3" s="34">
        <v>74.98</v>
      </c>
      <c r="K3" s="33">
        <v>3809890</v>
      </c>
      <c r="L3" s="34">
        <v>89.98</v>
      </c>
      <c r="M3" s="106">
        <f t="shared" ref="M3:M7" si="0">K3/$K$13</f>
        <v>0.86462474257382105</v>
      </c>
      <c r="O3" s="142"/>
      <c r="P3" s="143"/>
      <c r="Q3" s="143"/>
      <c r="R3" s="143"/>
      <c r="S3" s="144"/>
    </row>
    <row r="4" spans="5:19" ht="13.5">
      <c r="E4" s="46"/>
      <c r="F4" s="25"/>
      <c r="G4" s="26"/>
      <c r="H4" s="29"/>
      <c r="I4" s="33"/>
      <c r="J4" s="34"/>
      <c r="K4" s="33"/>
      <c r="L4" s="34"/>
      <c r="M4" s="106">
        <f t="shared" si="0"/>
        <v>0</v>
      </c>
      <c r="O4" s="142"/>
      <c r="P4" s="143"/>
      <c r="Q4" s="143"/>
      <c r="R4" s="143"/>
      <c r="S4" s="144"/>
    </row>
    <row r="5" spans="5:19" ht="13.5">
      <c r="E5" s="46"/>
      <c r="F5" s="25"/>
      <c r="G5" s="26"/>
      <c r="H5" s="29"/>
      <c r="I5" s="33"/>
      <c r="J5" s="34"/>
      <c r="K5" s="33"/>
      <c r="L5" s="34"/>
      <c r="M5" s="106">
        <f t="shared" si="0"/>
        <v>0</v>
      </c>
      <c r="O5" s="142"/>
      <c r="P5" s="143"/>
      <c r="Q5" s="143"/>
      <c r="R5" s="143"/>
      <c r="S5" s="144"/>
    </row>
    <row r="6" spans="5:19" ht="13.5">
      <c r="E6" s="46"/>
      <c r="F6" s="25"/>
      <c r="G6" s="26"/>
      <c r="H6" s="29"/>
      <c r="I6" s="33"/>
      <c r="J6" s="34"/>
      <c r="K6" s="33"/>
      <c r="L6" s="34"/>
      <c r="M6" s="106">
        <f t="shared" si="0"/>
        <v>0</v>
      </c>
      <c r="O6" s="142"/>
      <c r="P6" s="143"/>
      <c r="Q6" s="143"/>
      <c r="R6" s="143"/>
      <c r="S6" s="144"/>
    </row>
    <row r="7" spans="5:19" ht="13.5">
      <c r="E7" s="154" t="s">
        <v>60</v>
      </c>
      <c r="F7" s="155"/>
      <c r="G7" s="155"/>
      <c r="H7" s="156"/>
      <c r="I7" s="35">
        <f>SUM(I3:I3)</f>
        <v>3174908</v>
      </c>
      <c r="J7" s="36"/>
      <c r="K7" s="35">
        <f>SUM(K3:K3)</f>
        <v>3809890</v>
      </c>
      <c r="L7" s="36"/>
      <c r="M7" s="106">
        <f t="shared" si="0"/>
        <v>0.86462474257382105</v>
      </c>
      <c r="O7" s="142"/>
      <c r="P7" s="143"/>
      <c r="Q7" s="143"/>
      <c r="R7" s="143"/>
      <c r="S7" s="144"/>
    </row>
    <row r="8" spans="5:19" ht="27">
      <c r="E8" s="46">
        <f>E3+1</f>
        <v>2</v>
      </c>
      <c r="F8" s="25" t="s">
        <v>156</v>
      </c>
      <c r="G8" s="54"/>
      <c r="H8" s="104">
        <v>24506</v>
      </c>
      <c r="I8" s="35">
        <f>66309069.98/1000</f>
        <v>66309.06998</v>
      </c>
      <c r="J8" s="105">
        <f t="shared" ref="J8:J9" si="1">I8/H8</f>
        <v>2.7058300000000002</v>
      </c>
      <c r="K8" s="35">
        <f>I8</f>
        <v>66309.06998</v>
      </c>
      <c r="L8" s="36"/>
      <c r="M8" s="106">
        <f>K8/$K$13</f>
        <v>1.5048324902232608E-2</v>
      </c>
      <c r="O8" s="142"/>
      <c r="P8" s="143"/>
      <c r="Q8" s="143"/>
      <c r="R8" s="143"/>
      <c r="S8" s="144"/>
    </row>
    <row r="9" spans="5:19" ht="13.5">
      <c r="E9" s="46">
        <f>E8+1</f>
        <v>3</v>
      </c>
      <c r="F9" s="27" t="s">
        <v>66</v>
      </c>
      <c r="G9" s="24"/>
      <c r="H9" s="30">
        <v>24506</v>
      </c>
      <c r="I9" s="37">
        <f>'[24]Расчет ЗАТРАТ'!G10</f>
        <v>0</v>
      </c>
      <c r="J9" s="105">
        <f t="shared" si="1"/>
        <v>0</v>
      </c>
      <c r="K9" s="37">
        <f>'[24]Расчет ЗАТРАТ'!I10</f>
        <v>0</v>
      </c>
      <c r="L9" s="38"/>
      <c r="M9" s="106">
        <f t="shared" ref="M9:M12" si="2">K9/$K$13</f>
        <v>0</v>
      </c>
      <c r="O9" s="142"/>
      <c r="P9" s="143"/>
      <c r="Q9" s="143"/>
      <c r="R9" s="143"/>
      <c r="S9" s="144"/>
    </row>
    <row r="10" spans="5:19" ht="13.5">
      <c r="E10" s="46">
        <f t="shared" ref="E10:E12" si="3">E9+1</f>
        <v>4</v>
      </c>
      <c r="F10" s="27" t="s">
        <v>168</v>
      </c>
      <c r="G10" s="24"/>
      <c r="H10" s="30">
        <f>H3</f>
        <v>42343</v>
      </c>
      <c r="I10" s="37">
        <f>I7*0.02</f>
        <v>63498.16</v>
      </c>
      <c r="J10" s="105">
        <f>I10/H10</f>
        <v>1.4996141038660464</v>
      </c>
      <c r="K10" s="37">
        <f>K3*0.02</f>
        <v>76197.8</v>
      </c>
      <c r="L10" s="105">
        <f>K10/H10</f>
        <v>1.7995371135724914</v>
      </c>
      <c r="M10" s="106">
        <f t="shared" si="2"/>
        <v>1.7292494851476423E-2</v>
      </c>
      <c r="O10" s="142"/>
      <c r="P10" s="143"/>
      <c r="Q10" s="143"/>
      <c r="R10" s="143"/>
      <c r="S10" s="144"/>
    </row>
    <row r="11" spans="5:19" ht="13.5">
      <c r="E11" s="46">
        <f t="shared" si="3"/>
        <v>5</v>
      </c>
      <c r="F11" s="27" t="s">
        <v>61</v>
      </c>
      <c r="G11" s="24"/>
      <c r="H11" s="30">
        <v>3736</v>
      </c>
      <c r="I11" s="111">
        <f>I41</f>
        <v>95247.239999999991</v>
      </c>
      <c r="J11" s="38"/>
      <c r="K11" s="37">
        <f>I11*1.1</f>
        <v>104771.96399999999</v>
      </c>
      <c r="L11" s="38"/>
      <c r="M11" s="106">
        <f t="shared" si="2"/>
        <v>2.3777177924416096E-2</v>
      </c>
      <c r="O11" s="142"/>
      <c r="P11" s="143"/>
      <c r="Q11" s="143"/>
      <c r="R11" s="143"/>
      <c r="S11" s="144"/>
    </row>
    <row r="12" spans="5:19" ht="13.5">
      <c r="E12" s="46">
        <f t="shared" si="3"/>
        <v>6</v>
      </c>
      <c r="F12" s="27" t="s">
        <v>62</v>
      </c>
      <c r="G12" s="24"/>
      <c r="H12" s="30"/>
      <c r="I12" s="37">
        <f>I48</f>
        <v>317490.80000000005</v>
      </c>
      <c r="J12" s="38"/>
      <c r="K12" s="37">
        <f>I12*1.1</f>
        <v>349239.88000000006</v>
      </c>
      <c r="L12" s="38"/>
      <c r="M12" s="106">
        <f t="shared" si="2"/>
        <v>7.9257259748053671E-2</v>
      </c>
      <c r="O12" s="142"/>
      <c r="P12" s="143"/>
      <c r="Q12" s="143"/>
      <c r="R12" s="143"/>
      <c r="S12" s="144"/>
    </row>
    <row r="13" spans="5:19" ht="14.25" thickBot="1">
      <c r="E13" s="157" t="s">
        <v>63</v>
      </c>
      <c r="F13" s="158"/>
      <c r="G13" s="159"/>
      <c r="H13" s="160"/>
      <c r="I13" s="39">
        <f>SUM(I7:I12)</f>
        <v>3717453.2699800003</v>
      </c>
      <c r="J13" s="40"/>
      <c r="K13" s="39">
        <f>SUM(K7:K12)</f>
        <v>4406408.7139800005</v>
      </c>
      <c r="L13" s="40"/>
      <c r="M13" s="106">
        <f>SUM(M7:M12)</f>
        <v>0.99999999999999989</v>
      </c>
      <c r="O13" s="145"/>
      <c r="P13" s="146"/>
      <c r="Q13" s="146"/>
      <c r="R13" s="146"/>
      <c r="S13" s="147"/>
    </row>
    <row r="14" spans="5:19">
      <c r="K14" s="118"/>
    </row>
    <row r="15" spans="5:19">
      <c r="F15" s="162"/>
      <c r="G15" s="162"/>
      <c r="H15" s="162"/>
      <c r="I15" s="162"/>
      <c r="J15" s="162"/>
      <c r="K15" s="162"/>
      <c r="L15" s="162"/>
      <c r="M15" s="71" t="s">
        <v>122</v>
      </c>
    </row>
    <row r="16" spans="5:19" ht="38.25">
      <c r="F16" s="49" t="s">
        <v>74</v>
      </c>
      <c r="G16" s="49" t="s">
        <v>164</v>
      </c>
      <c r="H16" s="77" t="s">
        <v>132</v>
      </c>
      <c r="I16" s="49" t="s">
        <v>165</v>
      </c>
      <c r="J16" s="132" t="s">
        <v>82</v>
      </c>
      <c r="K16" s="132"/>
      <c r="L16" s="132"/>
      <c r="M16" s="102" t="s">
        <v>157</v>
      </c>
    </row>
    <row r="17" spans="6:13">
      <c r="F17" s="50" t="s">
        <v>123</v>
      </c>
      <c r="G17" s="109">
        <f>'НЦС-пример'!G29</f>
        <v>89.976862959267052</v>
      </c>
      <c r="H17" s="50">
        <v>0</v>
      </c>
      <c r="I17" s="72">
        <f>G17*(1+H17/100)</f>
        <v>89.976862959267052</v>
      </c>
      <c r="J17" s="148" t="s">
        <v>120</v>
      </c>
      <c r="K17" s="149"/>
      <c r="L17" s="150"/>
      <c r="M17" s="103" t="s">
        <v>158</v>
      </c>
    </row>
    <row r="18" spans="6:13">
      <c r="F18" s="50" t="s">
        <v>123</v>
      </c>
      <c r="G18" s="50">
        <v>79.8</v>
      </c>
      <c r="H18" s="50">
        <v>0</v>
      </c>
      <c r="I18" s="72">
        <f t="shared" ref="I18:I21" si="4">G18*(1+H18/100)</f>
        <v>79.8</v>
      </c>
      <c r="J18" s="131"/>
      <c r="K18" s="131"/>
      <c r="L18" s="131"/>
      <c r="M18" t="s">
        <v>127</v>
      </c>
    </row>
    <row r="19" spans="6:13">
      <c r="F19" s="50" t="s">
        <v>123</v>
      </c>
      <c r="G19" s="50">
        <v>93.07</v>
      </c>
      <c r="H19" s="50">
        <v>4.3899999999999997</v>
      </c>
      <c r="I19" s="72">
        <f t="shared" si="4"/>
        <v>97.155772999999996</v>
      </c>
      <c r="J19" s="131"/>
      <c r="K19" s="131"/>
      <c r="L19" s="131"/>
      <c r="M19" s="18" t="s">
        <v>128</v>
      </c>
    </row>
    <row r="20" spans="6:13">
      <c r="F20" s="50" t="s">
        <v>123</v>
      </c>
      <c r="G20" s="110">
        <v>52.494</v>
      </c>
      <c r="H20" s="110">
        <v>0</v>
      </c>
      <c r="I20" s="72">
        <f t="shared" si="4"/>
        <v>52.494</v>
      </c>
      <c r="J20" s="131"/>
      <c r="K20" s="131"/>
      <c r="L20" s="131"/>
      <c r="M20" s="18" t="s">
        <v>133</v>
      </c>
    </row>
    <row r="21" spans="6:13">
      <c r="F21" s="50" t="s">
        <v>123</v>
      </c>
      <c r="G21" s="50">
        <v>88.736999999999995</v>
      </c>
      <c r="H21" s="50">
        <v>5.6</v>
      </c>
      <c r="I21" s="72">
        <f t="shared" si="4"/>
        <v>93.706271999999998</v>
      </c>
      <c r="J21" s="131"/>
      <c r="K21" s="131"/>
      <c r="L21" s="131"/>
      <c r="M21" s="18" t="s">
        <v>166</v>
      </c>
    </row>
    <row r="22" spans="6:13">
      <c r="F22" s="50" t="s">
        <v>123</v>
      </c>
      <c r="G22" s="110"/>
      <c r="H22" s="110"/>
      <c r="I22" s="72"/>
      <c r="J22" s="131" t="s">
        <v>167</v>
      </c>
      <c r="K22" s="131"/>
      <c r="L22" s="131"/>
    </row>
    <row r="23" spans="6:13" ht="25.5">
      <c r="F23" s="80" t="s">
        <v>124</v>
      </c>
      <c r="G23" s="73">
        <f>AVERAGE(G17:G21)</f>
        <v>80.815572591853396</v>
      </c>
      <c r="H23" s="78"/>
      <c r="I23" s="73">
        <f>AVERAGE(I17:I21)</f>
        <v>82.626581591853409</v>
      </c>
      <c r="J23" s="161" t="s">
        <v>130</v>
      </c>
      <c r="K23" s="161"/>
      <c r="L23" s="161"/>
    </row>
    <row r="24" spans="6:13">
      <c r="F24" s="50" t="s">
        <v>33</v>
      </c>
      <c r="G24" s="50">
        <f>_xlfn.STDEV.S(G17:G21)</f>
        <v>16.583064450253797</v>
      </c>
      <c r="H24" s="50"/>
      <c r="I24" s="50">
        <f>_xlfn.STDEV.S(I17:I21)</f>
        <v>18.054401233357083</v>
      </c>
      <c r="J24" s="161"/>
      <c r="K24" s="161"/>
      <c r="L24" s="161"/>
    </row>
    <row r="25" spans="6:13">
      <c r="F25" s="50" t="s">
        <v>129</v>
      </c>
      <c r="G25" s="50">
        <f>G24/G23</f>
        <v>0.20519639864465244</v>
      </c>
      <c r="H25" s="50"/>
      <c r="I25" s="50">
        <f>I24/I23</f>
        <v>0.21850596848529386</v>
      </c>
      <c r="J25" s="148" t="s">
        <v>131</v>
      </c>
      <c r="K25" s="149"/>
      <c r="L25" s="150"/>
    </row>
    <row r="26" spans="6:13" ht="25.5" customHeight="1">
      <c r="F26" s="79" t="s">
        <v>125</v>
      </c>
      <c r="G26" s="79"/>
      <c r="H26" s="79"/>
      <c r="I26" s="53"/>
      <c r="J26" s="131"/>
      <c r="K26" s="131"/>
      <c r="L26" s="131"/>
    </row>
    <row r="30" spans="6:13">
      <c r="F30" s="132" t="s">
        <v>74</v>
      </c>
      <c r="G30" s="132"/>
      <c r="H30" s="132"/>
      <c r="I30" s="49" t="s">
        <v>75</v>
      </c>
      <c r="J30" s="132" t="s">
        <v>82</v>
      </c>
      <c r="K30" s="132"/>
      <c r="L30" s="132"/>
    </row>
    <row r="31" spans="6:13">
      <c r="F31" s="136"/>
      <c r="G31" s="137"/>
      <c r="H31" s="138"/>
      <c r="I31" s="47"/>
      <c r="J31" s="131"/>
      <c r="K31" s="131"/>
      <c r="L31" s="131"/>
    </row>
    <row r="32" spans="6:13">
      <c r="F32" s="136"/>
      <c r="G32" s="137"/>
      <c r="H32" s="138"/>
      <c r="I32" s="48"/>
      <c r="J32" s="131"/>
      <c r="K32" s="131"/>
      <c r="L32" s="131"/>
    </row>
    <row r="33" spans="6:13">
      <c r="F33" s="136" t="s">
        <v>78</v>
      </c>
      <c r="G33" s="137"/>
      <c r="H33" s="138"/>
      <c r="I33" s="47">
        <f>I7*0.02</f>
        <v>63498.16</v>
      </c>
      <c r="J33" s="131"/>
      <c r="K33" s="131"/>
      <c r="L33" s="131"/>
    </row>
    <row r="34" spans="6:13">
      <c r="F34" s="52" t="s">
        <v>79</v>
      </c>
      <c r="G34" s="51"/>
      <c r="H34" s="51"/>
      <c r="I34" s="53">
        <f>I33</f>
        <v>63498.16</v>
      </c>
      <c r="J34" s="131"/>
      <c r="K34" s="131"/>
      <c r="L34" s="131"/>
    </row>
    <row r="37" spans="6:13">
      <c r="F37" s="132" t="s">
        <v>74</v>
      </c>
      <c r="G37" s="132"/>
      <c r="H37" s="132"/>
      <c r="I37" s="49" t="s">
        <v>75</v>
      </c>
      <c r="J37" s="132" t="s">
        <v>82</v>
      </c>
      <c r="K37" s="132"/>
      <c r="L37" s="132"/>
    </row>
    <row r="38" spans="6:13">
      <c r="F38" s="136"/>
      <c r="G38" s="137"/>
      <c r="H38" s="138"/>
      <c r="I38" s="47"/>
      <c r="J38" s="131"/>
      <c r="K38" s="131"/>
      <c r="L38" s="131"/>
    </row>
    <row r="39" spans="6:13">
      <c r="F39" s="136"/>
      <c r="G39" s="137"/>
      <c r="H39" s="138"/>
      <c r="I39" s="48"/>
      <c r="J39" s="131"/>
      <c r="K39" s="131"/>
      <c r="L39" s="131"/>
      <c r="M39" s="18" t="s">
        <v>73</v>
      </c>
    </row>
    <row r="40" spans="6:13">
      <c r="F40" s="136" t="s">
        <v>76</v>
      </c>
      <c r="G40" s="137"/>
      <c r="H40" s="138"/>
      <c r="I40" s="47">
        <f>I7*0.03</f>
        <v>95247.239999999991</v>
      </c>
      <c r="J40" s="131"/>
      <c r="K40" s="131"/>
      <c r="L40" s="131"/>
    </row>
    <row r="41" spans="6:13">
      <c r="F41" s="52" t="s">
        <v>77</v>
      </c>
      <c r="G41" s="51"/>
      <c r="H41" s="51"/>
      <c r="I41" s="53">
        <f>I40</f>
        <v>95247.239999999991</v>
      </c>
      <c r="J41" s="131"/>
      <c r="K41" s="131"/>
      <c r="L41" s="131"/>
    </row>
    <row r="44" spans="6:13">
      <c r="F44" s="132" t="s">
        <v>74</v>
      </c>
      <c r="G44" s="132"/>
      <c r="H44" s="132"/>
      <c r="I44" s="49" t="s">
        <v>75</v>
      </c>
      <c r="J44" s="132" t="s">
        <v>82</v>
      </c>
      <c r="K44" s="132"/>
      <c r="L44" s="132"/>
    </row>
    <row r="45" spans="6:13">
      <c r="F45" s="133"/>
      <c r="G45" s="134"/>
      <c r="H45" s="135"/>
      <c r="I45" s="47"/>
      <c r="J45" s="131"/>
      <c r="K45" s="131"/>
      <c r="L45" s="131"/>
    </row>
    <row r="46" spans="6:13">
      <c r="F46" s="133"/>
      <c r="G46" s="134"/>
      <c r="H46" s="135"/>
      <c r="I46" s="48"/>
      <c r="J46" s="131"/>
      <c r="K46" s="131"/>
      <c r="L46" s="131"/>
    </row>
    <row r="47" spans="6:13">
      <c r="F47" s="133" t="s">
        <v>80</v>
      </c>
      <c r="G47" s="134"/>
      <c r="H47" s="135"/>
      <c r="I47" s="47">
        <f>I7*0.1</f>
        <v>317490.80000000005</v>
      </c>
      <c r="J47" s="131"/>
      <c r="K47" s="131"/>
      <c r="L47" s="131"/>
    </row>
    <row r="48" spans="6:13">
      <c r="F48" s="151" t="s">
        <v>81</v>
      </c>
      <c r="G48" s="152"/>
      <c r="H48" s="153"/>
      <c r="I48" s="53">
        <f>I47</f>
        <v>317490.80000000005</v>
      </c>
      <c r="J48" s="131"/>
      <c r="K48" s="131"/>
      <c r="L48" s="131"/>
    </row>
    <row r="58" spans="3:15" s="74" customFormat="1">
      <c r="E58" s="75" t="s">
        <v>34</v>
      </c>
      <c r="F58" s="76" t="s">
        <v>35</v>
      </c>
    </row>
    <row r="59" spans="3:15" s="74" customFormat="1">
      <c r="C59" s="75"/>
      <c r="D59" s="75"/>
      <c r="E59" s="75" t="s">
        <v>36</v>
      </c>
      <c r="F59" s="75"/>
      <c r="G59" s="75"/>
      <c r="H59" s="75"/>
      <c r="I59" s="75"/>
      <c r="J59" s="75"/>
      <c r="K59" s="75"/>
      <c r="L59" s="75"/>
      <c r="M59" s="75"/>
      <c r="N59" s="75"/>
      <c r="O59" s="75"/>
    </row>
    <row r="60" spans="3:15" s="74" customFormat="1"/>
    <row r="61" spans="3:15" s="74" customFormat="1"/>
    <row r="62" spans="3:15" s="74" customFormat="1"/>
    <row r="63" spans="3:15" s="74" customFormat="1"/>
    <row r="64" spans="3:15" s="74" customFormat="1"/>
    <row r="65" s="74" customFormat="1"/>
    <row r="66" s="74" customFormat="1"/>
    <row r="67" s="74" customFormat="1"/>
    <row r="68" s="74" customFormat="1"/>
    <row r="69" s="74" customFormat="1"/>
    <row r="70" s="74" customFormat="1"/>
    <row r="71" s="74" customFormat="1"/>
    <row r="72" s="74" customFormat="1"/>
    <row r="73" s="74" customFormat="1"/>
    <row r="74" s="74" customFormat="1"/>
    <row r="75" s="74" customFormat="1"/>
    <row r="76" s="74" customFormat="1"/>
    <row r="77" s="74" customFormat="1"/>
    <row r="78" s="74" customFormat="1"/>
    <row r="79" s="74" customFormat="1"/>
    <row r="80" s="74" customFormat="1"/>
    <row r="81" s="74" customFormat="1"/>
    <row r="82" s="74" customFormat="1"/>
    <row r="83" s="74" customFormat="1"/>
    <row r="84" s="74" customFormat="1"/>
    <row r="85" s="74" customFormat="1"/>
    <row r="86" s="74" customFormat="1"/>
    <row r="87" s="74" customFormat="1"/>
    <row r="88" s="74" customFormat="1"/>
    <row r="89" s="74" customFormat="1"/>
    <row r="90" s="74" customFormat="1"/>
    <row r="91" s="74" customFormat="1"/>
    <row r="92" s="74" customFormat="1"/>
    <row r="93" s="74" customFormat="1"/>
    <row r="94" s="74" customFormat="1"/>
    <row r="95" s="74" customFormat="1"/>
    <row r="96" s="74" customFormat="1"/>
    <row r="97" s="74" customFormat="1"/>
    <row r="98" s="74" customFormat="1"/>
    <row r="99" s="74" customFormat="1"/>
    <row r="100" s="74" customFormat="1"/>
    <row r="101" s="74" customFormat="1"/>
    <row r="102" s="74" customFormat="1"/>
    <row r="103" s="74" customFormat="1"/>
    <row r="104" s="74" customFormat="1"/>
    <row r="105" s="74" customFormat="1"/>
    <row r="106" s="74" customFormat="1"/>
    <row r="107" s="74" customFormat="1"/>
    <row r="108" s="74" customFormat="1"/>
  </sheetData>
  <mergeCells count="44"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</mergeCells>
  <hyperlinks>
    <hyperlink ref="M39" r:id="rId1"/>
    <hyperlink ref="M19" r:id="rId2"/>
    <hyperlink ref="F58" r:id="rId3"/>
    <hyperlink ref="M20" r:id="rId4"/>
    <hyperlink ref="M21" r:id="rId5" display="https://erzrf.ru/news/minstroy-utverdil-normativnuyu-stoimost-zhilya-na-i-polovinu-2023-goda-kvadrat-v-rossii-podros-na-56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topLeftCell="A7" zoomScale="70" zoomScaleNormal="70" workbookViewId="0">
      <selection activeCell="C31" sqref="C31"/>
    </sheetView>
  </sheetViews>
  <sheetFormatPr defaultRowHeight="15.75"/>
  <cols>
    <col min="1" max="1" width="9.33203125" style="55"/>
    <col min="2" max="2" width="5.33203125" style="55" customWidth="1"/>
    <col min="3" max="3" width="56.5" style="55" customWidth="1"/>
    <col min="4" max="4" width="30.33203125" style="56" customWidth="1"/>
    <col min="5" max="5" width="17.33203125" style="55" customWidth="1"/>
    <col min="6" max="6" width="13.1640625" style="55" customWidth="1"/>
    <col min="7" max="7" width="25.83203125" style="55" customWidth="1"/>
    <col min="8" max="8" width="26" style="55" customWidth="1"/>
    <col min="9" max="16384" width="9.33203125" style="55"/>
  </cols>
  <sheetData>
    <row r="2" spans="2:12" ht="18.75">
      <c r="C2" s="68" t="s">
        <v>120</v>
      </c>
      <c r="D2" s="69" t="s">
        <v>119</v>
      </c>
      <c r="E2" s="70"/>
    </row>
    <row r="9" spans="2:12" ht="31.5">
      <c r="B9" s="66" t="s">
        <v>118</v>
      </c>
      <c r="C9" s="66" t="s">
        <v>117</v>
      </c>
      <c r="D9" s="66" t="s">
        <v>82</v>
      </c>
      <c r="E9" s="66" t="s">
        <v>116</v>
      </c>
      <c r="F9" s="66" t="s">
        <v>115</v>
      </c>
      <c r="G9" s="66" t="s">
        <v>114</v>
      </c>
      <c r="H9" s="66" t="s">
        <v>113</v>
      </c>
    </row>
    <row r="10" spans="2:12" s="56" customFormat="1">
      <c r="B10" s="59">
        <v>1</v>
      </c>
      <c r="C10" s="59">
        <v>2</v>
      </c>
      <c r="D10" s="59">
        <v>3</v>
      </c>
      <c r="E10" s="59">
        <v>4</v>
      </c>
      <c r="F10" s="59">
        <v>5</v>
      </c>
      <c r="G10" s="59">
        <v>6</v>
      </c>
      <c r="H10" s="59">
        <v>7</v>
      </c>
      <c r="J10" s="56" t="s">
        <v>159</v>
      </c>
    </row>
    <row r="11" spans="2:12" ht="47.25">
      <c r="B11" s="58" t="s">
        <v>112</v>
      </c>
      <c r="C11" s="58" t="s">
        <v>161</v>
      </c>
      <c r="D11" s="59" t="s">
        <v>160</v>
      </c>
      <c r="E11" s="61" t="s">
        <v>111</v>
      </c>
      <c r="F11" s="61">
        <v>42343</v>
      </c>
      <c r="G11" s="59">
        <v>74.42</v>
      </c>
      <c r="H11" s="65">
        <f>F11*G11</f>
        <v>3151166.06</v>
      </c>
    </row>
    <row r="12" spans="2:12">
      <c r="B12" s="163" t="s">
        <v>110</v>
      </c>
      <c r="C12" s="164"/>
      <c r="D12" s="164"/>
      <c r="E12" s="164"/>
      <c r="F12" s="164"/>
      <c r="G12" s="164"/>
      <c r="H12" s="165"/>
    </row>
    <row r="13" spans="2:12" ht="94.5">
      <c r="B13" s="62"/>
      <c r="C13" s="58" t="s">
        <v>109</v>
      </c>
      <c r="D13" s="59" t="s">
        <v>108</v>
      </c>
      <c r="E13" s="61"/>
      <c r="F13" s="61">
        <v>1.02</v>
      </c>
      <c r="G13" s="59"/>
      <c r="H13" s="59"/>
    </row>
    <row r="14" spans="2:12" ht="63">
      <c r="B14" s="62"/>
      <c r="C14" s="58" t="s">
        <v>107</v>
      </c>
      <c r="D14" s="59" t="s">
        <v>106</v>
      </c>
      <c r="E14" s="61"/>
      <c r="F14" s="61">
        <v>1.04</v>
      </c>
      <c r="G14" s="59"/>
      <c r="H14" s="59"/>
      <c r="J14" s="169" t="s">
        <v>105</v>
      </c>
      <c r="K14" s="169"/>
      <c r="L14" s="169"/>
    </row>
    <row r="15" spans="2:12">
      <c r="B15" s="62"/>
      <c r="C15" s="67" t="s">
        <v>104</v>
      </c>
      <c r="D15" s="66"/>
      <c r="E15" s="65"/>
      <c r="F15" s="65">
        <f>1+(F13-1)+(F14-1)</f>
        <v>1.06</v>
      </c>
      <c r="G15" s="59"/>
      <c r="H15" s="59"/>
      <c r="J15" s="169"/>
      <c r="K15" s="169"/>
      <c r="L15" s="169"/>
    </row>
    <row r="16" spans="2:12" ht="63">
      <c r="B16" s="62"/>
      <c r="C16" s="67" t="s">
        <v>103</v>
      </c>
      <c r="D16" s="66" t="s">
        <v>102</v>
      </c>
      <c r="E16" s="65"/>
      <c r="F16" s="65">
        <v>1</v>
      </c>
      <c r="G16" s="59"/>
      <c r="H16" s="59"/>
    </row>
    <row r="17" spans="2:9">
      <c r="B17" s="166" t="s">
        <v>101</v>
      </c>
      <c r="C17" s="167"/>
      <c r="D17" s="167"/>
      <c r="E17" s="167"/>
      <c r="F17" s="167"/>
      <c r="G17" s="168"/>
      <c r="H17" s="57">
        <f>H11*F15*F16</f>
        <v>3340236.0236000004</v>
      </c>
    </row>
    <row r="18" spans="2:9">
      <c r="B18" s="163" t="s">
        <v>100</v>
      </c>
      <c r="C18" s="164"/>
      <c r="D18" s="164"/>
      <c r="E18" s="164"/>
      <c r="F18" s="164"/>
      <c r="G18" s="164"/>
      <c r="H18" s="165"/>
    </row>
    <row r="19" spans="2:9" ht="31.5">
      <c r="B19" s="64"/>
      <c r="C19" s="64" t="s">
        <v>99</v>
      </c>
      <c r="D19" s="64" t="s">
        <v>98</v>
      </c>
      <c r="E19" s="64"/>
      <c r="F19" s="59">
        <v>0.91</v>
      </c>
      <c r="G19" s="64"/>
      <c r="H19" s="64"/>
    </row>
    <row r="20" spans="2:9" ht="63">
      <c r="B20" s="64"/>
      <c r="C20" s="64" t="s">
        <v>97</v>
      </c>
      <c r="D20" s="64" t="s">
        <v>96</v>
      </c>
      <c r="E20" s="64"/>
      <c r="F20" s="59">
        <v>1</v>
      </c>
      <c r="G20" s="64"/>
      <c r="H20" s="64"/>
    </row>
    <row r="21" spans="2:9" ht="31.5">
      <c r="B21" s="64"/>
      <c r="C21" s="64" t="s">
        <v>95</v>
      </c>
      <c r="D21" s="64" t="s">
        <v>94</v>
      </c>
      <c r="E21" s="64"/>
      <c r="F21" s="59">
        <v>1</v>
      </c>
      <c r="G21" s="64"/>
      <c r="H21" s="64"/>
    </row>
    <row r="22" spans="2:9">
      <c r="B22" s="166" t="s">
        <v>93</v>
      </c>
      <c r="C22" s="167"/>
      <c r="D22" s="167"/>
      <c r="E22" s="167"/>
      <c r="F22" s="167"/>
      <c r="G22" s="168"/>
      <c r="H22" s="57">
        <f>H17*F19*F20*F21</f>
        <v>3039614.7814760003</v>
      </c>
    </row>
    <row r="23" spans="2:9" ht="15.75" customHeight="1">
      <c r="B23" s="163" t="s">
        <v>92</v>
      </c>
      <c r="C23" s="164"/>
      <c r="D23" s="164"/>
      <c r="E23" s="164"/>
      <c r="F23" s="164"/>
      <c r="G23" s="164"/>
      <c r="H23" s="165"/>
    </row>
    <row r="24" spans="2:9">
      <c r="B24" s="63"/>
      <c r="C24" s="58" t="s">
        <v>91</v>
      </c>
      <c r="D24" s="59" t="s">
        <v>90</v>
      </c>
      <c r="E24" s="61"/>
      <c r="F24" s="61"/>
      <c r="G24" s="59"/>
      <c r="H24" s="59"/>
    </row>
    <row r="25" spans="2:9">
      <c r="B25" s="166" t="s">
        <v>89</v>
      </c>
      <c r="C25" s="167"/>
      <c r="D25" s="167"/>
      <c r="E25" s="167"/>
      <c r="F25" s="167"/>
      <c r="G25" s="168"/>
      <c r="H25" s="57">
        <f>H22+H24</f>
        <v>3039614.7814760003</v>
      </c>
    </row>
    <row r="26" spans="2:9">
      <c r="B26" s="62"/>
      <c r="C26" s="58" t="s">
        <v>88</v>
      </c>
      <c r="D26" s="59"/>
      <c r="E26" s="61"/>
      <c r="F26" s="61">
        <f>1+(((6)^(1/12))^10)/100</f>
        <v>1.0445101825354242</v>
      </c>
      <c r="G26" s="59"/>
      <c r="H26" s="59"/>
      <c r="I26" s="60" t="s">
        <v>87</v>
      </c>
    </row>
    <row r="27" spans="2:9" ht="31.5" customHeight="1">
      <c r="B27" s="58"/>
      <c r="C27" s="171" t="s">
        <v>86</v>
      </c>
      <c r="D27" s="172"/>
      <c r="E27" s="172"/>
      <c r="F27" s="172"/>
      <c r="G27" s="57">
        <f>H27/F11</f>
        <v>74.980719132722541</v>
      </c>
      <c r="H27" s="57">
        <f>H25*F26</f>
        <v>3174908.5902368706</v>
      </c>
      <c r="I27" s="18" t="s">
        <v>121</v>
      </c>
    </row>
    <row r="28" spans="2:9">
      <c r="B28" s="58">
        <v>8</v>
      </c>
      <c r="C28" s="58" t="s">
        <v>37</v>
      </c>
      <c r="D28" s="59" t="s">
        <v>85</v>
      </c>
      <c r="E28" s="59" t="s">
        <v>23</v>
      </c>
      <c r="F28" s="59">
        <v>1.2</v>
      </c>
      <c r="G28" s="59"/>
      <c r="H28" s="59"/>
    </row>
    <row r="29" spans="2:9">
      <c r="B29" s="58"/>
      <c r="C29" s="170" t="s">
        <v>84</v>
      </c>
      <c r="D29" s="170"/>
      <c r="E29" s="170"/>
      <c r="F29" s="170"/>
      <c r="G29" s="57">
        <f>H29/F11</f>
        <v>89.976862959267052</v>
      </c>
      <c r="H29" s="57">
        <f>H27*F28</f>
        <v>3809890.3082842445</v>
      </c>
    </row>
  </sheetData>
  <mergeCells count="9">
    <mergeCell ref="C29:F29"/>
    <mergeCell ref="B23:H23"/>
    <mergeCell ref="B25:G25"/>
    <mergeCell ref="C27:F27"/>
    <mergeCell ref="B12:H12"/>
    <mergeCell ref="B18:H18"/>
    <mergeCell ref="B17:G17"/>
    <mergeCell ref="J14:L15"/>
    <mergeCell ref="B22:G22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26</xdr:row>
                <xdr:rowOff>295275</xdr:rowOff>
              </from>
              <to>
                <xdr:col>1</xdr:col>
                <xdr:colOff>142875</xdr:colOff>
                <xdr:row>27</xdr:row>
                <xdr:rowOff>66675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BD53"/>
  <sheetViews>
    <sheetView topLeftCell="A48" zoomScale="85" zoomScaleNormal="85" workbookViewId="0">
      <selection activeCell="AJ12" sqref="AJ12:AL12"/>
    </sheetView>
  </sheetViews>
  <sheetFormatPr defaultColWidth="10.6640625" defaultRowHeight="12.75"/>
  <cols>
    <col min="1" max="1" width="4.6640625" style="10" customWidth="1"/>
    <col min="2" max="2" width="30" style="10" customWidth="1"/>
    <col min="3" max="35" width="5.6640625" style="10" customWidth="1"/>
    <col min="36" max="36" width="9.33203125" style="10" customWidth="1"/>
    <col min="37" max="37" width="9.6640625" style="10" customWidth="1"/>
    <col min="38" max="38" width="8.1640625" style="10" customWidth="1"/>
    <col min="39" max="39" width="17" style="10" customWidth="1"/>
    <col min="40" max="40" width="16.83203125" style="10" bestFit="1" customWidth="1"/>
    <col min="41" max="16384" width="10.6640625" style="10"/>
  </cols>
  <sheetData>
    <row r="1" spans="2:56" ht="12.75" customHeight="1">
      <c r="E1" s="200" t="s">
        <v>145</v>
      </c>
      <c r="F1" s="201"/>
      <c r="G1" s="201"/>
      <c r="H1" s="201"/>
      <c r="I1" s="201"/>
      <c r="J1" s="201"/>
      <c r="K1" s="201"/>
      <c r="L1" s="201"/>
      <c r="M1" s="201"/>
      <c r="N1" s="201"/>
      <c r="Q1" s="175" t="s">
        <v>137</v>
      </c>
      <c r="R1" s="175"/>
      <c r="S1" s="175"/>
      <c r="T1" s="175"/>
      <c r="U1" s="175"/>
      <c r="V1" s="175"/>
      <c r="W1" s="175"/>
      <c r="X1" s="175"/>
      <c r="Y1" s="175"/>
      <c r="Z1" s="175"/>
      <c r="AB1" s="175" t="s">
        <v>139</v>
      </c>
      <c r="AC1" s="175"/>
      <c r="AD1" s="175"/>
      <c r="AE1" s="175"/>
      <c r="AF1" s="175"/>
      <c r="AG1" s="175"/>
      <c r="AH1" s="175"/>
      <c r="AI1" s="175"/>
      <c r="AJ1" s="175"/>
      <c r="AK1" s="175"/>
    </row>
    <row r="2" spans="2:56">
      <c r="E2" s="200"/>
      <c r="F2" s="201"/>
      <c r="G2" s="201"/>
      <c r="H2" s="201"/>
      <c r="I2" s="201"/>
      <c r="J2" s="201"/>
      <c r="K2" s="201"/>
      <c r="L2" s="201"/>
      <c r="M2" s="201"/>
      <c r="N2" s="201"/>
      <c r="Q2" s="175"/>
      <c r="R2" s="175"/>
      <c r="S2" s="175"/>
      <c r="T2" s="175"/>
      <c r="U2" s="175"/>
      <c r="V2" s="175"/>
      <c r="W2" s="175"/>
      <c r="X2" s="175"/>
      <c r="Y2" s="175"/>
      <c r="Z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</row>
    <row r="3" spans="2:56" ht="12.75" customHeight="1">
      <c r="E3" s="202" t="s">
        <v>12</v>
      </c>
      <c r="F3" s="203"/>
      <c r="G3" s="203"/>
      <c r="H3" s="203"/>
      <c r="I3" s="203"/>
      <c r="J3" s="203"/>
      <c r="K3" s="203"/>
      <c r="L3" s="204"/>
      <c r="M3" s="206">
        <v>40</v>
      </c>
      <c r="N3" s="207"/>
      <c r="Q3" s="198">
        <v>60</v>
      </c>
      <c r="R3" s="198"/>
      <c r="S3" s="198"/>
      <c r="T3" s="198"/>
      <c r="U3" s="198"/>
      <c r="V3" s="198"/>
      <c r="W3" s="198"/>
      <c r="X3" s="198"/>
      <c r="Y3" s="198"/>
      <c r="Z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</row>
    <row r="4" spans="2:56" ht="12.75" customHeight="1">
      <c r="E4" s="205" t="s">
        <v>13</v>
      </c>
      <c r="F4" s="205"/>
      <c r="G4" s="205"/>
      <c r="H4" s="205"/>
      <c r="I4" s="205"/>
      <c r="J4" s="205"/>
      <c r="K4" s="205"/>
      <c r="L4" s="205"/>
      <c r="M4" s="206">
        <v>9</v>
      </c>
      <c r="N4" s="207"/>
      <c r="Q4" s="198"/>
      <c r="R4" s="198"/>
      <c r="S4" s="198"/>
      <c r="T4" s="198"/>
      <c r="U4" s="198"/>
      <c r="V4" s="198"/>
      <c r="W4" s="198"/>
      <c r="X4" s="198"/>
      <c r="Y4" s="198"/>
      <c r="Z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</row>
    <row r="5" spans="2:56" ht="12.75" customHeight="1">
      <c r="E5" s="205" t="s">
        <v>14</v>
      </c>
      <c r="F5" s="205"/>
      <c r="G5" s="205"/>
      <c r="H5" s="205"/>
      <c r="I5" s="205"/>
      <c r="J5" s="205"/>
      <c r="K5" s="205"/>
      <c r="L5" s="205"/>
      <c r="M5" s="206">
        <v>13</v>
      </c>
      <c r="N5" s="207"/>
    </row>
    <row r="6" spans="2:56" ht="12.75" customHeight="1">
      <c r="E6" s="205" t="s">
        <v>15</v>
      </c>
      <c r="F6" s="205"/>
      <c r="G6" s="205"/>
      <c r="H6" s="205"/>
      <c r="I6" s="205"/>
      <c r="J6" s="205"/>
      <c r="K6" s="205"/>
      <c r="L6" s="205"/>
      <c r="M6" s="206">
        <v>15</v>
      </c>
      <c r="N6" s="207"/>
    </row>
    <row r="7" spans="2:56" ht="12.75" customHeight="1">
      <c r="E7" s="205" t="s">
        <v>16</v>
      </c>
      <c r="F7" s="205"/>
      <c r="G7" s="205"/>
      <c r="H7" s="205"/>
      <c r="I7" s="205"/>
      <c r="J7" s="205"/>
      <c r="K7" s="205"/>
      <c r="L7" s="205"/>
      <c r="M7" s="206">
        <v>5</v>
      </c>
      <c r="N7" s="207"/>
    </row>
    <row r="9" spans="2:56">
      <c r="B9" s="194" t="s">
        <v>138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</row>
    <row r="10" spans="2:56" ht="12.75" customHeight="1">
      <c r="B10" s="195" t="s">
        <v>6</v>
      </c>
      <c r="C10" s="175" t="s">
        <v>41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</row>
    <row r="11" spans="2:56">
      <c r="B11" s="195"/>
      <c r="C11" s="175" t="s">
        <v>28</v>
      </c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 t="s">
        <v>29</v>
      </c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 t="s">
        <v>30</v>
      </c>
      <c r="AB11" s="175"/>
      <c r="AC11" s="175"/>
      <c r="AD11" s="175"/>
      <c r="AE11" s="175"/>
      <c r="AF11" s="175"/>
      <c r="AG11" s="175"/>
      <c r="AH11" s="175"/>
      <c r="AI11" s="175"/>
      <c r="AJ11" s="175" t="s">
        <v>162</v>
      </c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 t="s">
        <v>163</v>
      </c>
      <c r="AW11" s="175"/>
      <c r="AX11" s="175"/>
      <c r="AY11" s="175"/>
      <c r="AZ11" s="175"/>
      <c r="BA11" s="175"/>
      <c r="BB11" s="175"/>
      <c r="BC11" s="175"/>
      <c r="BD11" s="175"/>
    </row>
    <row r="12" spans="2:56" ht="13.5" customHeight="1">
      <c r="B12" s="195"/>
      <c r="C12" s="175" t="s">
        <v>27</v>
      </c>
      <c r="D12" s="175"/>
      <c r="E12" s="175"/>
      <c r="F12" s="175" t="s">
        <v>24</v>
      </c>
      <c r="G12" s="175"/>
      <c r="H12" s="175"/>
      <c r="I12" s="175" t="s">
        <v>25</v>
      </c>
      <c r="J12" s="175"/>
      <c r="K12" s="175"/>
      <c r="L12" s="175" t="s">
        <v>26</v>
      </c>
      <c r="M12" s="175"/>
      <c r="N12" s="175"/>
      <c r="O12" s="175" t="str">
        <f>C12</f>
        <v>1 кв.</v>
      </c>
      <c r="P12" s="175"/>
      <c r="Q12" s="175"/>
      <c r="R12" s="175" t="str">
        <f>F12</f>
        <v>2 кв.</v>
      </c>
      <c r="S12" s="175"/>
      <c r="T12" s="175"/>
      <c r="U12" s="175" t="str">
        <f>I12</f>
        <v>3 кв.</v>
      </c>
      <c r="V12" s="175"/>
      <c r="W12" s="175"/>
      <c r="X12" s="175" t="str">
        <f>L12</f>
        <v>4 кв.</v>
      </c>
      <c r="Y12" s="175"/>
      <c r="Z12" s="175"/>
      <c r="AA12" s="175" t="str">
        <f>O12</f>
        <v>1 кв.</v>
      </c>
      <c r="AB12" s="175"/>
      <c r="AC12" s="175"/>
      <c r="AD12" s="175" t="str">
        <f>R12</f>
        <v>2 кв.</v>
      </c>
      <c r="AE12" s="175"/>
      <c r="AF12" s="175"/>
      <c r="AG12" s="175" t="str">
        <f>U12</f>
        <v>3 кв.</v>
      </c>
      <c r="AH12" s="175"/>
      <c r="AI12" s="175"/>
      <c r="AJ12" s="175" t="str">
        <f>X12</f>
        <v>4 кв.</v>
      </c>
      <c r="AK12" s="175"/>
      <c r="AL12" s="175"/>
    </row>
    <row r="13" spans="2:56">
      <c r="B13" s="195"/>
      <c r="C13" s="89">
        <v>1</v>
      </c>
      <c r="D13" s="89">
        <v>2</v>
      </c>
      <c r="E13" s="89">
        <v>3</v>
      </c>
      <c r="F13" s="89">
        <v>4</v>
      </c>
      <c r="G13" s="89">
        <v>5</v>
      </c>
      <c r="H13" s="89">
        <v>6</v>
      </c>
      <c r="I13" s="89">
        <v>7</v>
      </c>
      <c r="J13" s="89">
        <v>8</v>
      </c>
      <c r="K13" s="89">
        <v>9</v>
      </c>
      <c r="L13" s="89">
        <v>10</v>
      </c>
      <c r="M13" s="89">
        <v>11</v>
      </c>
      <c r="N13" s="89">
        <v>12</v>
      </c>
      <c r="O13" s="89">
        <v>13</v>
      </c>
      <c r="P13" s="89">
        <v>14</v>
      </c>
      <c r="Q13" s="89">
        <v>15</v>
      </c>
      <c r="R13" s="89">
        <v>16</v>
      </c>
      <c r="S13" s="89">
        <v>17</v>
      </c>
      <c r="T13" s="89">
        <v>18</v>
      </c>
      <c r="U13" s="89">
        <v>19</v>
      </c>
      <c r="V13" s="89">
        <v>20</v>
      </c>
      <c r="W13" s="89">
        <v>21</v>
      </c>
      <c r="X13" s="89">
        <v>22</v>
      </c>
      <c r="Y13" s="89">
        <v>23</v>
      </c>
      <c r="Z13" s="89">
        <v>24</v>
      </c>
      <c r="AA13" s="89">
        <v>25</v>
      </c>
      <c r="AB13" s="89">
        <v>26</v>
      </c>
      <c r="AC13" s="89">
        <v>27</v>
      </c>
      <c r="AD13" s="89">
        <v>28</v>
      </c>
      <c r="AE13" s="89">
        <v>29</v>
      </c>
      <c r="AF13" s="89">
        <v>30</v>
      </c>
      <c r="AG13" s="89">
        <v>31</v>
      </c>
      <c r="AH13" s="89">
        <v>32</v>
      </c>
      <c r="AI13" s="89">
        <v>33</v>
      </c>
      <c r="AJ13" s="101">
        <v>34</v>
      </c>
      <c r="AK13" s="101">
        <v>35</v>
      </c>
      <c r="AL13" s="101">
        <v>36</v>
      </c>
    </row>
    <row r="14" spans="2:56" ht="25.5">
      <c r="B14" s="90" t="s">
        <v>136</v>
      </c>
      <c r="C14" s="208">
        <v>1</v>
      </c>
      <c r="D14" s="208"/>
      <c r="E14" s="208"/>
      <c r="F14" s="209"/>
      <c r="G14" s="209"/>
      <c r="H14" s="209"/>
      <c r="I14" s="209"/>
      <c r="J14" s="209"/>
      <c r="K14" s="209"/>
      <c r="L14" s="209"/>
      <c r="M14" s="209"/>
      <c r="N14" s="209"/>
      <c r="O14" s="187"/>
      <c r="P14" s="188"/>
      <c r="Q14" s="189"/>
      <c r="R14" s="187"/>
      <c r="S14" s="188"/>
      <c r="T14" s="189"/>
      <c r="U14" s="187"/>
      <c r="V14" s="188"/>
      <c r="W14" s="189"/>
      <c r="X14" s="187"/>
      <c r="Y14" s="188"/>
      <c r="Z14" s="189"/>
      <c r="AA14" s="187"/>
      <c r="AB14" s="188"/>
      <c r="AC14" s="189"/>
      <c r="AD14" s="187"/>
      <c r="AE14" s="188"/>
      <c r="AF14" s="189"/>
      <c r="AG14" s="187"/>
      <c r="AH14" s="188"/>
      <c r="AI14" s="189"/>
      <c r="AJ14" s="187"/>
      <c r="AK14" s="188"/>
      <c r="AL14" s="189"/>
    </row>
    <row r="15" spans="2:56" ht="25.5">
      <c r="B15" s="90" t="s">
        <v>17</v>
      </c>
      <c r="C15" s="208">
        <v>0.3</v>
      </c>
      <c r="D15" s="208"/>
      <c r="E15" s="208"/>
      <c r="F15" s="208">
        <v>0.3</v>
      </c>
      <c r="G15" s="208"/>
      <c r="H15" s="208"/>
      <c r="I15" s="208">
        <v>0.4</v>
      </c>
      <c r="J15" s="208"/>
      <c r="K15" s="208"/>
      <c r="L15" s="210"/>
      <c r="M15" s="210"/>
      <c r="N15" s="210"/>
      <c r="O15" s="187"/>
      <c r="P15" s="188"/>
      <c r="Q15" s="189"/>
      <c r="R15" s="187"/>
      <c r="S15" s="188"/>
      <c r="T15" s="189"/>
      <c r="U15" s="187"/>
      <c r="V15" s="188"/>
      <c r="W15" s="189"/>
      <c r="X15" s="187"/>
      <c r="Y15" s="188"/>
      <c r="Z15" s="189"/>
      <c r="AA15" s="187"/>
      <c r="AB15" s="188"/>
      <c r="AC15" s="189"/>
      <c r="AD15" s="187"/>
      <c r="AE15" s="188"/>
      <c r="AF15" s="189"/>
      <c r="AG15" s="187"/>
      <c r="AH15" s="188"/>
      <c r="AI15" s="189"/>
      <c r="AJ15" s="187"/>
      <c r="AK15" s="188"/>
      <c r="AL15" s="189"/>
    </row>
    <row r="16" spans="2:56" ht="25.5">
      <c r="B16" s="86" t="s">
        <v>140</v>
      </c>
      <c r="C16" s="191"/>
      <c r="D16" s="191"/>
      <c r="E16" s="191"/>
      <c r="F16" s="191"/>
      <c r="G16" s="191"/>
      <c r="H16" s="191"/>
      <c r="I16" s="191"/>
      <c r="J16" s="191"/>
      <c r="K16" s="191"/>
      <c r="L16" s="190">
        <v>0.05</v>
      </c>
      <c r="M16" s="190"/>
      <c r="N16" s="190"/>
      <c r="O16" s="190">
        <v>0.1</v>
      </c>
      <c r="P16" s="190"/>
      <c r="Q16" s="190"/>
      <c r="R16" s="190">
        <v>0.15</v>
      </c>
      <c r="S16" s="190"/>
      <c r="T16" s="190"/>
      <c r="U16" s="190">
        <v>0.2</v>
      </c>
      <c r="V16" s="190"/>
      <c r="W16" s="190"/>
      <c r="X16" s="190">
        <v>0.15</v>
      </c>
      <c r="Y16" s="190"/>
      <c r="Z16" s="190"/>
      <c r="AA16" s="190">
        <v>0.15</v>
      </c>
      <c r="AB16" s="190"/>
      <c r="AC16" s="190"/>
      <c r="AD16" s="190">
        <v>0.1</v>
      </c>
      <c r="AE16" s="190"/>
      <c r="AF16" s="190"/>
      <c r="AG16" s="190">
        <v>0.05</v>
      </c>
      <c r="AH16" s="190"/>
      <c r="AI16" s="190"/>
      <c r="AJ16" s="190">
        <v>0.05</v>
      </c>
      <c r="AK16" s="190"/>
      <c r="AL16" s="190"/>
      <c r="AM16" s="113">
        <f>SUM(L16:AL16)</f>
        <v>1</v>
      </c>
    </row>
    <row r="17" spans="2:40" ht="38.25">
      <c r="B17" s="86" t="s">
        <v>135</v>
      </c>
      <c r="C17" s="191"/>
      <c r="D17" s="191"/>
      <c r="E17" s="191"/>
      <c r="F17" s="191"/>
      <c r="G17" s="191"/>
      <c r="H17" s="191"/>
      <c r="I17" s="181">
        <v>0.4</v>
      </c>
      <c r="J17" s="181"/>
      <c r="K17" s="181"/>
      <c r="L17" s="181">
        <v>0.6</v>
      </c>
      <c r="M17" s="181"/>
      <c r="N17" s="181"/>
      <c r="O17" s="199"/>
      <c r="P17" s="199"/>
      <c r="Q17" s="199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</row>
    <row r="18" spans="2:40">
      <c r="B18" s="86" t="s">
        <v>61</v>
      </c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9"/>
      <c r="AH18" s="199"/>
      <c r="AI18" s="199"/>
      <c r="AJ18" s="181">
        <v>1</v>
      </c>
      <c r="AK18" s="181"/>
      <c r="AL18" s="181"/>
    </row>
    <row r="20" spans="2:40">
      <c r="B20" s="194" t="s">
        <v>143</v>
      </c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</row>
    <row r="21" spans="2:40" ht="12.75" customHeight="1">
      <c r="B21" s="195" t="s">
        <v>6</v>
      </c>
      <c r="C21" s="175" t="s">
        <v>40</v>
      </c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</row>
    <row r="22" spans="2:40">
      <c r="B22" s="195"/>
      <c r="C22" s="175" t="str">
        <f>C11</f>
        <v>1 прогнозный год</v>
      </c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 t="str">
        <f>O11</f>
        <v>2 прогнозный год</v>
      </c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 t="str">
        <f>AA11</f>
        <v>3 прогнозный год</v>
      </c>
      <c r="AB22" s="175"/>
      <c r="AC22" s="175"/>
      <c r="AD22" s="175"/>
      <c r="AE22" s="175"/>
      <c r="AF22" s="175"/>
      <c r="AG22" s="175"/>
      <c r="AH22" s="175"/>
      <c r="AI22" s="175"/>
    </row>
    <row r="23" spans="2:40" ht="13.5" customHeight="1">
      <c r="B23" s="195"/>
      <c r="C23" s="175" t="str">
        <f>C12</f>
        <v>1 кв.</v>
      </c>
      <c r="D23" s="175"/>
      <c r="E23" s="175"/>
      <c r="F23" s="175" t="str">
        <f>F12</f>
        <v>2 кв.</v>
      </c>
      <c r="G23" s="175"/>
      <c r="H23" s="175"/>
      <c r="I23" s="175" t="str">
        <f>I12</f>
        <v>3 кв.</v>
      </c>
      <c r="J23" s="175"/>
      <c r="K23" s="175"/>
      <c r="L23" s="175" t="str">
        <f>L12</f>
        <v>4 кв.</v>
      </c>
      <c r="M23" s="175"/>
      <c r="N23" s="175"/>
      <c r="O23" s="175" t="str">
        <f>O12</f>
        <v>1 кв.</v>
      </c>
      <c r="P23" s="175"/>
      <c r="Q23" s="175"/>
      <c r="R23" s="175" t="str">
        <f>R12</f>
        <v>2 кв.</v>
      </c>
      <c r="S23" s="175"/>
      <c r="T23" s="175"/>
      <c r="U23" s="175" t="str">
        <f>U12</f>
        <v>3 кв.</v>
      </c>
      <c r="V23" s="175"/>
      <c r="W23" s="175"/>
      <c r="X23" s="175" t="str">
        <f>X12</f>
        <v>4 кв.</v>
      </c>
      <c r="Y23" s="175"/>
      <c r="Z23" s="175"/>
      <c r="AA23" s="175" t="str">
        <f>AA12</f>
        <v>1 кв.</v>
      </c>
      <c r="AB23" s="175"/>
      <c r="AC23" s="175"/>
      <c r="AD23" s="175" t="str">
        <f>AD12</f>
        <v>2 кв.</v>
      </c>
      <c r="AE23" s="175"/>
      <c r="AF23" s="175"/>
      <c r="AG23" s="175" t="str">
        <f>AG12</f>
        <v>3 кв.</v>
      </c>
      <c r="AH23" s="175"/>
      <c r="AI23" s="175"/>
      <c r="AJ23" s="175" t="str">
        <f>AJ12</f>
        <v>4 кв.</v>
      </c>
      <c r="AK23" s="175"/>
      <c r="AL23" s="175"/>
      <c r="AN23" s="10" t="s">
        <v>169</v>
      </c>
    </row>
    <row r="24" spans="2:40">
      <c r="B24" s="195"/>
      <c r="C24" s="89">
        <v>1</v>
      </c>
      <c r="D24" s="89">
        <f t="shared" ref="D24:AI24" si="0">C24+1</f>
        <v>2</v>
      </c>
      <c r="E24" s="89">
        <f t="shared" si="0"/>
        <v>3</v>
      </c>
      <c r="F24" s="89">
        <f t="shared" si="0"/>
        <v>4</v>
      </c>
      <c r="G24" s="89">
        <f t="shared" si="0"/>
        <v>5</v>
      </c>
      <c r="H24" s="89">
        <f t="shared" si="0"/>
        <v>6</v>
      </c>
      <c r="I24" s="89">
        <f t="shared" si="0"/>
        <v>7</v>
      </c>
      <c r="J24" s="89">
        <f t="shared" si="0"/>
        <v>8</v>
      </c>
      <c r="K24" s="89">
        <f t="shared" si="0"/>
        <v>9</v>
      </c>
      <c r="L24" s="89">
        <f t="shared" si="0"/>
        <v>10</v>
      </c>
      <c r="M24" s="89">
        <f t="shared" si="0"/>
        <v>11</v>
      </c>
      <c r="N24" s="89">
        <f t="shared" si="0"/>
        <v>12</v>
      </c>
      <c r="O24" s="89">
        <f>N24+1</f>
        <v>13</v>
      </c>
      <c r="P24" s="89">
        <f t="shared" si="0"/>
        <v>14</v>
      </c>
      <c r="Q24" s="89">
        <f t="shared" si="0"/>
        <v>15</v>
      </c>
      <c r="R24" s="89">
        <f t="shared" si="0"/>
        <v>16</v>
      </c>
      <c r="S24" s="89">
        <f t="shared" si="0"/>
        <v>17</v>
      </c>
      <c r="T24" s="89">
        <f t="shared" si="0"/>
        <v>18</v>
      </c>
      <c r="U24" s="89">
        <f t="shared" si="0"/>
        <v>19</v>
      </c>
      <c r="V24" s="89">
        <f t="shared" si="0"/>
        <v>20</v>
      </c>
      <c r="W24" s="89">
        <f t="shared" si="0"/>
        <v>21</v>
      </c>
      <c r="X24" s="89">
        <f t="shared" si="0"/>
        <v>22</v>
      </c>
      <c r="Y24" s="89">
        <f t="shared" si="0"/>
        <v>23</v>
      </c>
      <c r="Z24" s="89">
        <f t="shared" si="0"/>
        <v>24</v>
      </c>
      <c r="AA24" s="89">
        <f t="shared" si="0"/>
        <v>25</v>
      </c>
      <c r="AB24" s="89">
        <f t="shared" si="0"/>
        <v>26</v>
      </c>
      <c r="AC24" s="89">
        <f t="shared" si="0"/>
        <v>27</v>
      </c>
      <c r="AD24" s="89">
        <f t="shared" si="0"/>
        <v>28</v>
      </c>
      <c r="AE24" s="89">
        <f t="shared" si="0"/>
        <v>29</v>
      </c>
      <c r="AF24" s="89">
        <f t="shared" si="0"/>
        <v>30</v>
      </c>
      <c r="AG24" s="89">
        <f t="shared" si="0"/>
        <v>31</v>
      </c>
      <c r="AH24" s="89">
        <f t="shared" si="0"/>
        <v>32</v>
      </c>
      <c r="AI24" s="89">
        <f t="shared" si="0"/>
        <v>33</v>
      </c>
      <c r="AJ24" s="107">
        <f t="shared" ref="AJ24" si="1">AI24+1</f>
        <v>34</v>
      </c>
      <c r="AK24" s="107">
        <f t="shared" ref="AK24" si="2">AJ24+1</f>
        <v>35</v>
      </c>
      <c r="AL24" s="107">
        <f t="shared" ref="AL24" si="3">AK24+1</f>
        <v>36</v>
      </c>
      <c r="AN24" s="116">
        <f>SUM(AM26:AM29)*1000</f>
        <v>4327400004</v>
      </c>
    </row>
    <row r="25" spans="2:40" ht="25.5">
      <c r="B25" s="90" t="str">
        <f>B14</f>
        <v>Приобретение прав на земельный участок</v>
      </c>
      <c r="C25" s="176">
        <f>Инвестиции!K8*'График Стр-ва'!C14:E14</f>
        <v>66309.06998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15">
        <f>SUM(C25:AL25)</f>
        <v>66309.06998</v>
      </c>
    </row>
    <row r="26" spans="2:40" ht="25.5">
      <c r="B26" s="90" t="str">
        <f t="shared" ref="B26:B29" si="4">B15</f>
        <v>Проектирование и согласование проекта</v>
      </c>
      <c r="C26" s="176">
        <f>Инвестиции!I10*C15</f>
        <v>19049.448</v>
      </c>
      <c r="D26" s="176"/>
      <c r="E26" s="176"/>
      <c r="F26" s="176">
        <f>Инвестиции!I10*F15</f>
        <v>19049.448</v>
      </c>
      <c r="G26" s="176"/>
      <c r="H26" s="176"/>
      <c r="I26" s="176">
        <f>Инвестиции!I10*I15</f>
        <v>25399.264000000003</v>
      </c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15">
        <f t="shared" ref="AM26:AM29" si="5">SUM(C26:AL26)</f>
        <v>63498.16</v>
      </c>
    </row>
    <row r="27" spans="2:40" ht="25.5">
      <c r="B27" s="90" t="str">
        <f t="shared" si="4"/>
        <v xml:space="preserve">Строительство объекта жилого назначения </v>
      </c>
      <c r="C27" s="176"/>
      <c r="D27" s="176"/>
      <c r="E27" s="176"/>
      <c r="F27" s="176"/>
      <c r="G27" s="176"/>
      <c r="H27" s="176"/>
      <c r="I27" s="176"/>
      <c r="J27" s="176"/>
      <c r="K27" s="176"/>
      <c r="L27" s="176">
        <f>L16*Инвестиции!$K$7</f>
        <v>190494.5</v>
      </c>
      <c r="M27" s="176"/>
      <c r="N27" s="176"/>
      <c r="O27" s="176">
        <f>O16*Инвестиции!$K$7</f>
        <v>380989</v>
      </c>
      <c r="P27" s="176"/>
      <c r="Q27" s="176"/>
      <c r="R27" s="176">
        <f>R16*Инвестиции!$K$7</f>
        <v>571483.5</v>
      </c>
      <c r="S27" s="176"/>
      <c r="T27" s="176"/>
      <c r="U27" s="176">
        <f>U16*Инвестиции!$K$7</f>
        <v>761978</v>
      </c>
      <c r="V27" s="176"/>
      <c r="W27" s="176"/>
      <c r="X27" s="176">
        <f>X16*Инвестиции!$K$7</f>
        <v>571483.5</v>
      </c>
      <c r="Y27" s="176"/>
      <c r="Z27" s="176"/>
      <c r="AA27" s="176">
        <f>AA16*Инвестиции!$K$7</f>
        <v>571483.5</v>
      </c>
      <c r="AB27" s="176"/>
      <c r="AC27" s="176"/>
      <c r="AD27" s="176">
        <f>AD16*Инвестиции!$K$7</f>
        <v>380989</v>
      </c>
      <c r="AE27" s="176"/>
      <c r="AF27" s="176"/>
      <c r="AG27" s="176">
        <f>AG16*Инвестиции!$K$7</f>
        <v>190494.5</v>
      </c>
      <c r="AH27" s="176"/>
      <c r="AI27" s="176"/>
      <c r="AJ27" s="176">
        <f>AJ16*Инвестиции!$K$7</f>
        <v>190494.5</v>
      </c>
      <c r="AK27" s="176"/>
      <c r="AL27" s="176"/>
      <c r="AM27" s="115">
        <f t="shared" si="5"/>
        <v>3809890</v>
      </c>
    </row>
    <row r="28" spans="2:40" ht="38.25">
      <c r="B28" s="90" t="str">
        <f t="shared" si="4"/>
        <v>Технологическое присоединение инженерных сетей</v>
      </c>
      <c r="C28" s="176"/>
      <c r="D28" s="176"/>
      <c r="E28" s="176"/>
      <c r="F28" s="176"/>
      <c r="G28" s="176"/>
      <c r="H28" s="176"/>
      <c r="I28" s="176">
        <f>I17*Инвестиции!$K$12</f>
        <v>139695.95200000002</v>
      </c>
      <c r="J28" s="176"/>
      <c r="K28" s="176"/>
      <c r="L28" s="176">
        <f>L17*Инвестиции!$K$12</f>
        <v>209543.92800000004</v>
      </c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15">
        <f t="shared" si="5"/>
        <v>349239.88000000006</v>
      </c>
    </row>
    <row r="29" spans="2:40">
      <c r="B29" s="90" t="str">
        <f t="shared" si="4"/>
        <v>Благоустройство территории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83">
        <f>AJ18*Инвестиции!K11</f>
        <v>104771.96399999999</v>
      </c>
      <c r="AK29" s="184"/>
      <c r="AL29" s="184"/>
      <c r="AM29" s="115">
        <f t="shared" si="5"/>
        <v>104771.96399999999</v>
      </c>
    </row>
    <row r="30" spans="2:40">
      <c r="B30" s="87" t="s">
        <v>39</v>
      </c>
      <c r="C30" s="178">
        <f>SUM(C25:E29)</f>
        <v>85358.517980000004</v>
      </c>
      <c r="D30" s="179"/>
      <c r="E30" s="179"/>
      <c r="F30" s="178">
        <f t="shared" ref="F30" si="6">SUM(F25:H29)</f>
        <v>19049.448</v>
      </c>
      <c r="G30" s="179"/>
      <c r="H30" s="179"/>
      <c r="I30" s="178">
        <f t="shared" ref="I30" si="7">SUM(I25:K29)</f>
        <v>165095.21600000001</v>
      </c>
      <c r="J30" s="179"/>
      <c r="K30" s="179"/>
      <c r="L30" s="178">
        <f t="shared" ref="L30" si="8">SUM(L25:N29)</f>
        <v>400038.42800000007</v>
      </c>
      <c r="M30" s="179"/>
      <c r="N30" s="179"/>
      <c r="O30" s="178">
        <f t="shared" ref="O30" si="9">SUM(O25:Q29)</f>
        <v>380989</v>
      </c>
      <c r="P30" s="179"/>
      <c r="Q30" s="179"/>
      <c r="R30" s="178">
        <f t="shared" ref="R30" si="10">SUM(R25:T29)</f>
        <v>571483.5</v>
      </c>
      <c r="S30" s="179"/>
      <c r="T30" s="179"/>
      <c r="U30" s="178">
        <f t="shared" ref="U30" si="11">SUM(U25:W29)</f>
        <v>761978</v>
      </c>
      <c r="V30" s="179"/>
      <c r="W30" s="179"/>
      <c r="X30" s="178">
        <f t="shared" ref="X30" si="12">SUM(X25:Z29)</f>
        <v>571483.5</v>
      </c>
      <c r="Y30" s="179"/>
      <c r="Z30" s="179"/>
      <c r="AA30" s="178">
        <f t="shared" ref="AA30" si="13">SUM(AA25:AC29)</f>
        <v>571483.5</v>
      </c>
      <c r="AB30" s="179"/>
      <c r="AC30" s="179"/>
      <c r="AD30" s="178">
        <f t="shared" ref="AD30" si="14">SUM(AD25:AF29)</f>
        <v>380989</v>
      </c>
      <c r="AE30" s="179"/>
      <c r="AF30" s="179"/>
      <c r="AG30" s="178">
        <f t="shared" ref="AG30" si="15">SUM(AG25:AI29)</f>
        <v>190494.5</v>
      </c>
      <c r="AH30" s="179"/>
      <c r="AI30" s="179"/>
      <c r="AJ30" s="178">
        <f t="shared" ref="AJ30" si="16">SUM(AJ25:AL29)</f>
        <v>295266.46399999998</v>
      </c>
      <c r="AK30" s="179"/>
      <c r="AL30" s="179"/>
    </row>
    <row r="31" spans="2:40">
      <c r="B31" s="88" t="s">
        <v>18</v>
      </c>
      <c r="C31" s="180">
        <f>C30/SUM($C$30:$AL$30)</f>
        <v>1.9427439674033493E-2</v>
      </c>
      <c r="D31" s="180"/>
      <c r="E31" s="180"/>
      <c r="F31" s="180">
        <f t="shared" ref="F31" si="17">F30/SUM($C$30:$AL$30)</f>
        <v>4.3356188767282762E-3</v>
      </c>
      <c r="G31" s="180"/>
      <c r="H31" s="180"/>
      <c r="I31" s="180">
        <f t="shared" ref="I31" si="18">I30/SUM($C$30:$AL$30)</f>
        <v>3.7575363598311727E-2</v>
      </c>
      <c r="J31" s="180"/>
      <c r="K31" s="180"/>
      <c r="L31" s="180">
        <f t="shared" ref="L31" si="19">L30/SUM($C$30:$AL$30)</f>
        <v>9.1048000963256548E-2</v>
      </c>
      <c r="M31" s="180"/>
      <c r="N31" s="180"/>
      <c r="O31" s="180">
        <f t="shared" ref="O31" si="20">O30/SUM($C$30:$AL$30)</f>
        <v>8.6712386638490999E-2</v>
      </c>
      <c r="P31" s="180"/>
      <c r="Q31" s="180"/>
      <c r="R31" s="180">
        <f t="shared" ref="R31" si="21">R30/SUM($C$30:$AL$30)</f>
        <v>0.13006857995773649</v>
      </c>
      <c r="S31" s="180"/>
      <c r="T31" s="180"/>
      <c r="U31" s="180">
        <f t="shared" ref="U31" si="22">U30/SUM($C$30:$AL$30)</f>
        <v>0.173424773276982</v>
      </c>
      <c r="V31" s="180"/>
      <c r="W31" s="180"/>
      <c r="X31" s="180">
        <f t="shared" ref="X31" si="23">X30/SUM($C$30:$AL$30)</f>
        <v>0.13006857995773649</v>
      </c>
      <c r="Y31" s="180"/>
      <c r="Z31" s="180"/>
      <c r="AA31" s="180">
        <f t="shared" ref="AA31" si="24">AA30/SUM($C$30:$AL$30)</f>
        <v>0.13006857995773649</v>
      </c>
      <c r="AB31" s="180"/>
      <c r="AC31" s="180"/>
      <c r="AD31" s="180">
        <f t="shared" ref="AD31" si="25">AD30/SUM($C$30:$AL$30)</f>
        <v>8.6712386638490999E-2</v>
      </c>
      <c r="AE31" s="180"/>
      <c r="AF31" s="180"/>
      <c r="AG31" s="180">
        <f t="shared" ref="AG31" si="26">AG30/SUM($C$30:$AL$30)</f>
        <v>4.3356193319245499E-2</v>
      </c>
      <c r="AH31" s="180"/>
      <c r="AI31" s="180"/>
      <c r="AJ31" s="180">
        <f t="shared" ref="AJ31" si="27">AJ30/SUM($C$30:$AL$30)</f>
        <v>6.7202097141251013E-2</v>
      </c>
      <c r="AK31" s="180"/>
      <c r="AL31" s="180"/>
      <c r="AM31" s="114">
        <f>SUM(C31:AL31)</f>
        <v>1</v>
      </c>
    </row>
    <row r="33" spans="2:38">
      <c r="B33" s="196" t="s">
        <v>6</v>
      </c>
      <c r="C33" s="83"/>
      <c r="D33" s="83"/>
      <c r="E33" s="84" t="s">
        <v>7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 t="s">
        <v>7</v>
      </c>
      <c r="AB33" s="83"/>
      <c r="AC33" s="83"/>
      <c r="AD33" s="83"/>
      <c r="AE33" s="83"/>
      <c r="AF33" s="83"/>
      <c r="AG33" s="83"/>
      <c r="AH33" s="83"/>
      <c r="AI33" s="83"/>
    </row>
    <row r="34" spans="2:38">
      <c r="B34" s="196"/>
      <c r="C34" s="197" t="str">
        <f>C22</f>
        <v>1 прогнозный год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97" t="str">
        <f>O22</f>
        <v>2 прогнозный год</v>
      </c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97" t="str">
        <f>AA22</f>
        <v>3 прогнозный год</v>
      </c>
      <c r="AB34" s="173"/>
      <c r="AC34" s="173"/>
      <c r="AD34" s="173"/>
      <c r="AE34" s="173"/>
      <c r="AF34" s="173"/>
      <c r="AG34" s="173"/>
      <c r="AH34" s="173"/>
      <c r="AI34" s="173"/>
    </row>
    <row r="35" spans="2:38">
      <c r="B35" s="196"/>
      <c r="C35" s="173" t="str">
        <f>C23</f>
        <v>1 кв.</v>
      </c>
      <c r="D35" s="173"/>
      <c r="E35" s="173"/>
      <c r="F35" s="173" t="str">
        <f t="shared" ref="F35" si="28">F23</f>
        <v>2 кв.</v>
      </c>
      <c r="G35" s="173"/>
      <c r="H35" s="173"/>
      <c r="I35" s="173" t="str">
        <f t="shared" ref="I35" si="29">I23</f>
        <v>3 кв.</v>
      </c>
      <c r="J35" s="173"/>
      <c r="K35" s="173"/>
      <c r="L35" s="173" t="str">
        <f t="shared" ref="L35" si="30">L23</f>
        <v>4 кв.</v>
      </c>
      <c r="M35" s="173"/>
      <c r="N35" s="173"/>
      <c r="O35" s="173" t="str">
        <f t="shared" ref="O35" si="31">O23</f>
        <v>1 кв.</v>
      </c>
      <c r="P35" s="173"/>
      <c r="Q35" s="173"/>
      <c r="R35" s="173" t="str">
        <f t="shared" ref="R35" si="32">R23</f>
        <v>2 кв.</v>
      </c>
      <c r="S35" s="173"/>
      <c r="T35" s="173"/>
      <c r="U35" s="173" t="str">
        <f t="shared" ref="U35" si="33">U23</f>
        <v>3 кв.</v>
      </c>
      <c r="V35" s="173"/>
      <c r="W35" s="173"/>
      <c r="X35" s="173" t="str">
        <f t="shared" ref="X35" si="34">X23</f>
        <v>4 кв.</v>
      </c>
      <c r="Y35" s="173"/>
      <c r="Z35" s="173"/>
      <c r="AA35" s="173" t="str">
        <f t="shared" ref="AA35" si="35">AA23</f>
        <v>1 кв.</v>
      </c>
      <c r="AB35" s="173"/>
      <c r="AC35" s="173"/>
      <c r="AD35" s="173" t="str">
        <f t="shared" ref="AD35" si="36">AD23</f>
        <v>2 кв.</v>
      </c>
      <c r="AE35" s="173"/>
      <c r="AF35" s="173"/>
      <c r="AG35" s="173" t="str">
        <f t="shared" ref="AG35" si="37">AG23</f>
        <v>3 кв.</v>
      </c>
      <c r="AH35" s="173"/>
      <c r="AI35" s="173"/>
      <c r="AJ35" s="173" t="str">
        <f t="shared" ref="AJ35" si="38">AJ23</f>
        <v>4 кв.</v>
      </c>
      <c r="AK35" s="173"/>
      <c r="AL35" s="173"/>
    </row>
    <row r="36" spans="2:38">
      <c r="B36" s="196"/>
      <c r="C36" s="85">
        <v>1</v>
      </c>
      <c r="D36" s="85">
        <f t="shared" ref="D36:W36" si="39">C36+1</f>
        <v>2</v>
      </c>
      <c r="E36" s="85">
        <f t="shared" si="39"/>
        <v>3</v>
      </c>
      <c r="F36" s="85">
        <f t="shared" si="39"/>
        <v>4</v>
      </c>
      <c r="G36" s="85">
        <f t="shared" si="39"/>
        <v>5</v>
      </c>
      <c r="H36" s="85">
        <f t="shared" si="39"/>
        <v>6</v>
      </c>
      <c r="I36" s="85">
        <f t="shared" si="39"/>
        <v>7</v>
      </c>
      <c r="J36" s="85">
        <f t="shared" si="39"/>
        <v>8</v>
      </c>
      <c r="K36" s="85">
        <f t="shared" si="39"/>
        <v>9</v>
      </c>
      <c r="L36" s="85">
        <f t="shared" si="39"/>
        <v>10</v>
      </c>
      <c r="M36" s="85">
        <f t="shared" si="39"/>
        <v>11</v>
      </c>
      <c r="N36" s="85">
        <f t="shared" si="39"/>
        <v>12</v>
      </c>
      <c r="O36" s="85">
        <f t="shared" si="39"/>
        <v>13</v>
      </c>
      <c r="P36" s="85">
        <f t="shared" si="39"/>
        <v>14</v>
      </c>
      <c r="Q36" s="85">
        <f t="shared" si="39"/>
        <v>15</v>
      </c>
      <c r="R36" s="85">
        <f t="shared" si="39"/>
        <v>16</v>
      </c>
      <c r="S36" s="85">
        <f t="shared" si="39"/>
        <v>17</v>
      </c>
      <c r="T36" s="85">
        <f t="shared" si="39"/>
        <v>18</v>
      </c>
      <c r="U36" s="85">
        <f t="shared" si="39"/>
        <v>19</v>
      </c>
      <c r="V36" s="85">
        <f t="shared" si="39"/>
        <v>20</v>
      </c>
      <c r="W36" s="85">
        <f t="shared" si="39"/>
        <v>21</v>
      </c>
      <c r="X36" s="85">
        <f>W36+1</f>
        <v>22</v>
      </c>
      <c r="Y36" s="85">
        <f>X36+1</f>
        <v>23</v>
      </c>
      <c r="Z36" s="85">
        <f>Y36+1</f>
        <v>24</v>
      </c>
      <c r="AA36" s="85">
        <f t="shared" ref="AA36:AF36" si="40">Z36+1</f>
        <v>25</v>
      </c>
      <c r="AB36" s="85">
        <f t="shared" si="40"/>
        <v>26</v>
      </c>
      <c r="AC36" s="85">
        <f t="shared" si="40"/>
        <v>27</v>
      </c>
      <c r="AD36" s="85">
        <f t="shared" si="40"/>
        <v>28</v>
      </c>
      <c r="AE36" s="85">
        <f t="shared" si="40"/>
        <v>29</v>
      </c>
      <c r="AF36" s="85">
        <f t="shared" si="40"/>
        <v>30</v>
      </c>
      <c r="AG36" s="85">
        <f t="shared" ref="AG36:AL36" si="41">AF36+1</f>
        <v>31</v>
      </c>
      <c r="AH36" s="85">
        <f t="shared" si="41"/>
        <v>32</v>
      </c>
      <c r="AI36" s="85">
        <f t="shared" si="41"/>
        <v>33</v>
      </c>
      <c r="AJ36" s="108">
        <f t="shared" si="41"/>
        <v>34</v>
      </c>
      <c r="AK36" s="108">
        <f t="shared" si="41"/>
        <v>35</v>
      </c>
      <c r="AL36" s="108">
        <f t="shared" si="41"/>
        <v>36</v>
      </c>
    </row>
    <row r="37" spans="2:38" ht="38.25">
      <c r="B37" s="81" t="s">
        <v>146</v>
      </c>
      <c r="C37" s="91" t="s">
        <v>3</v>
      </c>
      <c r="D37" s="91">
        <v>1.04</v>
      </c>
      <c r="E37" s="91">
        <f>D37+((4.3)^(1/12))^1/100</f>
        <v>1.0512924724049926</v>
      </c>
      <c r="F37" s="112">
        <f t="shared" ref="F37:AL37" si="42">E37+((4.3)^(1/12))^1/100</f>
        <v>1.0625849448099851</v>
      </c>
      <c r="G37" s="112">
        <f t="shared" si="42"/>
        <v>1.0738774172149776</v>
      </c>
      <c r="H37" s="112">
        <f t="shared" si="42"/>
        <v>1.0851698896199702</v>
      </c>
      <c r="I37" s="112">
        <f t="shared" si="42"/>
        <v>1.0964623620249627</v>
      </c>
      <c r="J37" s="112">
        <f t="shared" si="42"/>
        <v>1.1077548344299553</v>
      </c>
      <c r="K37" s="112">
        <f t="shared" si="42"/>
        <v>1.1190473068349478</v>
      </c>
      <c r="L37" s="112">
        <f t="shared" si="42"/>
        <v>1.1303397792399403</v>
      </c>
      <c r="M37" s="112">
        <f t="shared" si="42"/>
        <v>1.1416322516449329</v>
      </c>
      <c r="N37" s="112">
        <f t="shared" si="42"/>
        <v>1.1529247240499254</v>
      </c>
      <c r="O37" s="112">
        <f t="shared" si="42"/>
        <v>1.1642171964549179</v>
      </c>
      <c r="P37" s="112">
        <f t="shared" si="42"/>
        <v>1.1755096688599105</v>
      </c>
      <c r="Q37" s="112">
        <f t="shared" si="42"/>
        <v>1.186802141264903</v>
      </c>
      <c r="R37" s="112">
        <f t="shared" si="42"/>
        <v>1.1980946136698956</v>
      </c>
      <c r="S37" s="112">
        <f t="shared" si="42"/>
        <v>1.2093870860748881</v>
      </c>
      <c r="T37" s="112">
        <f t="shared" si="42"/>
        <v>1.2206795584798806</v>
      </c>
      <c r="U37" s="112">
        <f t="shared" si="42"/>
        <v>1.2319720308848732</v>
      </c>
      <c r="V37" s="112">
        <f t="shared" si="42"/>
        <v>1.2432645032898657</v>
      </c>
      <c r="W37" s="112">
        <f t="shared" si="42"/>
        <v>1.2545569756948582</v>
      </c>
      <c r="X37" s="95">
        <f t="shared" si="42"/>
        <v>1.2658494480998508</v>
      </c>
      <c r="Y37" s="95">
        <f t="shared" si="42"/>
        <v>1.2771419205048433</v>
      </c>
      <c r="Z37" s="95">
        <f t="shared" si="42"/>
        <v>1.2884343929098359</v>
      </c>
      <c r="AA37" s="95">
        <f t="shared" si="42"/>
        <v>1.2997268653148284</v>
      </c>
      <c r="AB37" s="95">
        <f t="shared" si="42"/>
        <v>1.3110193377198209</v>
      </c>
      <c r="AC37" s="95">
        <f t="shared" si="42"/>
        <v>1.3223118101248135</v>
      </c>
      <c r="AD37" s="95">
        <f t="shared" si="42"/>
        <v>1.333604282529806</v>
      </c>
      <c r="AE37" s="95">
        <f t="shared" si="42"/>
        <v>1.3448967549347985</v>
      </c>
      <c r="AF37" s="95">
        <f t="shared" si="42"/>
        <v>1.3561892273397911</v>
      </c>
      <c r="AG37" s="95">
        <f t="shared" si="42"/>
        <v>1.3674816997447836</v>
      </c>
      <c r="AH37" s="95">
        <f t="shared" si="42"/>
        <v>1.3787741721497762</v>
      </c>
      <c r="AI37" s="95">
        <f t="shared" si="42"/>
        <v>1.3900666445547687</v>
      </c>
      <c r="AJ37" s="95">
        <f t="shared" si="42"/>
        <v>1.4013591169597612</v>
      </c>
      <c r="AK37" s="95">
        <f t="shared" si="42"/>
        <v>1.4126515893647538</v>
      </c>
      <c r="AL37" s="95">
        <f t="shared" si="42"/>
        <v>1.4239440617697463</v>
      </c>
    </row>
    <row r="38" spans="2:38">
      <c r="B38" s="81" t="s">
        <v>8</v>
      </c>
      <c r="C38" s="92" t="s">
        <v>3</v>
      </c>
      <c r="D38" s="92"/>
      <c r="E38" s="93">
        <f t="shared" ref="E38:W38" si="43">E37/D37</f>
        <v>1.010858146543262</v>
      </c>
      <c r="F38" s="93">
        <f t="shared" si="43"/>
        <v>1.0107415136143412</v>
      </c>
      <c r="G38" s="93">
        <f t="shared" si="43"/>
        <v>1.0106273596855937</v>
      </c>
      <c r="H38" s="93">
        <f t="shared" si="43"/>
        <v>1.0105156065524488</v>
      </c>
      <c r="I38" s="93">
        <f t="shared" si="43"/>
        <v>1.0104061792655776</v>
      </c>
      <c r="J38" s="93">
        <f t="shared" si="43"/>
        <v>1.0102990059632666</v>
      </c>
      <c r="K38" s="93">
        <f t="shared" si="43"/>
        <v>1.01019401771404</v>
      </c>
      <c r="L38" s="93">
        <f t="shared" si="43"/>
        <v>1.0100911483688135</v>
      </c>
      <c r="M38" s="93">
        <f t="shared" si="43"/>
        <v>1.0099903344219079</v>
      </c>
      <c r="N38" s="93">
        <f t="shared" si="43"/>
        <v>1.0098915148803143</v>
      </c>
      <c r="O38" s="93">
        <f t="shared" si="43"/>
        <v>1.0097946311406394</v>
      </c>
      <c r="P38" s="93">
        <f t="shared" si="43"/>
        <v>1.0096996268732146</v>
      </c>
      <c r="Q38" s="93">
        <f t="shared" si="43"/>
        <v>1.0096064479128826</v>
      </c>
      <c r="R38" s="93">
        <f t="shared" si="43"/>
        <v>1.0095150421560219</v>
      </c>
      <c r="S38" s="93">
        <f t="shared" si="43"/>
        <v>1.009425359463392</v>
      </c>
      <c r="T38" s="93">
        <f t="shared" si="43"/>
        <v>1.0093373515684236</v>
      </c>
      <c r="U38" s="93">
        <f t="shared" si="43"/>
        <v>1.0092509719905978</v>
      </c>
      <c r="V38" s="93">
        <f t="shared" si="43"/>
        <v>1.0091661759535901</v>
      </c>
      <c r="W38" s="93">
        <f t="shared" si="43"/>
        <v>1.0090829203078757</v>
      </c>
      <c r="X38" s="93">
        <f t="shared" ref="X38" si="44">X37/W37</f>
        <v>1.0090011634575129</v>
      </c>
      <c r="Y38" s="93">
        <f t="shared" ref="Y38" si="45">Y37/X37</f>
        <v>1.0089208652908477</v>
      </c>
      <c r="Z38" s="93">
        <f t="shared" ref="Z38" si="46">Z37/Y37</f>
        <v>1.0088419871148921</v>
      </c>
      <c r="AA38" s="93">
        <f t="shared" ref="AA38" si="47">AA37/Z37</f>
        <v>1.0087644915931568</v>
      </c>
      <c r="AB38" s="93">
        <f t="shared" ref="AB38" si="48">AB37/AA37</f>
        <v>1.0086883426867208</v>
      </c>
      <c r="AC38" s="93">
        <f t="shared" ref="AC38" si="49">AC37/AB37</f>
        <v>1.0086135055983483</v>
      </c>
      <c r="AD38" s="93">
        <f t="shared" ref="AD38" si="50">AD37/AC37</f>
        <v>1.0085399467194704</v>
      </c>
      <c r="AE38" s="93">
        <f t="shared" ref="AE38" si="51">AE37/AD37</f>
        <v>1.0084676335798586</v>
      </c>
      <c r="AF38" s="93">
        <f t="shared" ref="AF38" si="52">AF37/AE37</f>
        <v>1.0083965347998329</v>
      </c>
      <c r="AG38" s="93">
        <f t="shared" ref="AG38" si="53">AG37/AF37</f>
        <v>1.0083266200448613</v>
      </c>
      <c r="AH38" s="93">
        <f t="shared" ref="AH38" si="54">AH37/AG37</f>
        <v>1.0082578599824041</v>
      </c>
      <c r="AI38" s="93">
        <f t="shared" ref="AI38" si="55">AI37/AH37</f>
        <v>1.0081902262408828</v>
      </c>
      <c r="AJ38" s="93">
        <f t="shared" ref="AJ38" si="56">AJ37/AI37</f>
        <v>1.0081236913706462</v>
      </c>
      <c r="AK38" s="93">
        <f t="shared" ref="AK38" si="57">AK37/AJ37</f>
        <v>1.0080582288068254</v>
      </c>
      <c r="AL38" s="93">
        <f t="shared" ref="AL38" si="58">AL37/AK37</f>
        <v>1.0079938128339703</v>
      </c>
    </row>
    <row r="39" spans="2:38" ht="25.5">
      <c r="B39" s="82" t="s">
        <v>9</v>
      </c>
      <c r="C39" s="192"/>
      <c r="D39" s="19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</row>
    <row r="40" spans="2:38" ht="38.25">
      <c r="B40" s="81" t="s">
        <v>146</v>
      </c>
      <c r="C40" s="91" t="s">
        <v>3</v>
      </c>
      <c r="D40" s="91">
        <f>D37</f>
        <v>1.04</v>
      </c>
      <c r="E40" s="91">
        <f t="shared" ref="E40:AI40" si="59">D40*E38</f>
        <v>1.0512924724049926</v>
      </c>
      <c r="F40" s="91">
        <f t="shared" si="59"/>
        <v>1.0625849448099851</v>
      </c>
      <c r="G40" s="91">
        <f t="shared" si="59"/>
        <v>1.0738774172149776</v>
      </c>
      <c r="H40" s="91">
        <f t="shared" si="59"/>
        <v>1.0851698896199702</v>
      </c>
      <c r="I40" s="91">
        <f t="shared" si="59"/>
        <v>1.0964623620249627</v>
      </c>
      <c r="J40" s="91">
        <f t="shared" si="59"/>
        <v>1.1077548344299553</v>
      </c>
      <c r="K40" s="91">
        <f t="shared" si="59"/>
        <v>1.1190473068349478</v>
      </c>
      <c r="L40" s="91">
        <f t="shared" si="59"/>
        <v>1.1303397792399406</v>
      </c>
      <c r="M40" s="91">
        <f t="shared" si="59"/>
        <v>1.1416322516449331</v>
      </c>
      <c r="N40" s="91">
        <f t="shared" si="59"/>
        <v>1.1529247240499256</v>
      </c>
      <c r="O40" s="91">
        <f t="shared" si="59"/>
        <v>1.1642171964549182</v>
      </c>
      <c r="P40" s="91">
        <f t="shared" si="59"/>
        <v>1.1755096688599109</v>
      </c>
      <c r="Q40" s="91">
        <f t="shared" si="59"/>
        <v>1.1868021412649035</v>
      </c>
      <c r="R40" s="91">
        <f t="shared" si="59"/>
        <v>1.1980946136698962</v>
      </c>
      <c r="S40" s="91">
        <f t="shared" si="59"/>
        <v>1.2093870860748888</v>
      </c>
      <c r="T40" s="91">
        <f t="shared" si="59"/>
        <v>1.2206795584798815</v>
      </c>
      <c r="U40" s="91">
        <f t="shared" si="59"/>
        <v>1.2319720308848741</v>
      </c>
      <c r="V40" s="91">
        <f t="shared" si="59"/>
        <v>1.2432645032898666</v>
      </c>
      <c r="W40" s="91">
        <f t="shared" si="59"/>
        <v>1.2545569756948591</v>
      </c>
      <c r="X40" s="94">
        <f t="shared" si="59"/>
        <v>1.2658494480998517</v>
      </c>
      <c r="Y40" s="94">
        <f t="shared" si="59"/>
        <v>1.2771419205048444</v>
      </c>
      <c r="Z40" s="94">
        <f t="shared" si="59"/>
        <v>1.288434392909837</v>
      </c>
      <c r="AA40" s="94">
        <f t="shared" si="59"/>
        <v>1.2997268653148293</v>
      </c>
      <c r="AB40" s="94">
        <f t="shared" si="59"/>
        <v>1.311019337719822</v>
      </c>
      <c r="AC40" s="94">
        <f t="shared" si="59"/>
        <v>1.3223118101248146</v>
      </c>
      <c r="AD40" s="94">
        <f t="shared" si="59"/>
        <v>1.3336042825298071</v>
      </c>
      <c r="AE40" s="94">
        <f t="shared" si="59"/>
        <v>1.3448967549347997</v>
      </c>
      <c r="AF40" s="94">
        <f t="shared" si="59"/>
        <v>1.3561892273397922</v>
      </c>
      <c r="AG40" s="94">
        <f t="shared" si="59"/>
        <v>1.3674816997447847</v>
      </c>
      <c r="AH40" s="94">
        <f t="shared" si="59"/>
        <v>1.3787741721497773</v>
      </c>
      <c r="AI40" s="94">
        <f t="shared" si="59"/>
        <v>1.3900666445547698</v>
      </c>
      <c r="AJ40" s="94">
        <f t="shared" ref="AJ40" si="60">AI40*AJ38</f>
        <v>1.4013591169597626</v>
      </c>
      <c r="AK40" s="94">
        <f t="shared" ref="AK40" si="61">AJ40*AK38</f>
        <v>1.4126515893647551</v>
      </c>
      <c r="AL40" s="94">
        <f t="shared" ref="AL40" si="62">AK40*AL38</f>
        <v>1.4239440617697476</v>
      </c>
    </row>
    <row r="41" spans="2:38" ht="38.25">
      <c r="B41" s="81" t="s">
        <v>147</v>
      </c>
      <c r="C41" s="174">
        <f>E40</f>
        <v>1.0512924724049926</v>
      </c>
      <c r="D41" s="174"/>
      <c r="E41" s="174"/>
      <c r="F41" s="174">
        <f>H40</f>
        <v>1.0851698896199702</v>
      </c>
      <c r="G41" s="174"/>
      <c r="H41" s="174"/>
      <c r="I41" s="174">
        <f>K40</f>
        <v>1.1190473068349478</v>
      </c>
      <c r="J41" s="174"/>
      <c r="K41" s="174"/>
      <c r="L41" s="174">
        <f>N40</f>
        <v>1.1529247240499256</v>
      </c>
      <c r="M41" s="174"/>
      <c r="N41" s="174"/>
      <c r="O41" s="174">
        <f>Q40</f>
        <v>1.1868021412649035</v>
      </c>
      <c r="P41" s="174"/>
      <c r="Q41" s="174"/>
      <c r="R41" s="174">
        <f>T40</f>
        <v>1.2206795584798815</v>
      </c>
      <c r="S41" s="174"/>
      <c r="T41" s="174"/>
      <c r="U41" s="174">
        <f>W40</f>
        <v>1.2545569756948591</v>
      </c>
      <c r="V41" s="174"/>
      <c r="W41" s="174"/>
      <c r="X41" s="174">
        <f>Z40</f>
        <v>1.288434392909837</v>
      </c>
      <c r="Y41" s="174"/>
      <c r="Z41" s="174"/>
      <c r="AA41" s="174">
        <f>AC40</f>
        <v>1.3223118101248146</v>
      </c>
      <c r="AB41" s="174"/>
      <c r="AC41" s="174"/>
      <c r="AD41" s="174">
        <f>AF40</f>
        <v>1.3561892273397922</v>
      </c>
      <c r="AE41" s="174"/>
      <c r="AF41" s="174"/>
      <c r="AG41" s="174">
        <f>AI40</f>
        <v>1.3900666445547698</v>
      </c>
      <c r="AH41" s="174"/>
      <c r="AI41" s="174"/>
      <c r="AJ41" s="174">
        <f>AL40</f>
        <v>1.4239440617697476</v>
      </c>
      <c r="AK41" s="174"/>
      <c r="AL41" s="174"/>
    </row>
    <row r="44" spans="2:38">
      <c r="B44" s="194" t="s">
        <v>144</v>
      </c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</row>
    <row r="45" spans="2:38">
      <c r="B45" s="195" t="s">
        <v>6</v>
      </c>
      <c r="C45" s="175" t="s">
        <v>40</v>
      </c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</row>
    <row r="46" spans="2:38">
      <c r="B46" s="195"/>
      <c r="C46" s="175" t="s">
        <v>28</v>
      </c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 t="s">
        <v>29</v>
      </c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 t="s">
        <v>30</v>
      </c>
      <c r="AB46" s="175"/>
      <c r="AC46" s="175"/>
      <c r="AD46" s="175"/>
      <c r="AE46" s="175"/>
      <c r="AF46" s="175"/>
      <c r="AG46" s="175"/>
      <c r="AH46" s="175"/>
      <c r="AI46" s="175"/>
      <c r="AJ46" s="185" t="s">
        <v>162</v>
      </c>
      <c r="AK46" s="186"/>
      <c r="AL46" s="186"/>
    </row>
    <row r="47" spans="2:38">
      <c r="B47" s="195"/>
      <c r="C47" s="175" t="s">
        <v>27</v>
      </c>
      <c r="D47" s="175"/>
      <c r="E47" s="175"/>
      <c r="F47" s="175" t="s">
        <v>24</v>
      </c>
      <c r="G47" s="175"/>
      <c r="H47" s="175"/>
      <c r="I47" s="175" t="s">
        <v>25</v>
      </c>
      <c r="J47" s="175"/>
      <c r="K47" s="175"/>
      <c r="L47" s="175" t="s">
        <v>26</v>
      </c>
      <c r="M47" s="175"/>
      <c r="N47" s="175"/>
      <c r="O47" s="175" t="s">
        <v>27</v>
      </c>
      <c r="P47" s="175"/>
      <c r="Q47" s="175"/>
      <c r="R47" s="175" t="s">
        <v>24</v>
      </c>
      <c r="S47" s="175"/>
      <c r="T47" s="175"/>
      <c r="U47" s="175" t="s">
        <v>25</v>
      </c>
      <c r="V47" s="175"/>
      <c r="W47" s="175"/>
      <c r="X47" s="175" t="s">
        <v>26</v>
      </c>
      <c r="Y47" s="175"/>
      <c r="Z47" s="175"/>
      <c r="AA47" s="175" t="s">
        <v>27</v>
      </c>
      <c r="AB47" s="175"/>
      <c r="AC47" s="175"/>
      <c r="AD47" s="175" t="s">
        <v>24</v>
      </c>
      <c r="AE47" s="175"/>
      <c r="AF47" s="175"/>
      <c r="AG47" s="175" t="s">
        <v>25</v>
      </c>
      <c r="AH47" s="175"/>
      <c r="AI47" s="175"/>
      <c r="AJ47" s="175" t="s">
        <v>26</v>
      </c>
      <c r="AK47" s="175"/>
      <c r="AL47" s="175"/>
    </row>
    <row r="48" spans="2:38">
      <c r="B48" s="195"/>
      <c r="C48" s="89">
        <v>1</v>
      </c>
      <c r="D48" s="89">
        <f t="shared" ref="D48" si="63">C48+1</f>
        <v>2</v>
      </c>
      <c r="E48" s="89">
        <f t="shared" ref="E48" si="64">D48+1</f>
        <v>3</v>
      </c>
      <c r="F48" s="89">
        <f t="shared" ref="F48" si="65">E48+1</f>
        <v>4</v>
      </c>
      <c r="G48" s="89">
        <f t="shared" ref="G48" si="66">F48+1</f>
        <v>5</v>
      </c>
      <c r="H48" s="89">
        <f t="shared" ref="H48" si="67">G48+1</f>
        <v>6</v>
      </c>
      <c r="I48" s="89">
        <f t="shared" ref="I48" si="68">H48+1</f>
        <v>7</v>
      </c>
      <c r="J48" s="89">
        <f t="shared" ref="J48" si="69">I48+1</f>
        <v>8</v>
      </c>
      <c r="K48" s="89">
        <f t="shared" ref="K48" si="70">J48+1</f>
        <v>9</v>
      </c>
      <c r="L48" s="89">
        <f t="shared" ref="L48" si="71">K48+1</f>
        <v>10</v>
      </c>
      <c r="M48" s="89">
        <f t="shared" ref="M48" si="72">L48+1</f>
        <v>11</v>
      </c>
      <c r="N48" s="89">
        <f t="shared" ref="N48" si="73">M48+1</f>
        <v>12</v>
      </c>
      <c r="O48" s="89">
        <f>N48+1</f>
        <v>13</v>
      </c>
      <c r="P48" s="89">
        <f t="shared" ref="P48" si="74">O48+1</f>
        <v>14</v>
      </c>
      <c r="Q48" s="89">
        <f t="shared" ref="Q48" si="75">P48+1</f>
        <v>15</v>
      </c>
      <c r="R48" s="89">
        <f t="shared" ref="R48" si="76">Q48+1</f>
        <v>16</v>
      </c>
      <c r="S48" s="89">
        <f t="shared" ref="S48" si="77">R48+1</f>
        <v>17</v>
      </c>
      <c r="T48" s="89">
        <f t="shared" ref="T48" si="78">S48+1</f>
        <v>18</v>
      </c>
      <c r="U48" s="89">
        <f t="shared" ref="U48" si="79">T48+1</f>
        <v>19</v>
      </c>
      <c r="V48" s="89">
        <f t="shared" ref="V48" si="80">U48+1</f>
        <v>20</v>
      </c>
      <c r="W48" s="89">
        <f t="shared" ref="W48" si="81">V48+1</f>
        <v>21</v>
      </c>
      <c r="X48" s="89">
        <f t="shared" ref="X48" si="82">W48+1</f>
        <v>22</v>
      </c>
      <c r="Y48" s="89">
        <f t="shared" ref="Y48" si="83">X48+1</f>
        <v>23</v>
      </c>
      <c r="Z48" s="89">
        <f t="shared" ref="Z48" si="84">Y48+1</f>
        <v>24</v>
      </c>
      <c r="AA48" s="89">
        <f t="shared" ref="AA48" si="85">Z48+1</f>
        <v>25</v>
      </c>
      <c r="AB48" s="89">
        <f t="shared" ref="AB48" si="86">AA48+1</f>
        <v>26</v>
      </c>
      <c r="AC48" s="89">
        <f t="shared" ref="AC48" si="87">AB48+1</f>
        <v>27</v>
      </c>
      <c r="AD48" s="89">
        <f t="shared" ref="AD48" si="88">AC48+1</f>
        <v>28</v>
      </c>
      <c r="AE48" s="89">
        <f t="shared" ref="AE48" si="89">AD48+1</f>
        <v>29</v>
      </c>
      <c r="AF48" s="89">
        <f t="shared" ref="AF48" si="90">AE48+1</f>
        <v>30</v>
      </c>
      <c r="AG48" s="89">
        <f t="shared" ref="AG48" si="91">AF48+1</f>
        <v>31</v>
      </c>
      <c r="AH48" s="89">
        <f t="shared" ref="AH48" si="92">AG48+1</f>
        <v>32</v>
      </c>
      <c r="AI48" s="89">
        <f t="shared" ref="AI48" si="93">AH48+1</f>
        <v>33</v>
      </c>
      <c r="AJ48" s="107">
        <f t="shared" ref="AJ48" si="94">AI48+1</f>
        <v>34</v>
      </c>
      <c r="AK48" s="107">
        <f t="shared" ref="AK48" si="95">AJ48+1</f>
        <v>35</v>
      </c>
      <c r="AL48" s="107">
        <f t="shared" ref="AL48" si="96">AK48+1</f>
        <v>36</v>
      </c>
    </row>
    <row r="49" spans="2:40" ht="63.75">
      <c r="B49" s="90" t="s">
        <v>142</v>
      </c>
      <c r="C49" s="176">
        <f>C30</f>
        <v>85358.517980000004</v>
      </c>
      <c r="D49" s="176"/>
      <c r="E49" s="176"/>
      <c r="F49" s="176">
        <f t="shared" ref="F49" si="97">F30</f>
        <v>19049.448</v>
      </c>
      <c r="G49" s="176"/>
      <c r="H49" s="176"/>
      <c r="I49" s="176">
        <f t="shared" ref="I49" si="98">I30</f>
        <v>165095.21600000001</v>
      </c>
      <c r="J49" s="176"/>
      <c r="K49" s="176"/>
      <c r="L49" s="176">
        <f t="shared" ref="L49" si="99">L30</f>
        <v>400038.42800000007</v>
      </c>
      <c r="M49" s="176"/>
      <c r="N49" s="176"/>
      <c r="O49" s="176">
        <f t="shared" ref="O49" si="100">O30</f>
        <v>380989</v>
      </c>
      <c r="P49" s="176"/>
      <c r="Q49" s="176"/>
      <c r="R49" s="176">
        <f t="shared" ref="R49" si="101">R30</f>
        <v>571483.5</v>
      </c>
      <c r="S49" s="176"/>
      <c r="T49" s="176"/>
      <c r="U49" s="176">
        <f t="shared" ref="U49" si="102">U30</f>
        <v>761978</v>
      </c>
      <c r="V49" s="176"/>
      <c r="W49" s="176"/>
      <c r="X49" s="176">
        <f t="shared" ref="X49" si="103">X30</f>
        <v>571483.5</v>
      </c>
      <c r="Y49" s="176"/>
      <c r="Z49" s="176"/>
      <c r="AA49" s="176">
        <f t="shared" ref="AA49" si="104">AA30</f>
        <v>571483.5</v>
      </c>
      <c r="AB49" s="176"/>
      <c r="AC49" s="176"/>
      <c r="AD49" s="176">
        <f t="shared" ref="AD49" si="105">AD30</f>
        <v>380989</v>
      </c>
      <c r="AE49" s="176"/>
      <c r="AF49" s="176"/>
      <c r="AG49" s="176">
        <f t="shared" ref="AG49" si="106">AG30</f>
        <v>190494.5</v>
      </c>
      <c r="AH49" s="176"/>
      <c r="AI49" s="176"/>
      <c r="AJ49" s="176">
        <f t="shared" ref="AJ49" si="107">AJ30</f>
        <v>295266.46399999998</v>
      </c>
      <c r="AK49" s="176"/>
      <c r="AL49" s="176"/>
      <c r="AM49" s="115">
        <f>SUM(C49:AL49)</f>
        <v>4393709.0739799999</v>
      </c>
    </row>
    <row r="50" spans="2:40" ht="38.25">
      <c r="B50" s="90" t="str">
        <f>B41</f>
        <v>Прогнозный индекс-дефлятор к стоимости СМР (поквартально)</v>
      </c>
      <c r="C50" s="177">
        <f>C41</f>
        <v>1.0512924724049926</v>
      </c>
      <c r="D50" s="177"/>
      <c r="E50" s="177"/>
      <c r="F50" s="177">
        <f t="shared" ref="F50" si="108">F41</f>
        <v>1.0851698896199702</v>
      </c>
      <c r="G50" s="177"/>
      <c r="H50" s="177"/>
      <c r="I50" s="177">
        <f t="shared" ref="I50" si="109">I41</f>
        <v>1.1190473068349478</v>
      </c>
      <c r="J50" s="177"/>
      <c r="K50" s="177"/>
      <c r="L50" s="177">
        <f t="shared" ref="L50" si="110">L41</f>
        <v>1.1529247240499256</v>
      </c>
      <c r="M50" s="177"/>
      <c r="N50" s="177"/>
      <c r="O50" s="177">
        <f t="shared" ref="O50" si="111">O41</f>
        <v>1.1868021412649035</v>
      </c>
      <c r="P50" s="177"/>
      <c r="Q50" s="177"/>
      <c r="R50" s="177">
        <f t="shared" ref="R50" si="112">R41</f>
        <v>1.2206795584798815</v>
      </c>
      <c r="S50" s="177"/>
      <c r="T50" s="177"/>
      <c r="U50" s="177">
        <f t="shared" ref="U50" si="113">U41</f>
        <v>1.2545569756948591</v>
      </c>
      <c r="V50" s="177"/>
      <c r="W50" s="177"/>
      <c r="X50" s="177">
        <f t="shared" ref="X50" si="114">X41</f>
        <v>1.288434392909837</v>
      </c>
      <c r="Y50" s="177"/>
      <c r="Z50" s="177"/>
      <c r="AA50" s="177">
        <f t="shared" ref="AA50" si="115">AA41</f>
        <v>1.3223118101248146</v>
      </c>
      <c r="AB50" s="177"/>
      <c r="AC50" s="177"/>
      <c r="AD50" s="177">
        <f t="shared" ref="AD50" si="116">AD41</f>
        <v>1.3561892273397922</v>
      </c>
      <c r="AE50" s="177"/>
      <c r="AF50" s="177"/>
      <c r="AG50" s="177">
        <f t="shared" ref="AG50" si="117">AG41</f>
        <v>1.3900666445547698</v>
      </c>
      <c r="AH50" s="177"/>
      <c r="AI50" s="177"/>
      <c r="AJ50" s="177">
        <f t="shared" ref="AJ50" si="118">AJ41</f>
        <v>1.4239440617697476</v>
      </c>
      <c r="AK50" s="177"/>
      <c r="AL50" s="177"/>
    </row>
    <row r="51" spans="2:40" ht="38.25">
      <c r="B51" s="90" t="s">
        <v>141</v>
      </c>
      <c r="C51" s="176">
        <f>C49*C50</f>
        <v>89736.767408020212</v>
      </c>
      <c r="D51" s="176"/>
      <c r="E51" s="176"/>
      <c r="F51" s="176">
        <f t="shared" ref="F51" si="119">F49*F50</f>
        <v>20671.887383481364</v>
      </c>
      <c r="G51" s="176"/>
      <c r="H51" s="176"/>
      <c r="I51" s="176">
        <v>0</v>
      </c>
      <c r="J51" s="176"/>
      <c r="K51" s="176"/>
      <c r="L51" s="176">
        <f t="shared" ref="L51" si="120">L49*L50</f>
        <v>461214.19421126612</v>
      </c>
      <c r="M51" s="176"/>
      <c r="N51" s="176"/>
      <c r="O51" s="176">
        <f t="shared" ref="O51" si="121">O49*O50</f>
        <v>452158.56099837431</v>
      </c>
      <c r="P51" s="176"/>
      <c r="Q51" s="176"/>
      <c r="R51" s="176">
        <f t="shared" ref="R51" si="122">R49*R50</f>
        <v>697598.22645853739</v>
      </c>
      <c r="S51" s="176"/>
      <c r="T51" s="176"/>
      <c r="U51" s="176">
        <f t="shared" ref="U51" si="123">U49*U50</f>
        <v>955944.81522601738</v>
      </c>
      <c r="V51" s="176"/>
      <c r="W51" s="176"/>
      <c r="X51" s="176">
        <f t="shared" ref="X51" si="124">X49*X50</f>
        <v>736318.99638048885</v>
      </c>
      <c r="Y51" s="176"/>
      <c r="Z51" s="176"/>
      <c r="AA51" s="176">
        <f t="shared" ref="AA51" si="125">AA49*AA50</f>
        <v>755679.38134146447</v>
      </c>
      <c r="AB51" s="176"/>
      <c r="AC51" s="176"/>
      <c r="AD51" s="176">
        <f t="shared" ref="AD51" si="126">AD49*AD50</f>
        <v>516693.17753496009</v>
      </c>
      <c r="AE51" s="176"/>
      <c r="AF51" s="176"/>
      <c r="AG51" s="176">
        <f t="shared" ref="AG51" si="127">AG49*AG50</f>
        <v>264800.05042113859</v>
      </c>
      <c r="AH51" s="176"/>
      <c r="AI51" s="176"/>
      <c r="AJ51" s="176">
        <f t="shared" ref="AJ51" si="128">AJ49*AJ50</f>
        <v>420442.92805255094</v>
      </c>
      <c r="AK51" s="176"/>
      <c r="AL51" s="176"/>
      <c r="AM51" s="115">
        <f>SUM(C51:AL51)</f>
        <v>5371258.9854162997</v>
      </c>
    </row>
    <row r="52" spans="2:40">
      <c r="B52" s="87" t="s">
        <v>39</v>
      </c>
      <c r="C52" s="178">
        <f>C51</f>
        <v>89736.767408020212</v>
      </c>
      <c r="D52" s="179"/>
      <c r="E52" s="179"/>
      <c r="F52" s="178">
        <f t="shared" ref="F52" si="129">F51</f>
        <v>20671.887383481364</v>
      </c>
      <c r="G52" s="179"/>
      <c r="H52" s="179"/>
      <c r="I52" s="178">
        <f t="shared" ref="I52" si="130">I51</f>
        <v>0</v>
      </c>
      <c r="J52" s="179"/>
      <c r="K52" s="179"/>
      <c r="L52" s="178">
        <f t="shared" ref="L52" si="131">L51</f>
        <v>461214.19421126612</v>
      </c>
      <c r="M52" s="179"/>
      <c r="N52" s="179"/>
      <c r="O52" s="178">
        <f t="shared" ref="O52" si="132">O51</f>
        <v>452158.56099837431</v>
      </c>
      <c r="P52" s="179"/>
      <c r="Q52" s="179"/>
      <c r="R52" s="178">
        <f t="shared" ref="R52" si="133">R51</f>
        <v>697598.22645853739</v>
      </c>
      <c r="S52" s="179"/>
      <c r="T52" s="179"/>
      <c r="U52" s="178">
        <f t="shared" ref="U52" si="134">U51</f>
        <v>955944.81522601738</v>
      </c>
      <c r="V52" s="179"/>
      <c r="W52" s="179"/>
      <c r="X52" s="178">
        <f t="shared" ref="X52" si="135">X51</f>
        <v>736318.99638048885</v>
      </c>
      <c r="Y52" s="179"/>
      <c r="Z52" s="179"/>
      <c r="AA52" s="178">
        <f t="shared" ref="AA52" si="136">AA51</f>
        <v>755679.38134146447</v>
      </c>
      <c r="AB52" s="179"/>
      <c r="AC52" s="179"/>
      <c r="AD52" s="178">
        <f t="shared" ref="AD52" si="137">AD51</f>
        <v>516693.17753496009</v>
      </c>
      <c r="AE52" s="179"/>
      <c r="AF52" s="179"/>
      <c r="AG52" s="178">
        <f t="shared" ref="AG52" si="138">AG51</f>
        <v>264800.05042113859</v>
      </c>
      <c r="AH52" s="179"/>
      <c r="AI52" s="179"/>
      <c r="AJ52" s="178">
        <f t="shared" ref="AJ52" si="139">AJ51</f>
        <v>420442.92805255094</v>
      </c>
      <c r="AK52" s="179"/>
      <c r="AL52" s="179"/>
      <c r="AM52" s="115">
        <f>SUM(C52:AL52)</f>
        <v>5371258.9854162997</v>
      </c>
      <c r="AN52" s="10">
        <f>AM52*1000</f>
        <v>5371258985.4162998</v>
      </c>
    </row>
    <row r="53" spans="2:40">
      <c r="B53" s="88" t="s">
        <v>18</v>
      </c>
      <c r="C53" s="180">
        <f>C52/SUM($C$52:$AL$52)</f>
        <v>1.6706840547377769E-2</v>
      </c>
      <c r="D53" s="180"/>
      <c r="E53" s="180"/>
      <c r="F53" s="180">
        <f t="shared" ref="F53" si="140">F52/SUM($C$52:$AL$52)</f>
        <v>3.8486111802853587E-3</v>
      </c>
      <c r="G53" s="180"/>
      <c r="H53" s="180"/>
      <c r="I53" s="180">
        <f t="shared" ref="I53" si="141">I52/SUM($C$52:$AL$52)</f>
        <v>0</v>
      </c>
      <c r="J53" s="180"/>
      <c r="K53" s="180"/>
      <c r="L53" s="180">
        <f t="shared" ref="L53" si="142">L52/SUM($C$52:$AL$52)</f>
        <v>8.586705564999296E-2</v>
      </c>
      <c r="M53" s="180"/>
      <c r="N53" s="180"/>
      <c r="O53" s="180">
        <f t="shared" ref="O53" si="143">O52/SUM($C$52:$AL$52)</f>
        <v>8.4181113259674575E-2</v>
      </c>
      <c r="P53" s="180"/>
      <c r="Q53" s="180"/>
      <c r="R53" s="180">
        <f t="shared" ref="R53" si="144">R52/SUM($C$52:$AL$52)</f>
        <v>0.12987611067584187</v>
      </c>
      <c r="S53" s="180"/>
      <c r="T53" s="180"/>
      <c r="U53" s="180">
        <f t="shared" ref="U53" si="145">U52/SUM($C$52:$AL$52)</f>
        <v>0.17797406861622905</v>
      </c>
      <c r="V53" s="180"/>
      <c r="W53" s="180"/>
      <c r="X53" s="180">
        <f t="shared" ref="X53" si="146">X52/SUM($C$52:$AL$52)</f>
        <v>0.13708499224850176</v>
      </c>
      <c r="Y53" s="180"/>
      <c r="Z53" s="180"/>
      <c r="AA53" s="180">
        <f t="shared" ref="AA53" si="147">AA52/SUM($C$52:$AL$52)</f>
        <v>0.1406894330348317</v>
      </c>
      <c r="AB53" s="180"/>
      <c r="AC53" s="180"/>
      <c r="AD53" s="180">
        <f t="shared" ref="AD53" si="148">AD52/SUM($C$52:$AL$52)</f>
        <v>9.6195915880774419E-2</v>
      </c>
      <c r="AE53" s="180"/>
      <c r="AF53" s="180"/>
      <c r="AG53" s="180">
        <f t="shared" ref="AG53" si="149">AG52/SUM($C$52:$AL$52)</f>
        <v>4.9299438202497187E-2</v>
      </c>
      <c r="AH53" s="180"/>
      <c r="AI53" s="180"/>
      <c r="AJ53" s="180">
        <f t="shared" ref="AJ53" si="150">AJ52/SUM($C$52:$AL$52)</f>
        <v>7.8276420703993391E-2</v>
      </c>
      <c r="AK53" s="180"/>
      <c r="AL53" s="180"/>
      <c r="AM53" s="114">
        <f>SUM(C53:AL53)</f>
        <v>1</v>
      </c>
    </row>
  </sheetData>
  <mergeCells count="305"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  <mergeCell ref="AG16:AI16"/>
    <mergeCell ref="R16:T16"/>
    <mergeCell ref="AG18:AI18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B21:B24"/>
    <mergeCell ref="C21:AI21"/>
    <mergeCell ref="C23:E23"/>
    <mergeCell ref="F23:H23"/>
    <mergeCell ref="L23:N23"/>
    <mergeCell ref="O23:Q23"/>
    <mergeCell ref="AG29:AI29"/>
    <mergeCell ref="O29:Q29"/>
    <mergeCell ref="AD26:AF26"/>
    <mergeCell ref="AG26:AI26"/>
    <mergeCell ref="R29:T29"/>
    <mergeCell ref="C28:E28"/>
    <mergeCell ref="F28:H28"/>
    <mergeCell ref="C26:E26"/>
    <mergeCell ref="F26:H26"/>
    <mergeCell ref="I26:K26"/>
    <mergeCell ref="AD23:AF23"/>
    <mergeCell ref="AG23:AI23"/>
    <mergeCell ref="I29:K29"/>
    <mergeCell ref="L29:N29"/>
    <mergeCell ref="AA22:AI22"/>
    <mergeCell ref="AA23:AC23"/>
    <mergeCell ref="C22:N22"/>
    <mergeCell ref="U29:W29"/>
    <mergeCell ref="AA29:AC29"/>
    <mergeCell ref="R27:T27"/>
    <mergeCell ref="U27:W27"/>
    <mergeCell ref="X27:Z27"/>
    <mergeCell ref="M4:N4"/>
    <mergeCell ref="M5:N5"/>
    <mergeCell ref="M6:N6"/>
    <mergeCell ref="M7:N7"/>
    <mergeCell ref="X14:Z14"/>
    <mergeCell ref="L26:N26"/>
    <mergeCell ref="R26:T26"/>
    <mergeCell ref="U26:W26"/>
    <mergeCell ref="X26:Z26"/>
    <mergeCell ref="AA14:AC14"/>
    <mergeCell ref="X29:Z29"/>
    <mergeCell ref="R25:T25"/>
    <mergeCell ref="U25:W25"/>
    <mergeCell ref="X25:Z25"/>
    <mergeCell ref="O16:Q16"/>
    <mergeCell ref="O18:Q18"/>
    <mergeCell ref="L16:N16"/>
    <mergeCell ref="O14:Q14"/>
    <mergeCell ref="R14:T14"/>
    <mergeCell ref="I28:K28"/>
    <mergeCell ref="L28:N28"/>
    <mergeCell ref="O28:Q28"/>
    <mergeCell ref="R28:T28"/>
    <mergeCell ref="U28:W28"/>
    <mergeCell ref="X28:Z28"/>
    <mergeCell ref="AA25:AC25"/>
    <mergeCell ref="AA26:AC26"/>
    <mergeCell ref="AG27:AI27"/>
    <mergeCell ref="AA27:AC27"/>
    <mergeCell ref="AD27:AF27"/>
    <mergeCell ref="AD14:AF14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O15:Q15"/>
    <mergeCell ref="R15:T15"/>
    <mergeCell ref="AD18:AF18"/>
    <mergeCell ref="U16:W16"/>
    <mergeCell ref="X16:Z16"/>
    <mergeCell ref="AA16:AC16"/>
    <mergeCell ref="AA18:AC18"/>
    <mergeCell ref="AD16:AF16"/>
    <mergeCell ref="U14:W14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L25:N25"/>
    <mergeCell ref="O26:Q26"/>
    <mergeCell ref="I16:K16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C29:E29"/>
    <mergeCell ref="F29:H29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AJ12:AL12"/>
    <mergeCell ref="AJ14:AL14"/>
    <mergeCell ref="AJ15:AL15"/>
    <mergeCell ref="AJ16:AL16"/>
    <mergeCell ref="AJ17:AL17"/>
    <mergeCell ref="AJ11:AU11"/>
    <mergeCell ref="AV11:BD11"/>
    <mergeCell ref="AD53:AF53"/>
    <mergeCell ref="AG53:AI53"/>
    <mergeCell ref="AD52:AF52"/>
    <mergeCell ref="AG52:AI52"/>
    <mergeCell ref="AD51:AF51"/>
    <mergeCell ref="AG51:AI51"/>
    <mergeCell ref="AD49:AF49"/>
    <mergeCell ref="AG49:AI49"/>
    <mergeCell ref="AD50:AF50"/>
    <mergeCell ref="AG50:AI50"/>
    <mergeCell ref="AD41:AF41"/>
    <mergeCell ref="AG41:AI41"/>
    <mergeCell ref="AD25:AF25"/>
    <mergeCell ref="AG25:AI25"/>
    <mergeCell ref="AD29:AF29"/>
    <mergeCell ref="AG15:AI15"/>
    <mergeCell ref="AG31:AI31"/>
    <mergeCell ref="AJ35:AL35"/>
    <mergeCell ref="AJ41:AL41"/>
    <mergeCell ref="AJ47:AL47"/>
    <mergeCell ref="AJ49:AL49"/>
    <mergeCell ref="AJ50:AL50"/>
    <mergeCell ref="AJ51:AL51"/>
    <mergeCell ref="AJ52:AL52"/>
    <mergeCell ref="AJ53:AL53"/>
    <mergeCell ref="AJ18:AL18"/>
    <mergeCell ref="AJ23:AL23"/>
    <mergeCell ref="AJ25:AL25"/>
    <mergeCell ref="AJ26:AL26"/>
    <mergeCell ref="AJ27:AL27"/>
    <mergeCell ref="AJ28:AL28"/>
    <mergeCell ref="AJ29:AL29"/>
    <mergeCell ref="AJ30:AL30"/>
    <mergeCell ref="AJ31:AL31"/>
    <mergeCell ref="AJ46:AL46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'График Стр-ва'!C49:AL49</xm:f>
              <xm:sqref>AD57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2024-01-09T11:40:32Z</dcterms:modified>
</cp:coreProperties>
</file>