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6475" windowHeight="10050" activeTab="1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проект'!$A$1:$L$117</definedName>
    <definedName name="_xlnm.Print_Area" localSheetId="2">'Весь проект_эскроу'!$A$1:$L$104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P20" i="1" l="1"/>
  <c r="P22" i="1"/>
  <c r="P23" i="1" s="1"/>
  <c r="P26" i="1" s="1"/>
  <c r="P24" i="1"/>
  <c r="P60" i="1"/>
  <c r="P61" i="1" s="1"/>
  <c r="P43" i="1"/>
  <c r="P48" i="1" s="1"/>
  <c r="P58" i="1"/>
  <c r="P59" i="1"/>
  <c r="P66" i="1"/>
  <c r="P75" i="1"/>
  <c r="P76" i="1" s="1"/>
  <c r="P86" i="1"/>
  <c r="P87" i="1" s="1"/>
  <c r="P63" i="1" l="1"/>
  <c r="P64" i="1" l="1"/>
  <c r="P79" i="1"/>
  <c r="P82" i="1" s="1"/>
  <c r="P84" i="1" s="1"/>
  <c r="P80" i="1"/>
  <c r="P88" i="1" l="1"/>
  <c r="P85" i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E96" i="1"/>
  <c r="I19" i="3" l="1"/>
  <c r="I53" i="3"/>
  <c r="I56" i="3" s="1"/>
  <c r="F17" i="3"/>
  <c r="G15" i="3"/>
  <c r="J16" i="3"/>
  <c r="F79" i="3"/>
  <c r="F83" i="3" s="1"/>
  <c r="I80" i="3"/>
  <c r="I82" i="3" s="1"/>
  <c r="D89" i="2"/>
  <c r="E89" i="2"/>
  <c r="F89" i="2"/>
  <c r="G89" i="2"/>
  <c r="H89" i="2"/>
  <c r="I89" i="2"/>
  <c r="J89" i="2"/>
  <c r="K89" i="2"/>
  <c r="L89" i="2"/>
  <c r="M89" i="2"/>
  <c r="N89" i="2"/>
  <c r="O89" i="2"/>
  <c r="C89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92" i="2"/>
  <c r="N92" i="2" s="1"/>
  <c r="O92" i="2" s="1"/>
  <c r="P92" i="2" s="1"/>
  <c r="L92" i="2"/>
  <c r="K92" i="2"/>
  <c r="J92" i="2"/>
  <c r="I92" i="2"/>
  <c r="H92" i="2"/>
  <c r="G92" i="2"/>
  <c r="F92" i="2"/>
  <c r="E92" i="2"/>
  <c r="D92" i="2"/>
  <c r="C92" i="2"/>
  <c r="O75" i="2"/>
  <c r="O76" i="2" s="1"/>
  <c r="N75" i="2"/>
  <c r="N76" i="2" s="1"/>
  <c r="M75" i="2"/>
  <c r="L75" i="2"/>
  <c r="K75" i="2"/>
  <c r="J75" i="2"/>
  <c r="I75" i="2"/>
  <c r="H75" i="2"/>
  <c r="G75" i="2"/>
  <c r="F75" i="2"/>
  <c r="E75" i="2"/>
  <c r="D75" i="2"/>
  <c r="C75" i="2"/>
  <c r="M73" i="2"/>
  <c r="L73" i="2"/>
  <c r="G73" i="2"/>
  <c r="F73" i="2"/>
  <c r="E73" i="2"/>
  <c r="D73" i="2"/>
  <c r="C73" i="2"/>
  <c r="B72" i="2"/>
  <c r="M68" i="2"/>
  <c r="M69" i="2" s="1"/>
  <c r="L68" i="2"/>
  <c r="K68" i="2"/>
  <c r="K69" i="2" s="1"/>
  <c r="K77" i="2" s="1"/>
  <c r="J68" i="2"/>
  <c r="J69" i="2" s="1"/>
  <c r="J77" i="2" s="1"/>
  <c r="I68" i="2"/>
  <c r="I69" i="2" s="1"/>
  <c r="I77" i="2" s="1"/>
  <c r="H68" i="2"/>
  <c r="G68" i="2"/>
  <c r="G69" i="2" s="1"/>
  <c r="F68" i="2"/>
  <c r="F69" i="2" s="1"/>
  <c r="E68" i="2"/>
  <c r="E69" i="2" s="1"/>
  <c r="D68" i="2"/>
  <c r="C68" i="2"/>
  <c r="C69" i="2" s="1"/>
  <c r="G67" i="2"/>
  <c r="O66" i="2"/>
  <c r="N66" i="2"/>
  <c r="F59" i="2"/>
  <c r="E59" i="2"/>
  <c r="M55" i="2"/>
  <c r="L55" i="2"/>
  <c r="K55" i="2"/>
  <c r="J55" i="2"/>
  <c r="I55" i="2"/>
  <c r="H55" i="2"/>
  <c r="G55" i="2"/>
  <c r="B49" i="2"/>
  <c r="F48" i="2"/>
  <c r="E48" i="2"/>
  <c r="D48" i="2"/>
  <c r="D63" i="2" s="1"/>
  <c r="C48" i="2"/>
  <c r="C70" i="2" s="1"/>
  <c r="B40" i="2"/>
  <c r="B38" i="2"/>
  <c r="B36" i="2"/>
  <c r="B34" i="2"/>
  <c r="B32" i="2"/>
  <c r="O27" i="2"/>
  <c r="O60" i="2" s="1"/>
  <c r="N27" i="2"/>
  <c r="N60" i="2" s="1"/>
  <c r="M27" i="2"/>
  <c r="M60" i="2" s="1"/>
  <c r="L27" i="2"/>
  <c r="L60" i="2" s="1"/>
  <c r="K27" i="2"/>
  <c r="K60" i="2" s="1"/>
  <c r="J27" i="2"/>
  <c r="J60" i="2" s="1"/>
  <c r="I27" i="2"/>
  <c r="I60" i="2" s="1"/>
  <c r="H27" i="2"/>
  <c r="H60" i="2" s="1"/>
  <c r="G27" i="2"/>
  <c r="G60" i="2" s="1"/>
  <c r="F27" i="2"/>
  <c r="F53" i="2" s="1"/>
  <c r="E27" i="2"/>
  <c r="E53" i="2" s="1"/>
  <c r="D27" i="2"/>
  <c r="C27" i="2"/>
  <c r="O21" i="2"/>
  <c r="C20" i="2"/>
  <c r="G20" i="2" s="1"/>
  <c r="K20" i="2" s="1"/>
  <c r="Q19" i="2"/>
  <c r="B24" i="2" s="1"/>
  <c r="P19" i="2"/>
  <c r="C21" i="2" s="1"/>
  <c r="C22" i="2" s="1"/>
  <c r="M18" i="2"/>
  <c r="M66" i="2" s="1"/>
  <c r="L18" i="2"/>
  <c r="L66" i="2" s="1"/>
  <c r="K18" i="2"/>
  <c r="K66" i="2" s="1"/>
  <c r="J18" i="2"/>
  <c r="J66" i="2" s="1"/>
  <c r="I18" i="2"/>
  <c r="I66" i="2" s="1"/>
  <c r="H18" i="2"/>
  <c r="H66" i="2" s="1"/>
  <c r="G18" i="2"/>
  <c r="G66" i="2" s="1"/>
  <c r="F18" i="2"/>
  <c r="F66" i="2" s="1"/>
  <c r="E18" i="2"/>
  <c r="E66" i="2" s="1"/>
  <c r="D18" i="2"/>
  <c r="D66" i="2" s="1"/>
  <c r="C18" i="2"/>
  <c r="C66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7" i="2"/>
  <c r="B6" i="2"/>
  <c r="B10" i="2" s="1"/>
  <c r="B5" i="2"/>
  <c r="B4" i="2"/>
  <c r="B3" i="2"/>
  <c r="G35" i="3" l="1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B27" i="2"/>
  <c r="B75" i="2"/>
  <c r="N20" i="2"/>
  <c r="B73" i="2"/>
  <c r="C93" i="2"/>
  <c r="H67" i="2"/>
  <c r="I67" i="2" s="1"/>
  <c r="J67" i="2" s="1"/>
  <c r="K67" i="2" s="1"/>
  <c r="L67" i="2" s="1"/>
  <c r="M67" i="2" s="1"/>
  <c r="C23" i="2"/>
  <c r="M30" i="2"/>
  <c r="I30" i="2"/>
  <c r="L30" i="2"/>
  <c r="J30" i="2"/>
  <c r="M28" i="2"/>
  <c r="I28" i="2"/>
  <c r="L28" i="2"/>
  <c r="H28" i="2"/>
  <c r="K30" i="2"/>
  <c r="J28" i="2"/>
  <c r="K28" i="2"/>
  <c r="B58" i="2"/>
  <c r="B51" i="2"/>
  <c r="G24" i="2"/>
  <c r="C71" i="2"/>
  <c r="O20" i="2"/>
  <c r="E54" i="2"/>
  <c r="B53" i="2"/>
  <c r="E60" i="2"/>
  <c r="D64" i="2"/>
  <c r="D74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0" i="2"/>
  <c r="F61" i="2" s="1"/>
  <c r="F62" i="2" s="1"/>
  <c r="F54" i="2"/>
  <c r="F55" i="2" s="1"/>
  <c r="C77" i="2"/>
  <c r="C63" i="2"/>
  <c r="D69" i="2"/>
  <c r="H69" i="2"/>
  <c r="H77" i="2" s="1"/>
  <c r="L69" i="2"/>
  <c r="D70" i="2"/>
  <c r="D71" i="2" s="1"/>
  <c r="B68" i="2"/>
  <c r="P68" i="2" s="1"/>
  <c r="E70" i="2"/>
  <c r="E71" i="2" s="1"/>
  <c r="E77" i="2" s="1"/>
  <c r="F70" i="2"/>
  <c r="F71" i="2" s="1"/>
  <c r="F77" i="2" s="1"/>
  <c r="C76" i="2"/>
  <c r="M86" i="1"/>
  <c r="N86" i="1" s="1"/>
  <c r="O86" i="1" s="1"/>
  <c r="Q86" i="1" s="1"/>
  <c r="L86" i="1"/>
  <c r="K86" i="1"/>
  <c r="J86" i="1"/>
  <c r="I86" i="1"/>
  <c r="H86" i="1"/>
  <c r="G86" i="1"/>
  <c r="F86" i="1"/>
  <c r="E86" i="1"/>
  <c r="D86" i="1"/>
  <c r="C86" i="1"/>
  <c r="C87" i="1" s="1"/>
  <c r="O75" i="1"/>
  <c r="O76" i="1" s="1"/>
  <c r="N75" i="1"/>
  <c r="N76" i="1" s="1"/>
  <c r="M75" i="1"/>
  <c r="L75" i="1"/>
  <c r="K75" i="1"/>
  <c r="J75" i="1"/>
  <c r="I75" i="1"/>
  <c r="H75" i="1"/>
  <c r="G75" i="1"/>
  <c r="F75" i="1"/>
  <c r="E75" i="1"/>
  <c r="D75" i="1"/>
  <c r="C75" i="1"/>
  <c r="M73" i="1"/>
  <c r="L73" i="1"/>
  <c r="G73" i="1"/>
  <c r="F73" i="1"/>
  <c r="E73" i="1"/>
  <c r="D73" i="1"/>
  <c r="C73" i="1"/>
  <c r="B72" i="1"/>
  <c r="M68" i="1"/>
  <c r="M69" i="1" s="1"/>
  <c r="L68" i="1"/>
  <c r="L69" i="1" s="1"/>
  <c r="K68" i="1"/>
  <c r="K69" i="1" s="1"/>
  <c r="K77" i="1" s="1"/>
  <c r="J68" i="1"/>
  <c r="J69" i="1" s="1"/>
  <c r="J77" i="1" s="1"/>
  <c r="I68" i="1"/>
  <c r="I69" i="1" s="1"/>
  <c r="I77" i="1" s="1"/>
  <c r="H68" i="1"/>
  <c r="H69" i="1" s="1"/>
  <c r="H77" i="1" s="1"/>
  <c r="G68" i="1"/>
  <c r="G69" i="1" s="1"/>
  <c r="F68" i="1"/>
  <c r="F69" i="1" s="1"/>
  <c r="E68" i="1"/>
  <c r="E69" i="1" s="1"/>
  <c r="D68" i="1"/>
  <c r="D69" i="1" s="1"/>
  <c r="C68" i="1"/>
  <c r="G67" i="1"/>
  <c r="O66" i="1"/>
  <c r="N66" i="1"/>
  <c r="F59" i="1"/>
  <c r="E59" i="1"/>
  <c r="M55" i="1"/>
  <c r="L55" i="1"/>
  <c r="K55" i="1"/>
  <c r="J55" i="1"/>
  <c r="I55" i="1"/>
  <c r="H55" i="1"/>
  <c r="G55" i="1"/>
  <c r="B49" i="1"/>
  <c r="F48" i="1"/>
  <c r="F70" i="1" s="1"/>
  <c r="F71" i="1" s="1"/>
  <c r="E48" i="1"/>
  <c r="D48" i="1"/>
  <c r="D70" i="1" s="1"/>
  <c r="D71" i="1" s="1"/>
  <c r="C48" i="1"/>
  <c r="C70" i="1" s="1"/>
  <c r="B40" i="1"/>
  <c r="B38" i="1"/>
  <c r="B36" i="1"/>
  <c r="B34" i="1"/>
  <c r="B32" i="1"/>
  <c r="O27" i="1"/>
  <c r="O60" i="1" s="1"/>
  <c r="N27" i="1"/>
  <c r="N60" i="1" s="1"/>
  <c r="M27" i="1"/>
  <c r="M60" i="1" s="1"/>
  <c r="L27" i="1"/>
  <c r="L60" i="1" s="1"/>
  <c r="K27" i="1"/>
  <c r="K60" i="1" s="1"/>
  <c r="J27" i="1"/>
  <c r="J60" i="1" s="1"/>
  <c r="I27" i="1"/>
  <c r="I60" i="1" s="1"/>
  <c r="H27" i="1"/>
  <c r="H60" i="1" s="1"/>
  <c r="G27" i="1"/>
  <c r="G60" i="1" s="1"/>
  <c r="F27" i="1"/>
  <c r="F53" i="1" s="1"/>
  <c r="E27" i="1"/>
  <c r="E53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6" i="1" s="1"/>
  <c r="L18" i="1"/>
  <c r="L66" i="1" s="1"/>
  <c r="K18" i="1"/>
  <c r="K66" i="1" s="1"/>
  <c r="J18" i="1"/>
  <c r="J66" i="1" s="1"/>
  <c r="I18" i="1"/>
  <c r="I66" i="1" s="1"/>
  <c r="H18" i="1"/>
  <c r="H66" i="1" s="1"/>
  <c r="G18" i="1"/>
  <c r="G66" i="1" s="1"/>
  <c r="F18" i="1"/>
  <c r="F66" i="1" s="1"/>
  <c r="E18" i="1"/>
  <c r="E66" i="1" s="1"/>
  <c r="D18" i="1"/>
  <c r="D66" i="1" s="1"/>
  <c r="C18" i="1"/>
  <c r="C6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7" i="1"/>
  <c r="B6" i="1"/>
  <c r="B10" i="1" s="1"/>
  <c r="B5" i="1"/>
  <c r="B14" i="1" s="1"/>
  <c r="B4" i="1"/>
  <c r="B3" i="1"/>
  <c r="B73" i="1" l="1"/>
  <c r="E60" i="1"/>
  <c r="E61" i="1" s="1"/>
  <c r="E62" i="1" s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81" i="2"/>
  <c r="C82" i="2" s="1"/>
  <c r="C85" i="2"/>
  <c r="D93" i="2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C94" i="2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F63" i="2"/>
  <c r="F64" i="2" s="1"/>
  <c r="D77" i="2"/>
  <c r="D76" i="2"/>
  <c r="D81" i="2" s="1"/>
  <c r="B67" i="2"/>
  <c r="P67" i="2" s="1"/>
  <c r="B30" i="2"/>
  <c r="C64" i="2"/>
  <c r="C74" i="2"/>
  <c r="B69" i="2"/>
  <c r="E55" i="2"/>
  <c r="B54" i="2"/>
  <c r="G51" i="2"/>
  <c r="H24" i="2"/>
  <c r="B28" i="2"/>
  <c r="D22" i="2"/>
  <c r="E61" i="2"/>
  <c r="B60" i="2"/>
  <c r="C76" i="1"/>
  <c r="F77" i="1"/>
  <c r="B27" i="1"/>
  <c r="B68" i="1"/>
  <c r="Q68" i="1" s="1"/>
  <c r="C69" i="1"/>
  <c r="B69" i="1" s="1"/>
  <c r="B75" i="1"/>
  <c r="E54" i="1"/>
  <c r="E55" i="1" s="1"/>
  <c r="D77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Q87" i="1" s="1"/>
  <c r="F54" i="1"/>
  <c r="F55" i="1" s="1"/>
  <c r="F60" i="1"/>
  <c r="F61" i="1" s="1"/>
  <c r="F62" i="1" s="1"/>
  <c r="B53" i="1"/>
  <c r="J30" i="1"/>
  <c r="I30" i="1"/>
  <c r="M28" i="1"/>
  <c r="I28" i="1"/>
  <c r="M30" i="1"/>
  <c r="L28" i="1"/>
  <c r="H28" i="1"/>
  <c r="K30" i="1"/>
  <c r="J28" i="1"/>
  <c r="L30" i="1"/>
  <c r="K28" i="1"/>
  <c r="C23" i="1"/>
  <c r="B51" i="1"/>
  <c r="G24" i="1"/>
  <c r="B58" i="1"/>
  <c r="B12" i="1"/>
  <c r="N20" i="1"/>
  <c r="C63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D63" i="1"/>
  <c r="C71" i="1"/>
  <c r="H67" i="1"/>
  <c r="I67" i="1" s="1"/>
  <c r="J67" i="1" s="1"/>
  <c r="K67" i="1" s="1"/>
  <c r="L67" i="1" s="1"/>
  <c r="M67" i="1" s="1"/>
  <c r="E70" i="1"/>
  <c r="E71" i="1" s="1"/>
  <c r="E77" i="1" s="1"/>
  <c r="C95" i="2" l="1"/>
  <c r="E63" i="1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4" i="2"/>
  <c r="F76" i="2" s="1"/>
  <c r="F81" i="2" s="1"/>
  <c r="D87" i="2"/>
  <c r="D82" i="2"/>
  <c r="D95" i="2" s="1"/>
  <c r="D85" i="2"/>
  <c r="E62" i="2"/>
  <c r="B62" i="2" s="1"/>
  <c r="C87" i="2"/>
  <c r="H51" i="2"/>
  <c r="I24" i="2"/>
  <c r="B55" i="2"/>
  <c r="D23" i="2"/>
  <c r="E22" i="2"/>
  <c r="B60" i="1"/>
  <c r="B62" i="1"/>
  <c r="B55" i="1"/>
  <c r="B54" i="1"/>
  <c r="D74" i="1"/>
  <c r="D76" i="1" s="1"/>
  <c r="D80" i="1" s="1"/>
  <c r="D64" i="1"/>
  <c r="C79" i="1"/>
  <c r="C74" i="1"/>
  <c r="C80" i="1"/>
  <c r="C64" i="1"/>
  <c r="B30" i="1"/>
  <c r="C77" i="1"/>
  <c r="H24" i="1"/>
  <c r="G51" i="1"/>
  <c r="D22" i="1"/>
  <c r="F63" i="1"/>
  <c r="E64" i="1"/>
  <c r="E74" i="1"/>
  <c r="E76" i="1" s="1"/>
  <c r="B67" i="1"/>
  <c r="Q67" i="1" s="1"/>
  <c r="B28" i="1"/>
  <c r="F38" i="3" l="1"/>
  <c r="M19" i="3"/>
  <c r="M53" i="3"/>
  <c r="M56" i="3" s="1"/>
  <c r="O16" i="3"/>
  <c r="N80" i="3"/>
  <c r="N82" i="3" s="1"/>
  <c r="N17" i="3"/>
  <c r="P16" i="3"/>
  <c r="L36" i="3"/>
  <c r="M36" i="3" s="1"/>
  <c r="F39" i="3"/>
  <c r="M35" i="3"/>
  <c r="N35" i="3" s="1"/>
  <c r="F85" i="2"/>
  <c r="F87" i="2"/>
  <c r="F82" i="2"/>
  <c r="F95" i="2" s="1"/>
  <c r="E63" i="2"/>
  <c r="E74" i="2" s="1"/>
  <c r="I51" i="2"/>
  <c r="J24" i="2"/>
  <c r="E23" i="2"/>
  <c r="F22" i="2"/>
  <c r="E80" i="1"/>
  <c r="E79" i="1"/>
  <c r="E82" i="1" s="1"/>
  <c r="E84" i="1" s="1"/>
  <c r="E88" i="1" s="1"/>
  <c r="D23" i="1"/>
  <c r="E22" i="1"/>
  <c r="H51" i="1"/>
  <c r="I24" i="1"/>
  <c r="F64" i="1"/>
  <c r="F74" i="1"/>
  <c r="F76" i="1" s="1"/>
  <c r="F79" i="1" s="1"/>
  <c r="F82" i="1" s="1"/>
  <c r="F84" i="1" s="1"/>
  <c r="C82" i="1"/>
  <c r="D79" i="1"/>
  <c r="D82" i="1" s="1"/>
  <c r="D84" i="1" s="1"/>
  <c r="N53" i="3" l="1"/>
  <c r="N19" i="3"/>
  <c r="N36" i="3" s="1"/>
  <c r="O80" i="3"/>
  <c r="O82" i="3" s="1"/>
  <c r="F85" i="3" s="1"/>
  <c r="O17" i="3"/>
  <c r="E64" i="2"/>
  <c r="F23" i="2"/>
  <c r="G22" i="2"/>
  <c r="J51" i="2"/>
  <c r="K24" i="2"/>
  <c r="E76" i="2"/>
  <c r="E81" i="2" s="1"/>
  <c r="E85" i="1"/>
  <c r="F80" i="1"/>
  <c r="C84" i="1"/>
  <c r="D85" i="1"/>
  <c r="D88" i="1"/>
  <c r="F88" i="1"/>
  <c r="F85" i="1"/>
  <c r="E23" i="1"/>
  <c r="F22" i="1"/>
  <c r="I51" i="1"/>
  <c r="J24" i="1"/>
  <c r="O53" i="3" l="1"/>
  <c r="O56" i="3" s="1"/>
  <c r="O19" i="3"/>
  <c r="F22" i="3" s="1"/>
  <c r="F21" i="3"/>
  <c r="N56" i="3"/>
  <c r="F59" i="3"/>
  <c r="O35" i="3"/>
  <c r="G23" i="2"/>
  <c r="H22" i="2"/>
  <c r="G50" i="2"/>
  <c r="E82" i="2"/>
  <c r="E95" i="2" s="1"/>
  <c r="E85" i="2"/>
  <c r="K51" i="2"/>
  <c r="L24" i="2"/>
  <c r="C85" i="1"/>
  <c r="C88" i="1"/>
  <c r="J51" i="1"/>
  <c r="K24" i="1"/>
  <c r="F23" i="1"/>
  <c r="G22" i="1"/>
  <c r="F57" i="3" l="1"/>
  <c r="P35" i="3"/>
  <c r="O36" i="3"/>
  <c r="P36" i="3" s="1"/>
  <c r="H50" i="2"/>
  <c r="H23" i="2"/>
  <c r="I22" i="2"/>
  <c r="E87" i="2"/>
  <c r="L51" i="2"/>
  <c r="M24" i="2"/>
  <c r="K51" i="1"/>
  <c r="L24" i="1"/>
  <c r="H22" i="1"/>
  <c r="G50" i="1"/>
  <c r="G23" i="1"/>
  <c r="M51" i="2" l="1"/>
  <c r="M25" i="2"/>
  <c r="N24" i="2"/>
  <c r="O24" i="2" s="1"/>
  <c r="I50" i="2"/>
  <c r="I23" i="2"/>
  <c r="J22" i="2"/>
  <c r="L51" i="1"/>
  <c r="M24" i="1"/>
  <c r="H23" i="1"/>
  <c r="I22" i="1"/>
  <c r="H50" i="1"/>
  <c r="L25" i="2" l="1"/>
  <c r="J23" i="2"/>
  <c r="K22" i="2"/>
  <c r="J50" i="2"/>
  <c r="M51" i="1"/>
  <c r="M25" i="1"/>
  <c r="N24" i="1"/>
  <c r="O24" i="1" s="1"/>
  <c r="I50" i="1"/>
  <c r="I23" i="1"/>
  <c r="J22" i="1"/>
  <c r="K23" i="2" l="1"/>
  <c r="L22" i="2"/>
  <c r="K50" i="2"/>
  <c r="K25" i="2"/>
  <c r="J23" i="1"/>
  <c r="K22" i="1"/>
  <c r="J50" i="1"/>
  <c r="L25" i="1"/>
  <c r="K58" i="2" l="1"/>
  <c r="K59" i="2" s="1"/>
  <c r="K61" i="2" s="1"/>
  <c r="J25" i="2"/>
  <c r="K26" i="2"/>
  <c r="K37" i="2" s="1"/>
  <c r="L50" i="2"/>
  <c r="L52" i="2" s="1"/>
  <c r="L23" i="2"/>
  <c r="L26" i="2" s="1"/>
  <c r="L39" i="2" s="1"/>
  <c r="M22" i="2"/>
  <c r="L58" i="2"/>
  <c r="L59" i="2" s="1"/>
  <c r="L61" i="2" s="1"/>
  <c r="K52" i="2"/>
  <c r="K50" i="1"/>
  <c r="K23" i="1"/>
  <c r="L22" i="1"/>
  <c r="K25" i="1"/>
  <c r="K48" i="2" l="1"/>
  <c r="K63" i="2" s="1"/>
  <c r="B37" i="2"/>
  <c r="M50" i="2"/>
  <c r="M52" i="2" s="1"/>
  <c r="M23" i="2"/>
  <c r="M26" i="2" s="1"/>
  <c r="M41" i="2" s="1"/>
  <c r="N22" i="2"/>
  <c r="M58" i="2"/>
  <c r="M59" i="2" s="1"/>
  <c r="M61" i="2" s="1"/>
  <c r="J58" i="2"/>
  <c r="J59" i="2" s="1"/>
  <c r="J61" i="2" s="1"/>
  <c r="I25" i="2"/>
  <c r="J52" i="2"/>
  <c r="J26" i="2"/>
  <c r="J35" i="2" s="1"/>
  <c r="L48" i="2"/>
  <c r="B39" i="2"/>
  <c r="K58" i="1"/>
  <c r="K59" i="1" s="1"/>
  <c r="K61" i="1" s="1"/>
  <c r="J25" i="1"/>
  <c r="K26" i="1"/>
  <c r="K37" i="1" s="1"/>
  <c r="L23" i="1"/>
  <c r="L26" i="1" s="1"/>
  <c r="L39" i="1" s="1"/>
  <c r="M22" i="1"/>
  <c r="L50" i="1"/>
  <c r="L52" i="1" s="1"/>
  <c r="L58" i="1"/>
  <c r="L59" i="1" s="1"/>
  <c r="L61" i="1" s="1"/>
  <c r="K52" i="1"/>
  <c r="I58" i="2" l="1"/>
  <c r="I59" i="2" s="1"/>
  <c r="I61" i="2" s="1"/>
  <c r="H25" i="2"/>
  <c r="I52" i="2"/>
  <c r="I26" i="2"/>
  <c r="I33" i="2" s="1"/>
  <c r="L63" i="2"/>
  <c r="L70" i="2"/>
  <c r="M48" i="2"/>
  <c r="B41" i="2"/>
  <c r="J48" i="2"/>
  <c r="J63" i="2" s="1"/>
  <c r="B35" i="2"/>
  <c r="N58" i="2"/>
  <c r="N59" i="2" s="1"/>
  <c r="N61" i="2" s="1"/>
  <c r="N23" i="2"/>
  <c r="N26" i="2" s="1"/>
  <c r="N43" i="2" s="1"/>
  <c r="O22" i="2"/>
  <c r="K64" i="2"/>
  <c r="K74" i="2"/>
  <c r="K76" i="2" s="1"/>
  <c r="B37" i="1"/>
  <c r="K48" i="1"/>
  <c r="K63" i="1" s="1"/>
  <c r="J58" i="1"/>
  <c r="J59" i="1" s="1"/>
  <c r="J61" i="1" s="1"/>
  <c r="I25" i="1"/>
  <c r="J26" i="1"/>
  <c r="J35" i="1" s="1"/>
  <c r="J52" i="1"/>
  <c r="L48" i="1"/>
  <c r="B39" i="1"/>
  <c r="M23" i="1"/>
  <c r="M26" i="1" s="1"/>
  <c r="M41" i="1" s="1"/>
  <c r="N22" i="1"/>
  <c r="M50" i="1"/>
  <c r="M52" i="1" s="1"/>
  <c r="M58" i="1"/>
  <c r="M59" i="1" s="1"/>
  <c r="M61" i="1" s="1"/>
  <c r="K85" i="2" l="1"/>
  <c r="K81" i="2"/>
  <c r="M63" i="2"/>
  <c r="M70" i="2"/>
  <c r="I48" i="2"/>
  <c r="I63" i="2" s="1"/>
  <c r="B33" i="2"/>
  <c r="L71" i="2"/>
  <c r="L77" i="2" s="1"/>
  <c r="H58" i="2"/>
  <c r="H59" i="2" s="1"/>
  <c r="H61" i="2" s="1"/>
  <c r="G25" i="2"/>
  <c r="H52" i="2"/>
  <c r="H26" i="2"/>
  <c r="N48" i="2"/>
  <c r="N63" i="2" s="1"/>
  <c r="B43" i="2"/>
  <c r="O58" i="2"/>
  <c r="O59" i="2" s="1"/>
  <c r="O61" i="2" s="1"/>
  <c r="O23" i="2"/>
  <c r="O26" i="2" s="1"/>
  <c r="J74" i="2"/>
  <c r="J76" i="2" s="1"/>
  <c r="J81" i="2" s="1"/>
  <c r="J64" i="2"/>
  <c r="L64" i="2"/>
  <c r="L74" i="2"/>
  <c r="L76" i="2" s="1"/>
  <c r="L81" i="2" s="1"/>
  <c r="B41" i="1"/>
  <c r="M48" i="1"/>
  <c r="J48" i="1"/>
  <c r="J63" i="1" s="1"/>
  <c r="B35" i="1"/>
  <c r="I58" i="1"/>
  <c r="I59" i="1" s="1"/>
  <c r="I61" i="1" s="1"/>
  <c r="H25" i="1"/>
  <c r="I52" i="1"/>
  <c r="I26" i="1"/>
  <c r="I33" i="1" s="1"/>
  <c r="L70" i="1"/>
  <c r="L63" i="1"/>
  <c r="N23" i="1"/>
  <c r="N26" i="1" s="1"/>
  <c r="N43" i="1" s="1"/>
  <c r="O22" i="1"/>
  <c r="N58" i="1"/>
  <c r="N59" i="1" s="1"/>
  <c r="N61" i="1" s="1"/>
  <c r="K74" i="1"/>
  <c r="K76" i="1" s="1"/>
  <c r="K79" i="1" s="1"/>
  <c r="K82" i="1" s="1"/>
  <c r="K84" i="1" s="1"/>
  <c r="K64" i="1"/>
  <c r="J87" i="2" l="1"/>
  <c r="J82" i="2"/>
  <c r="J95" i="2" s="1"/>
  <c r="K87" i="2"/>
  <c r="K82" i="2"/>
  <c r="K95" i="2" s="1"/>
  <c r="J85" i="2"/>
  <c r="L85" i="2"/>
  <c r="L31" i="2"/>
  <c r="M31" i="2"/>
  <c r="K31" i="2"/>
  <c r="J31" i="2"/>
  <c r="I31" i="2"/>
  <c r="H31" i="2"/>
  <c r="M74" i="2"/>
  <c r="M76" i="2" s="1"/>
  <c r="M81" i="2" s="1"/>
  <c r="M64" i="2"/>
  <c r="G58" i="2"/>
  <c r="G59" i="2" s="1"/>
  <c r="G61" i="2" s="1"/>
  <c r="B61" i="2" s="1"/>
  <c r="G52" i="2"/>
  <c r="G26" i="2"/>
  <c r="O47" i="2"/>
  <c r="O45" i="2"/>
  <c r="M71" i="2"/>
  <c r="M77" i="2" s="1"/>
  <c r="N85" i="2"/>
  <c r="N64" i="2"/>
  <c r="I74" i="2"/>
  <c r="I76" i="2" s="1"/>
  <c r="I81" i="2" s="1"/>
  <c r="I64" i="2"/>
  <c r="K80" i="1"/>
  <c r="K85" i="1"/>
  <c r="K88" i="1"/>
  <c r="L71" i="1"/>
  <c r="L77" i="1" s="1"/>
  <c r="O58" i="1"/>
  <c r="O59" i="1" s="1"/>
  <c r="O61" i="1" s="1"/>
  <c r="O23" i="1"/>
  <c r="O26" i="1" s="1"/>
  <c r="B33" i="1"/>
  <c r="I48" i="1"/>
  <c r="I63" i="1" s="1"/>
  <c r="N48" i="1"/>
  <c r="N63" i="1" s="1"/>
  <c r="B43" i="1"/>
  <c r="J74" i="1"/>
  <c r="J76" i="1" s="1"/>
  <c r="J80" i="1" s="1"/>
  <c r="J64" i="1"/>
  <c r="L64" i="1"/>
  <c r="L74" i="1"/>
  <c r="L76" i="1" s="1"/>
  <c r="G25" i="1"/>
  <c r="H58" i="1"/>
  <c r="H59" i="1" s="1"/>
  <c r="H61" i="1" s="1"/>
  <c r="H52" i="1"/>
  <c r="H26" i="1"/>
  <c r="M63" i="1"/>
  <c r="M70" i="1"/>
  <c r="I87" i="2" l="1"/>
  <c r="I82" i="2"/>
  <c r="I95" i="2" s="1"/>
  <c r="L87" i="2"/>
  <c r="L82" i="2"/>
  <c r="L95" i="2" s="1"/>
  <c r="I85" i="2"/>
  <c r="M85" i="2"/>
  <c r="O48" i="2"/>
  <c r="O63" i="2" s="1"/>
  <c r="B45" i="2"/>
  <c r="B31" i="2"/>
  <c r="J29" i="2"/>
  <c r="L29" i="2"/>
  <c r="G29" i="2"/>
  <c r="H29" i="2"/>
  <c r="H48" i="2" s="1"/>
  <c r="H63" i="2" s="1"/>
  <c r="K29" i="2"/>
  <c r="M29" i="2"/>
  <c r="I29" i="2"/>
  <c r="J79" i="1"/>
  <c r="J82" i="1" s="1"/>
  <c r="J84" i="1" s="1"/>
  <c r="J88" i="1" s="1"/>
  <c r="L80" i="1"/>
  <c r="L79" i="1"/>
  <c r="L82" i="1" s="1"/>
  <c r="L84" i="1" s="1"/>
  <c r="L31" i="1"/>
  <c r="I31" i="1"/>
  <c r="K31" i="1"/>
  <c r="H31" i="1"/>
  <c r="J31" i="1"/>
  <c r="M31" i="1"/>
  <c r="M71" i="1"/>
  <c r="M77" i="1" s="1"/>
  <c r="I64" i="1"/>
  <c r="I74" i="1"/>
  <c r="I76" i="1" s="1"/>
  <c r="I79" i="1" s="1"/>
  <c r="I82" i="1" s="1"/>
  <c r="I84" i="1" s="1"/>
  <c r="M64" i="1"/>
  <c r="M74" i="1"/>
  <c r="M76" i="1" s="1"/>
  <c r="G58" i="1"/>
  <c r="G59" i="1" s="1"/>
  <c r="G61" i="1" s="1"/>
  <c r="B61" i="1" s="1"/>
  <c r="G52" i="1"/>
  <c r="G26" i="1"/>
  <c r="O45" i="1"/>
  <c r="O47" i="1"/>
  <c r="N79" i="1"/>
  <c r="N82" i="1" s="1"/>
  <c r="N84" i="1" s="1"/>
  <c r="N64" i="1"/>
  <c r="N80" i="1"/>
  <c r="O83" i="2" l="1"/>
  <c r="O65" i="2"/>
  <c r="O81" i="2" s="1"/>
  <c r="M87" i="2"/>
  <c r="M82" i="2"/>
  <c r="M95" i="2" s="1"/>
  <c r="H64" i="2"/>
  <c r="H74" i="2"/>
  <c r="H76" i="2" s="1"/>
  <c r="H81" i="2" s="1"/>
  <c r="G48" i="2"/>
  <c r="B29" i="2"/>
  <c r="B47" i="2" s="1"/>
  <c r="O85" i="2"/>
  <c r="O64" i="2"/>
  <c r="I80" i="1"/>
  <c r="J85" i="1"/>
  <c r="M80" i="1"/>
  <c r="M79" i="1"/>
  <c r="M82" i="1" s="1"/>
  <c r="M84" i="1" s="1"/>
  <c r="I88" i="1"/>
  <c r="I85" i="1"/>
  <c r="B45" i="1"/>
  <c r="O48" i="1"/>
  <c r="O63" i="1" s="1"/>
  <c r="I29" i="1"/>
  <c r="K29" i="1"/>
  <c r="G29" i="1"/>
  <c r="J29" i="1"/>
  <c r="H29" i="1"/>
  <c r="H48" i="1" s="1"/>
  <c r="H63" i="1" s="1"/>
  <c r="M29" i="1"/>
  <c r="L29" i="1"/>
  <c r="N88" i="1"/>
  <c r="N85" i="1"/>
  <c r="B31" i="1"/>
  <c r="L85" i="1"/>
  <c r="L88" i="1"/>
  <c r="O87" i="2" l="1"/>
  <c r="O82" i="2"/>
  <c r="O95" i="2" s="1"/>
  <c r="H87" i="2"/>
  <c r="H82" i="2"/>
  <c r="H95" i="2" s="1"/>
  <c r="G70" i="2"/>
  <c r="G63" i="2"/>
  <c r="B48" i="2"/>
  <c r="H85" i="2"/>
  <c r="H64" i="1"/>
  <c r="H74" i="1"/>
  <c r="H76" i="1" s="1"/>
  <c r="H79" i="1" s="1"/>
  <c r="H82" i="1" s="1"/>
  <c r="H84" i="1" s="1"/>
  <c r="O79" i="1"/>
  <c r="O82" i="1" s="1"/>
  <c r="O84" i="1" s="1"/>
  <c r="O80" i="1"/>
  <c r="O64" i="1"/>
  <c r="M88" i="1"/>
  <c r="M85" i="1"/>
  <c r="G48" i="1"/>
  <c r="B29" i="1"/>
  <c r="B47" i="1" s="1"/>
  <c r="N83" i="2" l="1"/>
  <c r="N65" i="2"/>
  <c r="N81" i="2" s="1"/>
  <c r="N87" i="2" s="1"/>
  <c r="G64" i="2"/>
  <c r="B64" i="2" s="1"/>
  <c r="G74" i="2"/>
  <c r="B74" i="2" s="1"/>
  <c r="B63" i="2"/>
  <c r="G71" i="2"/>
  <c r="B70" i="2"/>
  <c r="H88" i="1"/>
  <c r="H85" i="1"/>
  <c r="G63" i="1"/>
  <c r="G70" i="1"/>
  <c r="B48" i="1"/>
  <c r="H80" i="1"/>
  <c r="O85" i="1"/>
  <c r="O88" i="1"/>
  <c r="N82" i="2" l="1"/>
  <c r="N95" i="2" s="1"/>
  <c r="G76" i="2"/>
  <c r="G77" i="2"/>
  <c r="B77" i="2" s="1"/>
  <c r="B71" i="2"/>
  <c r="G85" i="2"/>
  <c r="B85" i="2" s="1"/>
  <c r="G71" i="1"/>
  <c r="B70" i="1"/>
  <c r="G74" i="1"/>
  <c r="B74" i="1" s="1"/>
  <c r="G64" i="1"/>
  <c r="B64" i="1" s="1"/>
  <c r="B63" i="1"/>
  <c r="P86" i="2" l="1"/>
  <c r="P87" i="2" s="1"/>
  <c r="B76" i="2"/>
  <c r="G81" i="2"/>
  <c r="G82" i="2" s="1"/>
  <c r="G95" i="2" s="1"/>
  <c r="G77" i="1"/>
  <c r="B77" i="1" s="1"/>
  <c r="B71" i="1"/>
  <c r="G76" i="1"/>
  <c r="B81" i="2" l="1"/>
  <c r="G87" i="2"/>
  <c r="B76" i="1"/>
  <c r="G80" i="1"/>
  <c r="B80" i="1" s="1"/>
  <c r="Q81" i="1" s="1"/>
  <c r="Q82" i="1" s="1"/>
  <c r="G79" i="1"/>
  <c r="B87" i="2" l="1"/>
  <c r="G82" i="1"/>
  <c r="B79" i="1"/>
  <c r="P88" i="2" l="1"/>
  <c r="P89" i="2" s="1"/>
  <c r="P95" i="2" s="1"/>
  <c r="B95" i="2" s="1"/>
  <c r="G84" i="1"/>
  <c r="B82" i="1"/>
  <c r="Q83" i="1" s="1"/>
  <c r="Q84" i="1" s="1"/>
  <c r="Q88" i="1" s="1"/>
  <c r="G85" i="1" l="1"/>
  <c r="B85" i="1" s="1"/>
  <c r="G88" i="1"/>
  <c r="B88" i="1" s="1"/>
  <c r="D93" i="1" s="1"/>
  <c r="B84" i="1"/>
  <c r="D92" i="1" s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6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Verter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<sst xmlns="http://schemas.openxmlformats.org/spreadsheetml/2006/main" count="276" uniqueCount="162">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</sst>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</numFmts>
  <fonts count="5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10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1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498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18" xfId="1" applyFont="1" applyFill="1" applyBorder="1"/>
    <xf numFmtId="0" fontId="5" fillId="2" borderId="19" xfId="1" applyFont="1" applyFill="1" applyBorder="1"/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4" fontId="11" fillId="2" borderId="18" xfId="3" applyNumberFormat="1" applyFont="1" applyFill="1" applyBorder="1" applyAlignment="1">
      <alignment horizontal="center" vertical="center"/>
    </xf>
    <xf numFmtId="4" fontId="11" fillId="2" borderId="19" xfId="3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5" fillId="9" borderId="18" xfId="3" applyNumberFormat="1" applyFont="1" applyFill="1" applyBorder="1" applyAlignment="1">
      <alignment horizontal="center" vertical="center"/>
    </xf>
    <xf numFmtId="166" fontId="5" fillId="7" borderId="18" xfId="3" applyNumberFormat="1" applyFont="1" applyFill="1" applyBorder="1" applyAlignment="1">
      <alignment horizontal="center" vertical="center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9" fontId="11" fillId="2" borderId="19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7" fillId="13" borderId="16" xfId="1" applyFont="1" applyFill="1" applyBorder="1" applyAlignment="1">
      <alignment horizontal="center" vertical="center"/>
    </xf>
    <xf numFmtId="166" fontId="37" fillId="13" borderId="18" xfId="1" applyNumberFormat="1" applyFont="1" applyFill="1" applyBorder="1" applyAlignment="1">
      <alignment horizontal="center" vertical="center"/>
    </xf>
    <xf numFmtId="0" fontId="36" fillId="13" borderId="18" xfId="1" applyFont="1" applyFill="1" applyBorder="1"/>
    <xf numFmtId="0" fontId="36" fillId="13" borderId="19" xfId="1" applyFont="1" applyFill="1" applyBorder="1"/>
    <xf numFmtId="0" fontId="35" fillId="13" borderId="18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6" fillId="13" borderId="19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vertical="center"/>
    </xf>
    <xf numFmtId="3" fontId="36" fillId="13" borderId="18" xfId="3" applyNumberFormat="1" applyFont="1" applyFill="1" applyBorder="1" applyAlignment="1">
      <alignment horizontal="center" vertical="center"/>
    </xf>
    <xf numFmtId="3" fontId="36" fillId="13" borderId="19" xfId="3" applyNumberFormat="1" applyFont="1" applyFill="1" applyBorder="1" applyAlignment="1">
      <alignment horizontal="center" vertical="center"/>
    </xf>
    <xf numFmtId="9" fontId="36" fillId="13" borderId="18" xfId="3" applyNumberFormat="1" applyFont="1" applyFill="1" applyBorder="1" applyAlignment="1">
      <alignment horizontal="center" vertical="center"/>
    </xf>
    <xf numFmtId="4" fontId="36" fillId="13" borderId="17" xfId="1" applyNumberFormat="1" applyFont="1" applyFill="1" applyBorder="1" applyAlignment="1">
      <alignment vertical="center"/>
    </xf>
    <xf numFmtId="4" fontId="36" fillId="13" borderId="18" xfId="3" applyNumberFormat="1" applyFont="1" applyFill="1" applyBorder="1" applyAlignment="1">
      <alignment horizontal="center" vertical="center"/>
    </xf>
    <xf numFmtId="4" fontId="36" fillId="13" borderId="19" xfId="3" applyNumberFormat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166" fontId="36" fillId="12" borderId="18" xfId="3" applyNumberFormat="1" applyFont="1" applyFill="1" applyBorder="1" applyAlignment="1">
      <alignment horizontal="center" vertical="center"/>
    </xf>
    <xf numFmtId="168" fontId="36" fillId="12" borderId="18" xfId="5" applyFont="1" applyFill="1" applyBorder="1" applyAlignment="1">
      <alignment horizontal="center" vertical="center"/>
    </xf>
    <xf numFmtId="166" fontId="36" fillId="12" borderId="19" xfId="3" applyNumberFormat="1" applyFont="1" applyFill="1" applyBorder="1" applyAlignment="1">
      <alignment horizontal="center" vertical="center"/>
    </xf>
    <xf numFmtId="0" fontId="36" fillId="12" borderId="17" xfId="1" applyNumberFormat="1" applyFont="1" applyFill="1" applyBorder="1" applyAlignment="1">
      <alignment vertical="center" wrapText="1"/>
    </xf>
    <xf numFmtId="166" fontId="5" fillId="15" borderId="18" xfId="3" applyNumberFormat="1" applyFont="1" applyFill="1" applyBorder="1" applyAlignment="1">
      <alignment horizontal="center" vertical="center"/>
    </xf>
    <xf numFmtId="166" fontId="3" fillId="15" borderId="18" xfId="3" applyNumberFormat="1" applyFont="1" applyFill="1" applyBorder="1" applyAlignment="1">
      <alignment horizontal="center" vertical="center"/>
    </xf>
    <xf numFmtId="10" fontId="4" fillId="15" borderId="18" xfId="4" applyNumberFormat="1" applyFont="1" applyFill="1" applyBorder="1" applyAlignment="1">
      <alignment horizontal="center" vertical="center"/>
    </xf>
    <xf numFmtId="10" fontId="4" fillId="15" borderId="19" xfId="4" applyNumberFormat="1" applyFont="1" applyFill="1" applyBorder="1" applyAlignment="1">
      <alignment horizontal="center" vertical="center"/>
    </xf>
    <xf numFmtId="170" fontId="4" fillId="15" borderId="24" xfId="3" applyNumberFormat="1" applyFont="1" applyFill="1" applyBorder="1" applyAlignment="1">
      <alignment horizontal="center" vertical="center"/>
    </xf>
    <xf numFmtId="170" fontId="4" fillId="15" borderId="25" xfId="3" applyNumberFormat="1" applyFont="1" applyFill="1" applyBorder="1" applyAlignment="1">
      <alignment horizontal="center" vertical="center"/>
    </xf>
    <xf numFmtId="0" fontId="5" fillId="14" borderId="20" xfId="1" applyFont="1" applyFill="1" applyBorder="1" applyAlignment="1">
      <alignment vertical="center"/>
    </xf>
    <xf numFmtId="167" fontId="5" fillId="14" borderId="21" xfId="3" applyNumberFormat="1" applyFont="1" applyFill="1" applyBorder="1" applyAlignment="1">
      <alignment horizontal="center" vertical="center"/>
    </xf>
    <xf numFmtId="168" fontId="14" fillId="14" borderId="21" xfId="5" applyFont="1" applyFill="1" applyBorder="1" applyAlignment="1">
      <alignment horizontal="center" vertical="center"/>
    </xf>
    <xf numFmtId="4" fontId="14" fillId="14" borderId="21" xfId="3" applyNumberFormat="1" applyFont="1" applyFill="1" applyBorder="1" applyAlignment="1">
      <alignment horizontal="center" vertical="center"/>
    </xf>
    <xf numFmtId="4" fontId="5" fillId="14" borderId="21" xfId="3" applyNumberFormat="1" applyFont="1" applyFill="1" applyBorder="1" applyAlignment="1">
      <alignment horizontal="center" vertical="center"/>
    </xf>
    <xf numFmtId="4" fontId="5" fillId="14" borderId="22" xfId="3" applyNumberFormat="1" applyFont="1" applyFill="1" applyBorder="1" applyAlignment="1">
      <alignment horizontal="center" vertical="center"/>
    </xf>
    <xf numFmtId="0" fontId="3" fillId="14" borderId="17" xfId="1" applyFont="1" applyFill="1" applyBorder="1" applyAlignment="1">
      <alignment vertical="center"/>
    </xf>
    <xf numFmtId="166" fontId="5" fillId="14" borderId="18" xfId="3" applyNumberFormat="1" applyFont="1" applyFill="1" applyBorder="1" applyAlignment="1">
      <alignment horizontal="center" vertical="center"/>
    </xf>
    <xf numFmtId="168" fontId="3" fillId="14" borderId="18" xfId="5" applyFont="1" applyFill="1" applyBorder="1" applyAlignment="1">
      <alignment horizontal="center" vertical="center"/>
    </xf>
    <xf numFmtId="3" fontId="3" fillId="14" borderId="18" xfId="3" applyNumberFormat="1" applyFont="1" applyFill="1" applyBorder="1" applyAlignment="1">
      <alignment horizontal="center" vertical="center"/>
    </xf>
    <xf numFmtId="3" fontId="3" fillId="14" borderId="19" xfId="3" applyNumberFormat="1" applyFont="1" applyFill="1" applyBorder="1" applyAlignment="1">
      <alignment horizontal="center" vertical="center"/>
    </xf>
    <xf numFmtId="0" fontId="14" fillId="14" borderId="17" xfId="2" applyFont="1" applyFill="1" applyBorder="1" applyAlignment="1">
      <alignment vertical="center" wrapText="1"/>
    </xf>
    <xf numFmtId="166" fontId="5" fillId="14" borderId="18" xfId="1" applyNumberFormat="1" applyFont="1" applyFill="1" applyBorder="1" applyAlignment="1">
      <alignment horizontal="center"/>
    </xf>
    <xf numFmtId="166" fontId="3" fillId="14" borderId="18" xfId="3" applyNumberFormat="1" applyFont="1" applyFill="1" applyBorder="1" applyAlignment="1">
      <alignment horizontal="center" vertical="center"/>
    </xf>
    <xf numFmtId="168" fontId="5" fillId="14" borderId="18" xfId="5" applyFont="1" applyFill="1" applyBorder="1" applyAlignment="1">
      <alignment horizontal="center" vertical="center"/>
    </xf>
    <xf numFmtId="4" fontId="5" fillId="14" borderId="18" xfId="3" applyNumberFormat="1" applyFont="1" applyFill="1" applyBorder="1" applyAlignment="1">
      <alignment horizontal="center" vertical="center"/>
    </xf>
    <xf numFmtId="4" fontId="5" fillId="14" borderId="19" xfId="3" applyNumberFormat="1" applyFont="1" applyFill="1" applyBorder="1" applyAlignment="1">
      <alignment horizontal="center" vertical="center"/>
    </xf>
    <xf numFmtId="0" fontId="9" fillId="14" borderId="17" xfId="2" applyFont="1" applyFill="1" applyBorder="1" applyAlignment="1">
      <alignment horizontal="left" vertical="center" wrapText="1"/>
    </xf>
    <xf numFmtId="166" fontId="3" fillId="14" borderId="19" xfId="3" applyNumberFormat="1" applyFont="1" applyFill="1" applyBorder="1" applyAlignment="1">
      <alignment horizontal="center" vertical="center"/>
    </xf>
    <xf numFmtId="4" fontId="36" fillId="13" borderId="4" xfId="3" applyNumberFormat="1" applyFont="1" applyFill="1" applyBorder="1" applyAlignment="1">
      <alignment horizontal="center" vertical="center"/>
    </xf>
    <xf numFmtId="4" fontId="36" fillId="13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0" fontId="5" fillId="4" borderId="0" xfId="1" applyFont="1" applyFill="1" applyBorder="1" applyAlignment="1">
      <alignment vertical="center"/>
    </xf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21" xfId="1" applyFont="1" applyFill="1" applyBorder="1"/>
    <xf numFmtId="0" fontId="5" fillId="2" borderId="39" xfId="1" applyFont="1" applyFill="1" applyBorder="1"/>
    <xf numFmtId="0" fontId="37" fillId="13" borderId="41" xfId="1" applyFont="1" applyFill="1" applyBorder="1" applyAlignment="1">
      <alignment horizontal="center" vertical="center"/>
    </xf>
    <xf numFmtId="0" fontId="37" fillId="13" borderId="42" xfId="1" applyFont="1" applyFill="1" applyBorder="1" applyAlignment="1">
      <alignment horizontal="center" vertical="center"/>
    </xf>
    <xf numFmtId="0" fontId="36" fillId="13" borderId="44" xfId="1" applyFont="1" applyFill="1" applyBorder="1"/>
    <xf numFmtId="0" fontId="35" fillId="13" borderId="43" xfId="1" applyFont="1" applyFill="1" applyBorder="1" applyAlignment="1">
      <alignment horizontal="left" vertical="center"/>
    </xf>
    <xf numFmtId="0" fontId="36" fillId="13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5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170" fontId="4" fillId="2" borderId="48" xfId="3" applyNumberFormat="1" applyFont="1" applyFill="1" applyBorder="1" applyAlignment="1">
      <alignment horizontal="center" vertical="center"/>
    </xf>
    <xf numFmtId="0" fontId="4" fillId="2" borderId="49" xfId="1" applyFont="1" applyFill="1" applyBorder="1" applyAlignment="1">
      <alignment horizontal="right" vertical="center"/>
    </xf>
    <xf numFmtId="3" fontId="4" fillId="2" borderId="50" xfId="3" applyNumberFormat="1" applyFont="1" applyFill="1" applyBorder="1" applyAlignment="1">
      <alignment horizontal="center" vertical="center"/>
    </xf>
    <xf numFmtId="3" fontId="4" fillId="2" borderId="48" xfId="3" applyNumberFormat="1" applyFont="1" applyFill="1" applyBorder="1" applyAlignment="1">
      <alignment horizontal="center" vertical="center"/>
    </xf>
    <xf numFmtId="170" fontId="4" fillId="15" borderId="48" xfId="3" applyNumberFormat="1" applyFont="1" applyFill="1" applyBorder="1" applyAlignment="1">
      <alignment horizontal="center" vertical="center"/>
    </xf>
    <xf numFmtId="0" fontId="3" fillId="2" borderId="51" xfId="1" applyFont="1" applyFill="1" applyBorder="1" applyAlignment="1">
      <alignment horizontal="left" vertical="center"/>
    </xf>
    <xf numFmtId="165" fontId="3" fillId="2" borderId="52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4" borderId="43" xfId="2" applyFont="1" applyFill="1" applyBorder="1" applyAlignment="1">
      <alignment horizontal="left" vertical="center" wrapText="1"/>
    </xf>
    <xf numFmtId="0" fontId="36" fillId="12" borderId="43" xfId="1" applyFont="1" applyFill="1" applyBorder="1" applyAlignment="1">
      <alignment vertical="center"/>
    </xf>
    <xf numFmtId="166" fontId="36" fillId="12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4" fontId="11" fillId="2" borderId="44" xfId="3" applyNumberFormat="1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169" fontId="11" fillId="2" borderId="44" xfId="3" applyNumberFormat="1" applyFont="1" applyFill="1" applyBorder="1" applyAlignment="1">
      <alignment horizontal="center" vertical="center"/>
    </xf>
    <xf numFmtId="0" fontId="36" fillId="12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2" borderId="46" xfId="1" applyFont="1" applyFill="1" applyBorder="1"/>
    <xf numFmtId="0" fontId="5" fillId="0" borderId="53" xfId="1" applyFont="1" applyFill="1" applyBorder="1" applyAlignment="1">
      <alignment vertical="center"/>
    </xf>
    <xf numFmtId="166" fontId="5" fillId="0" borderId="54" xfId="3" applyNumberFormat="1" applyFont="1" applyFill="1" applyBorder="1" applyAlignment="1">
      <alignment horizontal="center" vertical="center"/>
    </xf>
    <xf numFmtId="164" fontId="5" fillId="0" borderId="54" xfId="3" applyNumberFormat="1" applyFont="1" applyFill="1" applyBorder="1" applyAlignment="1">
      <alignment horizontal="center" vertical="center"/>
    </xf>
    <xf numFmtId="0" fontId="5" fillId="0" borderId="54" xfId="1" applyFont="1" applyFill="1" applyBorder="1"/>
    <xf numFmtId="0" fontId="5" fillId="0" borderId="13" xfId="1" applyFont="1" applyFill="1" applyBorder="1"/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3" borderId="40" xfId="1" applyFont="1" applyFill="1" applyBorder="1" applyAlignment="1">
      <alignment vertical="center"/>
    </xf>
    <xf numFmtId="3" fontId="36" fillId="13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5" xfId="3" applyNumberFormat="1" applyFont="1" applyFill="1" applyBorder="1" applyAlignment="1">
      <alignment horizontal="center" vertical="center"/>
    </xf>
    <xf numFmtId="166" fontId="4" fillId="2" borderId="55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4" borderId="43" xfId="1" applyFont="1" applyFill="1" applyBorder="1" applyAlignment="1">
      <alignment vertical="center"/>
    </xf>
    <xf numFmtId="166" fontId="11" fillId="14" borderId="18" xfId="3" applyNumberFormat="1" applyFont="1" applyFill="1" applyBorder="1" applyAlignment="1">
      <alignment horizontal="center" vertical="center"/>
    </xf>
    <xf numFmtId="168" fontId="4" fillId="14" borderId="18" xfId="5" applyFont="1" applyFill="1" applyBorder="1" applyAlignment="1">
      <alignment horizontal="center" vertical="center"/>
    </xf>
    <xf numFmtId="3" fontId="4" fillId="14" borderId="18" xfId="3" applyNumberFormat="1" applyFont="1" applyFill="1" applyBorder="1" applyAlignment="1">
      <alignment horizontal="center" vertical="center"/>
    </xf>
    <xf numFmtId="3" fontId="4" fillId="14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4" borderId="18" xfId="3" applyNumberFormat="1" applyFont="1" applyFill="1" applyBorder="1" applyAlignment="1">
      <alignment horizontal="center" vertical="center"/>
    </xf>
    <xf numFmtId="166" fontId="4" fillId="14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3" fontId="39" fillId="4" borderId="44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6" borderId="43" xfId="1" applyNumberFormat="1" applyFont="1" applyFill="1" applyBorder="1" applyAlignment="1">
      <alignment vertical="center"/>
    </xf>
    <xf numFmtId="4" fontId="5" fillId="16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7" borderId="0" xfId="0" applyFont="1" applyFill="1"/>
    <xf numFmtId="0" fontId="42" fillId="1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7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7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8" borderId="5" xfId="5" applyNumberFormat="1" applyFont="1" applyFill="1" applyBorder="1"/>
    <xf numFmtId="182" fontId="0" fillId="0" borderId="5" xfId="5" applyNumberFormat="1" applyFont="1" applyBorder="1"/>
    <xf numFmtId="182" fontId="0" fillId="18" borderId="3" xfId="0" applyNumberFormat="1" applyFill="1" applyBorder="1" applyAlignment="1">
      <alignment horizontal="left" wrapText="1"/>
    </xf>
    <xf numFmtId="182" fontId="0" fillId="18" borderId="5" xfId="0" applyNumberFormat="1" applyFill="1" applyBorder="1" applyAlignment="1">
      <alignment horizontal="left" wrapText="1"/>
    </xf>
    <xf numFmtId="168" fontId="0" fillId="18" borderId="5" xfId="5" applyNumberFormat="1" applyFont="1" applyFill="1" applyBorder="1"/>
    <xf numFmtId="182" fontId="0" fillId="0" borderId="0" xfId="5" applyNumberFormat="1" applyFont="1" applyBorder="1"/>
    <xf numFmtId="182" fontId="0" fillId="18" borderId="56" xfId="0" applyNumberFormat="1" applyFill="1" applyBorder="1" applyAlignment="1">
      <alignment horizontal="center" vertical="center"/>
    </xf>
    <xf numFmtId="0" fontId="0" fillId="0" borderId="0" xfId="0" applyBorder="1"/>
    <xf numFmtId="182" fontId="0" fillId="18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8" borderId="5" xfId="0" applyNumberFormat="1" applyFill="1" applyBorder="1"/>
    <xf numFmtId="182" fontId="0" fillId="19" borderId="5" xfId="0" applyNumberFormat="1" applyFill="1" applyBorder="1"/>
    <xf numFmtId="182" fontId="0" fillId="0" borderId="1" xfId="0" applyNumberFormat="1" applyFill="1" applyBorder="1"/>
    <xf numFmtId="168" fontId="0" fillId="18" borderId="56" xfId="0" applyNumberFormat="1" applyFill="1" applyBorder="1"/>
    <xf numFmtId="0" fontId="42" fillId="17" borderId="6" xfId="0" applyFont="1" applyFill="1" applyBorder="1" applyAlignment="1">
      <alignment horizontal="center" vertical="center"/>
    </xf>
    <xf numFmtId="173" fontId="46" fillId="19" borderId="5" xfId="4" applyNumberFormat="1" applyFont="1" applyFill="1" applyBorder="1" applyAlignment="1">
      <alignment horizontal="left" wrapText="1"/>
    </xf>
    <xf numFmtId="183" fontId="0" fillId="18" borderId="5" xfId="0" applyNumberFormat="1" applyFill="1" applyBorder="1"/>
    <xf numFmtId="173" fontId="0" fillId="0" borderId="0" xfId="4" applyNumberFormat="1" applyFont="1"/>
    <xf numFmtId="184" fontId="0" fillId="18" borderId="56" xfId="4" applyNumberFormat="1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5" xfId="0" applyBorder="1"/>
    <xf numFmtId="182" fontId="0" fillId="0" borderId="5" xfId="0" applyNumberFormat="1" applyBorder="1"/>
    <xf numFmtId="168" fontId="0" fillId="18" borderId="6" xfId="5" applyNumberFormat="1" applyFont="1" applyFill="1" applyBorder="1"/>
    <xf numFmtId="182" fontId="0" fillId="0" borderId="0" xfId="0" applyNumberFormat="1"/>
    <xf numFmtId="9" fontId="0" fillId="18" borderId="66" xfId="4" applyFont="1" applyFill="1" applyBorder="1" applyAlignment="1">
      <alignment horizontal="center" vertical="center"/>
    </xf>
    <xf numFmtId="168" fontId="44" fillId="13" borderId="5" xfId="0" applyNumberFormat="1" applyFont="1" applyFill="1" applyBorder="1"/>
    <xf numFmtId="9" fontId="44" fillId="13" borderId="5" xfId="4" applyFont="1" applyFill="1" applyBorder="1"/>
    <xf numFmtId="0" fontId="49" fillId="13" borderId="17" xfId="1" applyFont="1" applyFill="1" applyBorder="1" applyAlignment="1">
      <alignment horizontal="left" vertical="center"/>
    </xf>
    <xf numFmtId="0" fontId="37" fillId="13" borderId="15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11" fillId="20" borderId="0" xfId="1" applyFont="1" applyFill="1" applyBorder="1" applyAlignment="1">
      <alignment horizontal="center"/>
    </xf>
    <xf numFmtId="0" fontId="11" fillId="2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168" fontId="0" fillId="18" borderId="5" xfId="5" applyNumberFormat="1" applyFont="1" applyFill="1" applyBorder="1" applyAlignment="1">
      <alignment horizontal="center"/>
    </xf>
    <xf numFmtId="168" fontId="0" fillId="18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1" xfId="0" applyBorder="1" applyAlignment="1">
      <alignment horizontal="center"/>
    </xf>
    <xf numFmtId="0" fontId="41" fillId="0" borderId="0" xfId="0" applyFont="1" applyAlignment="1">
      <alignment horizontal="left" vertical="top" wrapText="1"/>
    </xf>
    <xf numFmtId="0" fontId="42" fillId="17" borderId="5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0" fillId="0" borderId="57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64" xfId="0" applyBorder="1" applyAlignment="1">
      <alignment horizontal="center" vertical="top"/>
    </xf>
    <xf numFmtId="0" fontId="0" fillId="0" borderId="65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42" fillId="17" borderId="3" xfId="0" applyFont="1" applyFill="1" applyBorder="1" applyAlignment="1">
      <alignment horizontal="center"/>
    </xf>
    <xf numFmtId="0" fontId="42" fillId="17" borderId="38" xfId="0" applyFont="1" applyFill="1" applyBorder="1" applyAlignment="1">
      <alignment horizontal="center"/>
    </xf>
    <xf numFmtId="0" fontId="42" fillId="17" borderId="4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8" borderId="0" xfId="0" applyFill="1" applyAlignment="1">
      <alignment horizontal="center"/>
    </xf>
    <xf numFmtId="0" fontId="43" fillId="0" borderId="5" xfId="0" applyFont="1" applyBorder="1" applyAlignment="1">
      <alignment horizontal="left" wrapText="1"/>
    </xf>
    <xf numFmtId="168" fontId="44" fillId="13" borderId="5" xfId="5" applyNumberFormat="1" applyFont="1" applyFill="1" applyBorder="1" applyAlignment="1">
      <alignment horizontal="center"/>
    </xf>
    <xf numFmtId="0" fontId="35" fillId="13" borderId="3" xfId="1" applyFont="1" applyFill="1" applyBorder="1" applyAlignment="1">
      <alignment horizontal="center" vertical="center"/>
    </xf>
    <xf numFmtId="0" fontId="35" fillId="13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8" fillId="13" borderId="0" xfId="1" applyFont="1" applyFill="1" applyBorder="1" applyAlignment="1">
      <alignment horizontal="center" vertical="center"/>
    </xf>
    <xf numFmtId="165" fontId="11" fillId="15" borderId="18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3" borderId="5" xfId="1" applyFont="1" applyFill="1" applyBorder="1" applyAlignment="1">
      <alignment horizontal="center" wrapText="1"/>
    </xf>
    <xf numFmtId="182" fontId="44" fillId="13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3" borderId="5" xfId="1" applyFont="1" applyFill="1" applyBorder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6" fillId="13" borderId="14" xfId="1" applyFont="1" applyFill="1" applyBorder="1" applyAlignment="1">
      <alignment horizontal="center" vertical="center"/>
    </xf>
    <xf numFmtId="0" fontId="36" fillId="13" borderId="15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36" fillId="13" borderId="40" xfId="1" applyFont="1" applyFill="1" applyBorder="1" applyAlignment="1">
      <alignment horizontal="center" vertical="center"/>
    </xf>
    <xf numFmtId="0" fontId="36" fillId="13" borderId="41" xfId="1" applyFont="1" applyFill="1" applyBorder="1" applyAlignment="1">
      <alignment horizontal="center" vertical="center"/>
    </xf>
    <xf numFmtId="0" fontId="36" fillId="13" borderId="43" xfId="1" applyFont="1" applyFill="1" applyBorder="1" applyAlignment="1">
      <alignment horizontal="center" vertical="center"/>
    </xf>
    <xf numFmtId="0" fontId="37" fillId="13" borderId="41" xfId="1" applyFont="1" applyFill="1" applyBorder="1" applyAlignment="1">
      <alignment horizontal="center" vertical="center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ocuments\Projects\RAO%20UES\Sample%20Reports\CEZ\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5;&#1086;&#1083;&#1080;&#1090;&#1077;&#1093;\!!!&#1041;&#1080;&#1079;&#1085;&#1077;&#1089;-&#1087;&#1083;&#1072;&#1085;&#1080;&#1088;&#1086;&#1074;&#1072;&#1085;&#1080;&#1077;\&#1047;&#1072;&#1075;&#1086;&#1088;&#1100;&#1077;_&#1040;&#1085;&#1103;\&#1056;&#1072;&#1089;&#1095;&#1077;&#1090;%20&#1048;&#1058;&#1054;&#1043;_&#1079;&#1072;&#1075;&#1086;&#1088;&#1100;&#10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 refreshError="1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9">
          <cell r="B9">
            <v>348</v>
          </cell>
        </row>
        <row r="11">
          <cell r="B11">
            <v>1127.3</v>
          </cell>
        </row>
      </sheetData>
      <sheetData sheetId="1" refreshError="1"/>
      <sheetData sheetId="2" refreshError="1"/>
      <sheetData sheetId="3" refreshError="1">
        <row r="7">
          <cell r="AQ7">
            <v>14.285714285714286</v>
          </cell>
        </row>
      </sheetData>
      <sheetData sheetId="4" refreshError="1"/>
      <sheetData sheetId="5" refreshError="1">
        <row r="8">
          <cell r="B8">
            <v>4793508324.9936466</v>
          </cell>
          <cell r="C8">
            <v>55948396.90355999</v>
          </cell>
          <cell r="D8">
            <v>56224004.77008</v>
          </cell>
          <cell r="E8">
            <v>56664977.356511988</v>
          </cell>
          <cell r="F8">
            <v>57161071.51624798</v>
          </cell>
          <cell r="G8">
            <v>349550149.81291765</v>
          </cell>
          <cell r="H8">
            <v>487082884.93226194</v>
          </cell>
          <cell r="I8">
            <v>671116179.29086065</v>
          </cell>
          <cell r="J8">
            <v>824945056.3417995</v>
          </cell>
          <cell r="K8">
            <v>785404694.03215528</v>
          </cell>
          <cell r="L8">
            <v>745172133.79059577</v>
          </cell>
          <cell r="M8">
            <v>704238776.24665558</v>
          </cell>
        </row>
        <row r="9">
          <cell r="B9">
            <v>747023199</v>
          </cell>
        </row>
      </sheetData>
      <sheetData sheetId="6" refreshError="1">
        <row r="10">
          <cell r="D10">
            <v>0.19700000000000001</v>
          </cell>
        </row>
        <row r="13">
          <cell r="D13">
            <v>0.157</v>
          </cell>
        </row>
        <row r="16">
          <cell r="D16">
            <v>0.14600000000000002</v>
          </cell>
        </row>
        <row r="19">
          <cell r="D19">
            <v>0.14200000000000002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  <row r="31">
          <cell r="D31">
            <v>3.7999999999999999E-2</v>
          </cell>
        </row>
        <row r="34">
          <cell r="D34">
            <v>2.5000000000000001E-2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49" zoomScaleNormal="100" workbookViewId="0">
      <selection activeCell="E91" sqref="E91:K91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64" t="s">
        <v>109</v>
      </c>
      <c r="D2" s="365"/>
      <c r="E2" s="365"/>
      <c r="F2" s="365"/>
      <c r="G2" s="366"/>
      <c r="H2" s="366"/>
      <c r="I2" s="366"/>
      <c r="J2" s="366"/>
      <c r="K2" s="366"/>
      <c r="L2" s="366"/>
      <c r="M2" s="366"/>
    </row>
    <row r="3" spans="2:16" ht="36.75" customHeight="1">
      <c r="C3" s="457" t="s">
        <v>110</v>
      </c>
      <c r="D3" s="457"/>
      <c r="E3" s="457"/>
      <c r="F3" s="457"/>
      <c r="G3" s="457"/>
      <c r="H3" s="457"/>
      <c r="I3" s="457"/>
      <c r="J3" s="457"/>
      <c r="K3" s="457"/>
      <c r="L3" s="457"/>
      <c r="M3" s="457"/>
    </row>
    <row r="4" spans="2:16" ht="15" customHeight="1">
      <c r="C4" s="457" t="s">
        <v>111</v>
      </c>
      <c r="D4" s="457"/>
      <c r="E4" s="458"/>
      <c r="F4" s="367">
        <v>50000000</v>
      </c>
      <c r="G4" s="366" t="s">
        <v>112</v>
      </c>
      <c r="H4" t="s">
        <v>113</v>
      </c>
      <c r="I4" s="366"/>
      <c r="J4" s="366"/>
      <c r="K4" s="366"/>
      <c r="L4" s="367">
        <v>30000000</v>
      </c>
      <c r="M4" s="366" t="s">
        <v>112</v>
      </c>
    </row>
    <row r="5" spans="2:16">
      <c r="L5" s="366"/>
      <c r="M5" s="366"/>
    </row>
    <row r="6" spans="2:16">
      <c r="K6" s="368"/>
      <c r="L6" s="366"/>
      <c r="M6" s="366"/>
    </row>
    <row r="7" spans="2:16">
      <c r="C7" s="364" t="s">
        <v>114</v>
      </c>
      <c r="D7" s="459" t="s">
        <v>115</v>
      </c>
      <c r="E7" s="459"/>
      <c r="F7" s="459"/>
      <c r="K7" s="368"/>
      <c r="L7" s="366"/>
      <c r="M7" s="366"/>
    </row>
    <row r="8" spans="2:16">
      <c r="C8" s="457" t="s">
        <v>116</v>
      </c>
      <c r="D8" s="457"/>
      <c r="E8" s="457"/>
      <c r="F8" s="457"/>
      <c r="G8" s="457"/>
      <c r="H8" s="457"/>
      <c r="I8" s="457"/>
      <c r="J8" s="457"/>
      <c r="K8" s="369">
        <v>0.28000000000000003</v>
      </c>
      <c r="L8" s="366"/>
      <c r="M8" s="366"/>
    </row>
    <row r="9" spans="2:16">
      <c r="C9" s="457" t="s">
        <v>117</v>
      </c>
      <c r="D9" s="457"/>
      <c r="E9" s="457"/>
      <c r="F9" s="457"/>
      <c r="G9" s="457"/>
      <c r="H9" s="457"/>
      <c r="I9" s="457"/>
      <c r="J9" s="457"/>
      <c r="K9" s="457"/>
      <c r="L9" s="366"/>
      <c r="M9" s="366"/>
    </row>
    <row r="10" spans="2:16" ht="37.5" customHeight="1">
      <c r="C10" s="457" t="s">
        <v>118</v>
      </c>
      <c r="D10" s="457"/>
      <c r="E10" s="457"/>
      <c r="F10" s="457"/>
      <c r="G10" s="457"/>
      <c r="H10" s="457"/>
      <c r="I10" s="457"/>
      <c r="J10" s="457"/>
      <c r="K10" s="457"/>
      <c r="L10" s="366"/>
      <c r="M10" s="366"/>
    </row>
    <row r="11" spans="2:16" ht="15" customHeight="1">
      <c r="C11" s="457" t="s">
        <v>119</v>
      </c>
      <c r="D11" s="457"/>
      <c r="E11" s="457"/>
      <c r="F11" s="457"/>
      <c r="G11" s="457"/>
      <c r="H11" s="457"/>
      <c r="I11" s="457"/>
      <c r="J11" s="457"/>
      <c r="K11" s="457"/>
      <c r="L11" s="366"/>
      <c r="M11" s="366"/>
    </row>
    <row r="12" spans="2:16">
      <c r="C12" s="370"/>
      <c r="D12" s="370"/>
      <c r="E12" s="370"/>
      <c r="F12" s="370"/>
      <c r="G12" s="370"/>
      <c r="H12" s="370"/>
      <c r="I12" s="370"/>
      <c r="J12" s="370"/>
      <c r="K12" s="370"/>
      <c r="L12" s="366"/>
      <c r="M12" s="366"/>
    </row>
    <row r="13" spans="2:16">
      <c r="C13" s="426" t="s">
        <v>120</v>
      </c>
      <c r="D13" s="426"/>
      <c r="E13" s="366"/>
      <c r="F13" s="366"/>
      <c r="G13" s="366"/>
      <c r="H13" s="366"/>
      <c r="I13" s="366"/>
      <c r="J13" s="366"/>
      <c r="K13" s="366"/>
      <c r="L13" s="366"/>
      <c r="M13" s="366"/>
    </row>
    <row r="14" spans="2:16" ht="30">
      <c r="B14" s="371" t="s">
        <v>121</v>
      </c>
      <c r="C14" s="427" t="s">
        <v>122</v>
      </c>
      <c r="D14" s="427"/>
      <c r="E14" s="427"/>
      <c r="F14" s="372">
        <v>1</v>
      </c>
      <c r="G14" s="372">
        <v>2</v>
      </c>
      <c r="H14" s="372">
        <v>3</v>
      </c>
      <c r="I14" s="372">
        <v>4</v>
      </c>
      <c r="J14" s="372">
        <v>5</v>
      </c>
      <c r="K14" s="372">
        <v>6</v>
      </c>
      <c r="L14" s="372">
        <v>7</v>
      </c>
      <c r="M14" s="372">
        <v>8</v>
      </c>
      <c r="N14" s="372">
        <v>9</v>
      </c>
      <c r="O14" s="372">
        <v>10</v>
      </c>
    </row>
    <row r="15" spans="2:16" ht="28.5" customHeight="1">
      <c r="B15" s="373">
        <v>1</v>
      </c>
      <c r="C15" s="454" t="s">
        <v>123</v>
      </c>
      <c r="D15" s="455"/>
      <c r="E15" s="456"/>
      <c r="F15" s="374">
        <f>F4*5%</f>
        <v>2500000</v>
      </c>
      <c r="G15" s="374">
        <f>(F4-F15)/2</f>
        <v>23750000</v>
      </c>
      <c r="H15" s="374">
        <f>G15</f>
        <v>23750000</v>
      </c>
      <c r="I15" s="375"/>
      <c r="J15" s="375"/>
      <c r="K15" s="375"/>
      <c r="L15" s="375"/>
      <c r="M15" s="375"/>
      <c r="N15" s="375"/>
      <c r="O15" s="375"/>
      <c r="P15" t="b">
        <f>SUM(F15:O15)=F4</f>
        <v>1</v>
      </c>
    </row>
    <row r="16" spans="2:16" ht="30" customHeight="1">
      <c r="B16" s="373">
        <v>2</v>
      </c>
      <c r="C16" s="414" t="s">
        <v>124</v>
      </c>
      <c r="D16" s="415"/>
      <c r="E16" s="416"/>
      <c r="F16" s="375"/>
      <c r="G16" s="375"/>
      <c r="H16" s="375"/>
      <c r="I16" s="374">
        <f>L4</f>
        <v>30000000</v>
      </c>
      <c r="J16" s="374">
        <f>I16</f>
        <v>30000000</v>
      </c>
      <c r="K16" s="374">
        <f>J16</f>
        <v>30000000</v>
      </c>
      <c r="L16" s="374">
        <f t="shared" ref="L16:O16" si="0">K16</f>
        <v>30000000</v>
      </c>
      <c r="M16" s="374">
        <f t="shared" si="0"/>
        <v>30000000</v>
      </c>
      <c r="N16" s="374">
        <f t="shared" si="0"/>
        <v>30000000</v>
      </c>
      <c r="O16" s="374">
        <f t="shared" si="0"/>
        <v>30000000</v>
      </c>
      <c r="P16" t="b">
        <f>SUM(F16:O16)=L4*7</f>
        <v>1</v>
      </c>
    </row>
    <row r="17" spans="2:15" ht="30" customHeight="1">
      <c r="B17" s="373">
        <v>3</v>
      </c>
      <c r="C17" s="414" t="s">
        <v>125</v>
      </c>
      <c r="D17" s="415"/>
      <c r="E17" s="416"/>
      <c r="F17" s="376">
        <f>F16-F15</f>
        <v>-2500000</v>
      </c>
      <c r="G17" s="376">
        <f t="shared" ref="G17:O17" si="1">G16-G15</f>
        <v>-23750000</v>
      </c>
      <c r="H17" s="376">
        <f t="shared" si="1"/>
        <v>-23750000</v>
      </c>
      <c r="I17" s="376">
        <f t="shared" si="1"/>
        <v>30000000</v>
      </c>
      <c r="J17" s="376">
        <f t="shared" si="1"/>
        <v>30000000</v>
      </c>
      <c r="K17" s="376">
        <f t="shared" si="1"/>
        <v>30000000</v>
      </c>
      <c r="L17" s="376">
        <f t="shared" si="1"/>
        <v>30000000</v>
      </c>
      <c r="M17" s="376">
        <f t="shared" si="1"/>
        <v>30000000</v>
      </c>
      <c r="N17" s="376">
        <f t="shared" si="1"/>
        <v>30000000</v>
      </c>
      <c r="O17" s="377">
        <f t="shared" si="1"/>
        <v>30000000</v>
      </c>
    </row>
    <row r="18" spans="2:15" ht="30" customHeight="1">
      <c r="B18" s="373">
        <v>4</v>
      </c>
      <c r="C18" s="428" t="s">
        <v>126</v>
      </c>
      <c r="D18" s="429"/>
      <c r="E18" s="430"/>
      <c r="F18" s="378">
        <f t="shared" ref="F18:O18" si="2">1/(1+$K$8)^F14</f>
        <v>0.78125</v>
      </c>
      <c r="G18" s="378">
        <f t="shared" si="2"/>
        <v>0.6103515625</v>
      </c>
      <c r="H18" s="378">
        <f t="shared" si="2"/>
        <v>0.47683715820312494</v>
      </c>
      <c r="I18" s="378">
        <f t="shared" si="2"/>
        <v>0.37252902984619141</v>
      </c>
      <c r="J18" s="378">
        <f t="shared" si="2"/>
        <v>0.29103830456733704</v>
      </c>
      <c r="K18" s="378">
        <f t="shared" si="2"/>
        <v>0.22737367544323206</v>
      </c>
      <c r="L18" s="378">
        <f t="shared" si="2"/>
        <v>0.17763568394002502</v>
      </c>
      <c r="M18" s="378">
        <f t="shared" si="2"/>
        <v>0.13877787807814454</v>
      </c>
      <c r="N18" s="378">
        <f t="shared" si="2"/>
        <v>0.10842021724855043</v>
      </c>
      <c r="O18" s="378">
        <f t="shared" si="2"/>
        <v>8.470329472543002E-2</v>
      </c>
    </row>
    <row r="19" spans="2:15" ht="26.25" customHeight="1">
      <c r="B19" s="373">
        <v>5</v>
      </c>
      <c r="C19" s="414" t="s">
        <v>127</v>
      </c>
      <c r="D19" s="415"/>
      <c r="E19" s="416"/>
      <c r="F19" s="374">
        <f>F17*F18</f>
        <v>-1953125</v>
      </c>
      <c r="G19" s="374">
        <f>G17*G18</f>
        <v>-14495849.609375</v>
      </c>
      <c r="H19" s="374">
        <f>H17*H18</f>
        <v>-11324882.507324217</v>
      </c>
      <c r="I19" s="374">
        <f>I17*I18</f>
        <v>11175870.895385742</v>
      </c>
      <c r="J19" s="374">
        <f t="shared" ref="J19:O19" si="3">J17*J18</f>
        <v>8731149.1370201111</v>
      </c>
      <c r="K19" s="374">
        <f t="shared" si="3"/>
        <v>6821210.2632969618</v>
      </c>
      <c r="L19" s="374">
        <f t="shared" si="3"/>
        <v>5329070.5182007505</v>
      </c>
      <c r="M19" s="374">
        <f t="shared" si="3"/>
        <v>4163336.3423443362</v>
      </c>
      <c r="N19" s="374">
        <f t="shared" si="3"/>
        <v>3252606.5174565129</v>
      </c>
      <c r="O19" s="374">
        <f t="shared" si="3"/>
        <v>2541098.8417629008</v>
      </c>
    </row>
    <row r="20" spans="2:15">
      <c r="B20" s="435" t="s">
        <v>128</v>
      </c>
      <c r="C20" s="436"/>
      <c r="D20" s="436"/>
      <c r="E20" s="436"/>
      <c r="F20" s="437"/>
      <c r="G20" s="379"/>
      <c r="H20" s="379"/>
      <c r="I20" s="379"/>
      <c r="J20" s="379"/>
      <c r="K20" s="379"/>
      <c r="L20" s="379"/>
      <c r="M20" s="379"/>
      <c r="N20" s="379"/>
      <c r="O20" s="379"/>
    </row>
    <row r="21" spans="2:15" ht="29.25" customHeight="1" thickBot="1">
      <c r="B21" s="373">
        <v>6</v>
      </c>
      <c r="C21" s="428" t="s">
        <v>102</v>
      </c>
      <c r="D21" s="429"/>
      <c r="E21" s="430"/>
      <c r="F21" s="380">
        <f>SUM(F17:O17)</f>
        <v>160000000</v>
      </c>
      <c r="G21" s="381"/>
      <c r="H21" s="381"/>
      <c r="I21" s="381"/>
      <c r="J21" s="381"/>
      <c r="K21" s="381"/>
      <c r="L21" s="381"/>
      <c r="M21" s="381"/>
      <c r="N21" s="381"/>
      <c r="O21" s="381"/>
    </row>
    <row r="22" spans="2:15" ht="29.25" customHeight="1">
      <c r="B22" s="373">
        <v>7</v>
      </c>
      <c r="C22" s="414" t="s">
        <v>103</v>
      </c>
      <c r="D22" s="415"/>
      <c r="E22" s="416"/>
      <c r="F22" s="382">
        <f>SUM(F19:O19)</f>
        <v>14240485.398768097</v>
      </c>
      <c r="G22" s="381"/>
      <c r="H22" s="438" t="s">
        <v>129</v>
      </c>
      <c r="I22" s="439"/>
      <c r="J22" s="439"/>
      <c r="K22" s="439"/>
      <c r="L22" s="439"/>
      <c r="M22" s="440"/>
      <c r="N22" s="381"/>
      <c r="O22" s="381"/>
    </row>
    <row r="23" spans="2:15" ht="34.5" customHeight="1">
      <c r="B23" s="373">
        <v>8</v>
      </c>
      <c r="C23" s="414" t="str">
        <f>C11</f>
        <v>Стоит ли принимать такой проект к рассмотрению?</v>
      </c>
      <c r="D23" s="415"/>
      <c r="E23" s="416"/>
      <c r="F23" s="382" t="s">
        <v>130</v>
      </c>
      <c r="G23" s="381"/>
      <c r="H23" s="441"/>
      <c r="I23" s="442"/>
      <c r="J23" s="442"/>
      <c r="K23" s="442"/>
      <c r="L23" s="442"/>
      <c r="M23" s="443"/>
      <c r="N23" s="381"/>
      <c r="O23" s="381"/>
    </row>
    <row r="24" spans="2:15" ht="29.25" customHeight="1">
      <c r="C24" s="383"/>
      <c r="D24" s="383"/>
      <c r="E24" s="383"/>
      <c r="F24" s="384"/>
      <c r="G24" s="381"/>
      <c r="H24" s="441"/>
      <c r="I24" s="442"/>
      <c r="J24" s="442"/>
      <c r="K24" s="442"/>
      <c r="L24" s="442"/>
      <c r="M24" s="443"/>
      <c r="N24" s="381"/>
      <c r="O24" s="381"/>
    </row>
    <row r="25" spans="2:15" ht="29.25" customHeight="1">
      <c r="C25" s="383"/>
      <c r="D25" s="383"/>
      <c r="E25" s="383"/>
      <c r="F25" s="384"/>
      <c r="G25" s="381"/>
      <c r="H25" s="441"/>
      <c r="I25" s="442"/>
      <c r="J25" s="442"/>
      <c r="K25" s="442"/>
      <c r="L25" s="442"/>
      <c r="M25" s="443"/>
      <c r="N25" s="381"/>
      <c r="O25" s="381"/>
    </row>
    <row r="26" spans="2:15" ht="29.25" customHeight="1">
      <c r="C26" s="383"/>
      <c r="D26" s="383"/>
      <c r="E26" s="383"/>
      <c r="F26" s="384"/>
      <c r="G26" s="381"/>
      <c r="H26" s="441"/>
      <c r="I26" s="442"/>
      <c r="J26" s="442"/>
      <c r="K26" s="442"/>
      <c r="L26" s="442"/>
      <c r="M26" s="443"/>
      <c r="N26" s="381"/>
      <c r="O26" s="381"/>
    </row>
    <row r="27" spans="2:15" ht="29.25" customHeight="1">
      <c r="C27" s="383"/>
      <c r="D27" s="383"/>
      <c r="E27" s="383"/>
      <c r="F27" s="384"/>
      <c r="G27" s="381"/>
      <c r="H27" s="441"/>
      <c r="I27" s="442"/>
      <c r="J27" s="442"/>
      <c r="K27" s="442"/>
      <c r="L27" s="442"/>
      <c r="M27" s="443"/>
      <c r="N27" s="381"/>
      <c r="O27" s="381"/>
    </row>
    <row r="28" spans="2:15" ht="29.25" customHeight="1" thickBot="1">
      <c r="C28" s="383"/>
      <c r="D28" s="383"/>
      <c r="E28" s="383"/>
      <c r="F28" s="384"/>
      <c r="G28" s="381"/>
      <c r="H28" s="444"/>
      <c r="I28" s="445"/>
      <c r="J28" s="445"/>
      <c r="K28" s="445"/>
      <c r="L28" s="445"/>
      <c r="M28" s="446"/>
      <c r="N28" s="381"/>
      <c r="O28" s="381"/>
    </row>
    <row r="31" spans="2:15">
      <c r="C31" s="364" t="s">
        <v>131</v>
      </c>
    </row>
    <row r="32" spans="2:15">
      <c r="C32" t="s">
        <v>132</v>
      </c>
    </row>
    <row r="33" spans="2:17">
      <c r="C33" s="426" t="s">
        <v>120</v>
      </c>
      <c r="D33" s="426"/>
    </row>
    <row r="34" spans="2:17" ht="30">
      <c r="B34" s="371" t="s">
        <v>121</v>
      </c>
      <c r="C34" s="451" t="s">
        <v>122</v>
      </c>
      <c r="D34" s="452"/>
      <c r="E34" s="453"/>
      <c r="F34" s="372">
        <v>1</v>
      </c>
      <c r="G34" s="372">
        <v>2</v>
      </c>
      <c r="H34" s="372">
        <v>3</v>
      </c>
      <c r="I34" s="372">
        <v>4</v>
      </c>
      <c r="J34" s="372">
        <v>5</v>
      </c>
      <c r="K34" s="372">
        <v>6</v>
      </c>
      <c r="L34" s="372">
        <v>7</v>
      </c>
      <c r="M34" s="372">
        <v>8</v>
      </c>
      <c r="N34" s="372">
        <v>9</v>
      </c>
      <c r="O34" s="372">
        <v>10</v>
      </c>
    </row>
    <row r="35" spans="2:17" ht="31.5" customHeight="1">
      <c r="B35" s="373">
        <v>1</v>
      </c>
      <c r="C35" s="454" t="s">
        <v>133</v>
      </c>
      <c r="D35" s="455"/>
      <c r="E35" s="456"/>
      <c r="F35" s="385">
        <f>F17</f>
        <v>-2500000</v>
      </c>
      <c r="G35" s="385">
        <f>F35+G17</f>
        <v>-26250000</v>
      </c>
      <c r="H35" s="385">
        <f t="shared" ref="H35:O35" si="4">G35+H17</f>
        <v>-50000000</v>
      </c>
      <c r="I35" s="386">
        <f t="shared" si="4"/>
        <v>-20000000</v>
      </c>
      <c r="J35" s="386">
        <f t="shared" si="4"/>
        <v>10000000</v>
      </c>
      <c r="K35" s="385">
        <f t="shared" si="4"/>
        <v>40000000</v>
      </c>
      <c r="L35" s="385">
        <f t="shared" si="4"/>
        <v>70000000</v>
      </c>
      <c r="M35" s="385">
        <f t="shared" si="4"/>
        <v>100000000</v>
      </c>
      <c r="N35" s="385">
        <f t="shared" si="4"/>
        <v>130000000</v>
      </c>
      <c r="O35" s="385">
        <f t="shared" si="4"/>
        <v>160000000</v>
      </c>
      <c r="P35" s="387" t="b">
        <f>F21=O35</f>
        <v>1</v>
      </c>
      <c r="Q35" s="381"/>
    </row>
    <row r="36" spans="2:17" ht="45.75" customHeight="1">
      <c r="B36" s="373">
        <v>2</v>
      </c>
      <c r="C36" s="454" t="s">
        <v>134</v>
      </c>
      <c r="D36" s="455"/>
      <c r="E36" s="456"/>
      <c r="F36" s="385">
        <f>F19</f>
        <v>-1953125</v>
      </c>
      <c r="G36" s="385">
        <f>F36+G19</f>
        <v>-16448974.609375</v>
      </c>
      <c r="H36" s="385">
        <f t="shared" ref="H36:O36" si="5">G36+H19</f>
        <v>-27773857.116699219</v>
      </c>
      <c r="I36" s="385">
        <f t="shared" si="5"/>
        <v>-16597986.221313477</v>
      </c>
      <c r="J36" s="385">
        <f t="shared" si="5"/>
        <v>-7866837.0842933655</v>
      </c>
      <c r="K36" s="386">
        <f t="shared" si="5"/>
        <v>-1045626.8209964037</v>
      </c>
      <c r="L36" s="386">
        <f t="shared" si="5"/>
        <v>4283443.6972043468</v>
      </c>
      <c r="M36" s="385">
        <f t="shared" si="5"/>
        <v>8446780.0395486839</v>
      </c>
      <c r="N36" s="385">
        <f t="shared" si="5"/>
        <v>11699386.557005197</v>
      </c>
      <c r="O36" s="385">
        <f t="shared" si="5"/>
        <v>14240485.398768097</v>
      </c>
      <c r="P36" s="387" t="b">
        <f>O36=F22</f>
        <v>1</v>
      </c>
      <c r="Q36" s="381"/>
    </row>
    <row r="37" spans="2:17" ht="15.75" thickBot="1">
      <c r="B37" s="435" t="s">
        <v>128</v>
      </c>
      <c r="C37" s="436"/>
      <c r="D37" s="436"/>
      <c r="E37" s="436"/>
      <c r="F37" s="437"/>
    </row>
    <row r="38" spans="2:17" ht="31.5" customHeight="1">
      <c r="B38" s="373">
        <v>3</v>
      </c>
      <c r="C38" s="428" t="s">
        <v>135</v>
      </c>
      <c r="D38" s="429"/>
      <c r="E38" s="430"/>
      <c r="F38" s="388">
        <f>I34+(-I35/(-I35+J35))</f>
        <v>4.666666666666667</v>
      </c>
      <c r="H38" s="438" t="s">
        <v>136</v>
      </c>
      <c r="I38" s="439"/>
      <c r="J38" s="439"/>
      <c r="K38" s="439"/>
      <c r="L38" s="439"/>
      <c r="M38" s="440"/>
    </row>
    <row r="39" spans="2:17" ht="36.75" customHeight="1">
      <c r="B39" s="373">
        <v>4</v>
      </c>
      <c r="C39" s="414" t="s">
        <v>137</v>
      </c>
      <c r="D39" s="415"/>
      <c r="E39" s="416"/>
      <c r="F39" s="388">
        <f>K34+(-K36/(-K36+L36))</f>
        <v>6.1962118567253333</v>
      </c>
      <c r="H39" s="441"/>
      <c r="I39" s="442"/>
      <c r="J39" s="442"/>
      <c r="K39" s="442"/>
      <c r="L39" s="442"/>
      <c r="M39" s="443"/>
    </row>
    <row r="40" spans="2:17">
      <c r="B40" s="447" t="s">
        <v>138</v>
      </c>
      <c r="C40" s="447"/>
      <c r="D40" s="447"/>
      <c r="E40" s="447"/>
      <c r="F40" s="447"/>
      <c r="H40" s="441"/>
      <c r="I40" s="442"/>
      <c r="J40" s="442"/>
      <c r="K40" s="442"/>
      <c r="L40" s="442"/>
      <c r="M40" s="443"/>
    </row>
    <row r="41" spans="2:17" ht="31.5" customHeight="1">
      <c r="B41" s="448"/>
      <c r="C41" s="448"/>
      <c r="D41" s="448"/>
      <c r="E41" s="448"/>
      <c r="F41" s="448"/>
      <c r="H41" s="441"/>
      <c r="I41" s="442"/>
      <c r="J41" s="442"/>
      <c r="K41" s="442"/>
      <c r="L41" s="442"/>
      <c r="M41" s="443"/>
    </row>
    <row r="42" spans="2:17" ht="130.5" customHeight="1">
      <c r="H42" s="441"/>
      <c r="I42" s="442"/>
      <c r="J42" s="442"/>
      <c r="K42" s="442"/>
      <c r="L42" s="442"/>
      <c r="M42" s="443"/>
    </row>
    <row r="43" spans="2:17" ht="15.75" thickBot="1">
      <c r="H43" s="444"/>
      <c r="I43" s="445"/>
      <c r="J43" s="445"/>
      <c r="K43" s="445"/>
      <c r="L43" s="445"/>
      <c r="M43" s="446"/>
    </row>
    <row r="47" spans="2:17">
      <c r="C47" s="364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26" t="s">
        <v>120</v>
      </c>
      <c r="E51" s="426"/>
      <c r="F51" s="366"/>
      <c r="G51" s="366"/>
      <c r="H51" s="366"/>
      <c r="I51" s="366"/>
      <c r="J51" s="366"/>
      <c r="K51" s="366"/>
      <c r="L51" s="366"/>
      <c r="M51" s="366"/>
      <c r="N51" s="366"/>
    </row>
    <row r="52" spans="2:15" ht="30">
      <c r="B52" s="371" t="s">
        <v>121</v>
      </c>
      <c r="C52" s="427" t="s">
        <v>122</v>
      </c>
      <c r="D52" s="427"/>
      <c r="E52" s="427"/>
      <c r="F52" s="372">
        <v>1</v>
      </c>
      <c r="G52" s="389">
        <v>2</v>
      </c>
      <c r="H52" s="389">
        <v>3</v>
      </c>
      <c r="I52" s="389">
        <v>4</v>
      </c>
      <c r="J52" s="389">
        <v>5</v>
      </c>
      <c r="K52" s="389">
        <v>6</v>
      </c>
      <c r="L52" s="389">
        <v>7</v>
      </c>
      <c r="M52" s="389">
        <v>8</v>
      </c>
      <c r="N52" s="389">
        <v>9</v>
      </c>
      <c r="O52" s="389">
        <v>10</v>
      </c>
    </row>
    <row r="53" spans="2:15" ht="30" customHeight="1">
      <c r="B53" s="373">
        <v>1</v>
      </c>
      <c r="C53" s="414" t="s">
        <v>125</v>
      </c>
      <c r="D53" s="415"/>
      <c r="E53" s="416"/>
      <c r="F53" s="376">
        <f>F17</f>
        <v>-2500000</v>
      </c>
      <c r="G53" s="377">
        <f t="shared" ref="G53:O53" si="6">G17</f>
        <v>-23750000</v>
      </c>
      <c r="H53" s="377">
        <f t="shared" si="6"/>
        <v>-23750000</v>
      </c>
      <c r="I53" s="377">
        <f t="shared" si="6"/>
        <v>30000000</v>
      </c>
      <c r="J53" s="377">
        <f t="shared" si="6"/>
        <v>30000000</v>
      </c>
      <c r="K53" s="377">
        <f t="shared" si="6"/>
        <v>30000000</v>
      </c>
      <c r="L53" s="377">
        <f t="shared" si="6"/>
        <v>30000000</v>
      </c>
      <c r="M53" s="377">
        <f t="shared" si="6"/>
        <v>30000000</v>
      </c>
      <c r="N53" s="377">
        <f t="shared" si="6"/>
        <v>30000000</v>
      </c>
      <c r="O53" s="377">
        <f t="shared" si="6"/>
        <v>30000000</v>
      </c>
    </row>
    <row r="54" spans="2:15">
      <c r="B54" s="373">
        <v>2</v>
      </c>
      <c r="C54" s="428" t="s">
        <v>142</v>
      </c>
      <c r="D54" s="429"/>
      <c r="E54" s="430"/>
      <c r="F54" s="390">
        <v>0.43822984635546786</v>
      </c>
      <c r="G54" s="449" t="s">
        <v>143</v>
      </c>
      <c r="H54" s="450"/>
      <c r="I54" s="450"/>
      <c r="J54" s="450"/>
      <c r="K54" s="450"/>
      <c r="L54" s="450"/>
      <c r="M54" s="450"/>
      <c r="N54" s="450"/>
      <c r="O54" s="450"/>
    </row>
    <row r="55" spans="2:15" ht="36" customHeight="1">
      <c r="B55" s="373">
        <v>3</v>
      </c>
      <c r="C55" s="428" t="s">
        <v>126</v>
      </c>
      <c r="D55" s="429"/>
      <c r="E55" s="430"/>
      <c r="F55" s="378">
        <f>1/(1+$F$54)^F52</f>
        <v>0.69529915717855539</v>
      </c>
      <c r="G55" s="378">
        <f>1/(1+$F$54)^G52</f>
        <v>0.48344091797320937</v>
      </c>
      <c r="H55" s="378">
        <f>1/(1+$F$54)^H52</f>
        <v>0.33613606281239961</v>
      </c>
      <c r="I55" s="378">
        <f t="shared" ref="I55:O55" si="7">1/(1+$F$54)^I52</f>
        <v>0.23371512117077936</v>
      </c>
      <c r="J55" s="378">
        <f t="shared" si="7"/>
        <v>0.16250192676992684</v>
      </c>
      <c r="K55" s="378">
        <f t="shared" si="7"/>
        <v>0.11298745272302145</v>
      </c>
      <c r="L55" s="378">
        <f t="shared" si="7"/>
        <v>7.8560080650068684E-2</v>
      </c>
      <c r="M55" s="378">
        <f t="shared" si="7"/>
        <v>5.4622757863872079E-2</v>
      </c>
      <c r="N55" s="378">
        <f t="shared" si="7"/>
        <v>3.7979157505518564E-2</v>
      </c>
      <c r="O55" s="378">
        <f t="shared" si="7"/>
        <v>2.640687620393866E-2</v>
      </c>
    </row>
    <row r="56" spans="2:15" ht="30" customHeight="1">
      <c r="B56" s="373">
        <v>4</v>
      </c>
      <c r="C56" s="414" t="s">
        <v>127</v>
      </c>
      <c r="D56" s="415"/>
      <c r="E56" s="416"/>
      <c r="F56" s="374">
        <f t="shared" ref="F56:O56" si="8">F53*F55</f>
        <v>-1738247.8929463886</v>
      </c>
      <c r="G56" s="374">
        <f t="shared" si="8"/>
        <v>-11481721.801863723</v>
      </c>
      <c r="H56" s="374">
        <f t="shared" si="8"/>
        <v>-7983231.4917944903</v>
      </c>
      <c r="I56" s="374">
        <f t="shared" si="8"/>
        <v>7011453.6351233805</v>
      </c>
      <c r="J56" s="374">
        <f t="shared" si="8"/>
        <v>4875057.803097805</v>
      </c>
      <c r="K56" s="374">
        <f t="shared" si="8"/>
        <v>3389623.5816906434</v>
      </c>
      <c r="L56" s="374">
        <f t="shared" si="8"/>
        <v>2356802.4195020604</v>
      </c>
      <c r="M56" s="374">
        <f t="shared" si="8"/>
        <v>1638682.7359161624</v>
      </c>
      <c r="N56" s="374">
        <f t="shared" si="8"/>
        <v>1139374.7251655569</v>
      </c>
      <c r="O56" s="374">
        <f t="shared" si="8"/>
        <v>792206.28611815977</v>
      </c>
    </row>
    <row r="57" spans="2:15" ht="30" customHeight="1">
      <c r="B57" s="373">
        <v>5</v>
      </c>
      <c r="C57" s="414" t="s">
        <v>103</v>
      </c>
      <c r="D57" s="415"/>
      <c r="E57" s="416"/>
      <c r="F57" s="391">
        <f>SUM(F56:O56)</f>
        <v>9.1665424406528473E-6</v>
      </c>
      <c r="G57" s="379"/>
      <c r="H57" s="379"/>
      <c r="I57" s="379"/>
      <c r="J57" s="379"/>
      <c r="K57" s="379"/>
      <c r="L57" s="379"/>
      <c r="M57" s="379"/>
      <c r="N57" s="379"/>
      <c r="O57" s="379"/>
    </row>
    <row r="58" spans="2:15" ht="15.75" thickBot="1">
      <c r="B58" s="435" t="s">
        <v>128</v>
      </c>
      <c r="C58" s="436"/>
      <c r="D58" s="436"/>
      <c r="E58" s="436"/>
      <c r="F58" s="437"/>
      <c r="G58" s="392"/>
    </row>
    <row r="59" spans="2:15" ht="15" customHeight="1">
      <c r="B59" s="373">
        <v>6</v>
      </c>
      <c r="C59" s="414" t="s">
        <v>144</v>
      </c>
      <c r="D59" s="415"/>
      <c r="E59" s="416"/>
      <c r="F59" s="393">
        <f>IRR(F53:O53)</f>
        <v>0.43822984635565154</v>
      </c>
      <c r="H59" s="420" t="s">
        <v>145</v>
      </c>
      <c r="I59" s="421"/>
      <c r="J59" s="421"/>
      <c r="K59" s="421"/>
      <c r="L59" s="421"/>
      <c r="M59" s="421"/>
      <c r="N59" s="421"/>
      <c r="O59" s="422"/>
    </row>
    <row r="60" spans="2:15" ht="66.75" customHeight="1">
      <c r="B60" s="373">
        <v>7</v>
      </c>
      <c r="C60" s="414" t="s">
        <v>146</v>
      </c>
      <c r="D60" s="415"/>
      <c r="E60" s="416"/>
      <c r="F60" s="388"/>
      <c r="H60" s="423"/>
      <c r="I60" s="424"/>
      <c r="J60" s="424"/>
      <c r="K60" s="424"/>
      <c r="L60" s="424"/>
      <c r="M60" s="424"/>
      <c r="N60" s="424"/>
      <c r="O60" s="425"/>
    </row>
    <row r="61" spans="2:15" ht="33" customHeight="1">
      <c r="H61" s="394"/>
      <c r="I61" s="381"/>
      <c r="J61" s="381"/>
      <c r="K61" s="381"/>
      <c r="L61" s="381"/>
      <c r="M61" s="381"/>
      <c r="N61" s="381"/>
      <c r="O61" s="395"/>
    </row>
    <row r="62" spans="2:15">
      <c r="H62" s="394"/>
      <c r="I62" s="381"/>
      <c r="J62" s="381"/>
      <c r="K62" s="381"/>
      <c r="L62" s="381" t="s">
        <v>147</v>
      </c>
      <c r="M62" s="381"/>
      <c r="N62" s="381"/>
      <c r="O62" s="395"/>
    </row>
    <row r="63" spans="2:15">
      <c r="H63" s="394"/>
      <c r="I63" s="381"/>
      <c r="J63" s="381"/>
      <c r="K63" s="381"/>
      <c r="L63" s="381" t="s">
        <v>148</v>
      </c>
      <c r="M63" s="381"/>
      <c r="N63" s="381"/>
      <c r="O63" s="395"/>
    </row>
    <row r="64" spans="2:15">
      <c r="H64" s="394"/>
      <c r="I64" s="381"/>
      <c r="J64" s="381"/>
      <c r="K64" s="381"/>
      <c r="L64" s="381" t="s">
        <v>149</v>
      </c>
      <c r="M64" s="381"/>
      <c r="N64" s="381"/>
      <c r="O64" s="395"/>
    </row>
    <row r="65" spans="2:15">
      <c r="H65" s="394"/>
      <c r="I65" s="381"/>
      <c r="J65" s="381"/>
      <c r="K65" s="381"/>
      <c r="L65" s="381"/>
      <c r="M65" s="381"/>
      <c r="N65" s="381"/>
      <c r="O65" s="395"/>
    </row>
    <row r="66" spans="2:15">
      <c r="H66" s="394"/>
      <c r="I66" s="381"/>
      <c r="J66" s="381"/>
      <c r="K66" s="381"/>
      <c r="L66" s="381"/>
      <c r="M66" s="381"/>
      <c r="N66" s="381"/>
      <c r="O66" s="395"/>
    </row>
    <row r="67" spans="2:15" ht="15.75" thickBot="1">
      <c r="H67" s="396"/>
      <c r="I67" s="397"/>
      <c r="J67" s="397"/>
      <c r="K67" s="397"/>
      <c r="L67" s="397"/>
      <c r="M67" s="397"/>
      <c r="N67" s="397"/>
      <c r="O67" s="398"/>
    </row>
    <row r="71" spans="2:15">
      <c r="C71" s="364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26" t="s">
        <v>120</v>
      </c>
      <c r="E77" s="426"/>
      <c r="F77" s="366"/>
    </row>
    <row r="78" spans="2:15" ht="30">
      <c r="B78" s="371" t="s">
        <v>121</v>
      </c>
      <c r="C78" s="427" t="s">
        <v>122</v>
      </c>
      <c r="D78" s="427"/>
      <c r="E78" s="427"/>
      <c r="F78" s="389">
        <v>1</v>
      </c>
      <c r="G78" s="389">
        <v>2</v>
      </c>
      <c r="H78" s="389">
        <v>3</v>
      </c>
      <c r="I78" s="389">
        <v>4</v>
      </c>
      <c r="J78" s="389">
        <v>5</v>
      </c>
      <c r="K78" s="389">
        <v>6</v>
      </c>
      <c r="L78" s="389">
        <v>7</v>
      </c>
      <c r="M78" s="389">
        <v>8</v>
      </c>
      <c r="N78" s="389">
        <v>9</v>
      </c>
      <c r="O78" s="389">
        <v>10</v>
      </c>
    </row>
    <row r="79" spans="2:15" ht="30" customHeight="1">
      <c r="B79" s="373">
        <v>1</v>
      </c>
      <c r="C79" s="414" t="str">
        <f>C15</f>
        <v>Затраты на осуществление ИСП (IC), руб.</v>
      </c>
      <c r="D79" s="415"/>
      <c r="E79" s="416"/>
      <c r="F79" s="377">
        <f>F15</f>
        <v>2500000</v>
      </c>
      <c r="G79" s="377">
        <f t="shared" ref="G79:O80" si="9">G15</f>
        <v>23750000</v>
      </c>
      <c r="H79" s="377">
        <f t="shared" si="9"/>
        <v>23750000</v>
      </c>
      <c r="I79" s="399"/>
      <c r="J79" s="399"/>
      <c r="K79" s="399"/>
      <c r="L79" s="399"/>
      <c r="M79" s="399"/>
      <c r="N79" s="399"/>
      <c r="O79" s="399"/>
    </row>
    <row r="80" spans="2:15" ht="33.75" customHeight="1">
      <c r="B80" s="373">
        <v>2</v>
      </c>
      <c r="C80" s="414" t="s">
        <v>124</v>
      </c>
      <c r="D80" s="415"/>
      <c r="E80" s="416"/>
      <c r="F80" s="375">
        <f>F16</f>
        <v>0</v>
      </c>
      <c r="G80" s="375">
        <f t="shared" si="9"/>
        <v>0</v>
      </c>
      <c r="H80" s="375">
        <f t="shared" si="9"/>
        <v>0</v>
      </c>
      <c r="I80" s="374">
        <f t="shared" si="9"/>
        <v>30000000</v>
      </c>
      <c r="J80" s="374">
        <f t="shared" si="9"/>
        <v>30000000</v>
      </c>
      <c r="K80" s="374">
        <f t="shared" si="9"/>
        <v>30000000</v>
      </c>
      <c r="L80" s="374">
        <f t="shared" si="9"/>
        <v>30000000</v>
      </c>
      <c r="M80" s="374">
        <f t="shared" si="9"/>
        <v>30000000</v>
      </c>
      <c r="N80" s="374">
        <f t="shared" si="9"/>
        <v>30000000</v>
      </c>
      <c r="O80" s="374">
        <f t="shared" si="9"/>
        <v>30000000</v>
      </c>
    </row>
    <row r="81" spans="2:15">
      <c r="B81" s="373">
        <v>3</v>
      </c>
      <c r="C81" s="428" t="s">
        <v>126</v>
      </c>
      <c r="D81" s="429"/>
      <c r="E81" s="430"/>
      <c r="F81" s="378">
        <f>F18</f>
        <v>0.78125</v>
      </c>
      <c r="G81" s="378">
        <f t="shared" ref="G81:O81" si="10">G18</f>
        <v>0.6103515625</v>
      </c>
      <c r="H81" s="378">
        <f t="shared" si="10"/>
        <v>0.47683715820312494</v>
      </c>
      <c r="I81" s="378">
        <f t="shared" si="10"/>
        <v>0.37252902984619141</v>
      </c>
      <c r="J81" s="378">
        <f t="shared" si="10"/>
        <v>0.29103830456733704</v>
      </c>
      <c r="K81" s="378">
        <f t="shared" si="10"/>
        <v>0.22737367544323206</v>
      </c>
      <c r="L81" s="378">
        <f t="shared" si="10"/>
        <v>0.17763568394002502</v>
      </c>
      <c r="M81" s="378">
        <f t="shared" si="10"/>
        <v>0.13877787807814454</v>
      </c>
      <c r="N81" s="378">
        <f t="shared" si="10"/>
        <v>0.10842021724855043</v>
      </c>
      <c r="O81" s="378">
        <f t="shared" si="10"/>
        <v>8.470329472543002E-2</v>
      </c>
    </row>
    <row r="82" spans="2:15" ht="32.25" customHeight="1">
      <c r="B82" s="373">
        <v>4</v>
      </c>
      <c r="C82" s="431" t="s">
        <v>155</v>
      </c>
      <c r="D82" s="431"/>
      <c r="E82" s="431"/>
      <c r="I82" s="385">
        <f t="shared" ref="I82:O82" si="11">I80*I81</f>
        <v>11175870.895385742</v>
      </c>
      <c r="J82" s="385">
        <f t="shared" si="11"/>
        <v>8731149.1370201111</v>
      </c>
      <c r="K82" s="385">
        <f t="shared" si="11"/>
        <v>6821210.2632969618</v>
      </c>
      <c r="L82" s="385">
        <f t="shared" si="11"/>
        <v>5329070.5182007505</v>
      </c>
      <c r="M82" s="385">
        <f t="shared" si="11"/>
        <v>4163336.3423443362</v>
      </c>
      <c r="N82" s="385">
        <f t="shared" si="11"/>
        <v>3252606.5174565129</v>
      </c>
      <c r="O82" s="385">
        <f t="shared" si="11"/>
        <v>2541098.8417629008</v>
      </c>
    </row>
    <row r="83" spans="2:15" ht="45" customHeight="1">
      <c r="B83" s="373">
        <v>5</v>
      </c>
      <c r="C83" s="431" t="s">
        <v>156</v>
      </c>
      <c r="D83" s="431"/>
      <c r="E83" s="431"/>
      <c r="F83" s="374">
        <f>F79*F81</f>
        <v>1953125</v>
      </c>
      <c r="G83" s="374">
        <f>G79*G81</f>
        <v>14495849.609375</v>
      </c>
      <c r="H83" s="374">
        <f>H79*H81</f>
        <v>11324882.507324217</v>
      </c>
      <c r="I83" s="400"/>
      <c r="J83" s="400"/>
      <c r="K83" s="400"/>
      <c r="L83" s="400"/>
      <c r="M83" s="400"/>
      <c r="N83" s="400"/>
      <c r="O83" s="400"/>
    </row>
    <row r="84" spans="2:15">
      <c r="B84" s="432" t="s">
        <v>128</v>
      </c>
      <c r="C84" s="433"/>
      <c r="D84" s="433"/>
      <c r="E84" s="433"/>
      <c r="F84" s="434"/>
    </row>
    <row r="85" spans="2:15">
      <c r="B85" s="373">
        <v>5</v>
      </c>
      <c r="C85" s="414" t="s">
        <v>107</v>
      </c>
      <c r="D85" s="415"/>
      <c r="E85" s="416"/>
      <c r="F85" s="401">
        <f>SUM(I82:O82)/SUM(F83:H83)</f>
        <v>1.5127298429934641</v>
      </c>
    </row>
    <row r="86" spans="2:15" ht="46.5" customHeight="1">
      <c r="B86" s="373">
        <v>6</v>
      </c>
      <c r="C86" s="414" t="s">
        <v>152</v>
      </c>
      <c r="D86" s="415"/>
      <c r="E86" s="416"/>
      <c r="F86" s="417"/>
      <c r="G86" s="417"/>
      <c r="H86" s="417"/>
      <c r="I86" s="417"/>
      <c r="K86" s="402"/>
    </row>
    <row r="87" spans="2:15" ht="49.5" customHeight="1">
      <c r="B87" s="373">
        <v>7</v>
      </c>
      <c r="C87" s="414" t="s">
        <v>157</v>
      </c>
      <c r="D87" s="415"/>
      <c r="E87" s="416"/>
      <c r="F87" s="403"/>
      <c r="K87" s="402"/>
    </row>
    <row r="88" spans="2:15" ht="63.75" customHeight="1">
      <c r="B88" s="373">
        <v>8</v>
      </c>
      <c r="C88" s="414" t="str">
        <f>C75</f>
        <v>Почему для данного проекта нельзя использовать оценку экономической эффективности по PI?</v>
      </c>
      <c r="D88" s="415"/>
      <c r="E88" s="416"/>
      <c r="F88" s="418"/>
      <c r="G88" s="418"/>
      <c r="H88" s="418"/>
      <c r="I88" s="418"/>
    </row>
    <row r="91" spans="2:15" ht="78" customHeight="1">
      <c r="E91" s="419" t="s">
        <v>158</v>
      </c>
      <c r="F91" s="419"/>
      <c r="G91" s="419"/>
      <c r="H91" s="419"/>
      <c r="I91" s="419"/>
      <c r="J91" s="419"/>
      <c r="K91" s="419"/>
    </row>
    <row r="92" spans="2:15">
      <c r="E92" s="413"/>
      <c r="F92" s="413"/>
      <c r="G92" s="413"/>
      <c r="H92" s="413"/>
      <c r="I92" s="413"/>
      <c r="J92" s="413"/>
    </row>
    <row r="93" spans="2:15">
      <c r="E93" s="413"/>
      <c r="F93" s="413"/>
      <c r="G93" s="413"/>
      <c r="H93" s="413"/>
      <c r="I93" s="413"/>
      <c r="J93" s="413"/>
    </row>
    <row r="94" spans="2:15">
      <c r="E94" s="413"/>
      <c r="F94" s="413"/>
      <c r="G94" s="413"/>
      <c r="H94" s="413"/>
      <c r="I94" s="413"/>
      <c r="J94" s="413"/>
    </row>
    <row r="108" spans="11:11">
      <c r="K108" t="s">
        <v>159</v>
      </c>
    </row>
    <row r="110" spans="11:11">
      <c r="K110" t="s">
        <v>160</v>
      </c>
    </row>
  </sheetData>
  <mergeCells count="56">
    <mergeCell ref="C10:K10"/>
    <mergeCell ref="C3:M3"/>
    <mergeCell ref="C4:E4"/>
    <mergeCell ref="D7:F7"/>
    <mergeCell ref="C8:J8"/>
    <mergeCell ref="C9:K9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33:D33"/>
    <mergeCell ref="C34:E34"/>
    <mergeCell ref="C35:E35"/>
    <mergeCell ref="C36:E36"/>
    <mergeCell ref="B37:F37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E92:J94"/>
    <mergeCell ref="C86:E86"/>
    <mergeCell ref="F86:I86"/>
    <mergeCell ref="C87:E87"/>
    <mergeCell ref="C88:E88"/>
    <mergeCell ref="F88:I88"/>
    <mergeCell ref="E91:K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36"/>
  <sheetViews>
    <sheetView tabSelected="1" zoomScale="85" zoomScaleNormal="85" zoomScaleSheetLayoutView="75" workbookViewId="0">
      <selection activeCell="P75" sqref="P75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72" t="s">
        <v>0</v>
      </c>
      <c r="R1" s="473"/>
      <c r="S1" s="473"/>
      <c r="T1" s="474"/>
      <c r="U1" s="472"/>
      <c r="V1" s="473"/>
      <c r="W1" s="473"/>
      <c r="X1" s="474"/>
    </row>
    <row r="2" spans="1:24" s="10" customFormat="1" ht="15.75">
      <c r="A2" s="462" t="s">
        <v>1</v>
      </c>
      <c r="B2" s="463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72"/>
      <c r="R2" s="473"/>
      <c r="S2" s="473"/>
      <c r="T2" s="474"/>
      <c r="U2" s="472"/>
      <c r="V2" s="473"/>
      <c r="W2" s="473"/>
      <c r="X2" s="474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72"/>
      <c r="R3" s="473"/>
      <c r="S3" s="473"/>
      <c r="T3" s="474"/>
      <c r="U3" s="472"/>
      <c r="V3" s="473"/>
      <c r="W3" s="473"/>
      <c r="X3" s="474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64" t="s">
        <v>4</v>
      </c>
      <c r="R4" s="465"/>
      <c r="S4" s="465"/>
      <c r="T4" s="466"/>
      <c r="U4" s="464"/>
      <c r="V4" s="465"/>
      <c r="W4" s="465"/>
      <c r="X4" s="466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64"/>
      <c r="R5" s="465"/>
      <c r="S5" s="465"/>
      <c r="T5" s="466"/>
      <c r="U5" s="464"/>
      <c r="V5" s="465"/>
      <c r="W5" s="465"/>
      <c r="X5" s="466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67"/>
      <c r="R6" s="468"/>
      <c r="S6" s="468"/>
      <c r="T6" s="469"/>
      <c r="U6" s="467"/>
      <c r="V6" s="468"/>
      <c r="W6" s="468"/>
      <c r="X6" s="469"/>
    </row>
    <row r="7" spans="1:24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470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471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87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88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470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471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489" t="s">
        <v>11</v>
      </c>
      <c r="B16" s="490"/>
      <c r="C16" s="486" t="s">
        <v>12</v>
      </c>
      <c r="D16" s="486"/>
      <c r="E16" s="486"/>
      <c r="F16" s="486"/>
      <c r="G16" s="486" t="s">
        <v>13</v>
      </c>
      <c r="H16" s="486"/>
      <c r="I16" s="486"/>
      <c r="J16" s="486"/>
      <c r="K16" s="486" t="s">
        <v>14</v>
      </c>
      <c r="L16" s="486"/>
      <c r="M16" s="486"/>
      <c r="N16" s="199"/>
      <c r="O16" s="200"/>
      <c r="P16" s="407"/>
    </row>
    <row r="17" spans="1:20" s="6" customFormat="1" ht="13.5" customHeight="1">
      <c r="A17" s="491"/>
      <c r="B17" s="492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03"/>
      <c r="P17" s="202"/>
      <c r="R17" s="32"/>
    </row>
    <row r="18" spans="1:20" s="35" customFormat="1" ht="25.5">
      <c r="A18" s="406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06" t="s">
        <v>17</v>
      </c>
      <c r="P18" s="408" t="s">
        <v>69</v>
      </c>
      <c r="Q18" s="33" t="s">
        <v>18</v>
      </c>
      <c r="R18" s="34" t="s">
        <v>19</v>
      </c>
      <c r="S18" s="15"/>
      <c r="T18" s="15"/>
    </row>
    <row r="19" spans="1:20">
      <c r="A19" s="36" t="s">
        <v>20</v>
      </c>
      <c r="B19" s="220">
        <v>116000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9"/>
      <c r="P19" s="38"/>
      <c r="Q19" s="40">
        <f>((1+Q20)^(1/4))-1</f>
        <v>1.6106667595102708E-2</v>
      </c>
      <c r="R19" s="41">
        <f>((1+R20)^(1/4))-1</f>
        <v>1.2272234429039353E-2</v>
      </c>
    </row>
    <row r="20" spans="1:20">
      <c r="A20" s="42" t="s">
        <v>21</v>
      </c>
      <c r="B20" s="43"/>
      <c r="C20" s="476">
        <f>Q20</f>
        <v>6.6000000000000003E-2</v>
      </c>
      <c r="D20" s="476"/>
      <c r="E20" s="476"/>
      <c r="F20" s="476"/>
      <c r="G20" s="476">
        <f>C20</f>
        <v>6.6000000000000003E-2</v>
      </c>
      <c r="H20" s="476"/>
      <c r="I20" s="476"/>
      <c r="J20" s="476"/>
      <c r="K20" s="476">
        <f>G20</f>
        <v>6.6000000000000003E-2</v>
      </c>
      <c r="L20" s="476"/>
      <c r="M20" s="476"/>
      <c r="N20" s="221">
        <f>(1+C20)^(1/4)-1</f>
        <v>1.6106667595102708E-2</v>
      </c>
      <c r="O20" s="222">
        <f>Q19</f>
        <v>1.6106667595102708E-2</v>
      </c>
      <c r="P20" s="221">
        <f>(1+E20)^(1/4)-1</f>
        <v>0</v>
      </c>
      <c r="Q20" s="44">
        <v>6.6000000000000003E-2</v>
      </c>
      <c r="R20" s="45">
        <v>0.05</v>
      </c>
    </row>
    <row r="21" spans="1:20">
      <c r="A21" s="42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49">
        <f>N21</f>
        <v>1.61E-2</v>
      </c>
      <c r="P21" s="48">
        <v>1.0161</v>
      </c>
    </row>
    <row r="22" spans="1:20">
      <c r="A22" s="4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52">
        <f>N22*(1+O21)</f>
        <v>1.2308502427106269</v>
      </c>
      <c r="P22" s="51">
        <f>O22*(1+P21)</f>
        <v>2.4815171743288946</v>
      </c>
    </row>
    <row r="23" spans="1:20">
      <c r="A23" s="42" t="s">
        <v>161</v>
      </c>
      <c r="B23" s="53"/>
      <c r="C23" s="54">
        <f t="shared" ref="C23:N23" si="3">$B$19*C22</f>
        <v>117868.37344103192</v>
      </c>
      <c r="D23" s="54">
        <f t="shared" si="3"/>
        <v>119766.84015202204</v>
      </c>
      <c r="E23" s="54">
        <f t="shared" si="3"/>
        <v>121695.88483526646</v>
      </c>
      <c r="F23" s="54">
        <f t="shared" si="3"/>
        <v>123656</v>
      </c>
      <c r="G23" s="54">
        <f>$B$19*G22</f>
        <v>125647.68608814002</v>
      </c>
      <c r="H23" s="54">
        <f t="shared" si="3"/>
        <v>127671.4516020555</v>
      </c>
      <c r="I23" s="54">
        <f t="shared" si="3"/>
        <v>129727.81323439405</v>
      </c>
      <c r="J23" s="54">
        <f t="shared" si="3"/>
        <v>131817.29600000003</v>
      </c>
      <c r="K23" s="54">
        <f t="shared" si="3"/>
        <v>133940.43336995729</v>
      </c>
      <c r="L23" s="54">
        <f t="shared" si="3"/>
        <v>136097.76740779119</v>
      </c>
      <c r="M23" s="54">
        <f t="shared" si="3"/>
        <v>138289.8489078641</v>
      </c>
      <c r="N23" s="54">
        <f t="shared" si="3"/>
        <v>140516.31547528072</v>
      </c>
      <c r="O23" s="55">
        <f>$B$19*O22</f>
        <v>142778.62815443272</v>
      </c>
      <c r="P23" s="54">
        <f t="shared" ref="P23" si="4">$B$19*P22</f>
        <v>287855.99222215178</v>
      </c>
    </row>
    <row r="24" spans="1:20" ht="12" customHeight="1">
      <c r="A24" s="36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5">G24</f>
        <v>1.2272234429039353</v>
      </c>
      <c r="I24" s="58">
        <f t="shared" si="5"/>
        <v>1.2272234429039353</v>
      </c>
      <c r="J24" s="58">
        <f t="shared" si="5"/>
        <v>1.2272234429039353</v>
      </c>
      <c r="K24" s="58">
        <f t="shared" si="5"/>
        <v>1.2272234429039353</v>
      </c>
      <c r="L24" s="58">
        <f t="shared" si="5"/>
        <v>1.2272234429039353</v>
      </c>
      <c r="M24" s="58">
        <f t="shared" si="5"/>
        <v>1.2272234429039353</v>
      </c>
      <c r="N24" s="58">
        <f t="shared" si="5"/>
        <v>1.2272234429039353</v>
      </c>
      <c r="O24" s="59">
        <f t="shared" si="5"/>
        <v>1.2272234429039353</v>
      </c>
      <c r="P24" s="58">
        <f t="shared" si="5"/>
        <v>1.2272234429039353</v>
      </c>
    </row>
    <row r="25" spans="1:20">
      <c r="A25" s="4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6">I25/(1+H24/100)</f>
        <v>0.92942864090336452</v>
      </c>
      <c r="I25" s="61">
        <f t="shared" si="6"/>
        <v>0.94083480706959399</v>
      </c>
      <c r="J25" s="61">
        <f t="shared" si="6"/>
        <v>0.95238095238095211</v>
      </c>
      <c r="K25" s="61">
        <f t="shared" si="6"/>
        <v>0.96406879469432294</v>
      </c>
      <c r="L25" s="61">
        <f t="shared" si="6"/>
        <v>0.97590007294853309</v>
      </c>
      <c r="M25" s="61">
        <f t="shared" si="6"/>
        <v>0.98787654742307407</v>
      </c>
      <c r="N25" s="61">
        <v>1</v>
      </c>
      <c r="O25" s="62">
        <v>1</v>
      </c>
      <c r="P25" s="61">
        <v>1</v>
      </c>
    </row>
    <row r="26" spans="1:20">
      <c r="A26" s="42" t="s">
        <v>27</v>
      </c>
      <c r="B26" s="63"/>
      <c r="C26" s="63"/>
      <c r="D26" s="63"/>
      <c r="E26" s="64"/>
      <c r="F26" s="64"/>
      <c r="G26" s="64">
        <f>G23*G25</f>
        <v>115364.77455535597</v>
      </c>
      <c r="H26" s="64">
        <f t="shared" ref="H26:O26" si="7">H23*H25</f>
        <v>118661.50374465813</v>
      </c>
      <c r="I26" s="64">
        <f t="shared" si="7"/>
        <v>122052.44213594146</v>
      </c>
      <c r="J26" s="64">
        <f t="shared" si="7"/>
        <v>125540.2819047619</v>
      </c>
      <c r="K26" s="64">
        <f t="shared" si="7"/>
        <v>129127.79215980999</v>
      </c>
      <c r="L26" s="64">
        <f t="shared" si="7"/>
        <v>132817.82114139592</v>
      </c>
      <c r="M26" s="64">
        <f t="shared" si="7"/>
        <v>136613.29848275936</v>
      </c>
      <c r="N26" s="64">
        <f t="shared" si="7"/>
        <v>140516.31547528072</v>
      </c>
      <c r="O26" s="65">
        <f t="shared" si="7"/>
        <v>142778.62815443272</v>
      </c>
      <c r="P26" s="64">
        <f t="shared" ref="P26" si="8">P23*P25</f>
        <v>287855.99222215178</v>
      </c>
    </row>
    <row r="27" spans="1:20" ht="13.5" thickBot="1">
      <c r="A27" s="225" t="s">
        <v>28</v>
      </c>
      <c r="B27" s="226">
        <f>SUM(C27:O27)</f>
        <v>100</v>
      </c>
      <c r="C27" s="227">
        <f>'[31]М. остатка'!D31</f>
        <v>0</v>
      </c>
      <c r="D27" s="227">
        <f>'[31]М. остатка'!E31</f>
        <v>0</v>
      </c>
      <c r="E27" s="227">
        <f>'[31]М. остатка'!F31</f>
        <v>0</v>
      </c>
      <c r="F27" s="227">
        <f>'[31]М. остатка'!G31</f>
        <v>0</v>
      </c>
      <c r="G27" s="228">
        <f>'[30]График реализации'!D10*100</f>
        <v>19.7</v>
      </c>
      <c r="H27" s="228">
        <f>'[30]График реализации'!D13*100</f>
        <v>15.7</v>
      </c>
      <c r="I27" s="228">
        <f>'[30]График реализации'!D16*100</f>
        <v>14.600000000000001</v>
      </c>
      <c r="J27" s="228">
        <f>'[30]График реализации'!D19*100</f>
        <v>14.200000000000001</v>
      </c>
      <c r="K27" s="228">
        <f>'[30]График реализации'!D22*100</f>
        <v>12</v>
      </c>
      <c r="L27" s="228">
        <f>'[30]График реализации'!D25*100</f>
        <v>9.4</v>
      </c>
      <c r="M27" s="228">
        <f>'[30]График реализации'!D28*100</f>
        <v>8.1</v>
      </c>
      <c r="N27" s="229">
        <f>'[30]График реализации'!D31*100</f>
        <v>3.8</v>
      </c>
      <c r="O27" s="230">
        <f>'[30]График реализации'!D34*100</f>
        <v>2.5</v>
      </c>
      <c r="P27" s="229">
        <v>1</v>
      </c>
      <c r="Q27" s="66"/>
    </row>
    <row r="28" spans="1:20">
      <c r="A28" s="67" t="s">
        <v>29</v>
      </c>
      <c r="B28" s="68">
        <f t="shared" ref="B28:B41" si="9">SUM(C28:M28)</f>
        <v>100</v>
      </c>
      <c r="C28" s="69"/>
      <c r="D28" s="69"/>
      <c r="E28" s="69"/>
      <c r="F28" s="69"/>
      <c r="G28" s="223">
        <v>100</v>
      </c>
      <c r="H28" s="70">
        <f t="shared" ref="H28:M28" si="10">(100-$G$28)/($M$17-$G$17)</f>
        <v>0</v>
      </c>
      <c r="I28" s="70">
        <f t="shared" si="10"/>
        <v>0</v>
      </c>
      <c r="J28" s="70">
        <f t="shared" si="10"/>
        <v>0</v>
      </c>
      <c r="K28" s="70">
        <f t="shared" si="10"/>
        <v>0</v>
      </c>
      <c r="L28" s="70">
        <f t="shared" si="10"/>
        <v>0</v>
      </c>
      <c r="M28" s="70">
        <f t="shared" si="10"/>
        <v>0</v>
      </c>
      <c r="N28" s="70"/>
      <c r="O28" s="71"/>
      <c r="P28" s="70"/>
      <c r="Q28" s="72"/>
    </row>
    <row r="29" spans="1:20" ht="13.5" thickBot="1">
      <c r="A29" s="73" t="s">
        <v>30</v>
      </c>
      <c r="B29" s="74">
        <f t="shared" si="9"/>
        <v>1428565002.8031113</v>
      </c>
      <c r="C29" s="75"/>
      <c r="D29" s="75"/>
      <c r="E29" s="75"/>
      <c r="F29" s="75"/>
      <c r="G29" s="76">
        <f>$B$5*(1-$O$46)*$G$26*$G$27%*G28%</f>
        <v>1428565002.8031113</v>
      </c>
      <c r="H29" s="77">
        <f t="shared" ref="H29:M29" si="11">$B$5*(1-$M$46)*$G$26*$G$27%*H28%</f>
        <v>0</v>
      </c>
      <c r="I29" s="76">
        <f t="shared" si="11"/>
        <v>0</v>
      </c>
      <c r="J29" s="76">
        <f t="shared" si="11"/>
        <v>0</v>
      </c>
      <c r="K29" s="76">
        <f t="shared" si="11"/>
        <v>0</v>
      </c>
      <c r="L29" s="76">
        <f t="shared" si="11"/>
        <v>0</v>
      </c>
      <c r="M29" s="76">
        <f t="shared" si="11"/>
        <v>0</v>
      </c>
      <c r="N29" s="76"/>
      <c r="O29" s="78"/>
      <c r="P29" s="76"/>
    </row>
    <row r="30" spans="1:20">
      <c r="A30" s="67" t="s">
        <v>31</v>
      </c>
      <c r="B30" s="68">
        <f t="shared" si="9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71"/>
      <c r="P30" s="70"/>
    </row>
    <row r="31" spans="1:20" ht="13.5" thickBot="1">
      <c r="A31" s="73" t="s">
        <v>32</v>
      </c>
      <c r="B31" s="74">
        <f t="shared" si="9"/>
        <v>1171035493.9739301</v>
      </c>
      <c r="C31" s="75"/>
      <c r="D31" s="75"/>
      <c r="E31" s="75"/>
      <c r="F31" s="75"/>
      <c r="G31" s="75"/>
      <c r="H31" s="76">
        <f t="shared" ref="H31:M31" si="12">$B$5*(1-$M$46)*$H$26*$H$27%*H30%</f>
        <v>1171035493.9739301</v>
      </c>
      <c r="I31" s="76">
        <f t="shared" si="12"/>
        <v>0</v>
      </c>
      <c r="J31" s="76">
        <f t="shared" si="12"/>
        <v>0</v>
      </c>
      <c r="K31" s="76">
        <f t="shared" si="12"/>
        <v>0</v>
      </c>
      <c r="L31" s="76">
        <f t="shared" si="12"/>
        <v>0</v>
      </c>
      <c r="M31" s="76">
        <f t="shared" si="12"/>
        <v>0</v>
      </c>
      <c r="N31" s="76"/>
      <c r="O31" s="78"/>
      <c r="P31" s="76"/>
    </row>
    <row r="32" spans="1:20">
      <c r="A32" s="67" t="s">
        <v>33</v>
      </c>
      <c r="B32" s="68">
        <f t="shared" si="9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71"/>
      <c r="P32" s="70"/>
    </row>
    <row r="33" spans="1:16" ht="13.5" thickBot="1">
      <c r="A33" s="73" t="s">
        <v>34</v>
      </c>
      <c r="B33" s="74">
        <f t="shared" si="9"/>
        <v>1120107971.5360272</v>
      </c>
      <c r="C33" s="75"/>
      <c r="D33" s="75"/>
      <c r="E33" s="75"/>
      <c r="F33" s="80"/>
      <c r="G33" s="80"/>
      <c r="H33" s="80"/>
      <c r="I33" s="76">
        <f>$B$5*(1-$M$46)*$I$26*$I$27%*I32%</f>
        <v>1120107971.5360272</v>
      </c>
      <c r="J33" s="76"/>
      <c r="K33" s="76"/>
      <c r="L33" s="76"/>
      <c r="M33" s="76"/>
      <c r="N33" s="76"/>
      <c r="O33" s="78"/>
      <c r="P33" s="76"/>
    </row>
    <row r="34" spans="1:16">
      <c r="A34" s="67" t="s">
        <v>35</v>
      </c>
      <c r="B34" s="68">
        <f t="shared" si="9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71"/>
      <c r="P34" s="70"/>
    </row>
    <row r="35" spans="1:16" ht="13.5" thickBot="1">
      <c r="A35" s="73" t="s">
        <v>36</v>
      </c>
      <c r="B35" s="74">
        <f t="shared" si="9"/>
        <v>1120551967.6756725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1120551967.6756725</v>
      </c>
      <c r="K35" s="76"/>
      <c r="L35" s="76"/>
      <c r="M35" s="76"/>
      <c r="N35" s="76"/>
      <c r="O35" s="78"/>
      <c r="P35" s="76"/>
    </row>
    <row r="36" spans="1:16">
      <c r="A36" s="67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71"/>
      <c r="P36" s="70"/>
    </row>
    <row r="37" spans="1:16" ht="13.5" thickBot="1">
      <c r="A37" s="73" t="s">
        <v>38</v>
      </c>
      <c r="B37" s="74">
        <f>SUM(C37:M37)</f>
        <v>974005771.14976037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974005771.14976037</v>
      </c>
      <c r="L37" s="76"/>
      <c r="M37" s="76"/>
      <c r="N37" s="76"/>
      <c r="O37" s="78"/>
      <c r="P37" s="76"/>
    </row>
    <row r="38" spans="1:16">
      <c r="A38" s="67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71"/>
      <c r="P38" s="70"/>
    </row>
    <row r="39" spans="1:16" ht="13.5" thickBot="1">
      <c r="A39" s="73" t="s">
        <v>40</v>
      </c>
      <c r="B39" s="74">
        <f>SUM(C39:M39)</f>
        <v>784774284.52275133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784774284.52275133</v>
      </c>
      <c r="M39" s="76"/>
      <c r="N39" s="76"/>
      <c r="O39" s="78"/>
      <c r="P39" s="76"/>
    </row>
    <row r="40" spans="1:16">
      <c r="A40" s="67" t="s">
        <v>41</v>
      </c>
      <c r="B40" s="68">
        <f t="shared" si="9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83"/>
      <c r="P40" s="82"/>
    </row>
    <row r="41" spans="1:16" ht="13.5" thickBot="1">
      <c r="A41" s="73" t="s">
        <v>42</v>
      </c>
      <c r="B41" s="74">
        <f t="shared" si="9"/>
        <v>695566335.99837232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695566335.99837232</v>
      </c>
      <c r="N41" s="76"/>
      <c r="O41" s="78"/>
      <c r="P41" s="76"/>
    </row>
    <row r="42" spans="1:16">
      <c r="A42" s="67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83"/>
      <c r="P42" s="223">
        <v>101</v>
      </c>
    </row>
    <row r="43" spans="1:16" ht="13.5" thickBot="1">
      <c r="A43" s="73" t="s">
        <v>44</v>
      </c>
      <c r="B43" s="74">
        <f>N43</f>
        <v>335637833.20951742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335637833.20951742</v>
      </c>
      <c r="O43" s="78"/>
      <c r="P43" s="76">
        <f>$B$5*(1-$M$46)*$N$26*$N$27%*P42%</f>
        <v>338994211.54161263</v>
      </c>
    </row>
    <row r="44" spans="1:16">
      <c r="A44" s="67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24">
        <v>100</v>
      </c>
      <c r="P44" s="82"/>
    </row>
    <row r="45" spans="1:16" ht="13.5" thickBot="1">
      <c r="A45" s="73" t="s">
        <v>46</v>
      </c>
      <c r="B45" s="74">
        <f>O45</f>
        <v>224369475.2132833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78">
        <f>$B$5*(1-$M$46)*$O$26*$O$27%*O44%</f>
        <v>224369475.2132833</v>
      </c>
      <c r="P45" s="76"/>
    </row>
    <row r="46" spans="1:16">
      <c r="A46" s="84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90">
        <v>0</v>
      </c>
      <c r="P46" s="89"/>
    </row>
    <row r="47" spans="1:16">
      <c r="A47" s="91" t="s">
        <v>48</v>
      </c>
      <c r="B47" s="92">
        <f>B29+B31+B33+B35+B37+B39+B41+B43+B45</f>
        <v>7854614136.0824261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96">
        <f>B5*O26*O46</f>
        <v>0</v>
      </c>
      <c r="P47" s="54"/>
    </row>
    <row r="48" spans="1:16">
      <c r="A48" s="231" t="s">
        <v>49</v>
      </c>
      <c r="B48" s="232">
        <f>SUM(C48:O48)</f>
        <v>7854614136.0824261</v>
      </c>
      <c r="C48" s="233">
        <f t="shared" ref="C48:H48" si="13">C29+C31+C33+C35+C37+C39+C47+C41</f>
        <v>0</v>
      </c>
      <c r="D48" s="233">
        <f t="shared" si="13"/>
        <v>0</v>
      </c>
      <c r="E48" s="233">
        <f t="shared" si="13"/>
        <v>0</v>
      </c>
      <c r="F48" s="233">
        <f t="shared" si="13"/>
        <v>0</v>
      </c>
      <c r="G48" s="234">
        <f t="shared" si="13"/>
        <v>1428565002.8031113</v>
      </c>
      <c r="H48" s="234">
        <f t="shared" si="13"/>
        <v>1171035493.9739301</v>
      </c>
      <c r="I48" s="234">
        <f>I33</f>
        <v>1120107971.5360272</v>
      </c>
      <c r="J48" s="234">
        <f>J35</f>
        <v>1120551967.6756725</v>
      </c>
      <c r="K48" s="234">
        <f>K37</f>
        <v>974005771.14976037</v>
      </c>
      <c r="L48" s="234">
        <f>L39</f>
        <v>784774284.52275133</v>
      </c>
      <c r="M48" s="234">
        <f>M41</f>
        <v>695566335.99837232</v>
      </c>
      <c r="N48" s="234">
        <f>N43</f>
        <v>335637833.20951742</v>
      </c>
      <c r="O48" s="235">
        <f>O45</f>
        <v>224369475.2132833</v>
      </c>
      <c r="P48" s="234">
        <f>P43</f>
        <v>338994211.54161263</v>
      </c>
    </row>
    <row r="49" spans="1:23" hidden="1">
      <c r="A49" s="98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39"/>
      <c r="P49" s="38"/>
    </row>
    <row r="50" spans="1:23" hidden="1">
      <c r="A50" s="98" t="s">
        <v>51</v>
      </c>
      <c r="B50" s="100"/>
      <c r="C50" s="54"/>
      <c r="D50" s="54"/>
      <c r="E50" s="54"/>
      <c r="F50" s="54"/>
      <c r="G50" s="54">
        <f t="shared" ref="G50:M50" si="14">$B$49*G22</f>
        <v>3639.4502177254353</v>
      </c>
      <c r="H50" s="54">
        <f t="shared" si="14"/>
        <v>3698.0696326112629</v>
      </c>
      <c r="I50" s="54">
        <f t="shared" si="14"/>
        <v>3757.6332109272762</v>
      </c>
      <c r="J50" s="54">
        <f t="shared" si="14"/>
        <v>3818.1561600000005</v>
      </c>
      <c r="K50" s="54">
        <f t="shared" si="14"/>
        <v>3879.6539320953143</v>
      </c>
      <c r="L50" s="54">
        <f t="shared" si="14"/>
        <v>3942.142228363607</v>
      </c>
      <c r="M50" s="101">
        <f t="shared" si="14"/>
        <v>4005.6370028484776</v>
      </c>
      <c r="N50" s="38"/>
      <c r="O50" s="39"/>
      <c r="P50" s="38"/>
    </row>
    <row r="51" spans="1:23" ht="25.5" hidden="1">
      <c r="A51" s="36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5">G24</f>
        <v>1.2272234429039353</v>
      </c>
      <c r="H51" s="58">
        <f t="shared" si="15"/>
        <v>1.2272234429039353</v>
      </c>
      <c r="I51" s="58">
        <f t="shared" si="15"/>
        <v>1.2272234429039353</v>
      </c>
      <c r="J51" s="58">
        <f t="shared" si="15"/>
        <v>1.2272234429039353</v>
      </c>
      <c r="K51" s="58">
        <f t="shared" si="15"/>
        <v>1.2272234429039353</v>
      </c>
      <c r="L51" s="58">
        <f t="shared" si="15"/>
        <v>1.2272234429039353</v>
      </c>
      <c r="M51" s="58">
        <f t="shared" si="15"/>
        <v>1.2272234429039353</v>
      </c>
      <c r="N51" s="38"/>
      <c r="O51" s="39"/>
      <c r="P51" s="38"/>
      <c r="T51" s="472" t="s">
        <v>53</v>
      </c>
      <c r="U51" s="477"/>
      <c r="V51" s="477"/>
      <c r="W51" s="477"/>
    </row>
    <row r="52" spans="1:23" hidden="1">
      <c r="A52" s="98" t="s">
        <v>54</v>
      </c>
      <c r="B52" s="102"/>
      <c r="C52" s="102"/>
      <c r="D52" s="102"/>
      <c r="E52" s="54"/>
      <c r="F52" s="54"/>
      <c r="G52" s="54">
        <f t="shared" ref="G52:M52" si="16">G50*G25</f>
        <v>3341.6003664310006</v>
      </c>
      <c r="H52" s="54">
        <f t="shared" si="16"/>
        <v>3437.0918326038905</v>
      </c>
      <c r="I52" s="54">
        <f t="shared" si="16"/>
        <v>3535.3121170410627</v>
      </c>
      <c r="J52" s="54">
        <f t="shared" si="16"/>
        <v>3636.3391999999994</v>
      </c>
      <c r="K52" s="54">
        <f t="shared" si="16"/>
        <v>3740.2532901462205</v>
      </c>
      <c r="L52" s="54">
        <f t="shared" si="16"/>
        <v>3847.1368882335369</v>
      </c>
      <c r="M52" s="103">
        <f t="shared" si="16"/>
        <v>3957.0748526040643</v>
      </c>
      <c r="N52" s="104"/>
      <c r="O52" s="105"/>
      <c r="P52" s="104"/>
      <c r="T52" s="472"/>
      <c r="U52" s="477"/>
      <c r="V52" s="477"/>
      <c r="W52" s="477"/>
    </row>
    <row r="53" spans="1:23" hidden="1">
      <c r="A53" s="106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55"/>
      <c r="P53" s="54"/>
      <c r="T53" s="472"/>
      <c r="U53" s="477"/>
      <c r="V53" s="477"/>
      <c r="W53" s="477"/>
    </row>
    <row r="54" spans="1:23" hidden="1">
      <c r="A54" s="110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65"/>
      <c r="P54" s="64"/>
      <c r="T54" s="112" t="s">
        <v>4</v>
      </c>
    </row>
    <row r="55" spans="1:23" hidden="1">
      <c r="A55" s="113" t="s">
        <v>57</v>
      </c>
      <c r="B55" s="97">
        <f>SUM(C55:M55)</f>
        <v>0</v>
      </c>
      <c r="C55" s="97"/>
      <c r="D55" s="97"/>
      <c r="E55" s="114">
        <f t="shared" ref="E55:M55" si="17">E54</f>
        <v>0</v>
      </c>
      <c r="F55" s="114">
        <f t="shared" si="17"/>
        <v>0</v>
      </c>
      <c r="G55" s="97">
        <f t="shared" si="17"/>
        <v>0</v>
      </c>
      <c r="H55" s="97">
        <f t="shared" si="17"/>
        <v>0</v>
      </c>
      <c r="I55" s="97">
        <f t="shared" si="17"/>
        <v>0</v>
      </c>
      <c r="J55" s="97">
        <f t="shared" si="17"/>
        <v>0</v>
      </c>
      <c r="K55" s="97">
        <f t="shared" si="17"/>
        <v>0</v>
      </c>
      <c r="L55" s="97">
        <f t="shared" si="17"/>
        <v>0</v>
      </c>
      <c r="M55" s="97">
        <f t="shared" si="17"/>
        <v>0</v>
      </c>
      <c r="N55" s="115"/>
      <c r="O55" s="116"/>
      <c r="P55" s="115"/>
    </row>
    <row r="56" spans="1:23">
      <c r="A56" s="98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39"/>
      <c r="P56" s="38"/>
      <c r="T56" s="117"/>
    </row>
    <row r="57" spans="1:23" hidden="1">
      <c r="A57" s="98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39"/>
      <c r="P57" s="38"/>
    </row>
    <row r="58" spans="1:23">
      <c r="A58" s="36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8">H25*H22</f>
        <v>1.0229439977987769</v>
      </c>
      <c r="I58" s="120">
        <f t="shared" si="18"/>
        <v>1.0521762253098401</v>
      </c>
      <c r="J58" s="120">
        <f t="shared" si="18"/>
        <v>1.0822438095238094</v>
      </c>
      <c r="K58" s="120">
        <f t="shared" si="18"/>
        <v>1.1131706220673274</v>
      </c>
      <c r="L58" s="120">
        <f t="shared" si="18"/>
        <v>1.1449812167361717</v>
      </c>
      <c r="M58" s="120">
        <f t="shared" si="18"/>
        <v>1.1777008489893048</v>
      </c>
      <c r="N58" s="120">
        <f t="shared" si="18"/>
        <v>1.2113475472006958</v>
      </c>
      <c r="O58" s="121">
        <f t="shared" si="18"/>
        <v>1.2308502427106269</v>
      </c>
      <c r="P58" s="120">
        <f t="shared" ref="P58" si="19">P25*P22</f>
        <v>2.4815171743288946</v>
      </c>
    </row>
    <row r="59" spans="1:23">
      <c r="A59" s="98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20">$B$56*H58</f>
        <v>1125238.3975786546</v>
      </c>
      <c r="I59" s="123">
        <f t="shared" si="20"/>
        <v>1157393.8478408242</v>
      </c>
      <c r="J59" s="123">
        <f t="shared" si="20"/>
        <v>1190468.1904761903</v>
      </c>
      <c r="K59" s="123">
        <f t="shared" si="20"/>
        <v>1224487.6842740602</v>
      </c>
      <c r="L59" s="123">
        <f t="shared" si="20"/>
        <v>1259479.3384097889</v>
      </c>
      <c r="M59" s="123">
        <f t="shared" si="20"/>
        <v>1295470.9338882354</v>
      </c>
      <c r="N59" s="123">
        <f t="shared" si="20"/>
        <v>1332482.3019207653</v>
      </c>
      <c r="O59" s="124">
        <f t="shared" si="20"/>
        <v>1353935.2669816897</v>
      </c>
      <c r="P59" s="123">
        <f t="shared" ref="P59" si="21">$B$56*P58</f>
        <v>2729668.891761784</v>
      </c>
    </row>
    <row r="60" spans="1:23">
      <c r="A60" s="236" t="s">
        <v>61</v>
      </c>
      <c r="B60" s="237">
        <f>SUM(C60:O60)</f>
        <v>100</v>
      </c>
      <c r="C60" s="238"/>
      <c r="D60" s="238"/>
      <c r="E60" s="239">
        <f>ROUND(E53%*$B$7,0)</f>
        <v>0</v>
      </c>
      <c r="F60" s="239">
        <f>ROUND(F53%*$B$7,0)</f>
        <v>0</v>
      </c>
      <c r="G60" s="240">
        <f>G27</f>
        <v>19.7</v>
      </c>
      <c r="H60" s="240">
        <f t="shared" ref="H60:O60" si="22">H27</f>
        <v>15.7</v>
      </c>
      <c r="I60" s="240">
        <f t="shared" si="22"/>
        <v>14.600000000000001</v>
      </c>
      <c r="J60" s="240">
        <f t="shared" si="22"/>
        <v>14.200000000000001</v>
      </c>
      <c r="K60" s="240">
        <f t="shared" si="22"/>
        <v>12</v>
      </c>
      <c r="L60" s="240">
        <f t="shared" si="22"/>
        <v>9.4</v>
      </c>
      <c r="M60" s="240">
        <f t="shared" si="22"/>
        <v>8.1</v>
      </c>
      <c r="N60" s="240">
        <f t="shared" si="22"/>
        <v>3.8</v>
      </c>
      <c r="O60" s="241">
        <f t="shared" si="22"/>
        <v>2.5</v>
      </c>
      <c r="P60" s="240">
        <f t="shared" ref="P60" si="23">P27</f>
        <v>1</v>
      </c>
    </row>
    <row r="61" spans="1:23" s="125" customFormat="1">
      <c r="A61" s="242" t="s">
        <v>62</v>
      </c>
      <c r="B61" s="238">
        <f>SUM(C61:M61)</f>
        <v>382961636.24799961</v>
      </c>
      <c r="C61" s="238"/>
      <c r="D61" s="238"/>
      <c r="E61" s="233">
        <f>E60*E59</f>
        <v>0</v>
      </c>
      <c r="F61" s="233">
        <f>F60*F59</f>
        <v>0</v>
      </c>
      <c r="G61" s="238">
        <f>$B$7*G59*G60%</f>
        <v>74998639.938436896</v>
      </c>
      <c r="H61" s="238">
        <f t="shared" ref="H61:O61" si="24">$B$7*H59*H60%</f>
        <v>61478525.090107374</v>
      </c>
      <c r="I61" s="238">
        <f t="shared" si="24"/>
        <v>58804866.621096604</v>
      </c>
      <c r="J61" s="238">
        <f t="shared" si="24"/>
        <v>58828176.100571424</v>
      </c>
      <c r="K61" s="238">
        <f t="shared" si="24"/>
        <v>51134605.695284747</v>
      </c>
      <c r="L61" s="238">
        <f t="shared" si="24"/>
        <v>41200088.118061021</v>
      </c>
      <c r="M61" s="238">
        <f t="shared" si="24"/>
        <v>36516734.684441581</v>
      </c>
      <c r="N61" s="238">
        <f t="shared" si="24"/>
        <v>17620745.960600201</v>
      </c>
      <c r="O61" s="243">
        <f t="shared" si="24"/>
        <v>11779236.822740702</v>
      </c>
      <c r="P61" s="238">
        <f t="shared" ref="P61" si="25">$B$7*P59*P60%</f>
        <v>9499247.7433310077</v>
      </c>
    </row>
    <row r="62" spans="1:23" ht="56.25" hidden="1" customHeight="1">
      <c r="A62" s="113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55"/>
      <c r="P62" s="54"/>
    </row>
    <row r="63" spans="1:23" s="6" customFormat="1" ht="15" customHeight="1">
      <c r="A63" s="214" t="s">
        <v>64</v>
      </c>
      <c r="B63" s="215">
        <f>SUM(C63:M63)</f>
        <v>7677568463.9076252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1503563642.7415483</v>
      </c>
      <c r="H63" s="215">
        <f t="shared" ref="H63:O63" si="26">SUM(H48+H61)</f>
        <v>1232514019.0640376</v>
      </c>
      <c r="I63" s="215">
        <f t="shared" si="26"/>
        <v>1178912838.1571238</v>
      </c>
      <c r="J63" s="215">
        <f t="shared" si="26"/>
        <v>1179380143.7762439</v>
      </c>
      <c r="K63" s="215">
        <f t="shared" si="26"/>
        <v>1025140376.8450451</v>
      </c>
      <c r="L63" s="215">
        <f t="shared" si="26"/>
        <v>825974372.6408124</v>
      </c>
      <c r="M63" s="215">
        <f t="shared" si="26"/>
        <v>732083070.68281388</v>
      </c>
      <c r="N63" s="215">
        <f t="shared" si="26"/>
        <v>353258579.17011762</v>
      </c>
      <c r="O63" s="217">
        <f t="shared" si="26"/>
        <v>236148712.036024</v>
      </c>
      <c r="P63" s="215">
        <f t="shared" ref="P63" si="27">SUM(P48+P61)</f>
        <v>348493459.28494364</v>
      </c>
    </row>
    <row r="64" spans="1:23" s="7" customFormat="1">
      <c r="A64" s="126" t="s">
        <v>65</v>
      </c>
      <c r="B64" s="246">
        <f>SUM(C64:M64)</f>
        <v>1279594743.9846044</v>
      </c>
      <c r="C64" s="127">
        <f>C63/(1+$B$81)*$B$81</f>
        <v>0</v>
      </c>
      <c r="D64" s="127">
        <f t="shared" ref="D64:L64" si="28">D63/(1+$B$81)*$B$81</f>
        <v>0</v>
      </c>
      <c r="E64" s="127">
        <f t="shared" si="28"/>
        <v>0</v>
      </c>
      <c r="F64" s="127">
        <f t="shared" si="28"/>
        <v>0</v>
      </c>
      <c r="G64" s="93">
        <f>G63/(1+$B$81)*$B$81</f>
        <v>250593940.45692474</v>
      </c>
      <c r="H64" s="93">
        <f t="shared" si="28"/>
        <v>205419003.17733961</v>
      </c>
      <c r="I64" s="93">
        <f t="shared" si="28"/>
        <v>196485473.0261873</v>
      </c>
      <c r="J64" s="93">
        <f t="shared" si="28"/>
        <v>196563357.29604065</v>
      </c>
      <c r="K64" s="93">
        <f t="shared" si="28"/>
        <v>170856729.4741742</v>
      </c>
      <c r="L64" s="93">
        <f t="shared" si="28"/>
        <v>137662395.44013542</v>
      </c>
      <c r="M64" s="93">
        <f>M63/(1+$B$81)*$B$81</f>
        <v>122013845.11380231</v>
      </c>
      <c r="N64" s="93">
        <f>N63/(1+$B$81)*$B$81</f>
        <v>58876429.861686282</v>
      </c>
      <c r="O64" s="128">
        <f>O63/(1+$B$81)*$B$81</f>
        <v>39358118.67267067</v>
      </c>
      <c r="P64" s="93">
        <f>P63/(1+$B$81)*$B$81</f>
        <v>58082243.214157276</v>
      </c>
    </row>
    <row r="65" spans="1:17" s="7" customFormat="1" hidden="1">
      <c r="A65" s="129" t="s">
        <v>66</v>
      </c>
      <c r="B65" s="93"/>
      <c r="C65" s="478"/>
      <c r="D65" s="478"/>
      <c r="E65" s="478"/>
      <c r="F65" s="479"/>
      <c r="G65" s="479"/>
      <c r="H65" s="479"/>
      <c r="I65" s="479"/>
      <c r="J65" s="479"/>
      <c r="K65" s="479"/>
      <c r="L65" s="479"/>
      <c r="M65" s="479"/>
      <c r="N65" s="130"/>
      <c r="O65" s="131"/>
      <c r="P65" s="130"/>
    </row>
    <row r="66" spans="1:17" s="7" customFormat="1" ht="22.5">
      <c r="A66" s="406" t="s">
        <v>67</v>
      </c>
      <c r="B66" s="204" t="s">
        <v>68</v>
      </c>
      <c r="C66" s="205" t="str">
        <f t="shared" ref="C66:O66" si="29">C18</f>
        <v>1 квартал</v>
      </c>
      <c r="D66" s="205" t="str">
        <f t="shared" si="29"/>
        <v>2 квартал</v>
      </c>
      <c r="E66" s="205" t="str">
        <f t="shared" si="29"/>
        <v>3 квартал</v>
      </c>
      <c r="F66" s="205" t="str">
        <f t="shared" si="29"/>
        <v>4 квартал</v>
      </c>
      <c r="G66" s="205" t="str">
        <f t="shared" si="29"/>
        <v>5 квартал</v>
      </c>
      <c r="H66" s="205" t="str">
        <f t="shared" si="29"/>
        <v>6 квартал</v>
      </c>
      <c r="I66" s="205" t="str">
        <f t="shared" si="29"/>
        <v>7 квартал</v>
      </c>
      <c r="J66" s="205" t="str">
        <f t="shared" si="29"/>
        <v>8 квартал</v>
      </c>
      <c r="K66" s="205" t="str">
        <f t="shared" si="29"/>
        <v>9 квартал</v>
      </c>
      <c r="L66" s="205" t="str">
        <f t="shared" si="29"/>
        <v>10 квартал</v>
      </c>
      <c r="M66" s="205" t="str">
        <f t="shared" si="29"/>
        <v>11 квартал</v>
      </c>
      <c r="N66" s="205" t="str">
        <f t="shared" si="29"/>
        <v>12 квартал</v>
      </c>
      <c r="O66" s="206" t="str">
        <f t="shared" si="29"/>
        <v>13 квартал</v>
      </c>
      <c r="P66" s="408" t="str">
        <f t="shared" ref="P66" si="30">P18</f>
        <v>14 квартал</v>
      </c>
      <c r="Q66" s="132" t="s">
        <v>69</v>
      </c>
    </row>
    <row r="67" spans="1:17" s="7" customFormat="1">
      <c r="A67" s="133" t="s">
        <v>70</v>
      </c>
      <c r="B67" s="134">
        <f t="shared" ref="B67:B73" si="31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32">G67</f>
        <v>0.14285714285714288</v>
      </c>
      <c r="I67" s="135">
        <f t="shared" si="32"/>
        <v>0.14285714285714288</v>
      </c>
      <c r="J67" s="135">
        <f t="shared" si="32"/>
        <v>0.14285714285714288</v>
      </c>
      <c r="K67" s="135">
        <f t="shared" si="32"/>
        <v>0.14285714285714288</v>
      </c>
      <c r="L67" s="135">
        <f t="shared" si="32"/>
        <v>0.14285714285714288</v>
      </c>
      <c r="M67" s="135">
        <f t="shared" si="32"/>
        <v>0.14285714285714288</v>
      </c>
      <c r="N67" s="136"/>
      <c r="O67" s="137"/>
      <c r="P67" s="136"/>
      <c r="Q67" s="138" t="b">
        <f>B67=100%</f>
        <v>1</v>
      </c>
    </row>
    <row r="68" spans="1:17" s="7" customFormat="1" ht="27.75" customHeight="1">
      <c r="A68" s="139" t="s">
        <v>71</v>
      </c>
      <c r="B68" s="93">
        <f>SUM(C68:M68)</f>
        <v>4793508324.9936466</v>
      </c>
      <c r="C68" s="140">
        <f>'[30]строит (ИТОГО)'!C8</f>
        <v>55948396.90355999</v>
      </c>
      <c r="D68" s="140">
        <f>'[30]строит (ИТОГО)'!D8</f>
        <v>56224004.77008</v>
      </c>
      <c r="E68" s="140">
        <f>'[30]строит (ИТОГО)'!E8</f>
        <v>56664977.356511988</v>
      </c>
      <c r="F68" s="140">
        <f>'[30]строит (ИТОГО)'!F8</f>
        <v>57161071.51624798</v>
      </c>
      <c r="G68" s="141">
        <f>'[30]строит (ИТОГО)'!G8</f>
        <v>349550149.81291765</v>
      </c>
      <c r="H68" s="141">
        <f>'[30]строит (ИТОГО)'!H8</f>
        <v>487082884.93226194</v>
      </c>
      <c r="I68" s="141">
        <f>'[30]строит (ИТОГО)'!I8</f>
        <v>671116179.29086065</v>
      </c>
      <c r="J68" s="141">
        <f>'[30]строит (ИТОГО)'!J8</f>
        <v>824945056.3417995</v>
      </c>
      <c r="K68" s="141">
        <f>'[30]строит (ИТОГО)'!K8</f>
        <v>785404694.03215528</v>
      </c>
      <c r="L68" s="141">
        <f>'[30]строит (ИТОГО)'!L8</f>
        <v>745172133.79059577</v>
      </c>
      <c r="M68" s="141">
        <f>'[30]строит (ИТОГО)'!M8</f>
        <v>704238776.24665558</v>
      </c>
      <c r="N68" s="92">
        <v>0</v>
      </c>
      <c r="O68" s="142">
        <v>0</v>
      </c>
      <c r="P68" s="92">
        <v>0</v>
      </c>
      <c r="Q68" s="143" t="b">
        <f>B68='[30]строит (ИТОГО)'!B8</f>
        <v>1</v>
      </c>
    </row>
    <row r="69" spans="1:17" s="7" customFormat="1">
      <c r="A69" s="144" t="s">
        <v>72</v>
      </c>
      <c r="B69" s="93">
        <f t="shared" si="31"/>
        <v>798918054.16560769</v>
      </c>
      <c r="C69" s="92">
        <f>C68/(1+$B$81)*$B$81</f>
        <v>9324732.817259999</v>
      </c>
      <c r="D69" s="92">
        <f t="shared" ref="D69:M69" si="33">D68/(1+$B$81)*$B$81</f>
        <v>9370667.4616800006</v>
      </c>
      <c r="E69" s="92">
        <f t="shared" si="33"/>
        <v>9444162.8927519973</v>
      </c>
      <c r="F69" s="92">
        <f t="shared" si="33"/>
        <v>9526845.2527079973</v>
      </c>
      <c r="G69" s="92">
        <f>G68/(1+$B$81)*$B$81</f>
        <v>58258358.302152947</v>
      </c>
      <c r="H69" s="92">
        <f>H68/(1+$B$81)*$B$81</f>
        <v>81180480.822043657</v>
      </c>
      <c r="I69" s="92">
        <f>I68/(1+$B$81)*$B$81</f>
        <v>111852696.5484768</v>
      </c>
      <c r="J69" s="92">
        <f>J68/(1+$B$81)*$B$81</f>
        <v>137490842.72363326</v>
      </c>
      <c r="K69" s="92">
        <f>K68/(1+$B$81)*$B$81</f>
        <v>130900782.33869255</v>
      </c>
      <c r="L69" s="92">
        <f t="shared" si="33"/>
        <v>124195355.63176596</v>
      </c>
      <c r="M69" s="92">
        <f t="shared" si="33"/>
        <v>117373129.37444261</v>
      </c>
      <c r="N69" s="92"/>
      <c r="O69" s="142"/>
      <c r="P69" s="92"/>
      <c r="Q69" s="143"/>
    </row>
    <row r="70" spans="1:17" s="7" customFormat="1" hidden="1">
      <c r="A70" s="145" t="s">
        <v>73</v>
      </c>
      <c r="B70" s="93">
        <f>SUM(C70:M70)</f>
        <v>0</v>
      </c>
      <c r="C70" s="93">
        <f>0%*C48</f>
        <v>0</v>
      </c>
      <c r="D70" s="93">
        <f t="shared" ref="D70:M70" si="34">0%*D48</f>
        <v>0</v>
      </c>
      <c r="E70" s="93">
        <f t="shared" si="34"/>
        <v>0</v>
      </c>
      <c r="F70" s="93">
        <f t="shared" si="34"/>
        <v>0</v>
      </c>
      <c r="G70" s="93">
        <f t="shared" si="34"/>
        <v>0</v>
      </c>
      <c r="H70" s="93"/>
      <c r="I70" s="93"/>
      <c r="J70" s="93"/>
      <c r="K70" s="93"/>
      <c r="L70" s="93">
        <f t="shared" si="34"/>
        <v>0</v>
      </c>
      <c r="M70" s="93">
        <f t="shared" si="34"/>
        <v>0</v>
      </c>
      <c r="N70" s="93"/>
      <c r="O70" s="128"/>
      <c r="P70" s="93"/>
      <c r="Q70" s="143"/>
    </row>
    <row r="71" spans="1:17" s="7" customFormat="1" hidden="1">
      <c r="A71" s="91" t="s">
        <v>74</v>
      </c>
      <c r="B71" s="93">
        <f t="shared" si="31"/>
        <v>0</v>
      </c>
      <c r="C71" s="92">
        <f>C70/(1+$B$81)*$B$81</f>
        <v>0</v>
      </c>
      <c r="D71" s="92">
        <f>D70/(1+$B$81)*$B$81</f>
        <v>0</v>
      </c>
      <c r="E71" s="92">
        <f>E70/(1+$B$81)*$B$81</f>
        <v>0</v>
      </c>
      <c r="F71" s="92">
        <f>F70/(1+$B$81)*$B$81</f>
        <v>0</v>
      </c>
      <c r="G71" s="92">
        <f>G70/(1+$B$81)*$B$81</f>
        <v>0</v>
      </c>
      <c r="H71" s="92"/>
      <c r="I71" s="92"/>
      <c r="J71" s="92"/>
      <c r="K71" s="92"/>
      <c r="L71" s="92">
        <f>L70/(1+$B$81)*$B$81</f>
        <v>0</v>
      </c>
      <c r="M71" s="92">
        <f>M70/(1+$B$81)*$B$81</f>
        <v>0</v>
      </c>
      <c r="N71" s="92"/>
      <c r="O71" s="142"/>
      <c r="P71" s="92"/>
      <c r="Q71" s="143"/>
    </row>
    <row r="72" spans="1:17" s="7" customFormat="1" hidden="1">
      <c r="A72" s="145" t="s">
        <v>75</v>
      </c>
      <c r="B72" s="93">
        <f t="shared" si="31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128"/>
      <c r="P72" s="93"/>
      <c r="Q72" s="143"/>
    </row>
    <row r="73" spans="1:17" s="7" customFormat="1" hidden="1">
      <c r="A73" s="91" t="s">
        <v>74</v>
      </c>
      <c r="B73" s="93">
        <f t="shared" si="31"/>
        <v>0</v>
      </c>
      <c r="C73" s="92">
        <f>C72/(1+$B$81)*$B$81</f>
        <v>0</v>
      </c>
      <c r="D73" s="92">
        <f>D72/(1+$B$81)*$B$81</f>
        <v>0</v>
      </c>
      <c r="E73" s="92">
        <f>E72/(1+$B$81)*$B$81</f>
        <v>0</v>
      </c>
      <c r="F73" s="92">
        <f>F72/(1+$B$81)*$B$81</f>
        <v>0</v>
      </c>
      <c r="G73" s="92">
        <f>G72/(1+$B$81)*$B$81</f>
        <v>0</v>
      </c>
      <c r="H73" s="92"/>
      <c r="I73" s="92"/>
      <c r="J73" s="92"/>
      <c r="K73" s="92"/>
      <c r="L73" s="92">
        <f>L72/(1+$B$81)*$B$81</f>
        <v>0</v>
      </c>
      <c r="M73" s="92">
        <f>M72/(1+$B$81)*$B$81</f>
        <v>0</v>
      </c>
      <c r="N73" s="92"/>
      <c r="O73" s="142"/>
      <c r="P73" s="92"/>
      <c r="Q73" s="143"/>
    </row>
    <row r="74" spans="1:17" s="7" customFormat="1" ht="29.25" hidden="1" customHeight="1">
      <c r="A74" s="146" t="s">
        <v>76</v>
      </c>
      <c r="B74" s="147">
        <f>SUM(C74:M74)</f>
        <v>0</v>
      </c>
      <c r="C74" s="147">
        <f t="shared" ref="C74:L74" si="35">$B$118*C63</f>
        <v>0</v>
      </c>
      <c r="D74" s="147">
        <f t="shared" si="35"/>
        <v>0</v>
      </c>
      <c r="E74" s="147">
        <f t="shared" si="35"/>
        <v>0</v>
      </c>
      <c r="F74" s="147">
        <f t="shared" si="35"/>
        <v>0</v>
      </c>
      <c r="G74" s="147">
        <f t="shared" si="35"/>
        <v>0</v>
      </c>
      <c r="H74" s="147">
        <f t="shared" si="35"/>
        <v>0</v>
      </c>
      <c r="I74" s="147">
        <f t="shared" si="35"/>
        <v>0</v>
      </c>
      <c r="J74" s="147">
        <f t="shared" si="35"/>
        <v>0</v>
      </c>
      <c r="K74" s="147">
        <f t="shared" si="35"/>
        <v>0</v>
      </c>
      <c r="L74" s="147">
        <f t="shared" si="35"/>
        <v>0</v>
      </c>
      <c r="M74" s="93">
        <f>$B$118*(M63-M47)</f>
        <v>0</v>
      </c>
      <c r="N74" s="92"/>
      <c r="O74" s="142"/>
      <c r="P74" s="92"/>
      <c r="Q74" s="143"/>
    </row>
    <row r="75" spans="1:17" s="7" customFormat="1" ht="12" customHeight="1">
      <c r="A75" s="145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150">
        <f>'[30]строит (ИТОГО)'!$B$9*0.003/4</f>
        <v>560267.39925000002</v>
      </c>
      <c r="P75" s="149">
        <f>'[30]строит (ИТОГО)'!$B$9*0.003/4</f>
        <v>560267.39925000002</v>
      </c>
      <c r="Q75" s="143"/>
    </row>
    <row r="76" spans="1:17" s="7" customFormat="1" ht="24" customHeight="1">
      <c r="A76" s="218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36">D68+D70+D72+D74+D75</f>
        <v>57344539.568580002</v>
      </c>
      <c r="E76" s="215">
        <f t="shared" si="36"/>
        <v>57785512.155011989</v>
      </c>
      <c r="F76" s="215">
        <f t="shared" si="36"/>
        <v>58281606.314747982</v>
      </c>
      <c r="G76" s="215">
        <f t="shared" si="36"/>
        <v>350670684.61141765</v>
      </c>
      <c r="H76" s="215">
        <f t="shared" si="36"/>
        <v>488203419.73076195</v>
      </c>
      <c r="I76" s="215">
        <f t="shared" si="36"/>
        <v>672236714.08936059</v>
      </c>
      <c r="J76" s="215">
        <f t="shared" si="36"/>
        <v>826065591.14029944</v>
      </c>
      <c r="K76" s="215">
        <f t="shared" si="36"/>
        <v>786525228.83065522</v>
      </c>
      <c r="L76" s="215">
        <f t="shared" si="36"/>
        <v>746292668.58909571</v>
      </c>
      <c r="M76" s="215">
        <f t="shared" si="36"/>
        <v>705359311.04515553</v>
      </c>
      <c r="N76" s="215">
        <f>N75</f>
        <v>560267.39925000002</v>
      </c>
      <c r="O76" s="217">
        <f>O75</f>
        <v>560267.39925000002</v>
      </c>
      <c r="P76" s="215">
        <f>P75</f>
        <v>560267.39925000002</v>
      </c>
      <c r="Q76" s="143"/>
    </row>
    <row r="77" spans="1:17" s="7" customFormat="1">
      <c r="A77" s="91" t="s">
        <v>65</v>
      </c>
      <c r="B77" s="151">
        <f>SUM(C77:M77)</f>
        <v>798918054.16560769</v>
      </c>
      <c r="C77" s="151">
        <f>C69+C71+C73</f>
        <v>9324732.817259999</v>
      </c>
      <c r="D77" s="151">
        <f t="shared" ref="D77:M77" si="37">D69+D71+D73</f>
        <v>9370667.4616800006</v>
      </c>
      <c r="E77" s="151">
        <f t="shared" si="37"/>
        <v>9444162.8927519973</v>
      </c>
      <c r="F77" s="151">
        <f t="shared" si="37"/>
        <v>9526845.2527079973</v>
      </c>
      <c r="G77" s="151">
        <f>G69+G71+G73</f>
        <v>58258358.302152947</v>
      </c>
      <c r="H77" s="151">
        <f t="shared" si="37"/>
        <v>81180480.822043657</v>
      </c>
      <c r="I77" s="151">
        <f t="shared" si="37"/>
        <v>111852696.5484768</v>
      </c>
      <c r="J77" s="151">
        <f t="shared" si="37"/>
        <v>137490842.72363326</v>
      </c>
      <c r="K77" s="151">
        <f t="shared" si="37"/>
        <v>130900782.33869255</v>
      </c>
      <c r="L77" s="151">
        <f t="shared" si="37"/>
        <v>124195355.63176596</v>
      </c>
      <c r="M77" s="151">
        <f t="shared" si="37"/>
        <v>117373129.37444261</v>
      </c>
      <c r="N77" s="30"/>
      <c r="O77" s="31"/>
      <c r="P77" s="30"/>
      <c r="Q77" s="143"/>
    </row>
    <row r="78" spans="1:17" s="156" customFormat="1">
      <c r="A78" s="152"/>
      <c r="B78" s="147"/>
      <c r="C78" s="147"/>
      <c r="D78" s="147"/>
      <c r="E78" s="147"/>
      <c r="F78" s="153"/>
      <c r="G78" s="153"/>
      <c r="H78" s="153"/>
      <c r="I78" s="153"/>
      <c r="J78" s="153"/>
      <c r="K78" s="153"/>
      <c r="L78" s="153"/>
      <c r="M78" s="154"/>
      <c r="N78" s="154"/>
      <c r="O78" s="155"/>
      <c r="P78" s="154"/>
      <c r="Q78" s="138"/>
    </row>
    <row r="79" spans="1:17" s="6" customFormat="1">
      <c r="A79" s="207" t="s">
        <v>79</v>
      </c>
      <c r="B79" s="208">
        <f>SUM(C79:O79)</f>
        <v>2712997813.5381207</v>
      </c>
      <c r="C79" s="208">
        <f>C63-C76</f>
        <v>-804092130.70205998</v>
      </c>
      <c r="D79" s="208">
        <f t="shared" ref="D79:O79" si="38">D63-D76</f>
        <v>-57344539.568580002</v>
      </c>
      <c r="E79" s="208">
        <f t="shared" si="38"/>
        <v>-57785512.155011989</v>
      </c>
      <c r="F79" s="208">
        <f t="shared" si="38"/>
        <v>-58281606.314747982</v>
      </c>
      <c r="G79" s="208">
        <f t="shared" si="38"/>
        <v>1152892958.1301308</v>
      </c>
      <c r="H79" s="208">
        <f t="shared" si="38"/>
        <v>744310599.33327556</v>
      </c>
      <c r="I79" s="208">
        <f t="shared" si="38"/>
        <v>506676124.06776321</v>
      </c>
      <c r="J79" s="208">
        <f t="shared" si="38"/>
        <v>353314552.63594449</v>
      </c>
      <c r="K79" s="208">
        <f t="shared" si="38"/>
        <v>238615148.01438987</v>
      </c>
      <c r="L79" s="208">
        <f t="shared" si="38"/>
        <v>79681704.051716685</v>
      </c>
      <c r="M79" s="208">
        <f t="shared" si="38"/>
        <v>26723759.637658358</v>
      </c>
      <c r="N79" s="208">
        <f t="shared" si="38"/>
        <v>352698311.77086765</v>
      </c>
      <c r="O79" s="209">
        <f t="shared" si="38"/>
        <v>235588444.636774</v>
      </c>
      <c r="P79" s="208">
        <f t="shared" ref="P79" si="39">P63-P76</f>
        <v>347933191.88569367</v>
      </c>
      <c r="Q79" s="157"/>
    </row>
    <row r="80" spans="1:17" s="6" customFormat="1" hidden="1">
      <c r="A80" s="207" t="s">
        <v>80</v>
      </c>
      <c r="B80" s="208">
        <f>SUM(C80:O80)</f>
        <v>3473467430.120121</v>
      </c>
      <c r="C80" s="208">
        <f t="shared" ref="C80:O80" si="40">C63-C76+C75</f>
        <v>-55948396.903560042</v>
      </c>
      <c r="D80" s="208">
        <f t="shared" si="40"/>
        <v>-56224004.77008</v>
      </c>
      <c r="E80" s="208">
        <f t="shared" si="40"/>
        <v>-56664977.356511988</v>
      </c>
      <c r="F80" s="208">
        <f t="shared" si="40"/>
        <v>-57161071.51624798</v>
      </c>
      <c r="G80" s="208">
        <f t="shared" si="40"/>
        <v>1154013492.9286308</v>
      </c>
      <c r="H80" s="208">
        <f t="shared" si="40"/>
        <v>745431134.1317755</v>
      </c>
      <c r="I80" s="208">
        <f t="shared" si="40"/>
        <v>507796658.86626321</v>
      </c>
      <c r="J80" s="208">
        <f t="shared" si="40"/>
        <v>354435087.43444449</v>
      </c>
      <c r="K80" s="208">
        <f t="shared" si="40"/>
        <v>239735682.81288987</v>
      </c>
      <c r="L80" s="208">
        <f t="shared" si="40"/>
        <v>80802238.850216687</v>
      </c>
      <c r="M80" s="208">
        <f t="shared" si="40"/>
        <v>27844294.436158359</v>
      </c>
      <c r="N80" s="208">
        <f t="shared" si="40"/>
        <v>353258579.17011762</v>
      </c>
      <c r="O80" s="209">
        <f t="shared" si="40"/>
        <v>236148712.036024</v>
      </c>
      <c r="P80" s="208">
        <f t="shared" ref="P80" si="41">P63-P76+P75</f>
        <v>348493459.28494364</v>
      </c>
      <c r="Q80" s="157"/>
    </row>
    <row r="81" spans="1:17" s="6" customFormat="1">
      <c r="A81" s="207" t="s">
        <v>81</v>
      </c>
      <c r="B81" s="210">
        <v>0.2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9">
        <v>0</v>
      </c>
      <c r="P81" s="208">
        <v>0</v>
      </c>
      <c r="Q81" s="157">
        <f>B80/(1+B81)*B81</f>
        <v>578911238.3533535</v>
      </c>
    </row>
    <row r="82" spans="1:17" s="6" customFormat="1">
      <c r="A82" s="207" t="s">
        <v>82</v>
      </c>
      <c r="B82" s="208">
        <f>SUM(C82:Q82)</f>
        <v>2482019767.0704608</v>
      </c>
      <c r="C82" s="208">
        <f>C79-C81</f>
        <v>-804092130.70205998</v>
      </c>
      <c r="D82" s="208">
        <f t="shared" ref="D82:M82" si="42">D79-D81</f>
        <v>-57344539.568580002</v>
      </c>
      <c r="E82" s="208">
        <f t="shared" si="42"/>
        <v>-57785512.155011989</v>
      </c>
      <c r="F82" s="208">
        <f t="shared" si="42"/>
        <v>-58281606.314747982</v>
      </c>
      <c r="G82" s="208">
        <f t="shared" si="42"/>
        <v>1152892958.1301308</v>
      </c>
      <c r="H82" s="208">
        <f>H79-H81</f>
        <v>744310599.33327556</v>
      </c>
      <c r="I82" s="208">
        <f>I79-I81</f>
        <v>506676124.06776321</v>
      </c>
      <c r="J82" s="208">
        <f>J79-J81</f>
        <v>353314552.63594449</v>
      </c>
      <c r="K82" s="208">
        <f>K79-K81</f>
        <v>238615148.01438987</v>
      </c>
      <c r="L82" s="208">
        <f t="shared" si="42"/>
        <v>79681704.051716685</v>
      </c>
      <c r="M82" s="208">
        <f t="shared" si="42"/>
        <v>26723759.637658358</v>
      </c>
      <c r="N82" s="208">
        <f>N79-N81</f>
        <v>352698311.77086765</v>
      </c>
      <c r="O82" s="209">
        <f>O79-O81</f>
        <v>235588444.636774</v>
      </c>
      <c r="P82" s="208">
        <f>P79-P81</f>
        <v>347933191.88569367</v>
      </c>
      <c r="Q82" s="244">
        <f>Q79-Q81</f>
        <v>-578911238.3533535</v>
      </c>
    </row>
    <row r="83" spans="1:17" s="158" customFormat="1">
      <c r="A83" s="211" t="s">
        <v>83</v>
      </c>
      <c r="B83" s="212">
        <v>0.2</v>
      </c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3">
        <v>0</v>
      </c>
      <c r="P83" s="212">
        <v>0</v>
      </c>
      <c r="Q83" s="157">
        <f>B82*B83</f>
        <v>496403953.41409218</v>
      </c>
    </row>
    <row r="84" spans="1:17" s="6" customFormat="1">
      <c r="A84" s="207" t="s">
        <v>84</v>
      </c>
      <c r="B84" s="208">
        <f>SUM(C84:Q84)</f>
        <v>1985615813.6563687</v>
      </c>
      <c r="C84" s="208">
        <f>C82-C83</f>
        <v>-804092130.70205998</v>
      </c>
      <c r="D84" s="208">
        <f t="shared" ref="D84:N84" si="43">D82-D83</f>
        <v>-57344539.568580002</v>
      </c>
      <c r="E84" s="208">
        <f t="shared" si="43"/>
        <v>-57785512.155011989</v>
      </c>
      <c r="F84" s="208">
        <f t="shared" si="43"/>
        <v>-58281606.314747982</v>
      </c>
      <c r="G84" s="208">
        <f t="shared" si="43"/>
        <v>1152892958.1301308</v>
      </c>
      <c r="H84" s="208">
        <f>H82-H83</f>
        <v>744310599.33327556</v>
      </c>
      <c r="I84" s="208">
        <f>I82-I83</f>
        <v>506676124.06776321</v>
      </c>
      <c r="J84" s="208">
        <f>J82-J83</f>
        <v>353314552.63594449</v>
      </c>
      <c r="K84" s="208">
        <f>K82-K83</f>
        <v>238615148.01438987</v>
      </c>
      <c r="L84" s="208">
        <f t="shared" si="43"/>
        <v>79681704.051716685</v>
      </c>
      <c r="M84" s="208">
        <f t="shared" si="43"/>
        <v>26723759.637658358</v>
      </c>
      <c r="N84" s="208">
        <f t="shared" si="43"/>
        <v>352698311.77086765</v>
      </c>
      <c r="O84" s="209">
        <f>O82-O83</f>
        <v>235588444.636774</v>
      </c>
      <c r="P84" s="208">
        <f t="shared" ref="P84" si="44">P82-P83</f>
        <v>347933191.88569367</v>
      </c>
      <c r="Q84" s="245">
        <f>Q82-Q83</f>
        <v>-1075315191.7674456</v>
      </c>
    </row>
    <row r="85" spans="1:17" s="6" customFormat="1" hidden="1">
      <c r="A85" s="159" t="s">
        <v>85</v>
      </c>
      <c r="B85" s="160">
        <f>IRR(C85:O85)</f>
        <v>0.27764305373595022</v>
      </c>
      <c r="C85" s="161">
        <f t="shared" ref="C85:O85" si="45">C84</f>
        <v>-804092130.70205998</v>
      </c>
      <c r="D85" s="161">
        <f t="shared" si="45"/>
        <v>-57344539.568580002</v>
      </c>
      <c r="E85" s="161">
        <f t="shared" si="45"/>
        <v>-57785512.155011989</v>
      </c>
      <c r="F85" s="161">
        <f t="shared" si="45"/>
        <v>-58281606.314747982</v>
      </c>
      <c r="G85" s="161">
        <f t="shared" si="45"/>
        <v>1152892958.1301308</v>
      </c>
      <c r="H85" s="161">
        <f>H84</f>
        <v>744310599.33327556</v>
      </c>
      <c r="I85" s="161">
        <f>I84</f>
        <v>506676124.06776321</v>
      </c>
      <c r="J85" s="161">
        <f>J84</f>
        <v>353314552.63594449</v>
      </c>
      <c r="K85" s="161">
        <f>K84</f>
        <v>238615148.01438987</v>
      </c>
      <c r="L85" s="161">
        <f t="shared" si="45"/>
        <v>79681704.051716685</v>
      </c>
      <c r="M85" s="161">
        <f t="shared" si="45"/>
        <v>26723759.637658358</v>
      </c>
      <c r="N85" s="161">
        <f t="shared" si="45"/>
        <v>352698311.77086765</v>
      </c>
      <c r="O85" s="162">
        <f t="shared" si="45"/>
        <v>235588444.636774</v>
      </c>
      <c r="P85" s="161">
        <f t="shared" ref="P85" si="46">P84</f>
        <v>347933191.88569367</v>
      </c>
      <c r="Q85" s="157"/>
    </row>
    <row r="86" spans="1:17">
      <c r="A86" s="42" t="s">
        <v>86</v>
      </c>
      <c r="B86" s="163">
        <v>19</v>
      </c>
      <c r="C86" s="164">
        <f>(POWER((1+$B$86/100),1/4)-1)*100</f>
        <v>4.4447802172789874</v>
      </c>
      <c r="D86" s="164">
        <f t="shared" ref="D86:M86" si="47">(POWER((1+$B$86/100),1/4)-1)*100</f>
        <v>4.4447802172789874</v>
      </c>
      <c r="E86" s="164">
        <f t="shared" si="47"/>
        <v>4.4447802172789874</v>
      </c>
      <c r="F86" s="164">
        <f t="shared" si="47"/>
        <v>4.4447802172789874</v>
      </c>
      <c r="G86" s="164">
        <f t="shared" si="47"/>
        <v>4.4447802172789874</v>
      </c>
      <c r="H86" s="164">
        <f t="shared" si="47"/>
        <v>4.4447802172789874</v>
      </c>
      <c r="I86" s="164">
        <f t="shared" si="47"/>
        <v>4.4447802172789874</v>
      </c>
      <c r="J86" s="164">
        <f t="shared" si="47"/>
        <v>4.4447802172789874</v>
      </c>
      <c r="K86" s="164">
        <f t="shared" si="47"/>
        <v>4.4447802172789874</v>
      </c>
      <c r="L86" s="164">
        <f t="shared" si="47"/>
        <v>4.4447802172789874</v>
      </c>
      <c r="M86" s="164">
        <f t="shared" si="47"/>
        <v>4.4447802172789874</v>
      </c>
      <c r="N86" s="164">
        <f>M86</f>
        <v>4.4447802172789874</v>
      </c>
      <c r="O86" s="165">
        <f>N86</f>
        <v>4.4447802172789874</v>
      </c>
      <c r="P86" s="164">
        <f>O86</f>
        <v>4.4447802172789874</v>
      </c>
      <c r="Q86" s="166">
        <f>O86</f>
        <v>4.4447802172789874</v>
      </c>
    </row>
    <row r="87" spans="1:17">
      <c r="A87" s="42" t="s">
        <v>87</v>
      </c>
      <c r="B87" s="167"/>
      <c r="C87" s="168">
        <f>1/(1+C86/100)^0.5</f>
        <v>0.9784905367330925</v>
      </c>
      <c r="D87" s="168">
        <f>C87/(1+D86/100)</f>
        <v>0.9368496297254062</v>
      </c>
      <c r="E87" s="168">
        <f>D87/(1+E86/100)</f>
        <v>0.89698080437955385</v>
      </c>
      <c r="F87" s="168">
        <f>E87/(1+F86/100)</f>
        <v>0.85880864751071628</v>
      </c>
      <c r="G87" s="168">
        <f t="shared" ref="G87:P87" si="48">F87/(1+G86/100)</f>
        <v>0.82226095523789322</v>
      </c>
      <c r="H87" s="168">
        <f t="shared" si="48"/>
        <v>0.7872685964079047</v>
      </c>
      <c r="I87" s="168">
        <f t="shared" si="48"/>
        <v>0.75376538183155817</v>
      </c>
      <c r="J87" s="168">
        <f t="shared" si="48"/>
        <v>0.7216879390846358</v>
      </c>
      <c r="K87" s="168">
        <f t="shared" si="48"/>
        <v>0.69097559263688524</v>
      </c>
      <c r="L87" s="168">
        <f t="shared" si="48"/>
        <v>0.66157024908227302</v>
      </c>
      <c r="M87" s="168">
        <f t="shared" si="48"/>
        <v>0.63341628725341037</v>
      </c>
      <c r="N87" s="168">
        <f t="shared" si="48"/>
        <v>0.60646045301229912</v>
      </c>
      <c r="O87" s="169">
        <f t="shared" si="48"/>
        <v>0.58065175851839113</v>
      </c>
      <c r="P87" s="168">
        <f t="shared" si="48"/>
        <v>0.55594138578342289</v>
      </c>
      <c r="Q87" s="170">
        <f>O87/(1+Q86/100)</f>
        <v>0.55594138578342289</v>
      </c>
    </row>
    <row r="88" spans="1:17" ht="26.25" customHeight="1" thickBot="1">
      <c r="A88" s="171" t="s">
        <v>100</v>
      </c>
      <c r="B88" s="172">
        <f>SUM(C88:Q88)</f>
        <v>1409274223.7570753</v>
      </c>
      <c r="C88" s="173">
        <f>C84*C87</f>
        <v>-786796540.5535146</v>
      </c>
      <c r="D88" s="173">
        <f>D84*D87</f>
        <v>-53723210.661598079</v>
      </c>
      <c r="E88" s="173">
        <f>E84*E87</f>
        <v>-51832495.17428714</v>
      </c>
      <c r="F88" s="173">
        <f>F84*F87</f>
        <v>-50052747.493920736</v>
      </c>
      <c r="G88" s="173">
        <f>G84*G87</f>
        <v>947978865.03912175</v>
      </c>
      <c r="H88" s="173">
        <f t="shared" ref="H88:N88" si="49">H84*H87</f>
        <v>585972360.82863414</v>
      </c>
      <c r="I88" s="173">
        <f t="shared" si="49"/>
        <v>381914922.12287146</v>
      </c>
      <c r="J88" s="173">
        <f t="shared" si="49"/>
        <v>254982851.34044486</v>
      </c>
      <c r="K88" s="173">
        <f t="shared" si="49"/>
        <v>164877243.31138113</v>
      </c>
      <c r="L88" s="173">
        <f t="shared" si="49"/>
        <v>52715044.796794169</v>
      </c>
      <c r="M88" s="173">
        <f t="shared" si="49"/>
        <v>16927264.611138102</v>
      </c>
      <c r="N88" s="173">
        <f t="shared" si="49"/>
        <v>213897577.9332335</v>
      </c>
      <c r="O88" s="174">
        <f>O84*O87</f>
        <v>136794844.66495547</v>
      </c>
      <c r="P88" s="173">
        <f t="shared" ref="P88" si="50">P84*P87</f>
        <v>193430460.85698214</v>
      </c>
      <c r="Q88" s="175">
        <f>Q84*Q87</f>
        <v>-597812217.86516082</v>
      </c>
    </row>
    <row r="89" spans="1:17" s="14" customFormat="1" ht="13.5" thickTop="1">
      <c r="A89" s="176"/>
      <c r="B89" s="177"/>
      <c r="C89" s="178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spans="1:17" s="190" customFormat="1" ht="18.75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91"/>
    </row>
    <row r="91" spans="1:17" s="14" customFormat="1" ht="15.75">
      <c r="A91" s="480" t="s">
        <v>101</v>
      </c>
      <c r="B91" s="480"/>
      <c r="C91" s="480"/>
      <c r="D91" s="480"/>
      <c r="E91" s="480"/>
      <c r="F91" s="409"/>
      <c r="G91" s="411"/>
      <c r="H91" s="193"/>
      <c r="I91" s="193"/>
      <c r="J91" s="193"/>
      <c r="K91" s="193"/>
      <c r="L91" s="193"/>
    </row>
    <row r="92" spans="1:17" ht="15.75">
      <c r="A92" s="460" t="s">
        <v>102</v>
      </c>
      <c r="B92" s="460"/>
      <c r="C92" s="460"/>
      <c r="D92" s="481">
        <f>B84</f>
        <v>1985615813.6563687</v>
      </c>
      <c r="E92" s="481"/>
      <c r="F92" s="410"/>
      <c r="G92" s="412"/>
    </row>
    <row r="93" spans="1:17" ht="15.75">
      <c r="A93" s="460" t="s">
        <v>103</v>
      </c>
      <c r="B93" s="460"/>
      <c r="C93" s="460"/>
      <c r="D93" s="481">
        <f>B88</f>
        <v>1409274223.7570753</v>
      </c>
      <c r="E93" s="481"/>
      <c r="F93" s="410"/>
      <c r="G93" s="412"/>
    </row>
    <row r="94" spans="1:17" ht="15.75">
      <c r="A94" s="460" t="s">
        <v>104</v>
      </c>
      <c r="B94" s="460"/>
      <c r="C94" s="460"/>
      <c r="D94" s="404"/>
      <c r="E94" s="404"/>
      <c r="F94" s="410"/>
      <c r="G94" s="412"/>
    </row>
    <row r="95" spans="1:17" ht="15.75">
      <c r="A95" s="460" t="s">
        <v>105</v>
      </c>
      <c r="B95" s="460"/>
      <c r="C95" s="460"/>
      <c r="D95" s="404"/>
      <c r="E95" s="404"/>
      <c r="F95" s="410"/>
      <c r="G95" s="412"/>
    </row>
    <row r="96" spans="1:17" ht="15.75">
      <c r="A96" s="460" t="s">
        <v>106</v>
      </c>
      <c r="B96" s="460"/>
      <c r="C96" s="460"/>
      <c r="D96" s="405"/>
      <c r="E96" s="405">
        <f>(1+D96)^4-1</f>
        <v>0</v>
      </c>
      <c r="F96" s="410"/>
      <c r="G96" s="412"/>
    </row>
    <row r="97" spans="1:14" ht="15.75">
      <c r="A97" s="460" t="s">
        <v>107</v>
      </c>
      <c r="B97" s="460"/>
      <c r="C97" s="460"/>
      <c r="D97" s="461"/>
      <c r="E97" s="461"/>
      <c r="F97" s="410"/>
      <c r="G97" s="412"/>
    </row>
    <row r="98" spans="1:14" ht="15.75">
      <c r="A98" s="482" t="s">
        <v>108</v>
      </c>
      <c r="B98" s="483"/>
      <c r="C98" s="483"/>
      <c r="D98" s="484"/>
      <c r="E98" s="363"/>
    </row>
    <row r="99" spans="1:14" ht="15.75">
      <c r="A99" s="485"/>
      <c r="B99" s="485"/>
      <c r="C99" s="485"/>
      <c r="D99" s="485"/>
      <c r="E99" s="363"/>
    </row>
    <row r="100" spans="1:14" ht="15.75">
      <c r="A100" s="485"/>
      <c r="B100" s="485"/>
      <c r="C100" s="485"/>
      <c r="D100" s="485"/>
      <c r="E100" s="363"/>
    </row>
    <row r="101" spans="1:14" ht="15.75">
      <c r="A101" s="485"/>
      <c r="B101" s="485"/>
      <c r="C101" s="485"/>
      <c r="D101" s="485"/>
      <c r="E101" s="363"/>
    </row>
    <row r="102" spans="1:14" ht="15.75">
      <c r="A102" s="485"/>
      <c r="B102" s="485"/>
      <c r="C102" s="485"/>
      <c r="D102" s="485"/>
      <c r="E102" s="363"/>
    </row>
    <row r="103" spans="1:14" ht="15.75">
      <c r="A103" s="485"/>
      <c r="B103" s="485"/>
      <c r="C103" s="485"/>
      <c r="D103" s="485"/>
      <c r="E103" s="363"/>
    </row>
    <row r="104" spans="1:14" ht="15.75">
      <c r="A104" s="485"/>
      <c r="B104" s="485"/>
      <c r="C104" s="485"/>
      <c r="D104" s="485"/>
      <c r="E104" s="363"/>
    </row>
    <row r="105" spans="1:14" ht="15.75">
      <c r="A105" s="485"/>
      <c r="B105" s="485"/>
      <c r="C105" s="485"/>
      <c r="D105" s="485"/>
      <c r="E105" s="363"/>
    </row>
    <row r="111" spans="1:14" s="14" customFormat="1" ht="12.75" customHeight="1">
      <c r="A111" s="475" t="s">
        <v>88</v>
      </c>
      <c r="B111" s="475"/>
      <c r="C111" s="475"/>
      <c r="D111" s="475"/>
      <c r="E111" s="475"/>
      <c r="F111" s="475"/>
      <c r="G111" s="475"/>
      <c r="H111" s="475"/>
      <c r="I111" s="475"/>
      <c r="J111" s="475"/>
      <c r="K111" s="475"/>
      <c r="L111" s="185"/>
      <c r="M111" s="185"/>
      <c r="N111" s="184"/>
    </row>
    <row r="112" spans="1:14" s="14" customFormat="1" ht="12.75" customHeight="1">
      <c r="A112" s="475"/>
      <c r="B112" s="475"/>
      <c r="C112" s="475"/>
      <c r="D112" s="475"/>
      <c r="E112" s="475"/>
      <c r="F112" s="475"/>
      <c r="G112" s="475"/>
      <c r="H112" s="475"/>
      <c r="I112" s="475"/>
      <c r="J112" s="475"/>
      <c r="K112" s="475"/>
      <c r="L112" s="186"/>
      <c r="M112" s="186"/>
      <c r="N112" s="184"/>
    </row>
    <row r="113" spans="1:14" s="14" customFormat="1" ht="12.75" customHeight="1">
      <c r="A113" s="475"/>
      <c r="B113" s="475"/>
      <c r="C113" s="475"/>
      <c r="D113" s="475"/>
      <c r="E113" s="475"/>
      <c r="F113" s="475"/>
      <c r="G113" s="475"/>
      <c r="H113" s="475"/>
      <c r="I113" s="475"/>
      <c r="J113" s="475"/>
      <c r="K113" s="475"/>
      <c r="L113" s="186"/>
      <c r="M113" s="186"/>
      <c r="N113" s="184"/>
    </row>
    <row r="114" spans="1:14" s="14" customFormat="1" ht="26.25" customHeight="1">
      <c r="A114" s="475"/>
      <c r="B114" s="475"/>
      <c r="C114" s="475"/>
      <c r="D114" s="475"/>
      <c r="E114" s="475"/>
      <c r="F114" s="475"/>
      <c r="G114" s="475"/>
      <c r="H114" s="475"/>
      <c r="I114" s="475"/>
      <c r="J114" s="475"/>
      <c r="K114" s="475"/>
      <c r="L114" s="186"/>
      <c r="M114" s="186"/>
      <c r="N114" s="184"/>
    </row>
    <row r="115" spans="1:14" s="14" customFormat="1" ht="26.25" customHeight="1">
      <c r="A115" s="475"/>
      <c r="B115" s="475"/>
      <c r="C115" s="475"/>
      <c r="D115" s="475"/>
      <c r="E115" s="475"/>
      <c r="F115" s="475"/>
      <c r="G115" s="475"/>
      <c r="H115" s="475"/>
      <c r="I115" s="475"/>
      <c r="J115" s="475"/>
      <c r="K115" s="475"/>
      <c r="L115" s="187"/>
      <c r="M115" s="187"/>
      <c r="N115" s="184"/>
    </row>
    <row r="116" spans="1:14" s="14" customFormat="1" ht="39.75" hidden="1" customHeight="1" outlineLevel="1">
      <c r="A116" s="475"/>
      <c r="B116" s="475"/>
      <c r="C116" s="475"/>
      <c r="D116" s="475"/>
      <c r="E116" s="475"/>
      <c r="F116" s="475"/>
      <c r="G116" s="475"/>
      <c r="H116" s="475"/>
      <c r="I116" s="475"/>
      <c r="J116" s="475"/>
      <c r="K116" s="475"/>
      <c r="L116" s="187"/>
      <c r="M116" s="187"/>
      <c r="N116" s="184"/>
    </row>
    <row r="117" spans="1:14" s="190" customFormat="1" ht="65.25" hidden="1" customHeight="1" outlineLevel="1">
      <c r="A117" s="475"/>
      <c r="B117" s="475"/>
      <c r="C117" s="475"/>
      <c r="D117" s="475"/>
      <c r="E117" s="475"/>
      <c r="F117" s="475"/>
      <c r="G117" s="475"/>
      <c r="H117" s="475"/>
      <c r="I117" s="475"/>
      <c r="J117" s="475"/>
      <c r="K117" s="475"/>
      <c r="L117" s="188"/>
      <c r="M117" s="189"/>
      <c r="N117" s="189"/>
    </row>
    <row r="118" spans="1:14" s="189" customFormat="1" ht="18.75" collapsed="1">
      <c r="A118" s="475"/>
      <c r="B118" s="475"/>
      <c r="C118" s="475"/>
      <c r="D118" s="475"/>
      <c r="E118" s="475"/>
      <c r="F118" s="475"/>
      <c r="G118" s="475"/>
      <c r="H118" s="475"/>
      <c r="I118" s="475"/>
      <c r="J118" s="475"/>
      <c r="K118" s="475"/>
      <c r="L118" s="188"/>
    </row>
    <row r="130" spans="2:29">
      <c r="C130" s="196"/>
    </row>
    <row r="131" spans="2:29">
      <c r="B131" s="22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9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4" spans="2:29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C134" s="197"/>
    </row>
    <row r="136" spans="2:29">
      <c r="D136" s="198"/>
      <c r="E136" s="198"/>
    </row>
  </sheetData>
  <mergeCells count="31">
    <mergeCell ref="A98:D98"/>
    <mergeCell ref="A99:D105"/>
    <mergeCell ref="A94:C94"/>
    <mergeCell ref="A95:C95"/>
    <mergeCell ref="K16:M16"/>
    <mergeCell ref="A16:B17"/>
    <mergeCell ref="C16:F16"/>
    <mergeCell ref="G16:J16"/>
    <mergeCell ref="U4:X6"/>
    <mergeCell ref="A9:A10"/>
    <mergeCell ref="Q1:T3"/>
    <mergeCell ref="U1:X3"/>
    <mergeCell ref="A111:K118"/>
    <mergeCell ref="C20:F20"/>
    <mergeCell ref="G20:J20"/>
    <mergeCell ref="K20:M20"/>
    <mergeCell ref="T51:W53"/>
    <mergeCell ref="C65:E65"/>
    <mergeCell ref="F65:M65"/>
    <mergeCell ref="A91:E91"/>
    <mergeCell ref="A92:C92"/>
    <mergeCell ref="D92:E92"/>
    <mergeCell ref="A93:C93"/>
    <mergeCell ref="D93:E93"/>
    <mergeCell ref="A96:C96"/>
    <mergeCell ref="A97:C97"/>
    <mergeCell ref="D97:E97"/>
    <mergeCell ref="A2:B2"/>
    <mergeCell ref="Q4:T6"/>
    <mergeCell ref="A11:A12"/>
    <mergeCell ref="A13:A14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B144"/>
  <sheetViews>
    <sheetView zoomScale="70" zoomScaleNormal="70" zoomScaleSheetLayoutView="75" workbookViewId="0">
      <selection activeCell="G29" sqref="G29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7.140625" style="15" bestFit="1" customWidth="1"/>
    <col min="17" max="17" width="12.42578125" style="15" customWidth="1"/>
    <col min="18" max="27" width="9.140625" style="15" customWidth="1"/>
    <col min="28" max="28" width="14.42578125" style="15" customWidth="1"/>
    <col min="29" max="16384" width="9.140625" style="15"/>
  </cols>
  <sheetData>
    <row r="1" spans="1:23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P1" s="472" t="s">
        <v>0</v>
      </c>
      <c r="Q1" s="473"/>
      <c r="R1" s="473"/>
      <c r="S1" s="474"/>
      <c r="T1" s="472"/>
      <c r="U1" s="473"/>
      <c r="V1" s="473"/>
      <c r="W1" s="474"/>
    </row>
    <row r="2" spans="1:23" s="10" customFormat="1" ht="15.75">
      <c r="A2" s="462" t="s">
        <v>1</v>
      </c>
      <c r="B2" s="463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472"/>
      <c r="Q2" s="473"/>
      <c r="R2" s="473"/>
      <c r="S2" s="474"/>
      <c r="T2" s="472"/>
      <c r="U2" s="473"/>
      <c r="V2" s="473"/>
      <c r="W2" s="474"/>
    </row>
    <row r="3" spans="1:23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472"/>
      <c r="Q3" s="473"/>
      <c r="R3" s="473"/>
      <c r="S3" s="474"/>
      <c r="T3" s="472"/>
      <c r="U3" s="473"/>
      <c r="V3" s="473"/>
      <c r="W3" s="474"/>
    </row>
    <row r="4" spans="1:23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464" t="s">
        <v>4</v>
      </c>
      <c r="Q4" s="465"/>
      <c r="R4" s="465"/>
      <c r="S4" s="466"/>
      <c r="T4" s="464"/>
      <c r="U4" s="465"/>
      <c r="V4" s="465"/>
      <c r="W4" s="466"/>
    </row>
    <row r="5" spans="1:23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464"/>
      <c r="Q5" s="465"/>
      <c r="R5" s="465"/>
      <c r="S5" s="466"/>
      <c r="T5" s="464"/>
      <c r="U5" s="465"/>
      <c r="V5" s="465"/>
      <c r="W5" s="466"/>
    </row>
    <row r="6" spans="1:23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467"/>
      <c r="Q6" s="468"/>
      <c r="R6" s="468"/>
      <c r="S6" s="469"/>
      <c r="T6" s="467"/>
      <c r="U6" s="468"/>
      <c r="V6" s="468"/>
      <c r="W6" s="469"/>
    </row>
    <row r="7" spans="1:23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23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23" hidden="1">
      <c r="A9" s="470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</row>
    <row r="10" spans="1:23" ht="19.5" hidden="1" customHeight="1" thickBot="1">
      <c r="A10" s="471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</row>
    <row r="11" spans="1:23" hidden="1">
      <c r="A11" s="487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23" ht="13.5" hidden="1" thickBot="1">
      <c r="A12" s="488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23" hidden="1">
      <c r="A13" s="470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3" ht="13.5" hidden="1" thickBot="1">
      <c r="A14" s="471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23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23" ht="13.5" customHeight="1">
      <c r="A16" s="494" t="s">
        <v>11</v>
      </c>
      <c r="B16" s="495"/>
      <c r="C16" s="497" t="s">
        <v>12</v>
      </c>
      <c r="D16" s="497"/>
      <c r="E16" s="497"/>
      <c r="F16" s="497"/>
      <c r="G16" s="497" t="s">
        <v>13</v>
      </c>
      <c r="H16" s="497"/>
      <c r="I16" s="497"/>
      <c r="J16" s="497"/>
      <c r="K16" s="497" t="s">
        <v>14</v>
      </c>
      <c r="L16" s="497"/>
      <c r="M16" s="497"/>
      <c r="N16" s="256"/>
      <c r="O16" s="257"/>
    </row>
    <row r="17" spans="1:19" s="6" customFormat="1" ht="13.5" customHeight="1">
      <c r="A17" s="496"/>
      <c r="B17" s="492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58"/>
      <c r="Q17" s="32"/>
    </row>
    <row r="18" spans="1:19" s="35" customFormat="1" ht="25.5">
      <c r="A18" s="259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60" t="s">
        <v>17</v>
      </c>
      <c r="P18" s="33" t="s">
        <v>18</v>
      </c>
      <c r="Q18" s="34" t="s">
        <v>19</v>
      </c>
      <c r="R18" s="15"/>
      <c r="S18" s="15"/>
    </row>
    <row r="19" spans="1:19">
      <c r="A19" s="261" t="s">
        <v>20</v>
      </c>
      <c r="B19" s="220">
        <v>116000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262"/>
      <c r="P19" s="40">
        <f>((1+P20)^(1/4))-1</f>
        <v>1.6106667595102708E-2</v>
      </c>
      <c r="Q19" s="41">
        <f>((1+Q20)^(1/4))-1</f>
        <v>1.2272234429039353E-2</v>
      </c>
    </row>
    <row r="20" spans="1:19">
      <c r="A20" s="263" t="s">
        <v>21</v>
      </c>
      <c r="B20" s="43"/>
      <c r="C20" s="476">
        <f>P20</f>
        <v>6.6000000000000003E-2</v>
      </c>
      <c r="D20" s="476"/>
      <c r="E20" s="476"/>
      <c r="F20" s="476"/>
      <c r="G20" s="476">
        <f>C20</f>
        <v>6.6000000000000003E-2</v>
      </c>
      <c r="H20" s="476"/>
      <c r="I20" s="476"/>
      <c r="J20" s="476"/>
      <c r="K20" s="476">
        <f>G20</f>
        <v>6.6000000000000003E-2</v>
      </c>
      <c r="L20" s="476"/>
      <c r="M20" s="476"/>
      <c r="N20" s="221">
        <f>(1+C20)^(1/4)-1</f>
        <v>1.6106667595102708E-2</v>
      </c>
      <c r="O20" s="264">
        <f>P19</f>
        <v>1.6106667595102708E-2</v>
      </c>
      <c r="P20" s="44">
        <v>6.6000000000000003E-2</v>
      </c>
      <c r="Q20" s="45">
        <v>0.05</v>
      </c>
    </row>
    <row r="21" spans="1:19">
      <c r="A21" s="263" t="s">
        <v>22</v>
      </c>
      <c r="B21" s="46"/>
      <c r="C21" s="47">
        <f>P19</f>
        <v>1.6106667595102708E-2</v>
      </c>
      <c r="D21" s="47">
        <f>P19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265">
        <f>N21</f>
        <v>1.61E-2</v>
      </c>
    </row>
    <row r="22" spans="1:19">
      <c r="A22" s="263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266">
        <f>N22*(1+O21)</f>
        <v>1.2308502427106269</v>
      </c>
    </row>
    <row r="23" spans="1:19">
      <c r="A23" s="263" t="s">
        <v>24</v>
      </c>
      <c r="B23" s="53"/>
      <c r="C23" s="54">
        <f t="shared" ref="C23:N23" si="3">$B$19*C22</f>
        <v>117868.37344103192</v>
      </c>
      <c r="D23" s="54">
        <f t="shared" si="3"/>
        <v>119766.84015202204</v>
      </c>
      <c r="E23" s="54">
        <f t="shared" si="3"/>
        <v>121695.88483526646</v>
      </c>
      <c r="F23" s="54">
        <f t="shared" si="3"/>
        <v>123656</v>
      </c>
      <c r="G23" s="54">
        <f>$B$19*G22</f>
        <v>125647.68608814002</v>
      </c>
      <c r="H23" s="54">
        <f t="shared" si="3"/>
        <v>127671.4516020555</v>
      </c>
      <c r="I23" s="54">
        <f t="shared" si="3"/>
        <v>129727.81323439405</v>
      </c>
      <c r="J23" s="54">
        <f t="shared" si="3"/>
        <v>131817.29600000003</v>
      </c>
      <c r="K23" s="54">
        <f t="shared" si="3"/>
        <v>133940.43336995729</v>
      </c>
      <c r="L23" s="54">
        <f t="shared" si="3"/>
        <v>136097.76740779119</v>
      </c>
      <c r="M23" s="54">
        <f t="shared" si="3"/>
        <v>138289.8489078641</v>
      </c>
      <c r="N23" s="54">
        <f t="shared" si="3"/>
        <v>140516.31547528072</v>
      </c>
      <c r="O23" s="267">
        <f>$B$19*O22</f>
        <v>142778.62815443272</v>
      </c>
    </row>
    <row r="24" spans="1:19" ht="12" customHeight="1">
      <c r="A24" s="261" t="s">
        <v>25</v>
      </c>
      <c r="B24" s="56">
        <f>Q19*100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O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268">
        <f t="shared" si="4"/>
        <v>1.2272234429039353</v>
      </c>
    </row>
    <row r="25" spans="1:19">
      <c r="A25" s="263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269">
        <v>1</v>
      </c>
    </row>
    <row r="26" spans="1:19">
      <c r="A26" s="263" t="s">
        <v>27</v>
      </c>
      <c r="B26" s="63"/>
      <c r="C26" s="63"/>
      <c r="D26" s="63"/>
      <c r="E26" s="64"/>
      <c r="F26" s="64"/>
      <c r="G26" s="64">
        <f>G23*G25</f>
        <v>115364.77455535597</v>
      </c>
      <c r="H26" s="64">
        <f t="shared" ref="H26:O26" si="6">H23*H25</f>
        <v>118661.50374465813</v>
      </c>
      <c r="I26" s="64">
        <f t="shared" si="6"/>
        <v>122052.44213594146</v>
      </c>
      <c r="J26" s="64">
        <f t="shared" si="6"/>
        <v>125540.2819047619</v>
      </c>
      <c r="K26" s="64">
        <f t="shared" si="6"/>
        <v>129127.79215980999</v>
      </c>
      <c r="L26" s="64">
        <f t="shared" si="6"/>
        <v>132817.82114139592</v>
      </c>
      <c r="M26" s="64">
        <f t="shared" si="6"/>
        <v>136613.29848275936</v>
      </c>
      <c r="N26" s="64">
        <f t="shared" si="6"/>
        <v>140516.31547528072</v>
      </c>
      <c r="O26" s="270">
        <f t="shared" si="6"/>
        <v>142778.62815443272</v>
      </c>
    </row>
    <row r="27" spans="1:19" ht="13.5" thickBot="1">
      <c r="A27" s="323" t="s">
        <v>28</v>
      </c>
      <c r="B27" s="324">
        <f>SUM(C27:O27)</f>
        <v>100</v>
      </c>
      <c r="C27" s="325">
        <f>'[31]М. остатка'!D31</f>
        <v>0</v>
      </c>
      <c r="D27" s="325">
        <f>'[31]М. остатка'!E31</f>
        <v>0</v>
      </c>
      <c r="E27" s="325">
        <f>'[31]М. остатка'!F31</f>
        <v>0</v>
      </c>
      <c r="F27" s="325">
        <f>'[31]М. остатка'!G31</f>
        <v>0</v>
      </c>
      <c r="G27" s="326">
        <f>'[30]График реализации'!D10*100</f>
        <v>19.7</v>
      </c>
      <c r="H27" s="326">
        <f>'[30]График реализации'!D13*100</f>
        <v>15.7</v>
      </c>
      <c r="I27" s="326">
        <f>'[30]График реализации'!D16*100</f>
        <v>14.600000000000001</v>
      </c>
      <c r="J27" s="326">
        <f>'[30]График реализации'!D19*100</f>
        <v>14.200000000000001</v>
      </c>
      <c r="K27" s="326">
        <f>'[30]График реализации'!D22*100</f>
        <v>12</v>
      </c>
      <c r="L27" s="326">
        <f>'[30]График реализации'!D25*100</f>
        <v>9.4</v>
      </c>
      <c r="M27" s="326">
        <f>'[30]График реализации'!D28*100</f>
        <v>8.1</v>
      </c>
      <c r="N27" s="327">
        <f>'[30]График реализации'!D31*100</f>
        <v>3.8</v>
      </c>
      <c r="O27" s="328">
        <f>'[30]График реализации'!D34*100</f>
        <v>2.5</v>
      </c>
      <c r="P27" s="66"/>
    </row>
    <row r="28" spans="1:19">
      <c r="A28" s="271" t="s">
        <v>29</v>
      </c>
      <c r="B28" s="68">
        <f t="shared" ref="B28:B41" si="7">SUM(C28:M28)</f>
        <v>100</v>
      </c>
      <c r="C28" s="69"/>
      <c r="D28" s="69"/>
      <c r="E28" s="69"/>
      <c r="F28" s="69"/>
      <c r="G28" s="223">
        <v>100</v>
      </c>
      <c r="H28" s="70">
        <f t="shared" ref="H28:M28" si="8">(100-$G$28)/($M$17-$G$17)</f>
        <v>0</v>
      </c>
      <c r="I28" s="70">
        <f t="shared" si="8"/>
        <v>0</v>
      </c>
      <c r="J28" s="70">
        <f t="shared" si="8"/>
        <v>0</v>
      </c>
      <c r="K28" s="70">
        <f t="shared" si="8"/>
        <v>0</v>
      </c>
      <c r="L28" s="70">
        <f t="shared" si="8"/>
        <v>0</v>
      </c>
      <c r="M28" s="70">
        <f t="shared" si="8"/>
        <v>0</v>
      </c>
      <c r="N28" s="70"/>
      <c r="O28" s="272"/>
      <c r="P28" s="72"/>
    </row>
    <row r="29" spans="1:19" ht="13.5" thickBot="1">
      <c r="A29" s="273" t="s">
        <v>30</v>
      </c>
      <c r="B29" s="74">
        <f t="shared" si="7"/>
        <v>1428565002.8031113</v>
      </c>
      <c r="C29" s="75"/>
      <c r="D29" s="75"/>
      <c r="E29" s="75"/>
      <c r="F29" s="75"/>
      <c r="G29" s="76">
        <f>$B$5*(1-$O$46)*$G$26*$G$27%*G28%</f>
        <v>1428565002.8031113</v>
      </c>
      <c r="H29" s="77">
        <f t="shared" ref="H29:M29" si="9">$B$5*(1-$M$46)*$G$26*$G$27%*H28%</f>
        <v>0</v>
      </c>
      <c r="I29" s="76">
        <f t="shared" si="9"/>
        <v>0</v>
      </c>
      <c r="J29" s="76">
        <f t="shared" si="9"/>
        <v>0</v>
      </c>
      <c r="K29" s="76">
        <f t="shared" si="9"/>
        <v>0</v>
      </c>
      <c r="L29" s="76">
        <f t="shared" si="9"/>
        <v>0</v>
      </c>
      <c r="M29" s="76">
        <f t="shared" si="9"/>
        <v>0</v>
      </c>
      <c r="N29" s="76"/>
      <c r="O29" s="274"/>
    </row>
    <row r="30" spans="1:19">
      <c r="A30" s="271" t="s">
        <v>31</v>
      </c>
      <c r="B30" s="68">
        <f t="shared" si="7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272"/>
    </row>
    <row r="31" spans="1:19" ht="13.5" thickBot="1">
      <c r="A31" s="273" t="s">
        <v>32</v>
      </c>
      <c r="B31" s="74">
        <f t="shared" si="7"/>
        <v>1171035493.9739301</v>
      </c>
      <c r="C31" s="75"/>
      <c r="D31" s="75"/>
      <c r="E31" s="75"/>
      <c r="F31" s="75"/>
      <c r="G31" s="75"/>
      <c r="H31" s="76">
        <f t="shared" ref="H31:M31" si="10">$B$5*(1-$M$46)*$H$26*$H$27%*H30%</f>
        <v>1171035493.9739301</v>
      </c>
      <c r="I31" s="76">
        <f t="shared" si="10"/>
        <v>0</v>
      </c>
      <c r="J31" s="76">
        <f t="shared" si="10"/>
        <v>0</v>
      </c>
      <c r="K31" s="76">
        <f t="shared" si="10"/>
        <v>0</v>
      </c>
      <c r="L31" s="76">
        <f t="shared" si="10"/>
        <v>0</v>
      </c>
      <c r="M31" s="76">
        <f t="shared" si="10"/>
        <v>0</v>
      </c>
      <c r="N31" s="76"/>
      <c r="O31" s="274"/>
    </row>
    <row r="32" spans="1:19">
      <c r="A32" s="271" t="s">
        <v>33</v>
      </c>
      <c r="B32" s="68">
        <f t="shared" si="7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272"/>
    </row>
    <row r="33" spans="1:15" ht="13.5" thickBot="1">
      <c r="A33" s="273" t="s">
        <v>34</v>
      </c>
      <c r="B33" s="74">
        <f t="shared" si="7"/>
        <v>1120107971.5360272</v>
      </c>
      <c r="C33" s="75"/>
      <c r="D33" s="75"/>
      <c r="E33" s="75"/>
      <c r="F33" s="80"/>
      <c r="G33" s="80"/>
      <c r="H33" s="80"/>
      <c r="I33" s="76">
        <f>$B$5*(1-$M$46)*$I$26*$I$27%*I32%</f>
        <v>1120107971.5360272</v>
      </c>
      <c r="J33" s="76"/>
      <c r="K33" s="76"/>
      <c r="L33" s="76"/>
      <c r="M33" s="76"/>
      <c r="N33" s="76"/>
      <c r="O33" s="274"/>
    </row>
    <row r="34" spans="1:15">
      <c r="A34" s="271" t="s">
        <v>35</v>
      </c>
      <c r="B34" s="68">
        <f t="shared" si="7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272"/>
    </row>
    <row r="35" spans="1:15" ht="13.5" thickBot="1">
      <c r="A35" s="273" t="s">
        <v>36</v>
      </c>
      <c r="B35" s="74">
        <f t="shared" si="7"/>
        <v>1120551967.6756725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1120551967.6756725</v>
      </c>
      <c r="K35" s="76"/>
      <c r="L35" s="76"/>
      <c r="M35" s="76"/>
      <c r="N35" s="76"/>
      <c r="O35" s="274"/>
    </row>
    <row r="36" spans="1:15">
      <c r="A36" s="271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272"/>
    </row>
    <row r="37" spans="1:15" ht="13.5" thickBot="1">
      <c r="A37" s="273" t="s">
        <v>38</v>
      </c>
      <c r="B37" s="74">
        <f>SUM(C37:M37)</f>
        <v>974005771.14976037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974005771.14976037</v>
      </c>
      <c r="L37" s="76"/>
      <c r="M37" s="76"/>
      <c r="N37" s="76"/>
      <c r="O37" s="274"/>
    </row>
    <row r="38" spans="1:15">
      <c r="A38" s="271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272"/>
    </row>
    <row r="39" spans="1:15" ht="13.5" thickBot="1">
      <c r="A39" s="273" t="s">
        <v>40</v>
      </c>
      <c r="B39" s="74">
        <f>SUM(C39:M39)</f>
        <v>784774284.52275133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784774284.52275133</v>
      </c>
      <c r="M39" s="76"/>
      <c r="N39" s="76"/>
      <c r="O39" s="274"/>
    </row>
    <row r="40" spans="1:15">
      <c r="A40" s="271" t="s">
        <v>41</v>
      </c>
      <c r="B40" s="68">
        <f t="shared" si="7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275"/>
    </row>
    <row r="41" spans="1:15" ht="13.5" thickBot="1">
      <c r="A41" s="273" t="s">
        <v>42</v>
      </c>
      <c r="B41" s="74">
        <f t="shared" si="7"/>
        <v>695566335.99837232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695566335.99837232</v>
      </c>
      <c r="N41" s="76"/>
      <c r="O41" s="274"/>
    </row>
    <row r="42" spans="1:15">
      <c r="A42" s="271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275"/>
    </row>
    <row r="43" spans="1:15" ht="13.5" thickBot="1">
      <c r="A43" s="273" t="s">
        <v>44</v>
      </c>
      <c r="B43" s="74">
        <f>N43</f>
        <v>335637833.20951742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335637833.20951742</v>
      </c>
      <c r="O43" s="274"/>
    </row>
    <row r="44" spans="1:15">
      <c r="A44" s="271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76">
        <v>100</v>
      </c>
    </row>
    <row r="45" spans="1:15" ht="13.5" thickBot="1">
      <c r="A45" s="273" t="s">
        <v>46</v>
      </c>
      <c r="B45" s="74">
        <f>O45</f>
        <v>224369475.2132833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274">
        <f>$B$5*(1-$M$46)*$O$26*$O$27%*O44%</f>
        <v>224369475.2132833</v>
      </c>
    </row>
    <row r="46" spans="1:15">
      <c r="A46" s="277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278">
        <v>0</v>
      </c>
    </row>
    <row r="47" spans="1:15">
      <c r="A47" s="279" t="s">
        <v>48</v>
      </c>
      <c r="B47" s="92">
        <f>B29+B31+B33+B35+B37+B39+B41+B43+B45</f>
        <v>7854614136.0824261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280">
        <f>B5*O26*O46</f>
        <v>0</v>
      </c>
    </row>
    <row r="48" spans="1:15">
      <c r="A48" s="329" t="s">
        <v>94</v>
      </c>
      <c r="B48" s="330">
        <f>SUM(C48:O48)</f>
        <v>7854614136.0824261</v>
      </c>
      <c r="C48" s="331">
        <f t="shared" ref="C48:H48" si="11">C29+C31+C33+C35+C37+C39+C47+C41</f>
        <v>0</v>
      </c>
      <c r="D48" s="331">
        <f t="shared" si="11"/>
        <v>0</v>
      </c>
      <c r="E48" s="331">
        <f t="shared" si="11"/>
        <v>0</v>
      </c>
      <c r="F48" s="331">
        <f t="shared" si="11"/>
        <v>0</v>
      </c>
      <c r="G48" s="332">
        <f t="shared" si="11"/>
        <v>1428565002.8031113</v>
      </c>
      <c r="H48" s="332">
        <f t="shared" si="11"/>
        <v>1171035493.9739301</v>
      </c>
      <c r="I48" s="332">
        <f>I33</f>
        <v>1120107971.5360272</v>
      </c>
      <c r="J48" s="332">
        <f>J35</f>
        <v>1120551967.6756725</v>
      </c>
      <c r="K48" s="332">
        <f>K37</f>
        <v>974005771.14976037</v>
      </c>
      <c r="L48" s="332">
        <f>L39</f>
        <v>784774284.52275133</v>
      </c>
      <c r="M48" s="332">
        <f>M41</f>
        <v>695566335.99837232</v>
      </c>
      <c r="N48" s="332">
        <f>N43</f>
        <v>335637833.20951742</v>
      </c>
      <c r="O48" s="333">
        <f>O45</f>
        <v>224369475.2132833</v>
      </c>
    </row>
    <row r="49" spans="1:22" hidden="1">
      <c r="A49" s="281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262"/>
    </row>
    <row r="50" spans="1:22" hidden="1">
      <c r="A50" s="281" t="s">
        <v>51</v>
      </c>
      <c r="B50" s="100"/>
      <c r="C50" s="54"/>
      <c r="D50" s="54"/>
      <c r="E50" s="54"/>
      <c r="F50" s="54"/>
      <c r="G50" s="54">
        <f t="shared" ref="G50:M50" si="12">$B$49*G22</f>
        <v>3639.4502177254353</v>
      </c>
      <c r="H50" s="54">
        <f t="shared" si="12"/>
        <v>3698.0696326112629</v>
      </c>
      <c r="I50" s="54">
        <f t="shared" si="12"/>
        <v>3757.6332109272762</v>
      </c>
      <c r="J50" s="54">
        <f t="shared" si="12"/>
        <v>3818.1561600000005</v>
      </c>
      <c r="K50" s="54">
        <f t="shared" si="12"/>
        <v>3879.6539320953143</v>
      </c>
      <c r="L50" s="54">
        <f t="shared" si="12"/>
        <v>3942.142228363607</v>
      </c>
      <c r="M50" s="101">
        <f t="shared" si="12"/>
        <v>4005.6370028484776</v>
      </c>
      <c r="N50" s="38"/>
      <c r="O50" s="262"/>
    </row>
    <row r="51" spans="1:22" ht="25.5" hidden="1">
      <c r="A51" s="261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3">G24</f>
        <v>1.2272234429039353</v>
      </c>
      <c r="H51" s="58">
        <f t="shared" si="13"/>
        <v>1.2272234429039353</v>
      </c>
      <c r="I51" s="58">
        <f t="shared" si="13"/>
        <v>1.2272234429039353</v>
      </c>
      <c r="J51" s="58">
        <f t="shared" si="13"/>
        <v>1.2272234429039353</v>
      </c>
      <c r="K51" s="58">
        <f t="shared" si="13"/>
        <v>1.2272234429039353</v>
      </c>
      <c r="L51" s="58">
        <f t="shared" si="13"/>
        <v>1.2272234429039353</v>
      </c>
      <c r="M51" s="58">
        <f t="shared" si="13"/>
        <v>1.2272234429039353</v>
      </c>
      <c r="N51" s="38"/>
      <c r="O51" s="262"/>
      <c r="S51" s="472" t="s">
        <v>53</v>
      </c>
      <c r="T51" s="477"/>
      <c r="U51" s="477"/>
      <c r="V51" s="477"/>
    </row>
    <row r="52" spans="1:22" hidden="1">
      <c r="A52" s="281" t="s">
        <v>54</v>
      </c>
      <c r="B52" s="102"/>
      <c r="C52" s="102"/>
      <c r="D52" s="102"/>
      <c r="E52" s="54"/>
      <c r="F52" s="54"/>
      <c r="G52" s="54">
        <f t="shared" ref="G52:M52" si="14">G50*G25</f>
        <v>3341.6003664310006</v>
      </c>
      <c r="H52" s="54">
        <f t="shared" si="14"/>
        <v>3437.0918326038905</v>
      </c>
      <c r="I52" s="54">
        <f t="shared" si="14"/>
        <v>3535.3121170410627</v>
      </c>
      <c r="J52" s="54">
        <f t="shared" si="14"/>
        <v>3636.3391999999994</v>
      </c>
      <c r="K52" s="54">
        <f t="shared" si="14"/>
        <v>3740.2532901462205</v>
      </c>
      <c r="L52" s="54">
        <f t="shared" si="14"/>
        <v>3847.1368882335369</v>
      </c>
      <c r="M52" s="103">
        <f t="shared" si="14"/>
        <v>3957.0748526040643</v>
      </c>
      <c r="N52" s="104"/>
      <c r="O52" s="282"/>
      <c r="S52" s="472"/>
      <c r="T52" s="477"/>
      <c r="U52" s="477"/>
      <c r="V52" s="477"/>
    </row>
    <row r="53" spans="1:22" hidden="1">
      <c r="A53" s="283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267"/>
      <c r="S53" s="472"/>
      <c r="T53" s="477"/>
      <c r="U53" s="477"/>
      <c r="V53" s="477"/>
    </row>
    <row r="54" spans="1:22" hidden="1">
      <c r="A54" s="284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270"/>
      <c r="S54" s="112" t="s">
        <v>4</v>
      </c>
    </row>
    <row r="55" spans="1:22" hidden="1">
      <c r="A55" s="285" t="s">
        <v>57</v>
      </c>
      <c r="B55" s="97">
        <f>SUM(C55:M55)</f>
        <v>0</v>
      </c>
      <c r="C55" s="97"/>
      <c r="D55" s="97"/>
      <c r="E55" s="114">
        <f t="shared" ref="E55:M55" si="15">E54</f>
        <v>0</v>
      </c>
      <c r="F55" s="114">
        <f t="shared" si="15"/>
        <v>0</v>
      </c>
      <c r="G55" s="97">
        <f t="shared" si="15"/>
        <v>0</v>
      </c>
      <c r="H55" s="97">
        <f t="shared" si="15"/>
        <v>0</v>
      </c>
      <c r="I55" s="97">
        <f t="shared" si="15"/>
        <v>0</v>
      </c>
      <c r="J55" s="97">
        <f t="shared" si="15"/>
        <v>0</v>
      </c>
      <c r="K55" s="97">
        <f t="shared" si="15"/>
        <v>0</v>
      </c>
      <c r="L55" s="97">
        <f t="shared" si="15"/>
        <v>0</v>
      </c>
      <c r="M55" s="97">
        <f t="shared" si="15"/>
        <v>0</v>
      </c>
      <c r="N55" s="115"/>
      <c r="O55" s="286"/>
    </row>
    <row r="56" spans="1:22">
      <c r="A56" s="281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262"/>
      <c r="S56" s="117"/>
    </row>
    <row r="57" spans="1:22" hidden="1">
      <c r="A57" s="281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262"/>
    </row>
    <row r="58" spans="1:22">
      <c r="A58" s="261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6">H25*H22</f>
        <v>1.0229439977987769</v>
      </c>
      <c r="I58" s="120">
        <f t="shared" si="16"/>
        <v>1.0521762253098401</v>
      </c>
      <c r="J58" s="120">
        <f t="shared" si="16"/>
        <v>1.0822438095238094</v>
      </c>
      <c r="K58" s="120">
        <f t="shared" si="16"/>
        <v>1.1131706220673274</v>
      </c>
      <c r="L58" s="120">
        <f t="shared" si="16"/>
        <v>1.1449812167361717</v>
      </c>
      <c r="M58" s="120">
        <f t="shared" si="16"/>
        <v>1.1777008489893048</v>
      </c>
      <c r="N58" s="120">
        <f t="shared" si="16"/>
        <v>1.2113475472006958</v>
      </c>
      <c r="O58" s="287">
        <f t="shared" si="16"/>
        <v>1.2308502427106269</v>
      </c>
    </row>
    <row r="59" spans="1:22">
      <c r="A59" s="281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17">$B$56*H58</f>
        <v>1125238.3975786546</v>
      </c>
      <c r="I59" s="123">
        <f t="shared" si="17"/>
        <v>1157393.8478408242</v>
      </c>
      <c r="J59" s="123">
        <f t="shared" si="17"/>
        <v>1190468.1904761903</v>
      </c>
      <c r="K59" s="123">
        <f t="shared" si="17"/>
        <v>1224487.6842740602</v>
      </c>
      <c r="L59" s="123">
        <f t="shared" si="17"/>
        <v>1259479.3384097889</v>
      </c>
      <c r="M59" s="123">
        <f t="shared" si="17"/>
        <v>1295470.9338882354</v>
      </c>
      <c r="N59" s="123">
        <f t="shared" si="17"/>
        <v>1332482.3019207653</v>
      </c>
      <c r="O59" s="288">
        <f t="shared" si="17"/>
        <v>1353935.2669816897</v>
      </c>
    </row>
    <row r="60" spans="1:22">
      <c r="A60" s="335" t="s">
        <v>61</v>
      </c>
      <c r="B60" s="336">
        <f>SUM(C60:O60)</f>
        <v>100</v>
      </c>
      <c r="C60" s="337"/>
      <c r="D60" s="337"/>
      <c r="E60" s="338">
        <f>ROUND(E53%*$B$7,0)</f>
        <v>0</v>
      </c>
      <c r="F60" s="338">
        <f>ROUND(F53%*$B$7,0)</f>
        <v>0</v>
      </c>
      <c r="G60" s="339">
        <f>G27</f>
        <v>19.7</v>
      </c>
      <c r="H60" s="339">
        <f t="shared" ref="H60:O60" si="18">H27</f>
        <v>15.7</v>
      </c>
      <c r="I60" s="339">
        <f t="shared" si="18"/>
        <v>14.600000000000001</v>
      </c>
      <c r="J60" s="339">
        <f t="shared" si="18"/>
        <v>14.200000000000001</v>
      </c>
      <c r="K60" s="339">
        <f t="shared" si="18"/>
        <v>12</v>
      </c>
      <c r="L60" s="339">
        <f t="shared" si="18"/>
        <v>9.4</v>
      </c>
      <c r="M60" s="339">
        <f t="shared" si="18"/>
        <v>8.1</v>
      </c>
      <c r="N60" s="339">
        <f t="shared" si="18"/>
        <v>3.8</v>
      </c>
      <c r="O60" s="340">
        <f t="shared" si="18"/>
        <v>2.5</v>
      </c>
    </row>
    <row r="61" spans="1:22" s="125" customFormat="1">
      <c r="A61" s="289" t="s">
        <v>62</v>
      </c>
      <c r="B61" s="341">
        <f>SUM(C61:M61)</f>
        <v>382961636.24799961</v>
      </c>
      <c r="C61" s="341"/>
      <c r="D61" s="341"/>
      <c r="E61" s="331">
        <f>E60*E59</f>
        <v>0</v>
      </c>
      <c r="F61" s="331">
        <f>F60*F59</f>
        <v>0</v>
      </c>
      <c r="G61" s="341">
        <f>$B$7*G59*G60%</f>
        <v>74998639.938436896</v>
      </c>
      <c r="H61" s="341">
        <f t="shared" ref="H61:O61" si="19">$B$7*H59*H60%</f>
        <v>61478525.090107374</v>
      </c>
      <c r="I61" s="341">
        <f t="shared" si="19"/>
        <v>58804866.621096604</v>
      </c>
      <c r="J61" s="341">
        <f t="shared" si="19"/>
        <v>58828176.100571424</v>
      </c>
      <c r="K61" s="341">
        <f t="shared" si="19"/>
        <v>51134605.695284747</v>
      </c>
      <c r="L61" s="341">
        <f t="shared" si="19"/>
        <v>41200088.118061021</v>
      </c>
      <c r="M61" s="341">
        <f t="shared" si="19"/>
        <v>36516734.684441581</v>
      </c>
      <c r="N61" s="341">
        <f t="shared" si="19"/>
        <v>17620745.960600201</v>
      </c>
      <c r="O61" s="342">
        <f t="shared" si="19"/>
        <v>11779236.822740702</v>
      </c>
    </row>
    <row r="62" spans="1:22" ht="56.25" hidden="1" customHeight="1" thickBot="1">
      <c r="A62" s="285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267"/>
    </row>
    <row r="63" spans="1:22" s="6" customFormat="1" ht="15" customHeight="1">
      <c r="A63" s="290" t="s">
        <v>93</v>
      </c>
      <c r="B63" s="215">
        <f>SUM(C63:M63)</f>
        <v>7677568463.9076252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1503563642.7415483</v>
      </c>
      <c r="H63" s="215">
        <f t="shared" ref="H63:O63" si="20">SUM(H48+H61)</f>
        <v>1232514019.0640376</v>
      </c>
      <c r="I63" s="215">
        <f t="shared" si="20"/>
        <v>1178912838.1571238</v>
      </c>
      <c r="J63" s="215">
        <f t="shared" si="20"/>
        <v>1179380143.7762439</v>
      </c>
      <c r="K63" s="215">
        <f t="shared" si="20"/>
        <v>1025140376.8450451</v>
      </c>
      <c r="L63" s="215">
        <f t="shared" si="20"/>
        <v>825974372.6408124</v>
      </c>
      <c r="M63" s="215">
        <f t="shared" si="20"/>
        <v>732083070.68281388</v>
      </c>
      <c r="N63" s="215">
        <f t="shared" si="20"/>
        <v>353258579.17011762</v>
      </c>
      <c r="O63" s="291">
        <f t="shared" si="20"/>
        <v>236148712.036024</v>
      </c>
    </row>
    <row r="64" spans="1:22" s="7" customFormat="1">
      <c r="A64" s="292" t="s">
        <v>65</v>
      </c>
      <c r="B64" s="246">
        <f>SUM(C64:M64)</f>
        <v>1279594743.9846044</v>
      </c>
      <c r="C64" s="127">
        <f t="shared" ref="C64:O64" si="21">C63/(1+$B$86)*$B$86</f>
        <v>0</v>
      </c>
      <c r="D64" s="127">
        <f t="shared" si="21"/>
        <v>0</v>
      </c>
      <c r="E64" s="127">
        <f t="shared" si="21"/>
        <v>0</v>
      </c>
      <c r="F64" s="127">
        <f t="shared" si="21"/>
        <v>0</v>
      </c>
      <c r="G64" s="93">
        <f t="shared" si="21"/>
        <v>250593940.45692474</v>
      </c>
      <c r="H64" s="93">
        <f t="shared" si="21"/>
        <v>205419003.17733961</v>
      </c>
      <c r="I64" s="93">
        <f t="shared" si="21"/>
        <v>196485473.0261873</v>
      </c>
      <c r="J64" s="93">
        <f t="shared" si="21"/>
        <v>196563357.29604065</v>
      </c>
      <c r="K64" s="93">
        <f t="shared" si="21"/>
        <v>170856729.4741742</v>
      </c>
      <c r="L64" s="93">
        <f t="shared" si="21"/>
        <v>137662395.44013542</v>
      </c>
      <c r="M64" s="93">
        <f t="shared" si="21"/>
        <v>122013845.11380231</v>
      </c>
      <c r="N64" s="93">
        <f t="shared" si="21"/>
        <v>58876429.861686282</v>
      </c>
      <c r="O64" s="293">
        <f t="shared" si="21"/>
        <v>39358118.67267067</v>
      </c>
    </row>
    <row r="65" spans="1:16" s="6" customFormat="1" ht="15" customHeight="1">
      <c r="A65" s="290" t="s">
        <v>89</v>
      </c>
      <c r="B65" s="215"/>
      <c r="C65" s="216"/>
      <c r="D65" s="216"/>
      <c r="E65" s="216"/>
      <c r="F65" s="216"/>
      <c r="G65" s="215"/>
      <c r="H65" s="215"/>
      <c r="I65" s="215"/>
      <c r="J65" s="215"/>
      <c r="K65" s="215"/>
      <c r="L65" s="215"/>
      <c r="M65" s="215"/>
      <c r="N65" s="215">
        <f>SUM(G63:N63)</f>
        <v>8030827043.0777426</v>
      </c>
      <c r="O65" s="291">
        <f>O63</f>
        <v>236148712.036024</v>
      </c>
    </row>
    <row r="66" spans="1:16" s="7" customFormat="1" ht="15.75">
      <c r="A66" s="259" t="s">
        <v>67</v>
      </c>
      <c r="B66" s="204" t="s">
        <v>68</v>
      </c>
      <c r="C66" s="205" t="str">
        <f t="shared" ref="C66:O66" si="22">C18</f>
        <v>1 квартал</v>
      </c>
      <c r="D66" s="205" t="str">
        <f t="shared" si="22"/>
        <v>2 квартал</v>
      </c>
      <c r="E66" s="205" t="str">
        <f t="shared" si="22"/>
        <v>3 квартал</v>
      </c>
      <c r="F66" s="205" t="str">
        <f t="shared" si="22"/>
        <v>4 квартал</v>
      </c>
      <c r="G66" s="205" t="str">
        <f t="shared" si="22"/>
        <v>5 квартал</v>
      </c>
      <c r="H66" s="205" t="str">
        <f t="shared" si="22"/>
        <v>6 квартал</v>
      </c>
      <c r="I66" s="205" t="str">
        <f t="shared" si="22"/>
        <v>7 квартал</v>
      </c>
      <c r="J66" s="205" t="str">
        <f t="shared" si="22"/>
        <v>8 квартал</v>
      </c>
      <c r="K66" s="205" t="str">
        <f t="shared" si="22"/>
        <v>9 квартал</v>
      </c>
      <c r="L66" s="205" t="str">
        <f t="shared" si="22"/>
        <v>10 квартал</v>
      </c>
      <c r="M66" s="205" t="str">
        <f t="shared" si="22"/>
        <v>11 квартал</v>
      </c>
      <c r="N66" s="205" t="str">
        <f t="shared" si="22"/>
        <v>12 квартал</v>
      </c>
      <c r="O66" s="260" t="str">
        <f t="shared" si="22"/>
        <v>13 квартал</v>
      </c>
      <c r="P66" s="132" t="s">
        <v>69</v>
      </c>
    </row>
    <row r="67" spans="1:16" s="7" customFormat="1">
      <c r="A67" s="294" t="s">
        <v>70</v>
      </c>
      <c r="B67" s="134">
        <f t="shared" ref="B67:B73" si="23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24">G67</f>
        <v>0.14285714285714288</v>
      </c>
      <c r="I67" s="135">
        <f t="shared" si="24"/>
        <v>0.14285714285714288</v>
      </c>
      <c r="J67" s="135">
        <f t="shared" si="24"/>
        <v>0.14285714285714288</v>
      </c>
      <c r="K67" s="135">
        <f t="shared" si="24"/>
        <v>0.14285714285714288</v>
      </c>
      <c r="L67" s="135">
        <f t="shared" si="24"/>
        <v>0.14285714285714288</v>
      </c>
      <c r="M67" s="135">
        <f t="shared" si="24"/>
        <v>0.14285714285714288</v>
      </c>
      <c r="N67" s="136"/>
      <c r="O67" s="295"/>
      <c r="P67" s="138" t="b">
        <f>B67=100%</f>
        <v>1</v>
      </c>
    </row>
    <row r="68" spans="1:16" s="7" customFormat="1" ht="27.75" customHeight="1">
      <c r="A68" s="296" t="s">
        <v>71</v>
      </c>
      <c r="B68" s="93">
        <f>SUM(C68:M68)</f>
        <v>4793508324.9936466</v>
      </c>
      <c r="C68" s="247">
        <f>'[30]строит (ИТОГО)'!C8</f>
        <v>55948396.90355999</v>
      </c>
      <c r="D68" s="247">
        <f>'[30]строит (ИТОГО)'!D8</f>
        <v>56224004.77008</v>
      </c>
      <c r="E68" s="247">
        <f>'[30]строит (ИТОГО)'!E8</f>
        <v>56664977.356511988</v>
      </c>
      <c r="F68" s="247">
        <f>'[30]строит (ИТОГО)'!F8</f>
        <v>57161071.51624798</v>
      </c>
      <c r="G68" s="247">
        <f>'[30]строит (ИТОГО)'!G8</f>
        <v>349550149.81291765</v>
      </c>
      <c r="H68" s="247">
        <f>'[30]строит (ИТОГО)'!H8</f>
        <v>487082884.93226194</v>
      </c>
      <c r="I68" s="247">
        <f>'[30]строит (ИТОГО)'!I8</f>
        <v>671116179.29086065</v>
      </c>
      <c r="J68" s="247">
        <f>'[30]строит (ИТОГО)'!J8</f>
        <v>824945056.3417995</v>
      </c>
      <c r="K68" s="247">
        <f>'[30]строит (ИТОГО)'!K8</f>
        <v>785404694.03215528</v>
      </c>
      <c r="L68" s="247">
        <f>'[30]строит (ИТОГО)'!L8</f>
        <v>745172133.79059577</v>
      </c>
      <c r="M68" s="247">
        <f>'[30]строит (ИТОГО)'!M8</f>
        <v>704238776.24665558</v>
      </c>
      <c r="N68" s="92">
        <v>0</v>
      </c>
      <c r="O68" s="297">
        <v>0</v>
      </c>
      <c r="P68" s="143" t="b">
        <f>B68='[30]строит (ИТОГО)'!B8</f>
        <v>1</v>
      </c>
    </row>
    <row r="69" spans="1:16" s="7" customFormat="1">
      <c r="A69" s="298" t="s">
        <v>72</v>
      </c>
      <c r="B69" s="93">
        <f t="shared" si="23"/>
        <v>798918054.16560769</v>
      </c>
      <c r="C69" s="92">
        <f>C68/(1+$B$86)*$B$86</f>
        <v>9324732.817259999</v>
      </c>
      <c r="D69" s="92">
        <f t="shared" ref="D69:M69" si="25">D68/(1+$B$86)*$B$86</f>
        <v>9370667.4616800006</v>
      </c>
      <c r="E69" s="92">
        <f t="shared" si="25"/>
        <v>9444162.8927519973</v>
      </c>
      <c r="F69" s="92">
        <f t="shared" si="25"/>
        <v>9526845.2527079973</v>
      </c>
      <c r="G69" s="92">
        <f>G68/(1+$B$86)*$B$86</f>
        <v>58258358.302152947</v>
      </c>
      <c r="H69" s="92">
        <f>H68/(1+$B$86)*$B$86</f>
        <v>81180480.822043657</v>
      </c>
      <c r="I69" s="92">
        <f>I68/(1+$B$86)*$B$86</f>
        <v>111852696.5484768</v>
      </c>
      <c r="J69" s="92">
        <f>J68/(1+$B$86)*$B$86</f>
        <v>137490842.72363326</v>
      </c>
      <c r="K69" s="92">
        <f>K68/(1+$B$86)*$B$86</f>
        <v>130900782.33869255</v>
      </c>
      <c r="L69" s="92">
        <f t="shared" si="25"/>
        <v>124195355.63176596</v>
      </c>
      <c r="M69" s="92">
        <f t="shared" si="25"/>
        <v>117373129.37444261</v>
      </c>
      <c r="N69" s="92"/>
      <c r="O69" s="297"/>
      <c r="P69" s="143"/>
    </row>
    <row r="70" spans="1:16" s="7" customFormat="1" hidden="1">
      <c r="A70" s="299" t="s">
        <v>73</v>
      </c>
      <c r="B70" s="93">
        <f>SUM(C70:M70)</f>
        <v>0</v>
      </c>
      <c r="C70" s="93">
        <f>0%*C48</f>
        <v>0</v>
      </c>
      <c r="D70" s="93">
        <f>0%*D48</f>
        <v>0</v>
      </c>
      <c r="E70" s="93">
        <f>0%*E48</f>
        <v>0</v>
      </c>
      <c r="F70" s="93">
        <f>0%*F48</f>
        <v>0</v>
      </c>
      <c r="G70" s="93">
        <f>0%*G48</f>
        <v>0</v>
      </c>
      <c r="H70" s="93"/>
      <c r="I70" s="93"/>
      <c r="J70" s="93"/>
      <c r="K70" s="93"/>
      <c r="L70" s="93">
        <f>0%*L48</f>
        <v>0</v>
      </c>
      <c r="M70" s="93">
        <f>0%*M48</f>
        <v>0</v>
      </c>
      <c r="N70" s="93"/>
      <c r="O70" s="293"/>
      <c r="P70" s="143"/>
    </row>
    <row r="71" spans="1:16" s="7" customFormat="1" hidden="1">
      <c r="A71" s="279" t="s">
        <v>74</v>
      </c>
      <c r="B71" s="93">
        <f t="shared" si="23"/>
        <v>0</v>
      </c>
      <c r="C71" s="92">
        <f>C70/(1+$B$86)*$B$86</f>
        <v>0</v>
      </c>
      <c r="D71" s="92">
        <f>D70/(1+$B$86)*$B$86</f>
        <v>0</v>
      </c>
      <c r="E71" s="92">
        <f>E70/(1+$B$86)*$B$86</f>
        <v>0</v>
      </c>
      <c r="F71" s="92">
        <f>F70/(1+$B$86)*$B$86</f>
        <v>0</v>
      </c>
      <c r="G71" s="92">
        <f>G70/(1+$B$86)*$B$86</f>
        <v>0</v>
      </c>
      <c r="H71" s="92"/>
      <c r="I71" s="92"/>
      <c r="J71" s="92"/>
      <c r="K71" s="92"/>
      <c r="L71" s="92">
        <f>L70/(1+$B$86)*$B$86</f>
        <v>0</v>
      </c>
      <c r="M71" s="92">
        <f>M70/(1+$B$86)*$B$86</f>
        <v>0</v>
      </c>
      <c r="N71" s="92"/>
      <c r="O71" s="297"/>
      <c r="P71" s="143"/>
    </row>
    <row r="72" spans="1:16" s="7" customFormat="1" hidden="1">
      <c r="A72" s="299" t="s">
        <v>75</v>
      </c>
      <c r="B72" s="93">
        <f t="shared" si="23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293"/>
      <c r="P72" s="143"/>
    </row>
    <row r="73" spans="1:16" s="7" customFormat="1" hidden="1">
      <c r="A73" s="279" t="s">
        <v>74</v>
      </c>
      <c r="B73" s="93">
        <f t="shared" si="23"/>
        <v>0</v>
      </c>
      <c r="C73" s="92">
        <f>C72/(1+$B$86)*$B$86</f>
        <v>0</v>
      </c>
      <c r="D73" s="92">
        <f>D72/(1+$B$86)*$B$86</f>
        <v>0</v>
      </c>
      <c r="E73" s="92">
        <f>E72/(1+$B$86)*$B$86</f>
        <v>0</v>
      </c>
      <c r="F73" s="92">
        <f>F72/(1+$B$86)*$B$86</f>
        <v>0</v>
      </c>
      <c r="G73" s="92">
        <f>G72/(1+$B$86)*$B$86</f>
        <v>0</v>
      </c>
      <c r="H73" s="92"/>
      <c r="I73" s="92"/>
      <c r="J73" s="92"/>
      <c r="K73" s="92"/>
      <c r="L73" s="92">
        <f>L72/(1+$B$86)*$B$86</f>
        <v>0</v>
      </c>
      <c r="M73" s="92">
        <f>M72/(1+$B$86)*$B$86</f>
        <v>0</v>
      </c>
      <c r="N73" s="92"/>
      <c r="O73" s="297"/>
      <c r="P73" s="143"/>
    </row>
    <row r="74" spans="1:16" s="7" customFormat="1" ht="29.25" hidden="1" customHeight="1">
      <c r="A74" s="300" t="s">
        <v>76</v>
      </c>
      <c r="B74" s="147">
        <f>SUM(C74:M74)</f>
        <v>0</v>
      </c>
      <c r="C74" s="147">
        <f t="shared" ref="C74:L74" si="26">$B$105*C63</f>
        <v>0</v>
      </c>
      <c r="D74" s="147">
        <f t="shared" si="26"/>
        <v>0</v>
      </c>
      <c r="E74" s="147">
        <f t="shared" si="26"/>
        <v>0</v>
      </c>
      <c r="F74" s="147">
        <f t="shared" si="26"/>
        <v>0</v>
      </c>
      <c r="G74" s="147">
        <f t="shared" si="26"/>
        <v>0</v>
      </c>
      <c r="H74" s="147">
        <f t="shared" si="26"/>
        <v>0</v>
      </c>
      <c r="I74" s="147">
        <f t="shared" si="26"/>
        <v>0</v>
      </c>
      <c r="J74" s="147">
        <f t="shared" si="26"/>
        <v>0</v>
      </c>
      <c r="K74" s="147">
        <f t="shared" si="26"/>
        <v>0</v>
      </c>
      <c r="L74" s="147">
        <f t="shared" si="26"/>
        <v>0</v>
      </c>
      <c r="M74" s="93">
        <f>$B$105*(M63-M47)</f>
        <v>0</v>
      </c>
      <c r="N74" s="92"/>
      <c r="O74" s="297"/>
      <c r="P74" s="143"/>
    </row>
    <row r="75" spans="1:16" s="7" customFormat="1" ht="12" customHeight="1">
      <c r="A75" s="299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301">
        <f>'[30]строит (ИТОГО)'!$B$9*0.003/4</f>
        <v>560267.39925000002</v>
      </c>
      <c r="P75" s="143"/>
    </row>
    <row r="76" spans="1:16" s="7" customFormat="1" ht="24" customHeight="1">
      <c r="A76" s="302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27">D68+D70+D72+D74+D75</f>
        <v>57344539.568580002</v>
      </c>
      <c r="E76" s="215">
        <f t="shared" si="27"/>
        <v>57785512.155011989</v>
      </c>
      <c r="F76" s="215">
        <f t="shared" si="27"/>
        <v>58281606.314747982</v>
      </c>
      <c r="G76" s="215">
        <f t="shared" si="27"/>
        <v>350670684.61141765</v>
      </c>
      <c r="H76" s="215">
        <f t="shared" si="27"/>
        <v>488203419.73076195</v>
      </c>
      <c r="I76" s="215">
        <f t="shared" si="27"/>
        <v>672236714.08936059</v>
      </c>
      <c r="J76" s="215">
        <f t="shared" si="27"/>
        <v>826065591.14029944</v>
      </c>
      <c r="K76" s="215">
        <f t="shared" si="27"/>
        <v>786525228.83065522</v>
      </c>
      <c r="L76" s="215">
        <f t="shared" si="27"/>
        <v>746292668.58909571</v>
      </c>
      <c r="M76" s="215">
        <f t="shared" si="27"/>
        <v>705359311.04515553</v>
      </c>
      <c r="N76" s="215">
        <f>N75</f>
        <v>560267.39925000002</v>
      </c>
      <c r="O76" s="291">
        <f>O75</f>
        <v>560267.39925000002</v>
      </c>
      <c r="P76" s="143"/>
    </row>
    <row r="77" spans="1:16" s="7" customFormat="1">
      <c r="A77" s="303" t="s">
        <v>65</v>
      </c>
      <c r="B77" s="253">
        <f>SUM(C77:M77)</f>
        <v>798918054.16560769</v>
      </c>
      <c r="C77" s="253">
        <f>C69+C71+C73</f>
        <v>9324732.817259999</v>
      </c>
      <c r="D77" s="253">
        <f t="shared" ref="D77:M77" si="28">D69+D71+D73</f>
        <v>9370667.4616800006</v>
      </c>
      <c r="E77" s="253">
        <f t="shared" si="28"/>
        <v>9444162.8927519973</v>
      </c>
      <c r="F77" s="253">
        <f t="shared" si="28"/>
        <v>9526845.2527079973</v>
      </c>
      <c r="G77" s="253">
        <f>G69+G71+G73</f>
        <v>58258358.302152947</v>
      </c>
      <c r="H77" s="253">
        <f t="shared" si="28"/>
        <v>81180480.822043657</v>
      </c>
      <c r="I77" s="253">
        <f t="shared" si="28"/>
        <v>111852696.5484768</v>
      </c>
      <c r="J77" s="253">
        <f t="shared" si="28"/>
        <v>137490842.72363326</v>
      </c>
      <c r="K77" s="253">
        <f t="shared" si="28"/>
        <v>130900782.33869255</v>
      </c>
      <c r="L77" s="253">
        <f t="shared" si="28"/>
        <v>124195355.63176596</v>
      </c>
      <c r="M77" s="253">
        <f t="shared" si="28"/>
        <v>117373129.37444261</v>
      </c>
      <c r="N77" s="254"/>
      <c r="O77" s="304"/>
      <c r="P77" s="255"/>
    </row>
    <row r="78" spans="1:16" s="156" customFormat="1" ht="13.5" thickBot="1">
      <c r="A78" s="305"/>
      <c r="B78" s="306"/>
      <c r="C78" s="306"/>
      <c r="D78" s="306"/>
      <c r="E78" s="306"/>
      <c r="F78" s="307"/>
      <c r="G78" s="307"/>
      <c r="H78" s="307"/>
      <c r="I78" s="307"/>
      <c r="J78" s="307"/>
      <c r="K78" s="307"/>
      <c r="L78" s="307"/>
      <c r="M78" s="308"/>
      <c r="N78" s="308"/>
      <c r="O78" s="309"/>
      <c r="P78" s="138"/>
    </row>
    <row r="79" spans="1:16" s="156" customFormat="1">
      <c r="A79" s="310"/>
      <c r="B79" s="311"/>
      <c r="C79" s="311"/>
      <c r="D79" s="311"/>
      <c r="E79" s="311"/>
      <c r="F79" s="312"/>
      <c r="G79" s="312"/>
      <c r="H79" s="312"/>
      <c r="I79" s="312"/>
      <c r="J79" s="312"/>
      <c r="K79" s="312"/>
      <c r="L79" s="312"/>
    </row>
    <row r="80" spans="1:16" s="156" customFormat="1" ht="13.5" thickBot="1">
      <c r="A80" s="249"/>
      <c r="B80" s="250"/>
      <c r="C80" s="250"/>
      <c r="D80" s="250"/>
      <c r="E80" s="250"/>
      <c r="F80" s="251"/>
      <c r="G80" s="251"/>
      <c r="H80" s="251"/>
      <c r="I80" s="251"/>
      <c r="J80" s="251"/>
      <c r="K80" s="251"/>
      <c r="L80" s="251"/>
      <c r="M80" s="252"/>
      <c r="N80" s="252"/>
      <c r="O80" s="252"/>
      <c r="P80" s="252"/>
    </row>
    <row r="81" spans="1:16" s="6" customFormat="1">
      <c r="A81" s="315" t="s">
        <v>79</v>
      </c>
      <c r="B81" s="316">
        <f>SUM(C81:O81)</f>
        <v>2712997813.5381203</v>
      </c>
      <c r="C81" s="316">
        <f>C65-C76</f>
        <v>-804092130.70205998</v>
      </c>
      <c r="D81" s="316">
        <f t="shared" ref="D81:O81" si="29">D65-D76</f>
        <v>-57344539.568580002</v>
      </c>
      <c r="E81" s="316">
        <f t="shared" si="29"/>
        <v>-57785512.155011989</v>
      </c>
      <c r="F81" s="316">
        <f t="shared" si="29"/>
        <v>-58281606.314747982</v>
      </c>
      <c r="G81" s="316">
        <f t="shared" si="29"/>
        <v>-350670684.61141765</v>
      </c>
      <c r="H81" s="316">
        <f t="shared" si="29"/>
        <v>-488203419.73076195</v>
      </c>
      <c r="I81" s="316">
        <f t="shared" si="29"/>
        <v>-672236714.08936059</v>
      </c>
      <c r="J81" s="316">
        <f t="shared" si="29"/>
        <v>-826065591.14029944</v>
      </c>
      <c r="K81" s="316">
        <f t="shared" si="29"/>
        <v>-786525228.83065522</v>
      </c>
      <c r="L81" s="316">
        <f t="shared" si="29"/>
        <v>-746292668.58909571</v>
      </c>
      <c r="M81" s="316">
        <f t="shared" si="29"/>
        <v>-705359311.04515553</v>
      </c>
      <c r="N81" s="316">
        <f t="shared" si="29"/>
        <v>8030266775.6784925</v>
      </c>
      <c r="O81" s="316">
        <f t="shared" si="29"/>
        <v>235588444.636774</v>
      </c>
      <c r="P81" s="248"/>
    </row>
    <row r="82" spans="1:16" s="347" customFormat="1" ht="25.5">
      <c r="A82" s="343" t="s">
        <v>92</v>
      </c>
      <c r="B82" s="344"/>
      <c r="C82" s="344">
        <f>C81-C83</f>
        <v>-804092130.70205998</v>
      </c>
      <c r="D82" s="344">
        <f t="shared" ref="D82:O82" si="30">D81-D83</f>
        <v>-57344539.568580002</v>
      </c>
      <c r="E82" s="344">
        <f t="shared" si="30"/>
        <v>-57785512.155011989</v>
      </c>
      <c r="F82" s="344">
        <f t="shared" si="30"/>
        <v>-58281606.314747982</v>
      </c>
      <c r="G82" s="344">
        <f t="shared" si="30"/>
        <v>-350670684.61141765</v>
      </c>
      <c r="H82" s="344">
        <f t="shared" si="30"/>
        <v>-488203419.73076195</v>
      </c>
      <c r="I82" s="344">
        <f t="shared" si="30"/>
        <v>-672236714.08936059</v>
      </c>
      <c r="J82" s="344">
        <f t="shared" si="30"/>
        <v>-826065591.14029944</v>
      </c>
      <c r="K82" s="344">
        <f t="shared" si="30"/>
        <v>-786525228.83065522</v>
      </c>
      <c r="L82" s="344">
        <f t="shared" si="30"/>
        <v>-746292668.58909571</v>
      </c>
      <c r="M82" s="344">
        <f t="shared" si="30"/>
        <v>-705359311.04515553</v>
      </c>
      <c r="N82" s="344">
        <f t="shared" si="30"/>
        <v>-560267.39925003052</v>
      </c>
      <c r="O82" s="345">
        <f t="shared" si="30"/>
        <v>-560267.39925000072</v>
      </c>
      <c r="P82" s="346"/>
    </row>
    <row r="83" spans="1:16" s="347" customFormat="1" ht="26.25" thickBot="1">
      <c r="A83" s="343" t="s">
        <v>95</v>
      </c>
      <c r="B83" s="348"/>
      <c r="C83" s="349"/>
      <c r="D83" s="349"/>
      <c r="E83" s="349"/>
      <c r="F83" s="349"/>
      <c r="G83" s="348"/>
      <c r="H83" s="348"/>
      <c r="I83" s="348"/>
      <c r="J83" s="348"/>
      <c r="K83" s="348"/>
      <c r="L83" s="348"/>
      <c r="M83" s="348"/>
      <c r="N83" s="348">
        <f>SUM(G63:N63)</f>
        <v>8030827043.0777426</v>
      </c>
      <c r="O83" s="350">
        <f>O63</f>
        <v>236148712.036024</v>
      </c>
    </row>
    <row r="84" spans="1:16" s="6" customFormat="1">
      <c r="A84" s="315" t="s">
        <v>97</v>
      </c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248"/>
    </row>
    <row r="85" spans="1:16" s="334" customFormat="1">
      <c r="A85" s="357" t="s">
        <v>80</v>
      </c>
      <c r="B85" s="353">
        <f>SUM(C85:O85)</f>
        <v>3473467430.120121</v>
      </c>
      <c r="C85" s="353">
        <f t="shared" ref="C85:O85" si="31">C63-C76+C75</f>
        <v>-55948396.903560042</v>
      </c>
      <c r="D85" s="353">
        <f t="shared" si="31"/>
        <v>-56224004.77008</v>
      </c>
      <c r="E85" s="353">
        <f t="shared" si="31"/>
        <v>-56664977.356511988</v>
      </c>
      <c r="F85" s="353">
        <f t="shared" si="31"/>
        <v>-57161071.51624798</v>
      </c>
      <c r="G85" s="353">
        <f t="shared" si="31"/>
        <v>1154013492.9286308</v>
      </c>
      <c r="H85" s="353">
        <f t="shared" si="31"/>
        <v>745431134.1317755</v>
      </c>
      <c r="I85" s="353">
        <f t="shared" si="31"/>
        <v>507796658.86626321</v>
      </c>
      <c r="J85" s="353">
        <f t="shared" si="31"/>
        <v>354435087.43444449</v>
      </c>
      <c r="K85" s="353">
        <f t="shared" si="31"/>
        <v>239735682.81288987</v>
      </c>
      <c r="L85" s="353">
        <f t="shared" si="31"/>
        <v>80802238.850216687</v>
      </c>
      <c r="M85" s="353">
        <f t="shared" si="31"/>
        <v>27844294.436158359</v>
      </c>
      <c r="N85" s="353">
        <f t="shared" si="31"/>
        <v>353258579.17011762</v>
      </c>
      <c r="O85" s="354">
        <f t="shared" si="31"/>
        <v>236148712.036024</v>
      </c>
      <c r="P85" s="355"/>
    </row>
    <row r="86" spans="1:16" s="334" customFormat="1">
      <c r="A86" s="357" t="s">
        <v>81</v>
      </c>
      <c r="B86" s="358">
        <v>0.2</v>
      </c>
      <c r="C86" s="353">
        <v>0</v>
      </c>
      <c r="D86" s="353">
        <v>0</v>
      </c>
      <c r="E86" s="353">
        <v>0</v>
      </c>
      <c r="F86" s="353">
        <v>0</v>
      </c>
      <c r="G86" s="353">
        <v>0</v>
      </c>
      <c r="H86" s="353">
        <v>0</v>
      </c>
      <c r="I86" s="353">
        <v>0</v>
      </c>
      <c r="J86" s="353">
        <v>0</v>
      </c>
      <c r="K86" s="353">
        <v>0</v>
      </c>
      <c r="L86" s="353">
        <v>0</v>
      </c>
      <c r="M86" s="353">
        <v>0</v>
      </c>
      <c r="N86" s="353">
        <v>0</v>
      </c>
      <c r="O86" s="354">
        <v>0</v>
      </c>
      <c r="P86" s="355">
        <f>B85/(1+B86)*B86</f>
        <v>578911238.3533535</v>
      </c>
    </row>
    <row r="87" spans="1:16" s="334" customFormat="1">
      <c r="A87" s="357" t="s">
        <v>82</v>
      </c>
      <c r="B87" s="353">
        <f>SUM(C87:P87)</f>
        <v>2134086575.1847668</v>
      </c>
      <c r="C87" s="353">
        <f>C81-C86</f>
        <v>-804092130.70205998</v>
      </c>
      <c r="D87" s="353">
        <f t="shared" ref="D87:M87" si="32">D81-D86</f>
        <v>-57344539.568580002</v>
      </c>
      <c r="E87" s="353">
        <f t="shared" si="32"/>
        <v>-57785512.155011989</v>
      </c>
      <c r="F87" s="353">
        <f t="shared" si="32"/>
        <v>-58281606.314747982</v>
      </c>
      <c r="G87" s="353">
        <f t="shared" si="32"/>
        <v>-350670684.61141765</v>
      </c>
      <c r="H87" s="353">
        <f>H81-H86</f>
        <v>-488203419.73076195</v>
      </c>
      <c r="I87" s="353">
        <f>I81-I86</f>
        <v>-672236714.08936059</v>
      </c>
      <c r="J87" s="353">
        <f>J81-J86</f>
        <v>-826065591.14029944</v>
      </c>
      <c r="K87" s="353">
        <f>K81-K86</f>
        <v>-786525228.83065522</v>
      </c>
      <c r="L87" s="353">
        <f t="shared" si="32"/>
        <v>-746292668.58909571</v>
      </c>
      <c r="M87" s="353">
        <f t="shared" si="32"/>
        <v>-705359311.04515553</v>
      </c>
      <c r="N87" s="353">
        <f>N81-N86</f>
        <v>8030266775.6784925</v>
      </c>
      <c r="O87" s="354">
        <f>O81-O86</f>
        <v>235588444.636774</v>
      </c>
      <c r="P87" s="359">
        <f>P81-P86</f>
        <v>-578911238.3533535</v>
      </c>
    </row>
    <row r="88" spans="1:16" s="356" customFormat="1">
      <c r="A88" s="360" t="s">
        <v>83</v>
      </c>
      <c r="B88" s="321">
        <v>0.2</v>
      </c>
      <c r="C88" s="321">
        <v>0</v>
      </c>
      <c r="D88" s="321">
        <v>0</v>
      </c>
      <c r="E88" s="321">
        <v>0</v>
      </c>
      <c r="F88" s="321">
        <v>0</v>
      </c>
      <c r="G88" s="321">
        <v>0</v>
      </c>
      <c r="H88" s="321">
        <v>0</v>
      </c>
      <c r="I88" s="321">
        <v>0</v>
      </c>
      <c r="J88" s="321">
        <v>0</v>
      </c>
      <c r="K88" s="321">
        <v>0</v>
      </c>
      <c r="L88" s="321">
        <v>0</v>
      </c>
      <c r="M88" s="321">
        <v>0</v>
      </c>
      <c r="N88" s="321">
        <v>0</v>
      </c>
      <c r="O88" s="322">
        <v>0</v>
      </c>
      <c r="P88" s="355">
        <f>-B87*B88</f>
        <v>-426817315.03695339</v>
      </c>
    </row>
    <row r="89" spans="1:16" s="356" customFormat="1">
      <c r="A89" s="361" t="s">
        <v>96</v>
      </c>
      <c r="B89" s="362"/>
      <c r="C89" s="362">
        <f>C86+C88</f>
        <v>0</v>
      </c>
      <c r="D89" s="362">
        <f t="shared" ref="D89:O89" si="33">D86+D88</f>
        <v>0</v>
      </c>
      <c r="E89" s="362">
        <f t="shared" si="33"/>
        <v>0</v>
      </c>
      <c r="F89" s="362">
        <f t="shared" si="33"/>
        <v>0</v>
      </c>
      <c r="G89" s="362">
        <f t="shared" si="33"/>
        <v>0</v>
      </c>
      <c r="H89" s="362">
        <f t="shared" si="33"/>
        <v>0</v>
      </c>
      <c r="I89" s="362">
        <f t="shared" si="33"/>
        <v>0</v>
      </c>
      <c r="J89" s="362">
        <f t="shared" si="33"/>
        <v>0</v>
      </c>
      <c r="K89" s="362">
        <f t="shared" si="33"/>
        <v>0</v>
      </c>
      <c r="L89" s="362">
        <f t="shared" si="33"/>
        <v>0</v>
      </c>
      <c r="M89" s="362">
        <f t="shared" si="33"/>
        <v>0</v>
      </c>
      <c r="N89" s="362">
        <f t="shared" si="33"/>
        <v>0</v>
      </c>
      <c r="O89" s="362">
        <f t="shared" si="33"/>
        <v>0</v>
      </c>
      <c r="P89" s="362">
        <f>P87+P88</f>
        <v>-1005728553.3903069</v>
      </c>
    </row>
    <row r="90" spans="1:16" s="334" customFormat="1" ht="13.5" thickBot="1">
      <c r="A90" s="351"/>
      <c r="B90" s="352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4"/>
      <c r="P90" s="355"/>
    </row>
    <row r="91" spans="1:16" s="6" customFormat="1">
      <c r="A91" s="315" t="s">
        <v>98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248"/>
    </row>
    <row r="92" spans="1:16">
      <c r="A92" s="263" t="s">
        <v>86</v>
      </c>
      <c r="B92" s="163">
        <v>19</v>
      </c>
      <c r="C92" s="164">
        <f>(POWER((1+$B$92/100),1/4)-1)*100</f>
        <v>4.4447802172789874</v>
      </c>
      <c r="D92" s="164">
        <f t="shared" ref="D92:M92" si="34">(POWER((1+$B$92/100),1/4)-1)*100</f>
        <v>4.4447802172789874</v>
      </c>
      <c r="E92" s="164">
        <f t="shared" si="34"/>
        <v>4.4447802172789874</v>
      </c>
      <c r="F92" s="164">
        <f t="shared" si="34"/>
        <v>4.4447802172789874</v>
      </c>
      <c r="G92" s="164">
        <f t="shared" si="34"/>
        <v>4.4447802172789874</v>
      </c>
      <c r="H92" s="164">
        <f t="shared" si="34"/>
        <v>4.4447802172789874</v>
      </c>
      <c r="I92" s="164">
        <f t="shared" si="34"/>
        <v>4.4447802172789874</v>
      </c>
      <c r="J92" s="164">
        <f t="shared" si="34"/>
        <v>4.4447802172789874</v>
      </c>
      <c r="K92" s="164">
        <f t="shared" si="34"/>
        <v>4.4447802172789874</v>
      </c>
      <c r="L92" s="164">
        <f t="shared" si="34"/>
        <v>4.4447802172789874</v>
      </c>
      <c r="M92" s="164">
        <f t="shared" si="34"/>
        <v>4.4447802172789874</v>
      </c>
      <c r="N92" s="164">
        <f>M92</f>
        <v>4.4447802172789874</v>
      </c>
      <c r="O92" s="317">
        <f>N92</f>
        <v>4.4447802172789874</v>
      </c>
      <c r="P92" s="166">
        <f>O92</f>
        <v>4.4447802172789874</v>
      </c>
    </row>
    <row r="93" spans="1:16" ht="25.5">
      <c r="A93" s="261" t="s">
        <v>90</v>
      </c>
      <c r="B93" s="167"/>
      <c r="C93" s="168">
        <f>1/(1+C92/100)^0.5</f>
        <v>0.9784905367330925</v>
      </c>
      <c r="D93" s="168">
        <f>C93/(1+D92/100)</f>
        <v>0.9368496297254062</v>
      </c>
      <c r="E93" s="168">
        <f>D93/(1+E92/100)</f>
        <v>0.89698080437955385</v>
      </c>
      <c r="F93" s="168">
        <f>E93/(1+F92/100)</f>
        <v>0.85880864751071628</v>
      </c>
      <c r="G93" s="168">
        <f t="shared" ref="G93:O93" si="35">F93/(1+G92/100)</f>
        <v>0.82226095523789322</v>
      </c>
      <c r="H93" s="168">
        <f t="shared" si="35"/>
        <v>0.7872685964079047</v>
      </c>
      <c r="I93" s="168">
        <f t="shared" si="35"/>
        <v>0.75376538183155817</v>
      </c>
      <c r="J93" s="168">
        <f t="shared" si="35"/>
        <v>0.7216879390846358</v>
      </c>
      <c r="K93" s="168">
        <f t="shared" si="35"/>
        <v>0.69097559263688524</v>
      </c>
      <c r="L93" s="168">
        <f t="shared" si="35"/>
        <v>0.66157024908227302</v>
      </c>
      <c r="M93" s="168">
        <f t="shared" si="35"/>
        <v>0.63341628725341037</v>
      </c>
      <c r="N93" s="168">
        <f t="shared" si="35"/>
        <v>0.60646045301229912</v>
      </c>
      <c r="O93" s="318">
        <f t="shared" si="35"/>
        <v>0.58065175851839113</v>
      </c>
      <c r="P93" s="170">
        <f>O93/(1+P92/100)</f>
        <v>0.55594138578342289</v>
      </c>
    </row>
    <row r="94" spans="1:16" ht="38.25">
      <c r="A94" s="261" t="s">
        <v>91</v>
      </c>
      <c r="B94" s="167"/>
      <c r="C94" s="168">
        <f>1/(1+C93/100)</f>
        <v>0.99030991123424306</v>
      </c>
      <c r="D94" s="168">
        <f>C94/(1+D92/100)</f>
        <v>0.94816601573968329</v>
      </c>
      <c r="E94" s="168">
        <f t="shared" ref="E94:N94" si="36">D94/(1+E92/100)</f>
        <v>0.9078156072205722</v>
      </c>
      <c r="F94" s="168">
        <f t="shared" si="36"/>
        <v>0.86918236156179518</v>
      </c>
      <c r="G94" s="168">
        <f t="shared" si="36"/>
        <v>0.83219320271785169</v>
      </c>
      <c r="H94" s="168">
        <f t="shared" si="36"/>
        <v>0.79677816448712913</v>
      </c>
      <c r="I94" s="168">
        <f t="shared" si="36"/>
        <v>0.76287025816854837</v>
      </c>
      <c r="J94" s="168">
        <f t="shared" si="36"/>
        <v>0.73040534585024841</v>
      </c>
      <c r="K94" s="168">
        <f t="shared" si="36"/>
        <v>0.69932201909063196</v>
      </c>
      <c r="L94" s="168">
        <f t="shared" si="36"/>
        <v>0.66956148276229366</v>
      </c>
      <c r="M94" s="168">
        <f t="shared" si="36"/>
        <v>0.64106744383911651</v>
      </c>
      <c r="N94" s="168">
        <f t="shared" si="36"/>
        <v>0.6137860049161753</v>
      </c>
      <c r="O94" s="318">
        <f>N94/(1+O92/100)</f>
        <v>0.5876655622610355</v>
      </c>
      <c r="P94" s="170">
        <f>O94/(1+P92/100)</f>
        <v>0.56265670820360836</v>
      </c>
    </row>
    <row r="95" spans="1:16" ht="26.25" customHeight="1" thickBot="1">
      <c r="A95" s="171" t="s">
        <v>99</v>
      </c>
      <c r="B95" s="319">
        <f>SUM(C95:P95)</f>
        <v>306248283.37613034</v>
      </c>
      <c r="C95" s="320">
        <f>C82*C93+C83*C94+C89*C93</f>
        <v>-786796540.5535146</v>
      </c>
      <c r="D95" s="320">
        <f t="shared" ref="D95:O95" si="37">D82*D93+D83*D94+D89*D93</f>
        <v>-53723210.661598079</v>
      </c>
      <c r="E95" s="320">
        <f t="shared" si="37"/>
        <v>-51832495.17428714</v>
      </c>
      <c r="F95" s="320">
        <f t="shared" si="37"/>
        <v>-50052747.493920736</v>
      </c>
      <c r="G95" s="320">
        <f t="shared" si="37"/>
        <v>-288342812.10251027</v>
      </c>
      <c r="H95" s="320">
        <f t="shared" si="37"/>
        <v>-384347221.01297611</v>
      </c>
      <c r="I95" s="320">
        <f t="shared" si="37"/>
        <v>-506708763.4767589</v>
      </c>
      <c r="J95" s="320">
        <f t="shared" si="37"/>
        <v>-596161574.01877403</v>
      </c>
      <c r="K95" s="320">
        <f t="shared" si="37"/>
        <v>-543469736.11512375</v>
      </c>
      <c r="L95" s="320">
        <f t="shared" si="37"/>
        <v>-493725026.64676225</v>
      </c>
      <c r="M95" s="320">
        <f t="shared" si="37"/>
        <v>-446786075.98184586</v>
      </c>
      <c r="N95" s="320">
        <f t="shared" si="37"/>
        <v>4928869466.9227123</v>
      </c>
      <c r="O95" s="320">
        <f t="shared" si="37"/>
        <v>138451145.38525438</v>
      </c>
      <c r="P95" s="320">
        <f>P82*P93+P83*P94+P89*P93</f>
        <v>-559126125.69376445</v>
      </c>
    </row>
    <row r="96" spans="1:16" s="14" customFormat="1" ht="13.5" thickTop="1">
      <c r="A96" s="176"/>
      <c r="B96" s="177"/>
      <c r="C96" s="177"/>
      <c r="D96" s="313"/>
      <c r="E96" s="313"/>
      <c r="F96" s="313"/>
      <c r="G96" s="313"/>
      <c r="H96" s="313"/>
      <c r="I96" s="313"/>
      <c r="J96" s="313"/>
      <c r="K96" s="313"/>
      <c r="L96" s="313"/>
      <c r="M96" s="314"/>
    </row>
    <row r="97" spans="1:14" s="14" customFormat="1">
      <c r="A97" s="181"/>
      <c r="B97" s="493"/>
      <c r="C97" s="493"/>
      <c r="D97" s="493"/>
      <c r="E97" s="182"/>
      <c r="F97" s="183"/>
      <c r="G97" s="183"/>
      <c r="H97" s="183"/>
      <c r="I97" s="183"/>
      <c r="J97" s="183"/>
      <c r="K97" s="183"/>
      <c r="L97" s="183"/>
      <c r="M97" s="183"/>
      <c r="N97" s="184"/>
    </row>
    <row r="98" spans="1:14" s="14" customFormat="1" ht="12.75" customHeight="1">
      <c r="A98" s="475" t="s">
        <v>88</v>
      </c>
      <c r="B98" s="475"/>
      <c r="C98" s="475"/>
      <c r="D98" s="475"/>
      <c r="E98" s="475"/>
      <c r="F98" s="475"/>
      <c r="G98" s="475"/>
      <c r="H98" s="475"/>
      <c r="I98" s="475"/>
      <c r="J98" s="475"/>
      <c r="K98" s="475"/>
      <c r="L98" s="185"/>
      <c r="M98" s="185"/>
      <c r="N98" s="184"/>
    </row>
    <row r="99" spans="1:14" s="14" customFormat="1" ht="12.75" customHeight="1">
      <c r="A99" s="475"/>
      <c r="B99" s="475"/>
      <c r="C99" s="475"/>
      <c r="D99" s="475"/>
      <c r="E99" s="475"/>
      <c r="F99" s="475"/>
      <c r="G99" s="475"/>
      <c r="H99" s="475"/>
      <c r="I99" s="475"/>
      <c r="J99" s="475"/>
      <c r="K99" s="475"/>
      <c r="L99" s="186"/>
      <c r="M99" s="186"/>
      <c r="N99" s="184"/>
    </row>
    <row r="100" spans="1:14" s="14" customFormat="1" ht="12.75" customHeight="1">
      <c r="A100" s="475"/>
      <c r="B100" s="475"/>
      <c r="C100" s="475"/>
      <c r="D100" s="475"/>
      <c r="E100" s="475"/>
      <c r="F100" s="475"/>
      <c r="G100" s="475"/>
      <c r="H100" s="475"/>
      <c r="I100" s="475"/>
      <c r="J100" s="475"/>
      <c r="K100" s="475"/>
      <c r="L100" s="186"/>
      <c r="M100" s="186"/>
      <c r="N100" s="184"/>
    </row>
    <row r="101" spans="1:14" s="14" customFormat="1" ht="26.25" customHeight="1">
      <c r="A101" s="475"/>
      <c r="B101" s="475"/>
      <c r="C101" s="475"/>
      <c r="D101" s="475"/>
      <c r="E101" s="475"/>
      <c r="F101" s="475"/>
      <c r="G101" s="475"/>
      <c r="H101" s="475"/>
      <c r="I101" s="475"/>
      <c r="J101" s="475"/>
      <c r="K101" s="475"/>
      <c r="L101" s="186"/>
      <c r="M101" s="186"/>
      <c r="N101" s="184"/>
    </row>
    <row r="102" spans="1:14" s="14" customFormat="1" ht="26.25" customHeight="1">
      <c r="A102" s="475"/>
      <c r="B102" s="475"/>
      <c r="C102" s="475"/>
      <c r="D102" s="475"/>
      <c r="E102" s="475"/>
      <c r="F102" s="475"/>
      <c r="G102" s="475"/>
      <c r="H102" s="475"/>
      <c r="I102" s="475"/>
      <c r="J102" s="475"/>
      <c r="K102" s="475"/>
      <c r="L102" s="187"/>
      <c r="M102" s="187"/>
      <c r="N102" s="184"/>
    </row>
    <row r="103" spans="1:14" s="14" customFormat="1" ht="39.75" hidden="1" customHeight="1" outlineLevel="1">
      <c r="A103" s="475"/>
      <c r="B103" s="475"/>
      <c r="C103" s="475"/>
      <c r="D103" s="475"/>
      <c r="E103" s="475"/>
      <c r="F103" s="475"/>
      <c r="G103" s="475"/>
      <c r="H103" s="475"/>
      <c r="I103" s="475"/>
      <c r="J103" s="475"/>
      <c r="K103" s="475"/>
      <c r="L103" s="187"/>
      <c r="M103" s="187"/>
      <c r="N103" s="184"/>
    </row>
    <row r="104" spans="1:14" s="190" customFormat="1" ht="65.25" hidden="1" customHeight="1" outlineLevel="1">
      <c r="A104" s="475"/>
      <c r="B104" s="475"/>
      <c r="C104" s="475"/>
      <c r="D104" s="475"/>
      <c r="E104" s="475"/>
      <c r="F104" s="475"/>
      <c r="G104" s="475"/>
      <c r="H104" s="475"/>
      <c r="I104" s="475"/>
      <c r="J104" s="475"/>
      <c r="K104" s="475"/>
      <c r="L104" s="188"/>
      <c r="M104" s="189"/>
      <c r="N104" s="189"/>
    </row>
    <row r="105" spans="1:14" s="189" customFormat="1" ht="18.75" collapsed="1">
      <c r="A105" s="475"/>
      <c r="B105" s="475"/>
      <c r="C105" s="475"/>
      <c r="D105" s="475"/>
      <c r="E105" s="475"/>
      <c r="F105" s="475"/>
      <c r="G105" s="475"/>
      <c r="H105" s="475"/>
      <c r="I105" s="475"/>
      <c r="J105" s="475"/>
      <c r="K105" s="475"/>
      <c r="L105" s="188"/>
    </row>
    <row r="106" spans="1:14" s="190" customFormat="1" ht="18.75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91"/>
    </row>
    <row r="107" spans="1:14" s="14" customFormat="1">
      <c r="B107" s="192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</row>
    <row r="108" spans="1:14">
      <c r="B108" s="194"/>
    </row>
    <row r="138" spans="2:28">
      <c r="C138" s="196"/>
    </row>
    <row r="139" spans="2:28">
      <c r="B139" s="22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28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2" spans="2:28"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B142" s="197"/>
    </row>
    <row r="144" spans="2:28">
      <c r="B144" s="15"/>
      <c r="C144" s="15"/>
      <c r="D144" s="198"/>
      <c r="E144" s="198"/>
      <c r="F144" s="15"/>
      <c r="G144" s="15"/>
      <c r="H144" s="15"/>
      <c r="I144" s="15"/>
      <c r="J144" s="15"/>
      <c r="K144" s="15"/>
      <c r="L144" s="15"/>
    </row>
  </sheetData>
  <mergeCells count="18">
    <mergeCell ref="A9:A10"/>
    <mergeCell ref="P1:S3"/>
    <mergeCell ref="T1:W3"/>
    <mergeCell ref="A2:B2"/>
    <mergeCell ref="P4:S6"/>
    <mergeCell ref="T4:W6"/>
    <mergeCell ref="S51:V53"/>
    <mergeCell ref="A11:A12"/>
    <mergeCell ref="A13:A14"/>
    <mergeCell ref="A16:B17"/>
    <mergeCell ref="C16:F16"/>
    <mergeCell ref="G16:J16"/>
    <mergeCell ref="K16:M16"/>
    <mergeCell ref="B97:D97"/>
    <mergeCell ref="A98:K105"/>
    <mergeCell ref="C20:F20"/>
    <mergeCell ref="G20:J20"/>
    <mergeCell ref="K20:M20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D9O</cp:lastModifiedBy>
  <dcterms:created xsi:type="dcterms:W3CDTF">2021-11-22T07:29:14Z</dcterms:created>
  <dcterms:modified xsi:type="dcterms:W3CDTF">2023-12-19T21:56:28Z</dcterms:modified>
</cp:coreProperties>
</file>