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6475" windowHeight="10050" activeTab="2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проект'!$A$1:$L$117</definedName>
    <definedName name="_xlnm.Print_Area" localSheetId="2">'Весь проект_эскроу'!$A$1:$L$106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Q70" i="2" l="1"/>
  <c r="Q89" i="2" l="1"/>
  <c r="B87" i="2"/>
  <c r="B62" i="2"/>
  <c r="B66" i="2"/>
  <c r="B65" i="2"/>
  <c r="Q85" i="2"/>
  <c r="N85" i="2"/>
  <c r="B83" i="2"/>
  <c r="B70" i="2"/>
  <c r="B77" i="2"/>
  <c r="P77" i="2"/>
  <c r="O77" i="2"/>
  <c r="E77" i="2"/>
  <c r="F77" i="2"/>
  <c r="G77" i="2"/>
  <c r="H77" i="2"/>
  <c r="I77" i="2"/>
  <c r="J77" i="2"/>
  <c r="K77" i="2"/>
  <c r="L77" i="2"/>
  <c r="M77" i="2"/>
  <c r="N77" i="2"/>
  <c r="D77" i="2"/>
  <c r="N79" i="2"/>
  <c r="O79" i="2"/>
  <c r="P79" i="2"/>
  <c r="O71" i="2"/>
  <c r="P71" i="2"/>
  <c r="N71" i="2"/>
  <c r="E70" i="2"/>
  <c r="D70" i="2"/>
  <c r="C70" i="2"/>
  <c r="C77" i="2"/>
  <c r="P44" i="2" l="1"/>
  <c r="P45" i="2" s="1"/>
  <c r="P40" i="2"/>
  <c r="P41" i="2"/>
  <c r="P42" i="2"/>
  <c r="P43" i="2" s="1"/>
  <c r="O42" i="2"/>
  <c r="O43" i="2"/>
  <c r="P49" i="2"/>
  <c r="P62" i="2"/>
  <c r="O45" i="2"/>
  <c r="O50" i="2" s="1"/>
  <c r="M41" i="2"/>
  <c r="O38" i="2"/>
  <c r="P38" i="2"/>
  <c r="O40" i="2"/>
  <c r="N40" i="2"/>
  <c r="N36" i="2"/>
  <c r="O36" i="2"/>
  <c r="P36" i="2"/>
  <c r="N38" i="2"/>
  <c r="M38" i="2"/>
  <c r="M34" i="2"/>
  <c r="N34" i="2"/>
  <c r="O34" i="2"/>
  <c r="P34" i="2"/>
  <c r="M36" i="2"/>
  <c r="L36" i="2"/>
  <c r="L32" i="2"/>
  <c r="M32" i="2"/>
  <c r="N32" i="2"/>
  <c r="O32" i="2"/>
  <c r="P32" i="2"/>
  <c r="L34" i="2"/>
  <c r="K34" i="2"/>
  <c r="K30" i="2"/>
  <c r="L30" i="2"/>
  <c r="M30" i="2"/>
  <c r="N30" i="2"/>
  <c r="O30" i="2"/>
  <c r="P30" i="2"/>
  <c r="K32" i="2"/>
  <c r="J32" i="2"/>
  <c r="N28" i="2"/>
  <c r="O28" i="2"/>
  <c r="P28" i="2"/>
  <c r="P20" i="2"/>
  <c r="P21" i="2"/>
  <c r="P22" i="2"/>
  <c r="P23" i="2"/>
  <c r="P26" i="2" s="1"/>
  <c r="P24" i="2"/>
  <c r="P60" i="2"/>
  <c r="P61" i="2"/>
  <c r="P68" i="2"/>
  <c r="P78" i="2"/>
  <c r="P91" i="2"/>
  <c r="P94" i="2"/>
  <c r="P96" i="2" s="1"/>
  <c r="P95" i="2"/>
  <c r="B45" i="2" l="1"/>
  <c r="P47" i="2"/>
  <c r="B47" i="2" s="1"/>
  <c r="Q27" i="2"/>
  <c r="P63" i="2"/>
  <c r="P20" i="1" l="1"/>
  <c r="P22" i="1"/>
  <c r="P23" i="1" s="1"/>
  <c r="P26" i="1" s="1"/>
  <c r="P24" i="1"/>
  <c r="P60" i="1"/>
  <c r="P61" i="1" s="1"/>
  <c r="P58" i="1"/>
  <c r="P59" i="1"/>
  <c r="P66" i="1"/>
  <c r="P75" i="1"/>
  <c r="P76" i="1" s="1"/>
  <c r="P86" i="1"/>
  <c r="P87" i="1" s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E96" i="1"/>
  <c r="I19" i="3" l="1"/>
  <c r="I53" i="3"/>
  <c r="I56" i="3" s="1"/>
  <c r="F17" i="3"/>
  <c r="G15" i="3"/>
  <c r="J16" i="3"/>
  <c r="F79" i="3"/>
  <c r="F83" i="3" s="1"/>
  <c r="I80" i="3"/>
  <c r="I82" i="3" s="1"/>
  <c r="D91" i="2"/>
  <c r="E91" i="2"/>
  <c r="F91" i="2"/>
  <c r="G91" i="2"/>
  <c r="H91" i="2"/>
  <c r="I91" i="2"/>
  <c r="J91" i="2"/>
  <c r="K91" i="2"/>
  <c r="L91" i="2"/>
  <c r="M91" i="2"/>
  <c r="N91" i="2"/>
  <c r="O91" i="2"/>
  <c r="C91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94" i="2"/>
  <c r="N94" i="2" s="1"/>
  <c r="O94" i="2" s="1"/>
  <c r="Q94" i="2" s="1"/>
  <c r="L94" i="2"/>
  <c r="K94" i="2"/>
  <c r="J94" i="2"/>
  <c r="I94" i="2"/>
  <c r="H94" i="2"/>
  <c r="G94" i="2"/>
  <c r="F94" i="2"/>
  <c r="E94" i="2"/>
  <c r="D94" i="2"/>
  <c r="C94" i="2"/>
  <c r="O78" i="2"/>
  <c r="N78" i="2"/>
  <c r="M75" i="2"/>
  <c r="L75" i="2"/>
  <c r="G75" i="2"/>
  <c r="F75" i="2"/>
  <c r="E75" i="2"/>
  <c r="D75" i="2"/>
  <c r="C75" i="2"/>
  <c r="B74" i="2"/>
  <c r="M71" i="2"/>
  <c r="K71" i="2"/>
  <c r="K79" i="2" s="1"/>
  <c r="J71" i="2"/>
  <c r="J79" i="2" s="1"/>
  <c r="I71" i="2"/>
  <c r="I79" i="2" s="1"/>
  <c r="G71" i="2"/>
  <c r="F71" i="2"/>
  <c r="E71" i="2"/>
  <c r="C71" i="2"/>
  <c r="O68" i="2"/>
  <c r="N68" i="2"/>
  <c r="F61" i="2"/>
  <c r="E61" i="2"/>
  <c r="M57" i="2"/>
  <c r="L57" i="2"/>
  <c r="K57" i="2"/>
  <c r="J57" i="2"/>
  <c r="I57" i="2"/>
  <c r="H57" i="2"/>
  <c r="G57" i="2"/>
  <c r="B51" i="2"/>
  <c r="F50" i="2"/>
  <c r="E50" i="2"/>
  <c r="D50" i="2"/>
  <c r="D65" i="2" s="1"/>
  <c r="C50" i="2"/>
  <c r="C72" i="2" s="1"/>
  <c r="B40" i="2"/>
  <c r="B38" i="2"/>
  <c r="B36" i="2"/>
  <c r="B34" i="2"/>
  <c r="B32" i="2"/>
  <c r="O62" i="2"/>
  <c r="N62" i="2"/>
  <c r="M27" i="2"/>
  <c r="M62" i="2" s="1"/>
  <c r="L27" i="2"/>
  <c r="L62" i="2" s="1"/>
  <c r="K27" i="2"/>
  <c r="K62" i="2" s="1"/>
  <c r="J62" i="2"/>
  <c r="I62" i="2"/>
  <c r="H62" i="2"/>
  <c r="G62" i="2"/>
  <c r="F27" i="2"/>
  <c r="F55" i="2" s="1"/>
  <c r="E27" i="2"/>
  <c r="E55" i="2" s="1"/>
  <c r="D27" i="2"/>
  <c r="C27" i="2"/>
  <c r="O21" i="2"/>
  <c r="C20" i="2"/>
  <c r="G20" i="2" s="1"/>
  <c r="K20" i="2" s="1"/>
  <c r="R19" i="2"/>
  <c r="B24" i="2" s="1"/>
  <c r="Q19" i="2"/>
  <c r="C21" i="2" s="1"/>
  <c r="C22" i="2" s="1"/>
  <c r="M18" i="2"/>
  <c r="M68" i="2" s="1"/>
  <c r="L18" i="2"/>
  <c r="L68" i="2" s="1"/>
  <c r="K18" i="2"/>
  <c r="K68" i="2" s="1"/>
  <c r="J18" i="2"/>
  <c r="J68" i="2" s="1"/>
  <c r="I18" i="2"/>
  <c r="I68" i="2" s="1"/>
  <c r="H18" i="2"/>
  <c r="H68" i="2" s="1"/>
  <c r="G18" i="2"/>
  <c r="G68" i="2" s="1"/>
  <c r="F18" i="2"/>
  <c r="F68" i="2" s="1"/>
  <c r="E18" i="2"/>
  <c r="E68" i="2" s="1"/>
  <c r="D18" i="2"/>
  <c r="D68" i="2" s="1"/>
  <c r="C18" i="2"/>
  <c r="C68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6" i="2"/>
  <c r="B10" i="2" s="1"/>
  <c r="B5" i="2"/>
  <c r="B4" i="2"/>
  <c r="B3" i="2"/>
  <c r="M39" i="2" l="1"/>
  <c r="L35" i="2"/>
  <c r="J33" i="2"/>
  <c r="O39" i="2"/>
  <c r="N29" i="2"/>
  <c r="K31" i="2"/>
  <c r="M31" i="2"/>
  <c r="N37" i="2"/>
  <c r="O31" i="2"/>
  <c r="P50" i="2"/>
  <c r="P65" i="2" s="1"/>
  <c r="P39" i="2"/>
  <c r="M35" i="2"/>
  <c r="P31" i="2"/>
  <c r="N39" i="2"/>
  <c r="O41" i="2"/>
  <c r="N35" i="2"/>
  <c r="N31" i="2"/>
  <c r="N41" i="2"/>
  <c r="L37" i="2"/>
  <c r="L31" i="2"/>
  <c r="O35" i="2"/>
  <c r="O29" i="2"/>
  <c r="P33" i="2"/>
  <c r="N33" i="2"/>
  <c r="M33" i="2"/>
  <c r="L33" i="2"/>
  <c r="M37" i="2"/>
  <c r="O37" i="2"/>
  <c r="P29" i="2"/>
  <c r="K35" i="2"/>
  <c r="K33" i="2"/>
  <c r="P37" i="2"/>
  <c r="P35" i="2"/>
  <c r="O33" i="2"/>
  <c r="G35" i="3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B27" i="2"/>
  <c r="N20" i="2"/>
  <c r="B75" i="2"/>
  <c r="C95" i="2"/>
  <c r="C23" i="2"/>
  <c r="I30" i="2"/>
  <c r="J30" i="2"/>
  <c r="M28" i="2"/>
  <c r="I28" i="2"/>
  <c r="L28" i="2"/>
  <c r="H28" i="2"/>
  <c r="J28" i="2"/>
  <c r="K28" i="2"/>
  <c r="B60" i="2"/>
  <c r="B53" i="2"/>
  <c r="G24" i="2"/>
  <c r="C73" i="2"/>
  <c r="O20" i="2"/>
  <c r="E56" i="2"/>
  <c r="B55" i="2"/>
  <c r="E62" i="2"/>
  <c r="D66" i="2"/>
  <c r="D76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2" i="2"/>
  <c r="F63" i="2" s="1"/>
  <c r="F64" i="2" s="1"/>
  <c r="F56" i="2"/>
  <c r="F57" i="2" s="1"/>
  <c r="C65" i="2"/>
  <c r="D71" i="2"/>
  <c r="H71" i="2"/>
  <c r="H79" i="2" s="1"/>
  <c r="L71" i="2"/>
  <c r="D72" i="2"/>
  <c r="D73" i="2" s="1"/>
  <c r="E72" i="2"/>
  <c r="E73" i="2" s="1"/>
  <c r="E79" i="2" s="1"/>
  <c r="F72" i="2"/>
  <c r="F73" i="2" s="1"/>
  <c r="F79" i="2" s="1"/>
  <c r="C78" i="2"/>
  <c r="M86" i="1"/>
  <c r="N86" i="1" s="1"/>
  <c r="O86" i="1" s="1"/>
  <c r="Q86" i="1" s="1"/>
  <c r="L86" i="1"/>
  <c r="K86" i="1"/>
  <c r="J86" i="1"/>
  <c r="I86" i="1"/>
  <c r="H86" i="1"/>
  <c r="G86" i="1"/>
  <c r="F86" i="1"/>
  <c r="E86" i="1"/>
  <c r="D86" i="1"/>
  <c r="C86" i="1"/>
  <c r="C87" i="1" s="1"/>
  <c r="O75" i="1"/>
  <c r="O76" i="1" s="1"/>
  <c r="N75" i="1"/>
  <c r="N76" i="1" s="1"/>
  <c r="M75" i="1"/>
  <c r="L75" i="1"/>
  <c r="K75" i="1"/>
  <c r="J75" i="1"/>
  <c r="I75" i="1"/>
  <c r="H75" i="1"/>
  <c r="G75" i="1"/>
  <c r="F75" i="1"/>
  <c r="E75" i="1"/>
  <c r="D75" i="1"/>
  <c r="C75" i="1"/>
  <c r="M73" i="1"/>
  <c r="L73" i="1"/>
  <c r="G73" i="1"/>
  <c r="F73" i="1"/>
  <c r="E73" i="1"/>
  <c r="D73" i="1"/>
  <c r="C73" i="1"/>
  <c r="B72" i="1"/>
  <c r="M68" i="1"/>
  <c r="M69" i="1" s="1"/>
  <c r="L68" i="1"/>
  <c r="L69" i="1" s="1"/>
  <c r="K68" i="1"/>
  <c r="K69" i="1" s="1"/>
  <c r="K77" i="1" s="1"/>
  <c r="J68" i="1"/>
  <c r="J69" i="1" s="1"/>
  <c r="J77" i="1" s="1"/>
  <c r="I68" i="1"/>
  <c r="I69" i="1" s="1"/>
  <c r="I77" i="1" s="1"/>
  <c r="H68" i="1"/>
  <c r="H69" i="1" s="1"/>
  <c r="H77" i="1" s="1"/>
  <c r="G68" i="1"/>
  <c r="G69" i="1" s="1"/>
  <c r="F68" i="1"/>
  <c r="F69" i="1" s="1"/>
  <c r="E68" i="1"/>
  <c r="E69" i="1" s="1"/>
  <c r="D68" i="1"/>
  <c r="D69" i="1" s="1"/>
  <c r="C68" i="1"/>
  <c r="G67" i="1"/>
  <c r="O66" i="1"/>
  <c r="N66" i="1"/>
  <c r="F59" i="1"/>
  <c r="E59" i="1"/>
  <c r="M55" i="1"/>
  <c r="L55" i="1"/>
  <c r="K55" i="1"/>
  <c r="J55" i="1"/>
  <c r="I55" i="1"/>
  <c r="H55" i="1"/>
  <c r="G55" i="1"/>
  <c r="B49" i="1"/>
  <c r="F48" i="1"/>
  <c r="F70" i="1" s="1"/>
  <c r="F71" i="1" s="1"/>
  <c r="E48" i="1"/>
  <c r="D48" i="1"/>
  <c r="D70" i="1" s="1"/>
  <c r="D71" i="1" s="1"/>
  <c r="C48" i="1"/>
  <c r="C70" i="1" s="1"/>
  <c r="B40" i="1"/>
  <c r="B38" i="1"/>
  <c r="B36" i="1"/>
  <c r="B34" i="1"/>
  <c r="B32" i="1"/>
  <c r="O27" i="1"/>
  <c r="O60" i="1" s="1"/>
  <c r="N27" i="1"/>
  <c r="N60" i="1" s="1"/>
  <c r="M27" i="1"/>
  <c r="M60" i="1" s="1"/>
  <c r="L27" i="1"/>
  <c r="L60" i="1" s="1"/>
  <c r="K27" i="1"/>
  <c r="K60" i="1" s="1"/>
  <c r="J27" i="1"/>
  <c r="J60" i="1" s="1"/>
  <c r="I27" i="1"/>
  <c r="I60" i="1" s="1"/>
  <c r="H27" i="1"/>
  <c r="H60" i="1" s="1"/>
  <c r="G27" i="1"/>
  <c r="G60" i="1" s="1"/>
  <c r="F27" i="1"/>
  <c r="F53" i="1" s="1"/>
  <c r="E27" i="1"/>
  <c r="E53" i="1" s="1"/>
  <c r="D27" i="1"/>
  <c r="C27" i="1"/>
  <c r="O21" i="1"/>
  <c r="C20" i="1"/>
  <c r="G20" i="1" s="1"/>
  <c r="K20" i="1" s="1"/>
  <c r="R19" i="1"/>
  <c r="B24" i="1" s="1"/>
  <c r="Q19" i="1"/>
  <c r="C21" i="1" s="1"/>
  <c r="C22" i="1" s="1"/>
  <c r="M18" i="1"/>
  <c r="M66" i="1" s="1"/>
  <c r="L18" i="1"/>
  <c r="L66" i="1" s="1"/>
  <c r="K18" i="1"/>
  <c r="K66" i="1" s="1"/>
  <c r="J18" i="1"/>
  <c r="J66" i="1" s="1"/>
  <c r="I18" i="1"/>
  <c r="I66" i="1" s="1"/>
  <c r="H18" i="1"/>
  <c r="H66" i="1" s="1"/>
  <c r="G18" i="1"/>
  <c r="G66" i="1" s="1"/>
  <c r="F18" i="1"/>
  <c r="F66" i="1" s="1"/>
  <c r="E18" i="1"/>
  <c r="E66" i="1" s="1"/>
  <c r="D18" i="1"/>
  <c r="D66" i="1" s="1"/>
  <c r="C18" i="1"/>
  <c r="C6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7" i="1"/>
  <c r="B6" i="1"/>
  <c r="B10" i="1" s="1"/>
  <c r="B5" i="1"/>
  <c r="B14" i="1" s="1"/>
  <c r="B4" i="1"/>
  <c r="B3" i="1"/>
  <c r="C79" i="2" l="1"/>
  <c r="B69" i="2"/>
  <c r="Q69" i="2" s="1"/>
  <c r="P67" i="2"/>
  <c r="P83" i="2" s="1"/>
  <c r="P85" i="2"/>
  <c r="P87" i="2"/>
  <c r="P66" i="2"/>
  <c r="B73" i="1"/>
  <c r="E60" i="1"/>
  <c r="E61" i="1" s="1"/>
  <c r="E62" i="1" s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83" i="2"/>
  <c r="C84" i="2" s="1"/>
  <c r="C87" i="2"/>
  <c r="D95" i="2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Q95" i="2" s="1"/>
  <c r="C96" i="2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Q96" i="2" s="1"/>
  <c r="F65" i="2"/>
  <c r="F66" i="2" s="1"/>
  <c r="D79" i="2"/>
  <c r="D78" i="2"/>
  <c r="B30" i="2"/>
  <c r="C66" i="2"/>
  <c r="C76" i="2"/>
  <c r="E57" i="2"/>
  <c r="B56" i="2"/>
  <c r="G53" i="2"/>
  <c r="H24" i="2"/>
  <c r="B28" i="2"/>
  <c r="D22" i="2"/>
  <c r="E63" i="2"/>
  <c r="C76" i="1"/>
  <c r="F77" i="1"/>
  <c r="B27" i="1"/>
  <c r="B68" i="1"/>
  <c r="Q68" i="1" s="1"/>
  <c r="C69" i="1"/>
  <c r="B69" i="1" s="1"/>
  <c r="B75" i="1"/>
  <c r="E54" i="1"/>
  <c r="E55" i="1" s="1"/>
  <c r="D77" i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Q87" i="1" s="1"/>
  <c r="F54" i="1"/>
  <c r="F55" i="1" s="1"/>
  <c r="F60" i="1"/>
  <c r="F61" i="1" s="1"/>
  <c r="F62" i="1" s="1"/>
  <c r="B53" i="1"/>
  <c r="J30" i="1"/>
  <c r="I30" i="1"/>
  <c r="M28" i="1"/>
  <c r="I28" i="1"/>
  <c r="M30" i="1"/>
  <c r="L28" i="1"/>
  <c r="H28" i="1"/>
  <c r="K30" i="1"/>
  <c r="J28" i="1"/>
  <c r="L30" i="1"/>
  <c r="K28" i="1"/>
  <c r="C23" i="1"/>
  <c r="B51" i="1"/>
  <c r="G24" i="1"/>
  <c r="B58" i="1"/>
  <c r="B12" i="1"/>
  <c r="N20" i="1"/>
  <c r="C63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O20" i="1"/>
  <c r="D63" i="1"/>
  <c r="C71" i="1"/>
  <c r="H67" i="1"/>
  <c r="I67" i="1" s="1"/>
  <c r="J67" i="1" s="1"/>
  <c r="K67" i="1" s="1"/>
  <c r="L67" i="1" s="1"/>
  <c r="M67" i="1" s="1"/>
  <c r="E70" i="1"/>
  <c r="E71" i="1" s="1"/>
  <c r="E77" i="1" s="1"/>
  <c r="D83" i="2" l="1"/>
  <c r="D89" i="2" s="1"/>
  <c r="P84" i="2"/>
  <c r="P97" i="2" s="1"/>
  <c r="P89" i="2"/>
  <c r="C97" i="2"/>
  <c r="E63" i="1"/>
  <c r="E64" i="1" s="1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6" i="2"/>
  <c r="F78" i="2" s="1"/>
  <c r="F83" i="2" s="1"/>
  <c r="D87" i="2"/>
  <c r="E64" i="2"/>
  <c r="B64" i="2" s="1"/>
  <c r="C89" i="2"/>
  <c r="H53" i="2"/>
  <c r="I24" i="2"/>
  <c r="B57" i="2"/>
  <c r="D23" i="2"/>
  <c r="E22" i="2"/>
  <c r="B60" i="1"/>
  <c r="B62" i="1"/>
  <c r="B55" i="1"/>
  <c r="B54" i="1"/>
  <c r="D74" i="1"/>
  <c r="D76" i="1" s="1"/>
  <c r="D80" i="1" s="1"/>
  <c r="D64" i="1"/>
  <c r="C79" i="1"/>
  <c r="C74" i="1"/>
  <c r="C80" i="1"/>
  <c r="C64" i="1"/>
  <c r="B30" i="1"/>
  <c r="C77" i="1"/>
  <c r="H24" i="1"/>
  <c r="G51" i="1"/>
  <c r="D22" i="1"/>
  <c r="F63" i="1"/>
  <c r="B67" i="1"/>
  <c r="Q67" i="1" s="1"/>
  <c r="B28" i="1"/>
  <c r="D84" i="2" l="1"/>
  <c r="D97" i="2" s="1"/>
  <c r="E74" i="1"/>
  <c r="E76" i="1" s="1"/>
  <c r="E80" i="1" s="1"/>
  <c r="F38" i="3"/>
  <c r="M19" i="3"/>
  <c r="M53" i="3"/>
  <c r="M56" i="3" s="1"/>
  <c r="O16" i="3"/>
  <c r="N80" i="3"/>
  <c r="N82" i="3" s="1"/>
  <c r="N17" i="3"/>
  <c r="P16" i="3"/>
  <c r="L36" i="3"/>
  <c r="M36" i="3" s="1"/>
  <c r="F39" i="3"/>
  <c r="M35" i="3"/>
  <c r="N35" i="3" s="1"/>
  <c r="F87" i="2"/>
  <c r="F89" i="2"/>
  <c r="F84" i="2"/>
  <c r="F97" i="2" s="1"/>
  <c r="E65" i="2"/>
  <c r="E76" i="2" s="1"/>
  <c r="I53" i="2"/>
  <c r="J24" i="2"/>
  <c r="E23" i="2"/>
  <c r="F22" i="2"/>
  <c r="D23" i="1"/>
  <c r="E22" i="1"/>
  <c r="H51" i="1"/>
  <c r="I24" i="1"/>
  <c r="F64" i="1"/>
  <c r="F74" i="1"/>
  <c r="F76" i="1" s="1"/>
  <c r="F79" i="1" s="1"/>
  <c r="F82" i="1" s="1"/>
  <c r="F84" i="1" s="1"/>
  <c r="C82" i="1"/>
  <c r="D79" i="1"/>
  <c r="D82" i="1" s="1"/>
  <c r="D84" i="1" s="1"/>
  <c r="E79" i="1" l="1"/>
  <c r="E82" i="1" s="1"/>
  <c r="E84" i="1" s="1"/>
  <c r="E88" i="1" s="1"/>
  <c r="N53" i="3"/>
  <c r="N19" i="3"/>
  <c r="N36" i="3" s="1"/>
  <c r="O80" i="3"/>
  <c r="O82" i="3" s="1"/>
  <c r="F85" i="3" s="1"/>
  <c r="O17" i="3"/>
  <c r="E66" i="2"/>
  <c r="F23" i="2"/>
  <c r="G22" i="2"/>
  <c r="J53" i="2"/>
  <c r="K24" i="2"/>
  <c r="E78" i="2"/>
  <c r="F80" i="1"/>
  <c r="C84" i="1"/>
  <c r="D85" i="1"/>
  <c r="D88" i="1"/>
  <c r="F88" i="1"/>
  <c r="F85" i="1"/>
  <c r="E23" i="1"/>
  <c r="F22" i="1"/>
  <c r="I51" i="1"/>
  <c r="J24" i="1"/>
  <c r="E83" i="2" l="1"/>
  <c r="E84" i="2" s="1"/>
  <c r="E97" i="2" s="1"/>
  <c r="E85" i="1"/>
  <c r="O53" i="3"/>
  <c r="O56" i="3" s="1"/>
  <c r="O19" i="3"/>
  <c r="F22" i="3" s="1"/>
  <c r="F21" i="3"/>
  <c r="N56" i="3"/>
  <c r="F59" i="3"/>
  <c r="O35" i="3"/>
  <c r="G23" i="2"/>
  <c r="H22" i="2"/>
  <c r="G52" i="2"/>
  <c r="E87" i="2"/>
  <c r="K53" i="2"/>
  <c r="L24" i="2"/>
  <c r="C85" i="1"/>
  <c r="C88" i="1"/>
  <c r="J51" i="1"/>
  <c r="K24" i="1"/>
  <c r="F23" i="1"/>
  <c r="G22" i="1"/>
  <c r="F57" i="3" l="1"/>
  <c r="P35" i="3"/>
  <c r="O36" i="3"/>
  <c r="P36" i="3" s="1"/>
  <c r="H52" i="2"/>
  <c r="H23" i="2"/>
  <c r="I22" i="2"/>
  <c r="E89" i="2"/>
  <c r="L53" i="2"/>
  <c r="M24" i="2"/>
  <c r="K51" i="1"/>
  <c r="L24" i="1"/>
  <c r="H22" i="1"/>
  <c r="G50" i="1"/>
  <c r="G23" i="1"/>
  <c r="M53" i="2" l="1"/>
  <c r="M25" i="2"/>
  <c r="N24" i="2"/>
  <c r="O24" i="2" s="1"/>
  <c r="I52" i="2"/>
  <c r="I23" i="2"/>
  <c r="J22" i="2"/>
  <c r="L51" i="1"/>
  <c r="M24" i="1"/>
  <c r="H23" i="1"/>
  <c r="I22" i="1"/>
  <c r="H50" i="1"/>
  <c r="L25" i="2" l="1"/>
  <c r="J23" i="2"/>
  <c r="K22" i="2"/>
  <c r="J52" i="2"/>
  <c r="M51" i="1"/>
  <c r="M25" i="1"/>
  <c r="N24" i="1"/>
  <c r="O24" i="1" s="1"/>
  <c r="I50" i="1"/>
  <c r="I23" i="1"/>
  <c r="J22" i="1"/>
  <c r="K23" i="2" l="1"/>
  <c r="L22" i="2"/>
  <c r="K52" i="2"/>
  <c r="K25" i="2"/>
  <c r="J23" i="1"/>
  <c r="K22" i="1"/>
  <c r="J50" i="1"/>
  <c r="L25" i="1"/>
  <c r="K60" i="2" l="1"/>
  <c r="K61" i="2" s="1"/>
  <c r="K63" i="2" s="1"/>
  <c r="J25" i="2"/>
  <c r="K26" i="2"/>
  <c r="K37" i="2" s="1"/>
  <c r="L52" i="2"/>
  <c r="L54" i="2" s="1"/>
  <c r="L23" i="2"/>
  <c r="L26" i="2" s="1"/>
  <c r="L39" i="2" s="1"/>
  <c r="M22" i="2"/>
  <c r="L60" i="2"/>
  <c r="L61" i="2" s="1"/>
  <c r="L63" i="2" s="1"/>
  <c r="K54" i="2"/>
  <c r="K50" i="1"/>
  <c r="K23" i="1"/>
  <c r="L22" i="1"/>
  <c r="K25" i="1"/>
  <c r="K50" i="2" l="1"/>
  <c r="K65" i="2" s="1"/>
  <c r="B37" i="2"/>
  <c r="M52" i="2"/>
  <c r="M54" i="2" s="1"/>
  <c r="M23" i="2"/>
  <c r="M26" i="2" s="1"/>
  <c r="N22" i="2"/>
  <c r="M60" i="2"/>
  <c r="M61" i="2" s="1"/>
  <c r="M63" i="2" s="1"/>
  <c r="J60" i="2"/>
  <c r="J61" i="2" s="1"/>
  <c r="J63" i="2" s="1"/>
  <c r="I25" i="2"/>
  <c r="J54" i="2"/>
  <c r="J26" i="2"/>
  <c r="J35" i="2" s="1"/>
  <c r="L50" i="2"/>
  <c r="B39" i="2"/>
  <c r="K58" i="1"/>
  <c r="K59" i="1" s="1"/>
  <c r="K61" i="1" s="1"/>
  <c r="J25" i="1"/>
  <c r="K26" i="1"/>
  <c r="K37" i="1" s="1"/>
  <c r="L23" i="1"/>
  <c r="L26" i="1" s="1"/>
  <c r="L39" i="1" s="1"/>
  <c r="M22" i="1"/>
  <c r="L50" i="1"/>
  <c r="L52" i="1" s="1"/>
  <c r="L58" i="1"/>
  <c r="L59" i="1" s="1"/>
  <c r="L61" i="1" s="1"/>
  <c r="K52" i="1"/>
  <c r="I60" i="2" l="1"/>
  <c r="I61" i="2" s="1"/>
  <c r="I63" i="2" s="1"/>
  <c r="H25" i="2"/>
  <c r="I54" i="2"/>
  <c r="I26" i="2"/>
  <c r="I33" i="2" s="1"/>
  <c r="L65" i="2"/>
  <c r="L72" i="2"/>
  <c r="J50" i="2"/>
  <c r="J65" i="2" s="1"/>
  <c r="B35" i="2"/>
  <c r="N60" i="2"/>
  <c r="N61" i="2" s="1"/>
  <c r="N63" i="2" s="1"/>
  <c r="N23" i="2"/>
  <c r="N26" i="2" s="1"/>
  <c r="N43" i="2" s="1"/>
  <c r="O22" i="2"/>
  <c r="K66" i="2"/>
  <c r="K76" i="2"/>
  <c r="K78" i="2" s="1"/>
  <c r="B37" i="1"/>
  <c r="K48" i="1"/>
  <c r="K63" i="1" s="1"/>
  <c r="J58" i="1"/>
  <c r="J59" i="1" s="1"/>
  <c r="J61" i="1" s="1"/>
  <c r="I25" i="1"/>
  <c r="J26" i="1"/>
  <c r="J35" i="1" s="1"/>
  <c r="J52" i="1"/>
  <c r="L48" i="1"/>
  <c r="B39" i="1"/>
  <c r="M23" i="1"/>
  <c r="M26" i="1" s="1"/>
  <c r="M41" i="1" s="1"/>
  <c r="N22" i="1"/>
  <c r="M50" i="1"/>
  <c r="M52" i="1" s="1"/>
  <c r="M58" i="1"/>
  <c r="M59" i="1" s="1"/>
  <c r="M61" i="1" s="1"/>
  <c r="K87" i="2" l="1"/>
  <c r="K83" i="2"/>
  <c r="I50" i="2"/>
  <c r="I65" i="2" s="1"/>
  <c r="B33" i="2"/>
  <c r="L73" i="2"/>
  <c r="L79" i="2" s="1"/>
  <c r="H60" i="2"/>
  <c r="H61" i="2" s="1"/>
  <c r="H63" i="2" s="1"/>
  <c r="G25" i="2"/>
  <c r="H54" i="2"/>
  <c r="H26" i="2"/>
  <c r="N50" i="2"/>
  <c r="N65" i="2" s="1"/>
  <c r="B43" i="2"/>
  <c r="O60" i="2"/>
  <c r="O61" i="2" s="1"/>
  <c r="O63" i="2" s="1"/>
  <c r="O23" i="2"/>
  <c r="O26" i="2" s="1"/>
  <c r="J76" i="2"/>
  <c r="J78" i="2" s="1"/>
  <c r="J83" i="2" s="1"/>
  <c r="J66" i="2"/>
  <c r="L66" i="2"/>
  <c r="L76" i="2"/>
  <c r="L78" i="2" s="1"/>
  <c r="L83" i="2" s="1"/>
  <c r="B41" i="1"/>
  <c r="M48" i="1"/>
  <c r="J48" i="1"/>
  <c r="J63" i="1" s="1"/>
  <c r="B35" i="1"/>
  <c r="I58" i="1"/>
  <c r="I59" i="1" s="1"/>
  <c r="I61" i="1" s="1"/>
  <c r="H25" i="1"/>
  <c r="I52" i="1"/>
  <c r="I26" i="1"/>
  <c r="I33" i="1" s="1"/>
  <c r="L70" i="1"/>
  <c r="L63" i="1"/>
  <c r="N23" i="1"/>
  <c r="N26" i="1" s="1"/>
  <c r="O22" i="1"/>
  <c r="N58" i="1"/>
  <c r="N59" i="1" s="1"/>
  <c r="N61" i="1" s="1"/>
  <c r="K74" i="1"/>
  <c r="K76" i="1" s="1"/>
  <c r="K79" i="1" s="1"/>
  <c r="K82" i="1" s="1"/>
  <c r="K84" i="1" s="1"/>
  <c r="K64" i="1"/>
  <c r="N43" i="1" l="1"/>
  <c r="N48" i="1" s="1"/>
  <c r="N63" i="1" s="1"/>
  <c r="P43" i="1"/>
  <c r="P48" i="1" s="1"/>
  <c r="P63" i="1" s="1"/>
  <c r="J89" i="2"/>
  <c r="J84" i="2"/>
  <c r="J97" i="2" s="1"/>
  <c r="K89" i="2"/>
  <c r="K84" i="2"/>
  <c r="K97" i="2" s="1"/>
  <c r="J87" i="2"/>
  <c r="L87" i="2"/>
  <c r="J31" i="2"/>
  <c r="I31" i="2"/>
  <c r="H31" i="2"/>
  <c r="G60" i="2"/>
  <c r="G61" i="2" s="1"/>
  <c r="G63" i="2" s="1"/>
  <c r="B63" i="2" s="1"/>
  <c r="G54" i="2"/>
  <c r="G26" i="2"/>
  <c r="N87" i="2"/>
  <c r="N66" i="2"/>
  <c r="I76" i="2"/>
  <c r="I78" i="2" s="1"/>
  <c r="I83" i="2" s="1"/>
  <c r="I66" i="2"/>
  <c r="K80" i="1"/>
  <c r="K85" i="1"/>
  <c r="K88" i="1"/>
  <c r="L71" i="1"/>
  <c r="L77" i="1" s="1"/>
  <c r="O58" i="1"/>
  <c r="O59" i="1" s="1"/>
  <c r="O61" i="1" s="1"/>
  <c r="O23" i="1"/>
  <c r="O26" i="1" s="1"/>
  <c r="B33" i="1"/>
  <c r="I48" i="1"/>
  <c r="I63" i="1" s="1"/>
  <c r="J74" i="1"/>
  <c r="J76" i="1" s="1"/>
  <c r="J80" i="1" s="1"/>
  <c r="J64" i="1"/>
  <c r="L64" i="1"/>
  <c r="L74" i="1"/>
  <c r="L76" i="1" s="1"/>
  <c r="G25" i="1"/>
  <c r="H58" i="1"/>
  <c r="H59" i="1" s="1"/>
  <c r="H61" i="1" s="1"/>
  <c r="H52" i="1"/>
  <c r="H26" i="1"/>
  <c r="M63" i="1"/>
  <c r="M70" i="1"/>
  <c r="B43" i="1" l="1"/>
  <c r="P64" i="1"/>
  <c r="P79" i="1"/>
  <c r="P82" i="1" s="1"/>
  <c r="P84" i="1" s="1"/>
  <c r="P80" i="1"/>
  <c r="I89" i="2"/>
  <c r="I84" i="2"/>
  <c r="I97" i="2" s="1"/>
  <c r="L89" i="2"/>
  <c r="L84" i="2"/>
  <c r="L97" i="2" s="1"/>
  <c r="I87" i="2"/>
  <c r="O65" i="2"/>
  <c r="B31" i="2"/>
  <c r="J29" i="2"/>
  <c r="L29" i="2"/>
  <c r="G29" i="2"/>
  <c r="H29" i="2"/>
  <c r="H50" i="2" s="1"/>
  <c r="H65" i="2" s="1"/>
  <c r="K29" i="2"/>
  <c r="M29" i="2"/>
  <c r="I29" i="2"/>
  <c r="J79" i="1"/>
  <c r="J82" i="1" s="1"/>
  <c r="J84" i="1" s="1"/>
  <c r="J88" i="1" s="1"/>
  <c r="L80" i="1"/>
  <c r="L79" i="1"/>
  <c r="L82" i="1" s="1"/>
  <c r="L84" i="1" s="1"/>
  <c r="L31" i="1"/>
  <c r="I31" i="1"/>
  <c r="K31" i="1"/>
  <c r="H31" i="1"/>
  <c r="J31" i="1"/>
  <c r="M31" i="1"/>
  <c r="M71" i="1"/>
  <c r="M77" i="1" s="1"/>
  <c r="I64" i="1"/>
  <c r="I74" i="1"/>
  <c r="I76" i="1" s="1"/>
  <c r="I79" i="1" s="1"/>
  <c r="I82" i="1" s="1"/>
  <c r="I84" i="1" s="1"/>
  <c r="M64" i="1"/>
  <c r="M74" i="1"/>
  <c r="M76" i="1" s="1"/>
  <c r="G58" i="1"/>
  <c r="G59" i="1" s="1"/>
  <c r="G61" i="1" s="1"/>
  <c r="B61" i="1" s="1"/>
  <c r="G52" i="1"/>
  <c r="G26" i="1"/>
  <c r="O45" i="1"/>
  <c r="O47" i="1"/>
  <c r="N79" i="1"/>
  <c r="N82" i="1" s="1"/>
  <c r="N84" i="1" s="1"/>
  <c r="N64" i="1"/>
  <c r="N80" i="1"/>
  <c r="P88" i="1" l="1"/>
  <c r="P85" i="1"/>
  <c r="O85" i="2"/>
  <c r="O67" i="2"/>
  <c r="O83" i="2" s="1"/>
  <c r="H66" i="2"/>
  <c r="H76" i="2"/>
  <c r="H78" i="2" s="1"/>
  <c r="H83" i="2" s="1"/>
  <c r="G50" i="2"/>
  <c r="B29" i="2"/>
  <c r="B49" i="2" s="1"/>
  <c r="O87" i="2"/>
  <c r="O66" i="2"/>
  <c r="I80" i="1"/>
  <c r="J85" i="1"/>
  <c r="M80" i="1"/>
  <c r="M79" i="1"/>
  <c r="M82" i="1" s="1"/>
  <c r="M84" i="1" s="1"/>
  <c r="I88" i="1"/>
  <c r="I85" i="1"/>
  <c r="B45" i="1"/>
  <c r="O48" i="1"/>
  <c r="O63" i="1" s="1"/>
  <c r="I29" i="1"/>
  <c r="K29" i="1"/>
  <c r="G29" i="1"/>
  <c r="J29" i="1"/>
  <c r="H29" i="1"/>
  <c r="H48" i="1" s="1"/>
  <c r="H63" i="1" s="1"/>
  <c r="M29" i="1"/>
  <c r="L29" i="1"/>
  <c r="N88" i="1"/>
  <c r="N85" i="1"/>
  <c r="B31" i="1"/>
  <c r="L85" i="1"/>
  <c r="L88" i="1"/>
  <c r="O89" i="2" l="1"/>
  <c r="O84" i="2"/>
  <c r="O97" i="2" s="1"/>
  <c r="H89" i="2"/>
  <c r="H84" i="2"/>
  <c r="H97" i="2" s="1"/>
  <c r="G72" i="2"/>
  <c r="G65" i="2"/>
  <c r="H87" i="2"/>
  <c r="H64" i="1"/>
  <c r="H74" i="1"/>
  <c r="H76" i="1" s="1"/>
  <c r="H79" i="1" s="1"/>
  <c r="H82" i="1" s="1"/>
  <c r="H84" i="1" s="1"/>
  <c r="O79" i="1"/>
  <c r="O82" i="1" s="1"/>
  <c r="O84" i="1" s="1"/>
  <c r="O80" i="1"/>
  <c r="O64" i="1"/>
  <c r="M88" i="1"/>
  <c r="M85" i="1"/>
  <c r="G48" i="1"/>
  <c r="B29" i="1"/>
  <c r="B47" i="1" s="1"/>
  <c r="G66" i="2" l="1"/>
  <c r="G76" i="2"/>
  <c r="G73" i="2"/>
  <c r="H88" i="1"/>
  <c r="H85" i="1"/>
  <c r="G63" i="1"/>
  <c r="G70" i="1"/>
  <c r="B48" i="1"/>
  <c r="H80" i="1"/>
  <c r="O85" i="1"/>
  <c r="O88" i="1"/>
  <c r="G78" i="2" l="1"/>
  <c r="G79" i="2"/>
  <c r="G87" i="2"/>
  <c r="G71" i="1"/>
  <c r="B70" i="1"/>
  <c r="G74" i="1"/>
  <c r="B74" i="1" s="1"/>
  <c r="G64" i="1"/>
  <c r="B64" i="1" s="1"/>
  <c r="B63" i="1"/>
  <c r="G83" i="2" l="1"/>
  <c r="G84" i="2" s="1"/>
  <c r="G97" i="2" s="1"/>
  <c r="G77" i="1"/>
  <c r="B77" i="1" s="1"/>
  <c r="B71" i="1"/>
  <c r="G76" i="1"/>
  <c r="G89" i="2" l="1"/>
  <c r="B76" i="1"/>
  <c r="G80" i="1"/>
  <c r="B80" i="1" s="1"/>
  <c r="Q81" i="1" s="1"/>
  <c r="Q82" i="1" s="1"/>
  <c r="G79" i="1"/>
  <c r="G82" i="1" l="1"/>
  <c r="B79" i="1"/>
  <c r="G84" i="1" l="1"/>
  <c r="B82" i="1"/>
  <c r="Q83" i="1" s="1"/>
  <c r="Q84" i="1" s="1"/>
  <c r="Q88" i="1" s="1"/>
  <c r="G85" i="1" l="1"/>
  <c r="B85" i="1" s="1"/>
  <c r="G88" i="1"/>
  <c r="B88" i="1" s="1"/>
  <c r="D93" i="1" s="1"/>
  <c r="B84" i="1"/>
  <c r="D92" i="1" s="1"/>
  <c r="B50" i="2"/>
  <c r="B72" i="2"/>
  <c r="M73" i="2"/>
  <c r="B41" i="2"/>
  <c r="M72" i="2"/>
  <c r="M50" i="2"/>
  <c r="M65" i="2"/>
  <c r="N67" i="2" s="1"/>
  <c r="N83" i="2" s="1"/>
  <c r="M79" i="2" l="1"/>
  <c r="B79" i="2" s="1"/>
  <c r="B71" i="2"/>
  <c r="M66" i="2"/>
  <c r="M76" i="2"/>
  <c r="B76" i="2" s="1"/>
  <c r="N84" i="2"/>
  <c r="N97" i="2" s="1"/>
  <c r="N89" i="2"/>
  <c r="B73" i="2"/>
  <c r="M78" i="2" l="1"/>
  <c r="B78" i="2" s="1"/>
  <c r="M87" i="2" l="1"/>
  <c r="Q88" i="2" s="1"/>
  <c r="M83" i="2"/>
  <c r="M89" i="2" l="1"/>
  <c r="B89" i="2" s="1"/>
  <c r="Q90" i="2" s="1"/>
  <c r="Q91" i="2" s="1"/>
  <c r="Q97" i="2" s="1"/>
  <c r="M84" i="2"/>
  <c r="M97" i="2" s="1"/>
  <c r="B97" i="2" l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6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Verter</author>
  </authors>
  <commentList>
    <comment ref="C77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7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<sst xmlns="http://schemas.openxmlformats.org/spreadsheetml/2006/main" count="279" uniqueCount="165">
  <si>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</si>
  <si>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</si>
  <si>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</si>
  <si>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</si>
  <si>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</si>
  <si>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</si>
  <si>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</si>
  <si>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</si>
  <si>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</si>
  <si>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</si>
  <si>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</si>
  <si>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</si>
  <si>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</si>
  <si>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</si>
  <si>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</si>
  <si>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</si>
  <si>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</si>
  <si>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</si>
  <si>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</si>
  <si>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</si>
  <si>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</si>
  <si>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</si>
  <si>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</si>
  <si>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</si>
  <si>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</si>
  <si>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</si>
  <si>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</si>
  <si>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</si>
  <si>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</si>
  <si>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</si>
  <si>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</si>
  <si>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</si>
  <si>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</si>
  <si>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</si>
  <si>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</si>
  <si>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</si>
  <si>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</si>
  <si>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</si>
  <si>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</si>
  <si>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</si>
  <si>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</si>
  <si>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</si>
  <si>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</si>
  <si>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</si>
  <si>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</si>
  <si>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</si>
  <si>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</si>
  <si>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</si>
  <si>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</si>
  <si>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</si>
  <si>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</si>
  <si>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</si>
  <si>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</si>
  <si>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</si>
  <si>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</si>
  <si>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</si>
  <si>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</si>
  <si>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</si>
  <si>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</si>
  <si>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</si>
  <si>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</si>
  <si>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</si>
  <si>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</si>
  <si>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</si>
  <si>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</si>
  <si>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</si>
  <si>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</si>
  <si>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</si>
  <si>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</si>
  <si>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</si>
  <si>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</si>
  <si>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</si>
  <si>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</si>
  <si>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</si>
  <si>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</si>
  <si>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</si>
  <si>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</si>
  <si>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</si>
  <si>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</si>
  <si>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</si>
  <si>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</si>
  <si>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</si>
  <si>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</si>
  <si>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</si>
  <si>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</si>
  <si>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</si>
  <si>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</si>
  <si>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</si>
  <si>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</si>
  <si>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</si>
  <si>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</si>
  <si>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</si>
  <si>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</si>
  <si>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</si>
  <si>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</si>
  <si>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</si>
  <si>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</si>
  <si>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</si>
  <si>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</si>
  <si>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</si>
  <si>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</si>
  <si>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</si>
  <si>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</si>
  <si>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</si>
  <si>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</si>
  <si>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</si>
  <si>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</si>
  <si>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</si>
  <si>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</si>
  <si>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</si>
  <si>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</si>
  <si>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</si>
  <si>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</si>
  <si>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</si>
  <si>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</si>
  <si>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</si>
  <si>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</si>
  <si>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</si>
  <si>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</si>
  <si>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</si>
  <si>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</si>
  <si>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</si>
  <si>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</si>
  <si>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</si>
  <si>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</si>
  <si>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</si>
  <si>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</si>
  <si>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</si>
  <si>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</si>
  <si>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</si>
  <si>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</si>
  <si>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</si>
  <si>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</si>
  <si>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</si>
  <si>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</si>
  <si>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</si>
  <si>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</si>
  <si>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</si>
  <si>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</si>
  <si>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</si>
  <si>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</si>
  <si>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</si>
  <si>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</si>
  <si>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</si>
  <si>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</si>
  <si>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</si>
  <si>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</si>
  <si>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</si>
  <si>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</si>
  <si>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</si>
  <si>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</si>
  <si>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</si>
  <si>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</si>
  <si>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</si>
  <si>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</si>
  <si>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</si>
  <si>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</si>
  <si>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</si>
  <si>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</si>
  <si>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</si>
  <si>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</si>
  <si>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</si>
  <si>
    <t>Условия оплаты в 14 квартале, %</t>
  </si>
  <si>
    <t>Поступление средств от продажи по условиям 14 квартала, руб</t>
  </si>
  <si>
    <t>15 кваптал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</si>
</sst>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</numFmts>
  <fonts count="5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10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1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515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5" fillId="2" borderId="18" xfId="1" applyFont="1" applyFill="1" applyBorder="1"/>
    <xf numFmtId="0" fontId="5" fillId="2" borderId="19" xfId="1" applyFont="1" applyFill="1" applyBorder="1"/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4" fontId="11" fillId="2" borderId="18" xfId="3" applyNumberFormat="1" applyFont="1" applyFill="1" applyBorder="1" applyAlignment="1">
      <alignment horizontal="center" vertical="center"/>
    </xf>
    <xf numFmtId="4" fontId="11" fillId="2" borderId="19" xfId="3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5" fillId="9" borderId="18" xfId="3" applyNumberFormat="1" applyFont="1" applyFill="1" applyBorder="1" applyAlignment="1">
      <alignment horizontal="center" vertical="center"/>
    </xf>
    <xf numFmtId="166" fontId="5" fillId="7" borderId="18" xfId="3" applyNumberFormat="1" applyFont="1" applyFill="1" applyBorder="1" applyAlignment="1">
      <alignment horizontal="center" vertical="center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9" fontId="11" fillId="2" borderId="19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7" fillId="13" borderId="16" xfId="1" applyFont="1" applyFill="1" applyBorder="1" applyAlignment="1">
      <alignment horizontal="center" vertical="center"/>
    </xf>
    <xf numFmtId="166" fontId="37" fillId="13" borderId="18" xfId="1" applyNumberFormat="1" applyFont="1" applyFill="1" applyBorder="1" applyAlignment="1">
      <alignment horizontal="center" vertical="center"/>
    </xf>
    <xf numFmtId="0" fontId="36" fillId="13" borderId="18" xfId="1" applyFont="1" applyFill="1" applyBorder="1"/>
    <xf numFmtId="0" fontId="36" fillId="13" borderId="19" xfId="1" applyFont="1" applyFill="1" applyBorder="1"/>
    <xf numFmtId="0" fontId="35" fillId="13" borderId="18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6" fillId="13" borderId="19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vertical="center"/>
    </xf>
    <xf numFmtId="3" fontId="36" fillId="13" borderId="18" xfId="3" applyNumberFormat="1" applyFont="1" applyFill="1" applyBorder="1" applyAlignment="1">
      <alignment horizontal="center" vertical="center"/>
    </xf>
    <xf numFmtId="3" fontId="36" fillId="13" borderId="19" xfId="3" applyNumberFormat="1" applyFont="1" applyFill="1" applyBorder="1" applyAlignment="1">
      <alignment horizontal="center" vertical="center"/>
    </xf>
    <xf numFmtId="9" fontId="36" fillId="13" borderId="18" xfId="3" applyNumberFormat="1" applyFont="1" applyFill="1" applyBorder="1" applyAlignment="1">
      <alignment horizontal="center" vertical="center"/>
    </xf>
    <xf numFmtId="4" fontId="36" fillId="13" borderId="17" xfId="1" applyNumberFormat="1" applyFont="1" applyFill="1" applyBorder="1" applyAlignment="1">
      <alignment vertical="center"/>
    </xf>
    <xf numFmtId="4" fontId="36" fillId="13" borderId="18" xfId="3" applyNumberFormat="1" applyFont="1" applyFill="1" applyBorder="1" applyAlignment="1">
      <alignment horizontal="center" vertical="center"/>
    </xf>
    <xf numFmtId="4" fontId="36" fillId="13" borderId="19" xfId="3" applyNumberFormat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166" fontId="36" fillId="12" borderId="18" xfId="3" applyNumberFormat="1" applyFont="1" applyFill="1" applyBorder="1" applyAlignment="1">
      <alignment horizontal="center" vertical="center"/>
    </xf>
    <xf numFmtId="168" fontId="36" fillId="12" borderId="18" xfId="5" applyFont="1" applyFill="1" applyBorder="1" applyAlignment="1">
      <alignment horizontal="center" vertical="center"/>
    </xf>
    <xf numFmtId="166" fontId="36" fillId="12" borderId="19" xfId="3" applyNumberFormat="1" applyFont="1" applyFill="1" applyBorder="1" applyAlignment="1">
      <alignment horizontal="center" vertical="center"/>
    </xf>
    <xf numFmtId="0" fontId="36" fillId="12" borderId="17" xfId="1" applyNumberFormat="1" applyFont="1" applyFill="1" applyBorder="1" applyAlignment="1">
      <alignment vertical="center" wrapText="1"/>
    </xf>
    <xf numFmtId="166" fontId="5" fillId="15" borderId="18" xfId="3" applyNumberFormat="1" applyFont="1" applyFill="1" applyBorder="1" applyAlignment="1">
      <alignment horizontal="center" vertical="center"/>
    </xf>
    <xf numFmtId="166" fontId="3" fillId="15" borderId="18" xfId="3" applyNumberFormat="1" applyFont="1" applyFill="1" applyBorder="1" applyAlignment="1">
      <alignment horizontal="center" vertical="center"/>
    </xf>
    <xf numFmtId="10" fontId="4" fillId="15" borderId="18" xfId="4" applyNumberFormat="1" applyFont="1" applyFill="1" applyBorder="1" applyAlignment="1">
      <alignment horizontal="center" vertical="center"/>
    </xf>
    <xf numFmtId="10" fontId="4" fillId="15" borderId="19" xfId="4" applyNumberFormat="1" applyFont="1" applyFill="1" applyBorder="1" applyAlignment="1">
      <alignment horizontal="center" vertical="center"/>
    </xf>
    <xf numFmtId="170" fontId="4" fillId="15" borderId="24" xfId="3" applyNumberFormat="1" applyFont="1" applyFill="1" applyBorder="1" applyAlignment="1">
      <alignment horizontal="center" vertical="center"/>
    </xf>
    <xf numFmtId="170" fontId="4" fillId="15" borderId="25" xfId="3" applyNumberFormat="1" applyFont="1" applyFill="1" applyBorder="1" applyAlignment="1">
      <alignment horizontal="center" vertical="center"/>
    </xf>
    <xf numFmtId="0" fontId="5" fillId="14" borderId="20" xfId="1" applyFont="1" applyFill="1" applyBorder="1" applyAlignment="1">
      <alignment vertical="center"/>
    </xf>
    <xf numFmtId="167" fontId="5" fillId="14" borderId="21" xfId="3" applyNumberFormat="1" applyFont="1" applyFill="1" applyBorder="1" applyAlignment="1">
      <alignment horizontal="center" vertical="center"/>
    </xf>
    <xf numFmtId="168" fontId="14" fillId="14" borderId="21" xfId="5" applyFont="1" applyFill="1" applyBorder="1" applyAlignment="1">
      <alignment horizontal="center" vertical="center"/>
    </xf>
    <xf numFmtId="4" fontId="14" fillId="14" borderId="21" xfId="3" applyNumberFormat="1" applyFont="1" applyFill="1" applyBorder="1" applyAlignment="1">
      <alignment horizontal="center" vertical="center"/>
    </xf>
    <xf numFmtId="4" fontId="5" fillId="14" borderId="21" xfId="3" applyNumberFormat="1" applyFont="1" applyFill="1" applyBorder="1" applyAlignment="1">
      <alignment horizontal="center" vertical="center"/>
    </xf>
    <xf numFmtId="4" fontId="5" fillId="14" borderId="22" xfId="3" applyNumberFormat="1" applyFont="1" applyFill="1" applyBorder="1" applyAlignment="1">
      <alignment horizontal="center" vertical="center"/>
    </xf>
    <xf numFmtId="0" fontId="3" fillId="14" borderId="17" xfId="1" applyFont="1" applyFill="1" applyBorder="1" applyAlignment="1">
      <alignment vertical="center"/>
    </xf>
    <xf numFmtId="166" fontId="5" fillId="14" borderId="18" xfId="3" applyNumberFormat="1" applyFont="1" applyFill="1" applyBorder="1" applyAlignment="1">
      <alignment horizontal="center" vertical="center"/>
    </xf>
    <xf numFmtId="168" fontId="3" fillId="14" borderId="18" xfId="5" applyFont="1" applyFill="1" applyBorder="1" applyAlignment="1">
      <alignment horizontal="center" vertical="center"/>
    </xf>
    <xf numFmtId="3" fontId="3" fillId="14" borderId="18" xfId="3" applyNumberFormat="1" applyFont="1" applyFill="1" applyBorder="1" applyAlignment="1">
      <alignment horizontal="center" vertical="center"/>
    </xf>
    <xf numFmtId="3" fontId="3" fillId="14" borderId="19" xfId="3" applyNumberFormat="1" applyFont="1" applyFill="1" applyBorder="1" applyAlignment="1">
      <alignment horizontal="center" vertical="center"/>
    </xf>
    <xf numFmtId="0" fontId="14" fillId="14" borderId="17" xfId="2" applyFont="1" applyFill="1" applyBorder="1" applyAlignment="1">
      <alignment vertical="center" wrapText="1"/>
    </xf>
    <xf numFmtId="166" fontId="5" fillId="14" borderId="18" xfId="1" applyNumberFormat="1" applyFont="1" applyFill="1" applyBorder="1" applyAlignment="1">
      <alignment horizontal="center"/>
    </xf>
    <xf numFmtId="166" fontId="3" fillId="14" borderId="18" xfId="3" applyNumberFormat="1" applyFont="1" applyFill="1" applyBorder="1" applyAlignment="1">
      <alignment horizontal="center" vertical="center"/>
    </xf>
    <xf numFmtId="168" fontId="5" fillId="14" borderId="18" xfId="5" applyFont="1" applyFill="1" applyBorder="1" applyAlignment="1">
      <alignment horizontal="center" vertical="center"/>
    </xf>
    <xf numFmtId="4" fontId="5" fillId="14" borderId="18" xfId="3" applyNumberFormat="1" applyFont="1" applyFill="1" applyBorder="1" applyAlignment="1">
      <alignment horizontal="center" vertical="center"/>
    </xf>
    <xf numFmtId="4" fontId="5" fillId="14" borderId="19" xfId="3" applyNumberFormat="1" applyFont="1" applyFill="1" applyBorder="1" applyAlignment="1">
      <alignment horizontal="center" vertical="center"/>
    </xf>
    <xf numFmtId="0" fontId="9" fillId="14" borderId="17" xfId="2" applyFont="1" applyFill="1" applyBorder="1" applyAlignment="1">
      <alignment horizontal="left" vertical="center" wrapText="1"/>
    </xf>
    <xf numFmtId="166" fontId="3" fillId="14" borderId="19" xfId="3" applyNumberFormat="1" applyFont="1" applyFill="1" applyBorder="1" applyAlignment="1">
      <alignment horizontal="center" vertical="center"/>
    </xf>
    <xf numFmtId="4" fontId="36" fillId="13" borderId="4" xfId="3" applyNumberFormat="1" applyFont="1" applyFill="1" applyBorder="1" applyAlignment="1">
      <alignment horizontal="center" vertical="center"/>
    </xf>
    <xf numFmtId="4" fontId="36" fillId="13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0" fontId="5" fillId="4" borderId="0" xfId="1" applyFont="1" applyFill="1" applyBorder="1" applyAlignment="1">
      <alignment vertical="center"/>
    </xf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39" xfId="1" applyFont="1" applyFill="1" applyBorder="1"/>
    <xf numFmtId="0" fontId="37" fillId="13" borderId="41" xfId="1" applyFont="1" applyFill="1" applyBorder="1" applyAlignment="1">
      <alignment horizontal="center" vertical="center"/>
    </xf>
    <xf numFmtId="0" fontId="37" fillId="13" borderId="42" xfId="1" applyFont="1" applyFill="1" applyBorder="1" applyAlignment="1">
      <alignment horizontal="center" vertical="center"/>
    </xf>
    <xf numFmtId="0" fontId="36" fillId="13" borderId="44" xfId="1" applyFont="1" applyFill="1" applyBorder="1"/>
    <xf numFmtId="0" fontId="35" fillId="13" borderId="43" xfId="1" applyFont="1" applyFill="1" applyBorder="1" applyAlignment="1">
      <alignment horizontal="left" vertical="center"/>
    </xf>
    <xf numFmtId="0" fontId="36" fillId="13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5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0" fontId="4" fillId="2" borderId="48" xfId="1" applyFont="1" applyFill="1" applyBorder="1" applyAlignment="1">
      <alignment horizontal="right" vertical="center"/>
    </xf>
    <xf numFmtId="3" fontId="4" fillId="2" borderId="49" xfId="3" applyNumberFormat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left" vertical="center"/>
    </xf>
    <xf numFmtId="165" fontId="3" fillId="2" borderId="51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4" borderId="43" xfId="2" applyFont="1" applyFill="1" applyBorder="1" applyAlignment="1">
      <alignment horizontal="left" vertical="center" wrapText="1"/>
    </xf>
    <xf numFmtId="0" fontId="36" fillId="12" borderId="43" xfId="1" applyFont="1" applyFill="1" applyBorder="1" applyAlignment="1">
      <alignment vertical="center"/>
    </xf>
    <xf numFmtId="166" fontId="36" fillId="12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169" fontId="11" fillId="2" borderId="44" xfId="3" applyNumberFormat="1" applyFont="1" applyFill="1" applyBorder="1" applyAlignment="1">
      <alignment horizontal="center" vertical="center"/>
    </xf>
    <xf numFmtId="0" fontId="36" fillId="12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0" borderId="52" xfId="1" applyFont="1" applyFill="1" applyBorder="1" applyAlignment="1">
      <alignment vertical="center"/>
    </xf>
    <xf numFmtId="166" fontId="5" fillId="0" borderId="53" xfId="3" applyNumberFormat="1" applyFont="1" applyFill="1" applyBorder="1" applyAlignment="1">
      <alignment horizontal="center" vertical="center"/>
    </xf>
    <xf numFmtId="164" fontId="5" fillId="0" borderId="53" xfId="3" applyNumberFormat="1" applyFont="1" applyFill="1" applyBorder="1" applyAlignment="1">
      <alignment horizontal="center" vertical="center"/>
    </xf>
    <xf numFmtId="0" fontId="5" fillId="0" borderId="53" xfId="1" applyFont="1" applyFill="1" applyBorder="1"/>
    <xf numFmtId="0" fontId="5" fillId="0" borderId="13" xfId="1" applyFont="1" applyFill="1" applyBorder="1"/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3" borderId="40" xfId="1" applyFont="1" applyFill="1" applyBorder="1" applyAlignment="1">
      <alignment vertical="center"/>
    </xf>
    <xf numFmtId="3" fontId="36" fillId="13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4" xfId="3" applyNumberFormat="1" applyFont="1" applyFill="1" applyBorder="1" applyAlignment="1">
      <alignment horizontal="center" vertical="center"/>
    </xf>
    <xf numFmtId="166" fontId="4" fillId="2" borderId="54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4" borderId="43" xfId="1" applyFont="1" applyFill="1" applyBorder="1" applyAlignment="1">
      <alignment vertical="center"/>
    </xf>
    <xf numFmtId="166" fontId="11" fillId="14" borderId="18" xfId="3" applyNumberFormat="1" applyFont="1" applyFill="1" applyBorder="1" applyAlignment="1">
      <alignment horizontal="center" vertical="center"/>
    </xf>
    <xf numFmtId="168" fontId="4" fillId="14" borderId="18" xfId="5" applyFont="1" applyFill="1" applyBorder="1" applyAlignment="1">
      <alignment horizontal="center" vertical="center"/>
    </xf>
    <xf numFmtId="3" fontId="4" fillId="14" borderId="18" xfId="3" applyNumberFormat="1" applyFont="1" applyFill="1" applyBorder="1" applyAlignment="1">
      <alignment horizontal="center" vertical="center"/>
    </xf>
    <xf numFmtId="3" fontId="4" fillId="14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4" borderId="18" xfId="3" applyNumberFormat="1" applyFont="1" applyFill="1" applyBorder="1" applyAlignment="1">
      <alignment horizontal="center" vertical="center"/>
    </xf>
    <xf numFmtId="166" fontId="4" fillId="14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3" fontId="39" fillId="4" borderId="44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6" borderId="43" xfId="1" applyNumberFormat="1" applyFont="1" applyFill="1" applyBorder="1" applyAlignment="1">
      <alignment vertical="center"/>
    </xf>
    <xf numFmtId="4" fontId="5" fillId="16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7" borderId="0" xfId="0" applyFont="1" applyFill="1"/>
    <xf numFmtId="0" fontId="42" fillId="1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7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7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8" borderId="5" xfId="5" applyNumberFormat="1" applyFont="1" applyFill="1" applyBorder="1"/>
    <xf numFmtId="182" fontId="0" fillId="0" borderId="5" xfId="5" applyNumberFormat="1" applyFont="1" applyBorder="1"/>
    <xf numFmtId="182" fontId="0" fillId="18" borderId="3" xfId="0" applyNumberFormat="1" applyFill="1" applyBorder="1" applyAlignment="1">
      <alignment horizontal="left" wrapText="1"/>
    </xf>
    <xf numFmtId="182" fontId="0" fillId="18" borderId="5" xfId="0" applyNumberFormat="1" applyFill="1" applyBorder="1" applyAlignment="1">
      <alignment horizontal="left" wrapText="1"/>
    </xf>
    <xf numFmtId="168" fontId="0" fillId="18" borderId="5" xfId="5" applyNumberFormat="1" applyFont="1" applyFill="1" applyBorder="1"/>
    <xf numFmtId="182" fontId="0" fillId="0" borderId="0" xfId="5" applyNumberFormat="1" applyFont="1" applyBorder="1"/>
    <xf numFmtId="182" fontId="0" fillId="18" borderId="55" xfId="0" applyNumberFormat="1" applyFill="1" applyBorder="1" applyAlignment="1">
      <alignment horizontal="center" vertical="center"/>
    </xf>
    <xf numFmtId="0" fontId="0" fillId="0" borderId="0" xfId="0" applyBorder="1"/>
    <xf numFmtId="182" fontId="0" fillId="18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8" borderId="5" xfId="0" applyNumberFormat="1" applyFill="1" applyBorder="1"/>
    <xf numFmtId="182" fontId="0" fillId="19" borderId="5" xfId="0" applyNumberFormat="1" applyFill="1" applyBorder="1"/>
    <xf numFmtId="182" fontId="0" fillId="0" borderId="1" xfId="0" applyNumberFormat="1" applyFill="1" applyBorder="1"/>
    <xf numFmtId="168" fontId="0" fillId="18" borderId="55" xfId="0" applyNumberFormat="1" applyFill="1" applyBorder="1"/>
    <xf numFmtId="0" fontId="42" fillId="17" borderId="6" xfId="0" applyFont="1" applyFill="1" applyBorder="1" applyAlignment="1">
      <alignment horizontal="center" vertical="center"/>
    </xf>
    <xf numFmtId="173" fontId="46" fillId="19" borderId="5" xfId="4" applyNumberFormat="1" applyFont="1" applyFill="1" applyBorder="1" applyAlignment="1">
      <alignment horizontal="left" wrapText="1"/>
    </xf>
    <xf numFmtId="183" fontId="0" fillId="18" borderId="5" xfId="0" applyNumberFormat="1" applyFill="1" applyBorder="1"/>
    <xf numFmtId="173" fontId="0" fillId="0" borderId="0" xfId="4" applyNumberFormat="1" applyFont="1"/>
    <xf numFmtId="184" fontId="0" fillId="18" borderId="55" xfId="4" applyNumberFormat="1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5" xfId="0" applyBorder="1"/>
    <xf numFmtId="182" fontId="0" fillId="0" borderId="5" xfId="0" applyNumberFormat="1" applyBorder="1"/>
    <xf numFmtId="168" fontId="0" fillId="18" borderId="6" xfId="5" applyNumberFormat="1" applyFont="1" applyFill="1" applyBorder="1"/>
    <xf numFmtId="182" fontId="0" fillId="0" borderId="0" xfId="0" applyNumberFormat="1"/>
    <xf numFmtId="9" fontId="0" fillId="18" borderId="65" xfId="4" applyFont="1" applyFill="1" applyBorder="1" applyAlignment="1">
      <alignment horizontal="center" vertical="center"/>
    </xf>
    <xf numFmtId="168" fontId="44" fillId="13" borderId="5" xfId="0" applyNumberFormat="1" applyFont="1" applyFill="1" applyBorder="1"/>
    <xf numFmtId="9" fontId="44" fillId="13" borderId="5" xfId="4" applyFont="1" applyFill="1" applyBorder="1"/>
    <xf numFmtId="0" fontId="49" fillId="13" borderId="17" xfId="1" applyFont="1" applyFill="1" applyBorder="1" applyAlignment="1">
      <alignment horizontal="left" vertical="center"/>
    </xf>
    <xf numFmtId="0" fontId="37" fillId="13" borderId="15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11" fillId="20" borderId="0" xfId="1" applyFont="1" applyFill="1" applyBorder="1" applyAlignment="1">
      <alignment horizontal="center"/>
    </xf>
    <xf numFmtId="0" fontId="11" fillId="20" borderId="0" xfId="1" applyFont="1" applyFill="1" applyAlignment="1">
      <alignment horizontal="center"/>
    </xf>
    <xf numFmtId="0" fontId="37" fillId="13" borderId="0" xfId="1" applyFont="1" applyFill="1" applyBorder="1" applyAlignment="1">
      <alignment horizontal="center" vertical="center"/>
    </xf>
    <xf numFmtId="0" fontId="36" fillId="13" borderId="0" xfId="1" applyFont="1" applyFill="1" applyBorder="1"/>
    <xf numFmtId="166" fontId="11" fillId="2" borderId="66" xfId="3" applyNumberFormat="1" applyFont="1" applyFill="1" applyBorder="1" applyAlignment="1">
      <alignment horizontal="center" vertical="center"/>
    </xf>
    <xf numFmtId="166" fontId="5" fillId="2" borderId="66" xfId="3" applyNumberFormat="1" applyFont="1" applyFill="1" applyBorder="1" applyAlignment="1">
      <alignment horizontal="center" vertical="center"/>
    </xf>
    <xf numFmtId="3" fontId="16" fillId="2" borderId="66" xfId="3" applyNumberFormat="1" applyFont="1" applyFill="1" applyBorder="1" applyAlignment="1">
      <alignment horizontal="center" vertical="center"/>
    </xf>
    <xf numFmtId="3" fontId="4" fillId="2" borderId="66" xfId="3" applyNumberFormat="1" applyFont="1" applyFill="1" applyBorder="1" applyAlignment="1">
      <alignment horizontal="center" vertical="center"/>
    </xf>
    <xf numFmtId="0" fontId="4" fillId="2" borderId="68" xfId="1" applyFont="1" applyFill="1" applyBorder="1" applyAlignment="1">
      <alignment horizontal="right" vertical="center"/>
    </xf>
    <xf numFmtId="166" fontId="11" fillId="2" borderId="69" xfId="3" applyNumberFormat="1" applyFont="1" applyFill="1" applyBorder="1" applyAlignment="1">
      <alignment horizontal="center" vertical="center"/>
    </xf>
    <xf numFmtId="166" fontId="5" fillId="2" borderId="69" xfId="3" applyNumberFormat="1" applyFont="1" applyFill="1" applyBorder="1" applyAlignment="1">
      <alignment horizontal="center" vertical="center"/>
    </xf>
    <xf numFmtId="3" fontId="16" fillId="2" borderId="69" xfId="3" applyNumberFormat="1" applyFont="1" applyFill="1" applyBorder="1" applyAlignment="1">
      <alignment horizontal="center" vertical="center"/>
    </xf>
    <xf numFmtId="3" fontId="4" fillId="2" borderId="69" xfId="3" applyNumberFormat="1" applyFont="1" applyFill="1" applyBorder="1" applyAlignment="1">
      <alignment horizontal="center" vertical="center"/>
    </xf>
    <xf numFmtId="166" fontId="11" fillId="2" borderId="5" xfId="3" applyNumberFormat="1" applyFont="1" applyFill="1" applyBorder="1" applyAlignment="1">
      <alignment horizontal="center" vertical="center"/>
    </xf>
    <xf numFmtId="166" fontId="5" fillId="2" borderId="5" xfId="3" applyNumberFormat="1" applyFont="1" applyFill="1" applyBorder="1" applyAlignment="1">
      <alignment horizontal="center" vertical="center"/>
    </xf>
    <xf numFmtId="3" fontId="16" fillId="2" borderId="5" xfId="3" applyNumberFormat="1" applyFont="1" applyFill="1" applyBorder="1" applyAlignment="1">
      <alignment horizontal="center" vertical="center"/>
    </xf>
    <xf numFmtId="170" fontId="4" fillId="0" borderId="67" xfId="3" applyNumberFormat="1" applyFont="1" applyFill="1" applyBorder="1" applyAlignment="1">
      <alignment horizontal="center" vertical="center"/>
    </xf>
    <xf numFmtId="3" fontId="4" fillId="2" borderId="70" xfId="3" applyNumberFormat="1" applyFont="1" applyFill="1" applyBorder="1" applyAlignment="1">
      <alignment horizontal="center" vertical="center"/>
    </xf>
    <xf numFmtId="3" fontId="4" fillId="2" borderId="71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4" fillId="2" borderId="72" xfId="3" applyNumberFormat="1" applyFont="1" applyFill="1" applyBorder="1" applyAlignment="1">
      <alignment horizontal="center" vertical="center"/>
    </xf>
    <xf numFmtId="170" fontId="4" fillId="0" borderId="5" xfId="3" applyNumberFormat="1" applyFont="1" applyFill="1" applyBorder="1" applyAlignment="1">
      <alignment horizontal="center" vertical="center"/>
    </xf>
    <xf numFmtId="2" fontId="11" fillId="2" borderId="0" xfId="1" applyNumberFormat="1" applyFont="1" applyFill="1"/>
    <xf numFmtId="0" fontId="5" fillId="19" borderId="0" xfId="1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168" fontId="0" fillId="18" borderId="5" xfId="5" applyNumberFormat="1" applyFont="1" applyFill="1" applyBorder="1" applyAlignment="1">
      <alignment horizontal="center"/>
    </xf>
    <xf numFmtId="168" fontId="0" fillId="18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6" xfId="0" applyBorder="1" applyAlignment="1">
      <alignment horizontal="center" wrapText="1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0" borderId="0" xfId="0" applyFont="1" applyAlignment="1">
      <alignment horizontal="left" vertical="top" wrapText="1"/>
    </xf>
    <xf numFmtId="0" fontId="42" fillId="17" borderId="5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0" fillId="0" borderId="56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0" fillId="0" borderId="64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42" fillId="17" borderId="3" xfId="0" applyFont="1" applyFill="1" applyBorder="1" applyAlignment="1">
      <alignment horizontal="center"/>
    </xf>
    <xf numFmtId="0" fontId="42" fillId="17" borderId="38" xfId="0" applyFont="1" applyFill="1" applyBorder="1" applyAlignment="1">
      <alignment horizontal="center"/>
    </xf>
    <xf numFmtId="0" fontId="42" fillId="17" borderId="4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8" borderId="0" xfId="0" applyFill="1" applyAlignment="1">
      <alignment horizontal="center"/>
    </xf>
    <xf numFmtId="0" fontId="35" fillId="13" borderId="3" xfId="1" applyFont="1" applyFill="1" applyBorder="1" applyAlignment="1">
      <alignment horizontal="center" vertical="center"/>
    </xf>
    <xf numFmtId="0" fontId="35" fillId="13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8" fillId="13" borderId="0" xfId="1" applyFont="1" applyFill="1" applyBorder="1" applyAlignment="1">
      <alignment horizontal="center" vertical="center"/>
    </xf>
    <xf numFmtId="165" fontId="11" fillId="15" borderId="18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3" borderId="5" xfId="1" applyFont="1" applyFill="1" applyBorder="1" applyAlignment="1">
      <alignment horizontal="center" wrapText="1"/>
    </xf>
    <xf numFmtId="0" fontId="43" fillId="0" borderId="5" xfId="0" applyFont="1" applyBorder="1" applyAlignment="1">
      <alignment horizontal="left" wrapText="1"/>
    </xf>
    <xf numFmtId="182" fontId="44" fillId="13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3" borderId="5" xfId="1" applyFont="1" applyFill="1" applyBorder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6" fillId="13" borderId="14" xfId="1" applyFont="1" applyFill="1" applyBorder="1" applyAlignment="1">
      <alignment horizontal="center" vertical="center"/>
    </xf>
    <xf numFmtId="0" fontId="36" fillId="13" borderId="15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168" fontId="44" fillId="13" borderId="5" xfId="5" applyNumberFormat="1" applyFont="1" applyFill="1" applyBorder="1" applyAlignment="1">
      <alignment horizontal="center"/>
    </xf>
    <xf numFmtId="0" fontId="3" fillId="0" borderId="36" xfId="1" applyFont="1" applyFill="1" applyBorder="1" applyAlignment="1">
      <alignment horizontal="left" vertical="center" wrapText="1"/>
    </xf>
    <xf numFmtId="0" fontId="36" fillId="13" borderId="40" xfId="1" applyFont="1" applyFill="1" applyBorder="1" applyAlignment="1">
      <alignment horizontal="center" vertical="center"/>
    </xf>
    <xf numFmtId="0" fontId="36" fillId="13" borderId="41" xfId="1" applyFont="1" applyFill="1" applyBorder="1" applyAlignment="1">
      <alignment horizontal="center" vertical="center"/>
    </xf>
    <xf numFmtId="0" fontId="36" fillId="13" borderId="43" xfId="1" applyFont="1" applyFill="1" applyBorder="1" applyAlignment="1">
      <alignment horizontal="center" vertical="center"/>
    </xf>
    <xf numFmtId="0" fontId="37" fillId="13" borderId="41" xfId="1" applyFont="1" applyFill="1" applyBorder="1" applyAlignment="1">
      <alignment horizontal="center" vertical="center"/>
    </xf>
    <xf numFmtId="166" fontId="39" fillId="4" borderId="73" xfId="1" applyNumberFormat="1" applyFont="1" applyFill="1" applyBorder="1"/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294410</xdr:colOff>
      <xdr:row>17</xdr:row>
      <xdr:rowOff>100853</xdr:rowOff>
    </xdr:from>
    <xdr:to>
      <xdr:col>22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16</xdr:col>
      <xdr:colOff>1056409</xdr:colOff>
      <xdr:row>24</xdr:row>
      <xdr:rowOff>34635</xdr:rowOff>
    </xdr:from>
    <xdr:to>
      <xdr:col>20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ocuments\Projects\RAO%20UES\Sample%20Reports\CEZ\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&#1055;&#1086;&#1083;&#1080;&#1090;&#1077;&#1093;\!!!&#1041;&#1080;&#1079;&#1085;&#1077;&#1089;-&#1087;&#1083;&#1072;&#1085;&#1080;&#1088;&#1086;&#1074;&#1072;&#1085;&#1080;&#1077;\&#1047;&#1072;&#1075;&#1086;&#1088;&#1100;&#1077;_&#1040;&#1085;&#1103;\&#1056;&#1072;&#1089;&#1095;&#1077;&#1090;%20&#1048;&#1058;&#1054;&#1043;_&#1079;&#1072;&#1075;&#1086;&#1088;&#1100;&#107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_&#1095;&#1072;&#1089;&#1090;&#1100;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!!!!&#1051;&#1045;&#1050;&#1062;&#1048;&#1048;\5.%20&#1041;&#1080;&#1079;&#1085;&#1077;&#1089;-&#1087;&#1083;&#1072;&#1085;&#1080;&#1088;&#1086;&#1074;&#1072;&#1085;&#1080;&#1077;\2021\&#1050;&#1055;\&#1064;&#1040;&#1073;&#1083;&#1086;&#1085;&#1099;%20&#1088;&#1072;&#1089;&#1095;&#1077;&#1090;&#1086;&#1074;\&#1053;&#1072;&#1075;&#1084;&#1072;&#1085;&#1086;&#1074;&#1072;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 refreshError="1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9">
          <cell r="B9">
            <v>348</v>
          </cell>
        </row>
        <row r="11">
          <cell r="B11">
            <v>1127.3</v>
          </cell>
        </row>
      </sheetData>
      <sheetData sheetId="1" refreshError="1"/>
      <sheetData sheetId="2" refreshError="1"/>
      <sheetData sheetId="3" refreshError="1">
        <row r="7">
          <cell r="AQ7">
            <v>14.285714285714286</v>
          </cell>
        </row>
      </sheetData>
      <sheetData sheetId="4" refreshError="1"/>
      <sheetData sheetId="5" refreshError="1">
        <row r="8">
          <cell r="B8">
            <v>4793508324.9936466</v>
          </cell>
          <cell r="C8">
            <v>55948396.90355999</v>
          </cell>
          <cell r="D8">
            <v>56224004.77008</v>
          </cell>
          <cell r="E8">
            <v>56664977.356511988</v>
          </cell>
          <cell r="F8">
            <v>57161071.51624798</v>
          </cell>
          <cell r="G8">
            <v>349550149.81291765</v>
          </cell>
          <cell r="H8">
            <v>487082884.93226194</v>
          </cell>
          <cell r="I8">
            <v>671116179.29086065</v>
          </cell>
          <cell r="J8">
            <v>824945056.3417995</v>
          </cell>
          <cell r="K8">
            <v>785404694.03215528</v>
          </cell>
          <cell r="L8">
            <v>745172133.79059577</v>
          </cell>
          <cell r="M8">
            <v>704238776.24665558</v>
          </cell>
        </row>
        <row r="9">
          <cell r="B9">
            <v>747023199</v>
          </cell>
        </row>
      </sheetData>
      <sheetData sheetId="6" refreshError="1">
        <row r="10">
          <cell r="D10">
            <v>0.19700000000000001</v>
          </cell>
        </row>
        <row r="13">
          <cell r="D13">
            <v>0.157</v>
          </cell>
        </row>
        <row r="16">
          <cell r="D16">
            <v>0.14600000000000002</v>
          </cell>
        </row>
        <row r="19">
          <cell r="D19">
            <v>0.14200000000000002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  <row r="31">
          <cell r="D31">
            <v>3.7999999999999999E-2</v>
          </cell>
        </row>
        <row r="34">
          <cell r="D34">
            <v>2.5000000000000001E-2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Инвестиции"/>
      <sheetName val="НЦС-пример"/>
      <sheetName val="График Стр-ва"/>
    </sheetNames>
    <sheetDataSet>
      <sheetData sheetId="0"/>
      <sheetData sheetId="1"/>
      <sheetData sheetId="2"/>
      <sheetData sheetId="3">
        <row r="25">
          <cell r="C25">
            <v>66309.06998</v>
          </cell>
        </row>
        <row r="26">
          <cell r="C26">
            <v>19049.448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13" zoomScaleNormal="100" workbookViewId="0">
      <selection activeCell="D73" sqref="D73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58" t="s">
        <v>109</v>
      </c>
      <c r="D2" s="359"/>
      <c r="E2" s="359"/>
      <c r="F2" s="359"/>
      <c r="G2" s="360"/>
      <c r="H2" s="360"/>
      <c r="I2" s="360"/>
      <c r="J2" s="360"/>
      <c r="K2" s="360"/>
      <c r="L2" s="360"/>
      <c r="M2" s="360"/>
    </row>
    <row r="3" spans="2:16" ht="36.75" customHeight="1">
      <c r="C3" s="473" t="s">
        <v>110</v>
      </c>
      <c r="D3" s="473"/>
      <c r="E3" s="473"/>
      <c r="F3" s="473"/>
      <c r="G3" s="473"/>
      <c r="H3" s="473"/>
      <c r="I3" s="473"/>
      <c r="J3" s="473"/>
      <c r="K3" s="473"/>
      <c r="L3" s="473"/>
      <c r="M3" s="473"/>
    </row>
    <row r="4" spans="2:16" ht="15" customHeight="1">
      <c r="C4" s="473" t="s">
        <v>111</v>
      </c>
      <c r="D4" s="473"/>
      <c r="E4" s="474"/>
      <c r="F4" s="361">
        <v>50000000</v>
      </c>
      <c r="G4" s="360" t="s">
        <v>112</v>
      </c>
      <c r="H4" t="s">
        <v>113</v>
      </c>
      <c r="I4" s="360"/>
      <c r="J4" s="360"/>
      <c r="K4" s="360"/>
      <c r="L4" s="361">
        <v>30000000</v>
      </c>
      <c r="M4" s="360" t="s">
        <v>112</v>
      </c>
    </row>
    <row r="5" spans="2:16">
      <c r="L5" s="360"/>
      <c r="M5" s="360"/>
    </row>
    <row r="6" spans="2:16">
      <c r="K6" s="362"/>
      <c r="L6" s="360"/>
      <c r="M6" s="360"/>
    </row>
    <row r="7" spans="2:16">
      <c r="C7" s="358" t="s">
        <v>114</v>
      </c>
      <c r="D7" s="475" t="s">
        <v>115</v>
      </c>
      <c r="E7" s="475"/>
      <c r="F7" s="475"/>
      <c r="K7" s="362"/>
      <c r="L7" s="360"/>
      <c r="M7" s="360"/>
    </row>
    <row r="8" spans="2:16">
      <c r="C8" s="473" t="s">
        <v>116</v>
      </c>
      <c r="D8" s="473"/>
      <c r="E8" s="473"/>
      <c r="F8" s="473"/>
      <c r="G8" s="473"/>
      <c r="H8" s="473"/>
      <c r="I8" s="473"/>
      <c r="J8" s="473"/>
      <c r="K8" s="363">
        <v>0.28000000000000003</v>
      </c>
      <c r="L8" s="360"/>
      <c r="M8" s="360"/>
    </row>
    <row r="9" spans="2:16">
      <c r="C9" s="473" t="s">
        <v>117</v>
      </c>
      <c r="D9" s="473"/>
      <c r="E9" s="473"/>
      <c r="F9" s="473"/>
      <c r="G9" s="473"/>
      <c r="H9" s="473"/>
      <c r="I9" s="473"/>
      <c r="J9" s="473"/>
      <c r="K9" s="473"/>
      <c r="L9" s="360"/>
      <c r="M9" s="360"/>
    </row>
    <row r="10" spans="2:16" ht="37.5" customHeight="1">
      <c r="C10" s="473" t="s">
        <v>118</v>
      </c>
      <c r="D10" s="473"/>
      <c r="E10" s="473"/>
      <c r="F10" s="473"/>
      <c r="G10" s="473"/>
      <c r="H10" s="473"/>
      <c r="I10" s="473"/>
      <c r="J10" s="473"/>
      <c r="K10" s="473"/>
      <c r="L10" s="360"/>
      <c r="M10" s="360"/>
    </row>
    <row r="11" spans="2:16" ht="15" customHeight="1">
      <c r="C11" s="473" t="s">
        <v>119</v>
      </c>
      <c r="D11" s="473"/>
      <c r="E11" s="473"/>
      <c r="F11" s="473"/>
      <c r="G11" s="473"/>
      <c r="H11" s="473"/>
      <c r="I11" s="473"/>
      <c r="J11" s="473"/>
      <c r="K11" s="473"/>
      <c r="L11" s="360"/>
      <c r="M11" s="360"/>
    </row>
    <row r="12" spans="2:16">
      <c r="C12" s="364"/>
      <c r="D12" s="364"/>
      <c r="E12" s="364"/>
      <c r="F12" s="364"/>
      <c r="G12" s="364"/>
      <c r="H12" s="364"/>
      <c r="I12" s="364"/>
      <c r="J12" s="364"/>
      <c r="K12" s="364"/>
      <c r="L12" s="360"/>
      <c r="M12" s="360"/>
    </row>
    <row r="13" spans="2:16">
      <c r="C13" s="442" t="s">
        <v>120</v>
      </c>
      <c r="D13" s="442"/>
      <c r="E13" s="360"/>
      <c r="F13" s="360"/>
      <c r="G13" s="360"/>
      <c r="H13" s="360"/>
      <c r="I13" s="360"/>
      <c r="J13" s="360"/>
      <c r="K13" s="360"/>
      <c r="L13" s="360"/>
      <c r="M13" s="360"/>
    </row>
    <row r="14" spans="2:16" ht="30">
      <c r="B14" s="365" t="s">
        <v>121</v>
      </c>
      <c r="C14" s="443" t="s">
        <v>122</v>
      </c>
      <c r="D14" s="443"/>
      <c r="E14" s="443"/>
      <c r="F14" s="366">
        <v>1</v>
      </c>
      <c r="G14" s="366">
        <v>2</v>
      </c>
      <c r="H14" s="366">
        <v>3</v>
      </c>
      <c r="I14" s="366">
        <v>4</v>
      </c>
      <c r="J14" s="366">
        <v>5</v>
      </c>
      <c r="K14" s="366">
        <v>6</v>
      </c>
      <c r="L14" s="366">
        <v>7</v>
      </c>
      <c r="M14" s="366">
        <v>8</v>
      </c>
      <c r="N14" s="366">
        <v>9</v>
      </c>
      <c r="O14" s="366">
        <v>10</v>
      </c>
    </row>
    <row r="15" spans="2:16" ht="28.5" customHeight="1">
      <c r="B15" s="367">
        <v>1</v>
      </c>
      <c r="C15" s="470" t="s">
        <v>123</v>
      </c>
      <c r="D15" s="471"/>
      <c r="E15" s="472"/>
      <c r="F15" s="368">
        <f>F4*5%</f>
        <v>2500000</v>
      </c>
      <c r="G15" s="368">
        <f>(F4-F15)/2</f>
        <v>23750000</v>
      </c>
      <c r="H15" s="368">
        <f>G15</f>
        <v>23750000</v>
      </c>
      <c r="I15" s="369"/>
      <c r="J15" s="369"/>
      <c r="K15" s="369"/>
      <c r="L15" s="369"/>
      <c r="M15" s="369"/>
      <c r="N15" s="369"/>
      <c r="O15" s="369"/>
      <c r="P15" t="b">
        <f>SUM(F15:O15)=F4</f>
        <v>1</v>
      </c>
    </row>
    <row r="16" spans="2:16" ht="30" customHeight="1">
      <c r="B16" s="367">
        <v>2</v>
      </c>
      <c r="C16" s="430" t="s">
        <v>124</v>
      </c>
      <c r="D16" s="431"/>
      <c r="E16" s="432"/>
      <c r="F16" s="369"/>
      <c r="G16" s="369"/>
      <c r="H16" s="369"/>
      <c r="I16" s="368">
        <f>L4</f>
        <v>30000000</v>
      </c>
      <c r="J16" s="368">
        <f>I16</f>
        <v>30000000</v>
      </c>
      <c r="K16" s="368">
        <f>J16</f>
        <v>30000000</v>
      </c>
      <c r="L16" s="368">
        <f t="shared" ref="L16:O16" si="0">K16</f>
        <v>30000000</v>
      </c>
      <c r="M16" s="368">
        <f t="shared" si="0"/>
        <v>30000000</v>
      </c>
      <c r="N16" s="368">
        <f t="shared" si="0"/>
        <v>30000000</v>
      </c>
      <c r="O16" s="368">
        <f t="shared" si="0"/>
        <v>30000000</v>
      </c>
      <c r="P16" t="b">
        <f>SUM(F16:O16)=L4*7</f>
        <v>1</v>
      </c>
    </row>
    <row r="17" spans="2:15" ht="30" customHeight="1">
      <c r="B17" s="367">
        <v>3</v>
      </c>
      <c r="C17" s="430" t="s">
        <v>125</v>
      </c>
      <c r="D17" s="431"/>
      <c r="E17" s="432"/>
      <c r="F17" s="370">
        <f>F16-F15</f>
        <v>-2500000</v>
      </c>
      <c r="G17" s="370">
        <f t="shared" ref="G17:O17" si="1">G16-G15</f>
        <v>-23750000</v>
      </c>
      <c r="H17" s="370">
        <f t="shared" si="1"/>
        <v>-23750000</v>
      </c>
      <c r="I17" s="370">
        <f t="shared" si="1"/>
        <v>30000000</v>
      </c>
      <c r="J17" s="370">
        <f t="shared" si="1"/>
        <v>30000000</v>
      </c>
      <c r="K17" s="370">
        <f t="shared" si="1"/>
        <v>30000000</v>
      </c>
      <c r="L17" s="370">
        <f t="shared" si="1"/>
        <v>30000000</v>
      </c>
      <c r="M17" s="370">
        <f t="shared" si="1"/>
        <v>30000000</v>
      </c>
      <c r="N17" s="370">
        <f t="shared" si="1"/>
        <v>30000000</v>
      </c>
      <c r="O17" s="371">
        <f t="shared" si="1"/>
        <v>30000000</v>
      </c>
    </row>
    <row r="18" spans="2:15" ht="30" customHeight="1">
      <c r="B18" s="367">
        <v>4</v>
      </c>
      <c r="C18" s="444" t="s">
        <v>126</v>
      </c>
      <c r="D18" s="445"/>
      <c r="E18" s="446"/>
      <c r="F18" s="372">
        <f t="shared" ref="F18:O18" si="2">1/(1+$K$8)^F14</f>
        <v>0.78125</v>
      </c>
      <c r="G18" s="372">
        <f t="shared" si="2"/>
        <v>0.6103515625</v>
      </c>
      <c r="H18" s="372">
        <f t="shared" si="2"/>
        <v>0.47683715820312494</v>
      </c>
      <c r="I18" s="372">
        <f t="shared" si="2"/>
        <v>0.37252902984619141</v>
      </c>
      <c r="J18" s="372">
        <f t="shared" si="2"/>
        <v>0.29103830456733704</v>
      </c>
      <c r="K18" s="372">
        <f t="shared" si="2"/>
        <v>0.22737367544323206</v>
      </c>
      <c r="L18" s="372">
        <f t="shared" si="2"/>
        <v>0.17763568394002502</v>
      </c>
      <c r="M18" s="372">
        <f t="shared" si="2"/>
        <v>0.13877787807814454</v>
      </c>
      <c r="N18" s="372">
        <f t="shared" si="2"/>
        <v>0.10842021724855043</v>
      </c>
      <c r="O18" s="372">
        <f t="shared" si="2"/>
        <v>8.470329472543002E-2</v>
      </c>
    </row>
    <row r="19" spans="2:15" ht="26.25" customHeight="1">
      <c r="B19" s="367">
        <v>5</v>
      </c>
      <c r="C19" s="430" t="s">
        <v>127</v>
      </c>
      <c r="D19" s="431"/>
      <c r="E19" s="432"/>
      <c r="F19" s="368">
        <f>F17*F18</f>
        <v>-1953125</v>
      </c>
      <c r="G19" s="368">
        <f>G17*G18</f>
        <v>-14495849.609375</v>
      </c>
      <c r="H19" s="368">
        <f>H17*H18</f>
        <v>-11324882.507324217</v>
      </c>
      <c r="I19" s="368">
        <f>I17*I18</f>
        <v>11175870.895385742</v>
      </c>
      <c r="J19" s="368">
        <f t="shared" ref="J19:O19" si="3">J17*J18</f>
        <v>8731149.1370201111</v>
      </c>
      <c r="K19" s="368">
        <f t="shared" si="3"/>
        <v>6821210.2632969618</v>
      </c>
      <c r="L19" s="368">
        <f t="shared" si="3"/>
        <v>5329070.5182007505</v>
      </c>
      <c r="M19" s="368">
        <f t="shared" si="3"/>
        <v>4163336.3423443362</v>
      </c>
      <c r="N19" s="368">
        <f t="shared" si="3"/>
        <v>3252606.5174565129</v>
      </c>
      <c r="O19" s="368">
        <f t="shared" si="3"/>
        <v>2541098.8417629008</v>
      </c>
    </row>
    <row r="20" spans="2:15">
      <c r="B20" s="451" t="s">
        <v>128</v>
      </c>
      <c r="C20" s="452"/>
      <c r="D20" s="452"/>
      <c r="E20" s="452"/>
      <c r="F20" s="453"/>
      <c r="G20" s="373"/>
      <c r="H20" s="373"/>
      <c r="I20" s="373"/>
      <c r="J20" s="373"/>
      <c r="K20" s="373"/>
      <c r="L20" s="373"/>
      <c r="M20" s="373"/>
      <c r="N20" s="373"/>
      <c r="O20" s="373"/>
    </row>
    <row r="21" spans="2:15" ht="29.25" customHeight="1" thickBot="1">
      <c r="B21" s="367">
        <v>6</v>
      </c>
      <c r="C21" s="444" t="s">
        <v>102</v>
      </c>
      <c r="D21" s="445"/>
      <c r="E21" s="446"/>
      <c r="F21" s="374">
        <f>SUM(F17:O17)</f>
        <v>160000000</v>
      </c>
      <c r="G21" s="375"/>
      <c r="H21" s="375"/>
      <c r="I21" s="375"/>
      <c r="J21" s="375"/>
      <c r="K21" s="375"/>
      <c r="L21" s="375"/>
      <c r="M21" s="375"/>
      <c r="N21" s="375"/>
      <c r="O21" s="375"/>
    </row>
    <row r="22" spans="2:15" ht="29.25" customHeight="1">
      <c r="B22" s="367">
        <v>7</v>
      </c>
      <c r="C22" s="430" t="s">
        <v>103</v>
      </c>
      <c r="D22" s="431"/>
      <c r="E22" s="432"/>
      <c r="F22" s="376">
        <f>SUM(F19:O19)</f>
        <v>14240485.398768097</v>
      </c>
      <c r="G22" s="375"/>
      <c r="H22" s="454" t="s">
        <v>129</v>
      </c>
      <c r="I22" s="455"/>
      <c r="J22" s="455"/>
      <c r="K22" s="455"/>
      <c r="L22" s="455"/>
      <c r="M22" s="456"/>
      <c r="N22" s="375"/>
      <c r="O22" s="375"/>
    </row>
    <row r="23" spans="2:15" ht="34.5" customHeight="1">
      <c r="B23" s="367">
        <v>8</v>
      </c>
      <c r="C23" s="430" t="str">
        <f>C11</f>
        <v>Стоит ли принимать такой проект к рассмотрению?</v>
      </c>
      <c r="D23" s="431"/>
      <c r="E23" s="432"/>
      <c r="F23" s="376" t="s">
        <v>130</v>
      </c>
      <c r="G23" s="375"/>
      <c r="H23" s="457"/>
      <c r="I23" s="458"/>
      <c r="J23" s="458"/>
      <c r="K23" s="458"/>
      <c r="L23" s="458"/>
      <c r="M23" s="459"/>
      <c r="N23" s="375"/>
      <c r="O23" s="375"/>
    </row>
    <row r="24" spans="2:15" ht="29.25" customHeight="1">
      <c r="C24" s="377"/>
      <c r="D24" s="377"/>
      <c r="E24" s="377"/>
      <c r="F24" s="378"/>
      <c r="G24" s="375"/>
      <c r="H24" s="457"/>
      <c r="I24" s="458"/>
      <c r="J24" s="458"/>
      <c r="K24" s="458"/>
      <c r="L24" s="458"/>
      <c r="M24" s="459"/>
      <c r="N24" s="375"/>
      <c r="O24" s="375"/>
    </row>
    <row r="25" spans="2:15" ht="29.25" customHeight="1">
      <c r="C25" s="377"/>
      <c r="D25" s="377"/>
      <c r="E25" s="377"/>
      <c r="F25" s="378"/>
      <c r="G25" s="375"/>
      <c r="H25" s="457"/>
      <c r="I25" s="458"/>
      <c r="J25" s="458"/>
      <c r="K25" s="458"/>
      <c r="L25" s="458"/>
      <c r="M25" s="459"/>
      <c r="N25" s="375"/>
      <c r="O25" s="375"/>
    </row>
    <row r="26" spans="2:15" ht="29.25" customHeight="1">
      <c r="C26" s="377"/>
      <c r="D26" s="377"/>
      <c r="E26" s="377"/>
      <c r="F26" s="378"/>
      <c r="G26" s="375"/>
      <c r="H26" s="457"/>
      <c r="I26" s="458"/>
      <c r="J26" s="458"/>
      <c r="K26" s="458"/>
      <c r="L26" s="458"/>
      <c r="M26" s="459"/>
      <c r="N26" s="375"/>
      <c r="O26" s="375"/>
    </row>
    <row r="27" spans="2:15" ht="29.25" customHeight="1">
      <c r="C27" s="377"/>
      <c r="D27" s="377"/>
      <c r="E27" s="377"/>
      <c r="F27" s="378"/>
      <c r="G27" s="375"/>
      <c r="H27" s="457"/>
      <c r="I27" s="458"/>
      <c r="J27" s="458"/>
      <c r="K27" s="458"/>
      <c r="L27" s="458"/>
      <c r="M27" s="459"/>
      <c r="N27" s="375"/>
      <c r="O27" s="375"/>
    </row>
    <row r="28" spans="2:15" ht="29.25" customHeight="1" thickBot="1">
      <c r="C28" s="377"/>
      <c r="D28" s="377"/>
      <c r="E28" s="377"/>
      <c r="F28" s="378"/>
      <c r="G28" s="375"/>
      <c r="H28" s="460"/>
      <c r="I28" s="461"/>
      <c r="J28" s="461"/>
      <c r="K28" s="461"/>
      <c r="L28" s="461"/>
      <c r="M28" s="462"/>
      <c r="N28" s="375"/>
      <c r="O28" s="375"/>
    </row>
    <row r="31" spans="2:15">
      <c r="C31" s="358" t="s">
        <v>131</v>
      </c>
    </row>
    <row r="32" spans="2:15">
      <c r="C32" t="s">
        <v>132</v>
      </c>
    </row>
    <row r="33" spans="2:17">
      <c r="C33" s="442" t="s">
        <v>120</v>
      </c>
      <c r="D33" s="442"/>
    </row>
    <row r="34" spans="2:17" ht="30">
      <c r="B34" s="365" t="s">
        <v>121</v>
      </c>
      <c r="C34" s="467" t="s">
        <v>122</v>
      </c>
      <c r="D34" s="468"/>
      <c r="E34" s="469"/>
      <c r="F34" s="366">
        <v>1</v>
      </c>
      <c r="G34" s="366">
        <v>2</v>
      </c>
      <c r="H34" s="366">
        <v>3</v>
      </c>
      <c r="I34" s="366">
        <v>4</v>
      </c>
      <c r="J34" s="366">
        <v>5</v>
      </c>
      <c r="K34" s="366">
        <v>6</v>
      </c>
      <c r="L34" s="366">
        <v>7</v>
      </c>
      <c r="M34" s="366">
        <v>8</v>
      </c>
      <c r="N34" s="366">
        <v>9</v>
      </c>
      <c r="O34" s="366">
        <v>10</v>
      </c>
    </row>
    <row r="35" spans="2:17" ht="31.5" customHeight="1">
      <c r="B35" s="367">
        <v>1</v>
      </c>
      <c r="C35" s="470" t="s">
        <v>133</v>
      </c>
      <c r="D35" s="471"/>
      <c r="E35" s="472"/>
      <c r="F35" s="379">
        <f>F17</f>
        <v>-2500000</v>
      </c>
      <c r="G35" s="379">
        <f>F35+G17</f>
        <v>-26250000</v>
      </c>
      <c r="H35" s="379">
        <f t="shared" ref="H35:O35" si="4">G35+H17</f>
        <v>-50000000</v>
      </c>
      <c r="I35" s="380">
        <f t="shared" si="4"/>
        <v>-20000000</v>
      </c>
      <c r="J35" s="380">
        <f t="shared" si="4"/>
        <v>10000000</v>
      </c>
      <c r="K35" s="379">
        <f t="shared" si="4"/>
        <v>40000000</v>
      </c>
      <c r="L35" s="379">
        <f t="shared" si="4"/>
        <v>70000000</v>
      </c>
      <c r="M35" s="379">
        <f t="shared" si="4"/>
        <v>100000000</v>
      </c>
      <c r="N35" s="379">
        <f t="shared" si="4"/>
        <v>130000000</v>
      </c>
      <c r="O35" s="379">
        <f t="shared" si="4"/>
        <v>160000000</v>
      </c>
      <c r="P35" s="381" t="b">
        <f>F21=O35</f>
        <v>1</v>
      </c>
      <c r="Q35" s="375"/>
    </row>
    <row r="36" spans="2:17" ht="45.75" customHeight="1">
      <c r="B36" s="367">
        <v>2</v>
      </c>
      <c r="C36" s="470" t="s">
        <v>134</v>
      </c>
      <c r="D36" s="471"/>
      <c r="E36" s="472"/>
      <c r="F36" s="379">
        <f>F19</f>
        <v>-1953125</v>
      </c>
      <c r="G36" s="379">
        <f>F36+G19</f>
        <v>-16448974.609375</v>
      </c>
      <c r="H36" s="379">
        <f t="shared" ref="H36:O36" si="5">G36+H19</f>
        <v>-27773857.116699219</v>
      </c>
      <c r="I36" s="379">
        <f t="shared" si="5"/>
        <v>-16597986.221313477</v>
      </c>
      <c r="J36" s="379">
        <f t="shared" si="5"/>
        <v>-7866837.0842933655</v>
      </c>
      <c r="K36" s="380">
        <f t="shared" si="5"/>
        <v>-1045626.8209964037</v>
      </c>
      <c r="L36" s="380">
        <f t="shared" si="5"/>
        <v>4283443.6972043468</v>
      </c>
      <c r="M36" s="379">
        <f t="shared" si="5"/>
        <v>8446780.0395486839</v>
      </c>
      <c r="N36" s="379">
        <f t="shared" si="5"/>
        <v>11699386.557005197</v>
      </c>
      <c r="O36" s="379">
        <f t="shared" si="5"/>
        <v>14240485.398768097</v>
      </c>
      <c r="P36" s="381" t="b">
        <f>O36=F22</f>
        <v>1</v>
      </c>
      <c r="Q36" s="375"/>
    </row>
    <row r="37" spans="2:17" ht="15.75" thickBot="1">
      <c r="B37" s="451" t="s">
        <v>128</v>
      </c>
      <c r="C37" s="452"/>
      <c r="D37" s="452"/>
      <c r="E37" s="452"/>
      <c r="F37" s="453"/>
    </row>
    <row r="38" spans="2:17" ht="31.5" customHeight="1">
      <c r="B38" s="367">
        <v>3</v>
      </c>
      <c r="C38" s="444" t="s">
        <v>135</v>
      </c>
      <c r="D38" s="445"/>
      <c r="E38" s="446"/>
      <c r="F38" s="382">
        <f>I34+(-I35/(-I35+J35))</f>
        <v>4.666666666666667</v>
      </c>
      <c r="H38" s="454" t="s">
        <v>136</v>
      </c>
      <c r="I38" s="455"/>
      <c r="J38" s="455"/>
      <c r="K38" s="455"/>
      <c r="L38" s="455"/>
      <c r="M38" s="456"/>
    </row>
    <row r="39" spans="2:17" ht="36.75" customHeight="1">
      <c r="B39" s="367">
        <v>4</v>
      </c>
      <c r="C39" s="430" t="s">
        <v>137</v>
      </c>
      <c r="D39" s="431"/>
      <c r="E39" s="432"/>
      <c r="F39" s="382">
        <f>K34+(-K36/(-K36+L36))</f>
        <v>6.1962118567253333</v>
      </c>
      <c r="H39" s="457"/>
      <c r="I39" s="458"/>
      <c r="J39" s="458"/>
      <c r="K39" s="458"/>
      <c r="L39" s="458"/>
      <c r="M39" s="459"/>
    </row>
    <row r="40" spans="2:17">
      <c r="B40" s="463" t="s">
        <v>138</v>
      </c>
      <c r="C40" s="463"/>
      <c r="D40" s="463"/>
      <c r="E40" s="463"/>
      <c r="F40" s="463"/>
      <c r="H40" s="457"/>
      <c r="I40" s="458"/>
      <c r="J40" s="458"/>
      <c r="K40" s="458"/>
      <c r="L40" s="458"/>
      <c r="M40" s="459"/>
    </row>
    <row r="41" spans="2:17" ht="31.5" customHeight="1">
      <c r="B41" s="464"/>
      <c r="C41" s="464"/>
      <c r="D41" s="464"/>
      <c r="E41" s="464"/>
      <c r="F41" s="464"/>
      <c r="H41" s="457"/>
      <c r="I41" s="458"/>
      <c r="J41" s="458"/>
      <c r="K41" s="458"/>
      <c r="L41" s="458"/>
      <c r="M41" s="459"/>
    </row>
    <row r="42" spans="2:17" ht="130.5" customHeight="1">
      <c r="H42" s="457"/>
      <c r="I42" s="458"/>
      <c r="J42" s="458"/>
      <c r="K42" s="458"/>
      <c r="L42" s="458"/>
      <c r="M42" s="459"/>
    </row>
    <row r="43" spans="2:17" ht="15.75" thickBot="1">
      <c r="H43" s="460"/>
      <c r="I43" s="461"/>
      <c r="J43" s="461"/>
      <c r="K43" s="461"/>
      <c r="L43" s="461"/>
      <c r="M43" s="462"/>
    </row>
    <row r="47" spans="2:17">
      <c r="C47" s="358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42" t="s">
        <v>120</v>
      </c>
      <c r="E51" s="442"/>
      <c r="F51" s="360"/>
      <c r="G51" s="360"/>
      <c r="H51" s="360"/>
      <c r="I51" s="360"/>
      <c r="J51" s="360"/>
      <c r="K51" s="360"/>
      <c r="L51" s="360"/>
      <c r="M51" s="360"/>
      <c r="N51" s="360"/>
    </row>
    <row r="52" spans="2:15" ht="30">
      <c r="B52" s="365" t="s">
        <v>121</v>
      </c>
      <c r="C52" s="443" t="s">
        <v>122</v>
      </c>
      <c r="D52" s="443"/>
      <c r="E52" s="443"/>
      <c r="F52" s="366">
        <v>1</v>
      </c>
      <c r="G52" s="383">
        <v>2</v>
      </c>
      <c r="H52" s="383">
        <v>3</v>
      </c>
      <c r="I52" s="383">
        <v>4</v>
      </c>
      <c r="J52" s="383">
        <v>5</v>
      </c>
      <c r="K52" s="383">
        <v>6</v>
      </c>
      <c r="L52" s="383">
        <v>7</v>
      </c>
      <c r="M52" s="383">
        <v>8</v>
      </c>
      <c r="N52" s="383">
        <v>9</v>
      </c>
      <c r="O52" s="383">
        <v>10</v>
      </c>
    </row>
    <row r="53" spans="2:15" ht="30" customHeight="1">
      <c r="B53" s="367">
        <v>1</v>
      </c>
      <c r="C53" s="430" t="s">
        <v>125</v>
      </c>
      <c r="D53" s="431"/>
      <c r="E53" s="432"/>
      <c r="F53" s="370">
        <f>F17</f>
        <v>-2500000</v>
      </c>
      <c r="G53" s="371">
        <f t="shared" ref="G53:O53" si="6">G17</f>
        <v>-23750000</v>
      </c>
      <c r="H53" s="371">
        <f t="shared" si="6"/>
        <v>-23750000</v>
      </c>
      <c r="I53" s="371">
        <f t="shared" si="6"/>
        <v>30000000</v>
      </c>
      <c r="J53" s="371">
        <f t="shared" si="6"/>
        <v>30000000</v>
      </c>
      <c r="K53" s="371">
        <f t="shared" si="6"/>
        <v>30000000</v>
      </c>
      <c r="L53" s="371">
        <f t="shared" si="6"/>
        <v>30000000</v>
      </c>
      <c r="M53" s="371">
        <f t="shared" si="6"/>
        <v>30000000</v>
      </c>
      <c r="N53" s="371">
        <f t="shared" si="6"/>
        <v>30000000</v>
      </c>
      <c r="O53" s="371">
        <f t="shared" si="6"/>
        <v>30000000</v>
      </c>
    </row>
    <row r="54" spans="2:15">
      <c r="B54" s="367">
        <v>2</v>
      </c>
      <c r="C54" s="444" t="s">
        <v>142</v>
      </c>
      <c r="D54" s="445"/>
      <c r="E54" s="446"/>
      <c r="F54" s="384">
        <v>0.43822984635546786</v>
      </c>
      <c r="G54" s="465" t="s">
        <v>143</v>
      </c>
      <c r="H54" s="466"/>
      <c r="I54" s="466"/>
      <c r="J54" s="466"/>
      <c r="K54" s="466"/>
      <c r="L54" s="466"/>
      <c r="M54" s="466"/>
      <c r="N54" s="466"/>
      <c r="O54" s="466"/>
    </row>
    <row r="55" spans="2:15" ht="36" customHeight="1">
      <c r="B55" s="367">
        <v>3</v>
      </c>
      <c r="C55" s="444" t="s">
        <v>126</v>
      </c>
      <c r="D55" s="445"/>
      <c r="E55" s="446"/>
      <c r="F55" s="372">
        <f>1/(1+$F$54)^F52</f>
        <v>0.69529915717855539</v>
      </c>
      <c r="G55" s="372">
        <f>1/(1+$F$54)^G52</f>
        <v>0.48344091797320937</v>
      </c>
      <c r="H55" s="372">
        <f>1/(1+$F$54)^H52</f>
        <v>0.33613606281239961</v>
      </c>
      <c r="I55" s="372">
        <f t="shared" ref="I55:O55" si="7">1/(1+$F$54)^I52</f>
        <v>0.23371512117077936</v>
      </c>
      <c r="J55" s="372">
        <f t="shared" si="7"/>
        <v>0.16250192676992684</v>
      </c>
      <c r="K55" s="372">
        <f t="shared" si="7"/>
        <v>0.11298745272302145</v>
      </c>
      <c r="L55" s="372">
        <f t="shared" si="7"/>
        <v>7.8560080650068684E-2</v>
      </c>
      <c r="M55" s="372">
        <f t="shared" si="7"/>
        <v>5.4622757863872079E-2</v>
      </c>
      <c r="N55" s="372">
        <f t="shared" si="7"/>
        <v>3.7979157505518564E-2</v>
      </c>
      <c r="O55" s="372">
        <f t="shared" si="7"/>
        <v>2.640687620393866E-2</v>
      </c>
    </row>
    <row r="56" spans="2:15" ht="30" customHeight="1">
      <c r="B56" s="367">
        <v>4</v>
      </c>
      <c r="C56" s="430" t="s">
        <v>127</v>
      </c>
      <c r="D56" s="431"/>
      <c r="E56" s="432"/>
      <c r="F56" s="368">
        <f t="shared" ref="F56:O56" si="8">F53*F55</f>
        <v>-1738247.8929463886</v>
      </c>
      <c r="G56" s="368">
        <f t="shared" si="8"/>
        <v>-11481721.801863723</v>
      </c>
      <c r="H56" s="368">
        <f t="shared" si="8"/>
        <v>-7983231.4917944903</v>
      </c>
      <c r="I56" s="368">
        <f t="shared" si="8"/>
        <v>7011453.6351233805</v>
      </c>
      <c r="J56" s="368">
        <f t="shared" si="8"/>
        <v>4875057.803097805</v>
      </c>
      <c r="K56" s="368">
        <f t="shared" si="8"/>
        <v>3389623.5816906434</v>
      </c>
      <c r="L56" s="368">
        <f t="shared" si="8"/>
        <v>2356802.4195020604</v>
      </c>
      <c r="M56" s="368">
        <f t="shared" si="8"/>
        <v>1638682.7359161624</v>
      </c>
      <c r="N56" s="368">
        <f t="shared" si="8"/>
        <v>1139374.7251655569</v>
      </c>
      <c r="O56" s="368">
        <f t="shared" si="8"/>
        <v>792206.28611815977</v>
      </c>
    </row>
    <row r="57" spans="2:15" ht="30" customHeight="1">
      <c r="B57" s="367">
        <v>5</v>
      </c>
      <c r="C57" s="430" t="s">
        <v>103</v>
      </c>
      <c r="D57" s="431"/>
      <c r="E57" s="432"/>
      <c r="F57" s="385">
        <f>SUM(F56:O56)</f>
        <v>9.1665424406528473E-6</v>
      </c>
      <c r="G57" s="373"/>
      <c r="H57" s="373"/>
      <c r="I57" s="373"/>
      <c r="J57" s="373"/>
      <c r="K57" s="373"/>
      <c r="L57" s="373"/>
      <c r="M57" s="373"/>
      <c r="N57" s="373"/>
      <c r="O57" s="373"/>
    </row>
    <row r="58" spans="2:15" ht="15.75" thickBot="1">
      <c r="B58" s="451" t="s">
        <v>128</v>
      </c>
      <c r="C58" s="452"/>
      <c r="D58" s="452"/>
      <c r="E58" s="452"/>
      <c r="F58" s="453"/>
      <c r="G58" s="386"/>
    </row>
    <row r="59" spans="2:15" ht="15" customHeight="1">
      <c r="B59" s="367">
        <v>6</v>
      </c>
      <c r="C59" s="430" t="s">
        <v>144</v>
      </c>
      <c r="D59" s="431"/>
      <c r="E59" s="432"/>
      <c r="F59" s="387">
        <f>IRR(F53:O53)</f>
        <v>0.43822984635565154</v>
      </c>
      <c r="H59" s="436" t="s">
        <v>145</v>
      </c>
      <c r="I59" s="437"/>
      <c r="J59" s="437"/>
      <c r="K59" s="437"/>
      <c r="L59" s="437"/>
      <c r="M59" s="437"/>
      <c r="N59" s="437"/>
      <c r="O59" s="438"/>
    </row>
    <row r="60" spans="2:15" ht="66.75" customHeight="1">
      <c r="B60" s="367">
        <v>7</v>
      </c>
      <c r="C60" s="430" t="s">
        <v>146</v>
      </c>
      <c r="D60" s="431"/>
      <c r="E60" s="432"/>
      <c r="F60" s="382"/>
      <c r="H60" s="439"/>
      <c r="I60" s="440"/>
      <c r="J60" s="440"/>
      <c r="K60" s="440"/>
      <c r="L60" s="440"/>
      <c r="M60" s="440"/>
      <c r="N60" s="440"/>
      <c r="O60" s="441"/>
    </row>
    <row r="61" spans="2:15" ht="33" customHeight="1">
      <c r="H61" s="388"/>
      <c r="I61" s="375"/>
      <c r="J61" s="375"/>
      <c r="K61" s="375"/>
      <c r="L61" s="375"/>
      <c r="M61" s="375"/>
      <c r="N61" s="375"/>
      <c r="O61" s="389"/>
    </row>
    <row r="62" spans="2:15">
      <c r="H62" s="388"/>
      <c r="I62" s="375"/>
      <c r="J62" s="375"/>
      <c r="K62" s="375"/>
      <c r="L62" s="375" t="s">
        <v>147</v>
      </c>
      <c r="M62" s="375"/>
      <c r="N62" s="375"/>
      <c r="O62" s="389"/>
    </row>
    <row r="63" spans="2:15">
      <c r="H63" s="388"/>
      <c r="I63" s="375"/>
      <c r="J63" s="375"/>
      <c r="K63" s="375"/>
      <c r="L63" s="375" t="s">
        <v>148</v>
      </c>
      <c r="M63" s="375"/>
      <c r="N63" s="375"/>
      <c r="O63" s="389"/>
    </row>
    <row r="64" spans="2:15">
      <c r="H64" s="388"/>
      <c r="I64" s="375"/>
      <c r="J64" s="375"/>
      <c r="K64" s="375"/>
      <c r="L64" s="375" t="s">
        <v>149</v>
      </c>
      <c r="M64" s="375"/>
      <c r="N64" s="375"/>
      <c r="O64" s="389"/>
    </row>
    <row r="65" spans="2:15">
      <c r="H65" s="388"/>
      <c r="I65" s="375"/>
      <c r="J65" s="375"/>
      <c r="K65" s="375"/>
      <c r="L65" s="375"/>
      <c r="M65" s="375"/>
      <c r="N65" s="375"/>
      <c r="O65" s="389"/>
    </row>
    <row r="66" spans="2:15">
      <c r="H66" s="388"/>
      <c r="I66" s="375"/>
      <c r="J66" s="375"/>
      <c r="K66" s="375"/>
      <c r="L66" s="375"/>
      <c r="M66" s="375"/>
      <c r="N66" s="375"/>
      <c r="O66" s="389"/>
    </row>
    <row r="67" spans="2:15" ht="15.75" thickBot="1">
      <c r="H67" s="390"/>
      <c r="I67" s="391"/>
      <c r="J67" s="391"/>
      <c r="K67" s="391"/>
      <c r="L67" s="391"/>
      <c r="M67" s="391"/>
      <c r="N67" s="391"/>
      <c r="O67" s="392"/>
    </row>
    <row r="71" spans="2:15">
      <c r="C71" s="358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42" t="s">
        <v>120</v>
      </c>
      <c r="E77" s="442"/>
      <c r="F77" s="360"/>
    </row>
    <row r="78" spans="2:15" ht="30">
      <c r="B78" s="365" t="s">
        <v>121</v>
      </c>
      <c r="C78" s="443" t="s">
        <v>122</v>
      </c>
      <c r="D78" s="443"/>
      <c r="E78" s="443"/>
      <c r="F78" s="383">
        <v>1</v>
      </c>
      <c r="G78" s="383">
        <v>2</v>
      </c>
      <c r="H78" s="383">
        <v>3</v>
      </c>
      <c r="I78" s="383">
        <v>4</v>
      </c>
      <c r="J78" s="383">
        <v>5</v>
      </c>
      <c r="K78" s="383">
        <v>6</v>
      </c>
      <c r="L78" s="383">
        <v>7</v>
      </c>
      <c r="M78" s="383">
        <v>8</v>
      </c>
      <c r="N78" s="383">
        <v>9</v>
      </c>
      <c r="O78" s="383">
        <v>10</v>
      </c>
    </row>
    <row r="79" spans="2:15" ht="30" customHeight="1">
      <c r="B79" s="367">
        <v>1</v>
      </c>
      <c r="C79" s="430" t="str">
        <f>C15</f>
        <v>Затраты на осуществление ИСП (IC), руб.</v>
      </c>
      <c r="D79" s="431"/>
      <c r="E79" s="432"/>
      <c r="F79" s="371">
        <f>F15</f>
        <v>2500000</v>
      </c>
      <c r="G79" s="371">
        <f t="shared" ref="G79:O80" si="9">G15</f>
        <v>23750000</v>
      </c>
      <c r="H79" s="371">
        <f t="shared" si="9"/>
        <v>23750000</v>
      </c>
      <c r="I79" s="393"/>
      <c r="J79" s="393"/>
      <c r="K79" s="393"/>
      <c r="L79" s="393"/>
      <c r="M79" s="393"/>
      <c r="N79" s="393"/>
      <c r="O79" s="393"/>
    </row>
    <row r="80" spans="2:15" ht="33.75" customHeight="1">
      <c r="B80" s="367">
        <v>2</v>
      </c>
      <c r="C80" s="430" t="s">
        <v>124</v>
      </c>
      <c r="D80" s="431"/>
      <c r="E80" s="432"/>
      <c r="F80" s="369">
        <f>F16</f>
        <v>0</v>
      </c>
      <c r="G80" s="369">
        <f t="shared" si="9"/>
        <v>0</v>
      </c>
      <c r="H80" s="369">
        <f t="shared" si="9"/>
        <v>0</v>
      </c>
      <c r="I80" s="368">
        <f t="shared" si="9"/>
        <v>30000000</v>
      </c>
      <c r="J80" s="368">
        <f t="shared" si="9"/>
        <v>30000000</v>
      </c>
      <c r="K80" s="368">
        <f t="shared" si="9"/>
        <v>30000000</v>
      </c>
      <c r="L80" s="368">
        <f t="shared" si="9"/>
        <v>30000000</v>
      </c>
      <c r="M80" s="368">
        <f t="shared" si="9"/>
        <v>30000000</v>
      </c>
      <c r="N80" s="368">
        <f t="shared" si="9"/>
        <v>30000000</v>
      </c>
      <c r="O80" s="368">
        <f t="shared" si="9"/>
        <v>30000000</v>
      </c>
    </row>
    <row r="81" spans="2:15">
      <c r="B81" s="367">
        <v>3</v>
      </c>
      <c r="C81" s="444" t="s">
        <v>126</v>
      </c>
      <c r="D81" s="445"/>
      <c r="E81" s="446"/>
      <c r="F81" s="372">
        <f>F18</f>
        <v>0.78125</v>
      </c>
      <c r="G81" s="372">
        <f t="shared" ref="G81:O81" si="10">G18</f>
        <v>0.6103515625</v>
      </c>
      <c r="H81" s="372">
        <f t="shared" si="10"/>
        <v>0.47683715820312494</v>
      </c>
      <c r="I81" s="372">
        <f t="shared" si="10"/>
        <v>0.37252902984619141</v>
      </c>
      <c r="J81" s="372">
        <f t="shared" si="10"/>
        <v>0.29103830456733704</v>
      </c>
      <c r="K81" s="372">
        <f t="shared" si="10"/>
        <v>0.22737367544323206</v>
      </c>
      <c r="L81" s="372">
        <f t="shared" si="10"/>
        <v>0.17763568394002502</v>
      </c>
      <c r="M81" s="372">
        <f t="shared" si="10"/>
        <v>0.13877787807814454</v>
      </c>
      <c r="N81" s="372">
        <f t="shared" si="10"/>
        <v>0.10842021724855043</v>
      </c>
      <c r="O81" s="372">
        <f t="shared" si="10"/>
        <v>8.470329472543002E-2</v>
      </c>
    </row>
    <row r="82" spans="2:15" ht="32.25" customHeight="1">
      <c r="B82" s="367">
        <v>4</v>
      </c>
      <c r="C82" s="447" t="s">
        <v>155</v>
      </c>
      <c r="D82" s="447"/>
      <c r="E82" s="447"/>
      <c r="I82" s="379">
        <f t="shared" ref="I82:O82" si="11">I80*I81</f>
        <v>11175870.895385742</v>
      </c>
      <c r="J82" s="379">
        <f t="shared" si="11"/>
        <v>8731149.1370201111</v>
      </c>
      <c r="K82" s="379">
        <f t="shared" si="11"/>
        <v>6821210.2632969618</v>
      </c>
      <c r="L82" s="379">
        <f t="shared" si="11"/>
        <v>5329070.5182007505</v>
      </c>
      <c r="M82" s="379">
        <f t="shared" si="11"/>
        <v>4163336.3423443362</v>
      </c>
      <c r="N82" s="379">
        <f t="shared" si="11"/>
        <v>3252606.5174565129</v>
      </c>
      <c r="O82" s="379">
        <f t="shared" si="11"/>
        <v>2541098.8417629008</v>
      </c>
    </row>
    <row r="83" spans="2:15" ht="45" customHeight="1">
      <c r="B83" s="367">
        <v>5</v>
      </c>
      <c r="C83" s="447" t="s">
        <v>156</v>
      </c>
      <c r="D83" s="447"/>
      <c r="E83" s="447"/>
      <c r="F83" s="368">
        <f>F79*F81</f>
        <v>1953125</v>
      </c>
      <c r="G83" s="368">
        <f>G79*G81</f>
        <v>14495849.609375</v>
      </c>
      <c r="H83" s="368">
        <f>H79*H81</f>
        <v>11324882.507324217</v>
      </c>
      <c r="I83" s="394"/>
      <c r="J83" s="394"/>
      <c r="K83" s="394"/>
      <c r="L83" s="394"/>
      <c r="M83" s="394"/>
      <c r="N83" s="394"/>
      <c r="O83" s="394"/>
    </row>
    <row r="84" spans="2:15">
      <c r="B84" s="448" t="s">
        <v>128</v>
      </c>
      <c r="C84" s="449"/>
      <c r="D84" s="449"/>
      <c r="E84" s="449"/>
      <c r="F84" s="450"/>
    </row>
    <row r="85" spans="2:15">
      <c r="B85" s="367">
        <v>5</v>
      </c>
      <c r="C85" s="430" t="s">
        <v>107</v>
      </c>
      <c r="D85" s="431"/>
      <c r="E85" s="432"/>
      <c r="F85" s="395">
        <f>SUM(I82:O82)/SUM(F83:H83)</f>
        <v>1.5127298429934641</v>
      </c>
    </row>
    <row r="86" spans="2:15" ht="46.5" customHeight="1">
      <c r="B86" s="367">
        <v>6</v>
      </c>
      <c r="C86" s="430" t="s">
        <v>152</v>
      </c>
      <c r="D86" s="431"/>
      <c r="E86" s="432"/>
      <c r="F86" s="433"/>
      <c r="G86" s="433"/>
      <c r="H86" s="433"/>
      <c r="I86" s="433"/>
      <c r="K86" s="396"/>
    </row>
    <row r="87" spans="2:15" ht="49.5" customHeight="1">
      <c r="B87" s="367">
        <v>7</v>
      </c>
      <c r="C87" s="430" t="s">
        <v>157</v>
      </c>
      <c r="D87" s="431"/>
      <c r="E87" s="432"/>
      <c r="F87" s="397"/>
      <c r="K87" s="396"/>
    </row>
    <row r="88" spans="2:15" ht="63.75" customHeight="1">
      <c r="B88" s="367">
        <v>8</v>
      </c>
      <c r="C88" s="430" t="str">
        <f>C75</f>
        <v>Почему для данного проекта нельзя использовать оценку экономической эффективности по PI?</v>
      </c>
      <c r="D88" s="431"/>
      <c r="E88" s="432"/>
      <c r="F88" s="434"/>
      <c r="G88" s="434"/>
      <c r="H88" s="434"/>
      <c r="I88" s="434"/>
    </row>
    <row r="91" spans="2:15" ht="78" customHeight="1">
      <c r="E91" s="435" t="s">
        <v>158</v>
      </c>
      <c r="F91" s="435"/>
      <c r="G91" s="435"/>
      <c r="H91" s="435"/>
      <c r="I91" s="435"/>
      <c r="J91" s="435"/>
      <c r="K91" s="435"/>
    </row>
    <row r="92" spans="2:15">
      <c r="E92" s="429"/>
      <c r="F92" s="429"/>
      <c r="G92" s="429"/>
      <c r="H92" s="429"/>
      <c r="I92" s="429"/>
      <c r="J92" s="429"/>
    </row>
    <row r="93" spans="2:15">
      <c r="E93" s="429"/>
      <c r="F93" s="429"/>
      <c r="G93" s="429"/>
      <c r="H93" s="429"/>
      <c r="I93" s="429"/>
      <c r="J93" s="429"/>
    </row>
    <row r="94" spans="2:15">
      <c r="E94" s="429"/>
      <c r="F94" s="429"/>
      <c r="G94" s="429"/>
      <c r="H94" s="429"/>
      <c r="I94" s="429"/>
      <c r="J94" s="429"/>
    </row>
    <row r="108" spans="11:11">
      <c r="K108" t="s">
        <v>159</v>
      </c>
    </row>
    <row r="110" spans="11:11">
      <c r="K110" t="s">
        <v>160</v>
      </c>
    </row>
  </sheetData>
  <mergeCells count="56">
    <mergeCell ref="C10:K10"/>
    <mergeCell ref="C3:M3"/>
    <mergeCell ref="C4:E4"/>
    <mergeCell ref="D7:F7"/>
    <mergeCell ref="C8:J8"/>
    <mergeCell ref="C9:K9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33:D33"/>
    <mergeCell ref="C34:E34"/>
    <mergeCell ref="C35:E35"/>
    <mergeCell ref="C36:E36"/>
    <mergeCell ref="B37:F37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E92:J94"/>
    <mergeCell ref="C86:E86"/>
    <mergeCell ref="F86:I86"/>
    <mergeCell ref="C87:E87"/>
    <mergeCell ref="C88:E88"/>
    <mergeCell ref="F88:I88"/>
    <mergeCell ref="E91:K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C136"/>
  <sheetViews>
    <sheetView topLeftCell="A39" zoomScale="85" zoomScaleNormal="85" zoomScaleSheetLayoutView="75" workbookViewId="0">
      <selection activeCell="G27" sqref="G27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88" t="s">
        <v>0</v>
      </c>
      <c r="R1" s="489"/>
      <c r="S1" s="489"/>
      <c r="T1" s="490"/>
      <c r="U1" s="488"/>
      <c r="V1" s="489"/>
      <c r="W1" s="489"/>
      <c r="X1" s="490"/>
    </row>
    <row r="2" spans="1:24" s="10" customFormat="1" ht="15.75">
      <c r="A2" s="476" t="s">
        <v>1</v>
      </c>
      <c r="B2" s="47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88"/>
      <c r="R2" s="489"/>
      <c r="S2" s="489"/>
      <c r="T2" s="490"/>
      <c r="U2" s="488"/>
      <c r="V2" s="489"/>
      <c r="W2" s="489"/>
      <c r="X2" s="490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88"/>
      <c r="R3" s="489"/>
      <c r="S3" s="489"/>
      <c r="T3" s="490"/>
      <c r="U3" s="488"/>
      <c r="V3" s="489"/>
      <c r="W3" s="489"/>
      <c r="X3" s="490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78" t="s">
        <v>4</v>
      </c>
      <c r="R4" s="479"/>
      <c r="S4" s="479"/>
      <c r="T4" s="480"/>
      <c r="U4" s="478"/>
      <c r="V4" s="479"/>
      <c r="W4" s="479"/>
      <c r="X4" s="480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78"/>
      <c r="R5" s="479"/>
      <c r="S5" s="479"/>
      <c r="T5" s="480"/>
      <c r="U5" s="478"/>
      <c r="V5" s="479"/>
      <c r="W5" s="479"/>
      <c r="X5" s="480"/>
    </row>
    <row r="6" spans="1:24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81"/>
      <c r="R6" s="482"/>
      <c r="S6" s="482"/>
      <c r="T6" s="483"/>
      <c r="U6" s="481"/>
      <c r="V6" s="482"/>
      <c r="W6" s="482"/>
      <c r="X6" s="483"/>
    </row>
    <row r="7" spans="1:24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t="13.5" hidden="1" thickBot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486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487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84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85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486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487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 thickTop="1">
      <c r="A16" s="504" t="s">
        <v>11</v>
      </c>
      <c r="B16" s="505"/>
      <c r="C16" s="503" t="s">
        <v>12</v>
      </c>
      <c r="D16" s="503"/>
      <c r="E16" s="503"/>
      <c r="F16" s="503"/>
      <c r="G16" s="503" t="s">
        <v>13</v>
      </c>
      <c r="H16" s="503"/>
      <c r="I16" s="503"/>
      <c r="J16" s="503"/>
      <c r="K16" s="503" t="s">
        <v>14</v>
      </c>
      <c r="L16" s="503"/>
      <c r="M16" s="503"/>
      <c r="N16" s="199"/>
      <c r="O16" s="200"/>
      <c r="P16" s="401"/>
    </row>
    <row r="17" spans="1:20" s="6" customFormat="1" ht="13.5" customHeight="1">
      <c r="A17" s="506"/>
      <c r="B17" s="507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03"/>
      <c r="P17" s="202"/>
      <c r="R17" s="32"/>
    </row>
    <row r="18" spans="1:20" s="35" customFormat="1" ht="25.5">
      <c r="A18" s="400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06" t="s">
        <v>17</v>
      </c>
      <c r="P18" s="402" t="s">
        <v>69</v>
      </c>
      <c r="Q18" s="33" t="s">
        <v>18</v>
      </c>
      <c r="R18" s="34" t="s">
        <v>19</v>
      </c>
      <c r="S18" s="15"/>
      <c r="T18" s="15"/>
    </row>
    <row r="19" spans="1:20">
      <c r="A19" s="36" t="s">
        <v>20</v>
      </c>
      <c r="B19" s="220">
        <v>82630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9"/>
      <c r="P19" s="38"/>
      <c r="Q19" s="40">
        <f>((1+Q20)^(1/4))-1</f>
        <v>1.6106667595102708E-2</v>
      </c>
      <c r="R19" s="41">
        <f>((1+R20)^(1/4))-1</f>
        <v>1.2272234429039353E-2</v>
      </c>
    </row>
    <row r="20" spans="1:20">
      <c r="A20" s="42" t="s">
        <v>21</v>
      </c>
      <c r="B20" s="43"/>
      <c r="C20" s="492">
        <f>Q20</f>
        <v>6.6000000000000003E-2</v>
      </c>
      <c r="D20" s="492"/>
      <c r="E20" s="492"/>
      <c r="F20" s="492"/>
      <c r="G20" s="492">
        <f>C20</f>
        <v>6.6000000000000003E-2</v>
      </c>
      <c r="H20" s="492"/>
      <c r="I20" s="492"/>
      <c r="J20" s="492"/>
      <c r="K20" s="492">
        <f>G20</f>
        <v>6.6000000000000003E-2</v>
      </c>
      <c r="L20" s="492"/>
      <c r="M20" s="492"/>
      <c r="N20" s="221">
        <f>(1+C20)^(1/4)-1</f>
        <v>1.6106667595102708E-2</v>
      </c>
      <c r="O20" s="222">
        <f>Q19</f>
        <v>1.6106667595102708E-2</v>
      </c>
      <c r="P20" s="221">
        <f>(1+E20)^(1/4)-1</f>
        <v>0</v>
      </c>
      <c r="Q20" s="44">
        <v>6.6000000000000003E-2</v>
      </c>
      <c r="R20" s="45">
        <v>0.05</v>
      </c>
    </row>
    <row r="21" spans="1:20">
      <c r="A21" s="42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49">
        <f>N21</f>
        <v>1.61E-2</v>
      </c>
      <c r="P21" s="48">
        <v>1.0161</v>
      </c>
    </row>
    <row r="22" spans="1:20">
      <c r="A22" s="42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52">
        <f>N22*(1+O21)</f>
        <v>1.2308502427106269</v>
      </c>
      <c r="P22" s="51">
        <f>O22*(1+P21)</f>
        <v>2.4815171743288946</v>
      </c>
    </row>
    <row r="23" spans="1:20">
      <c r="A23" s="42" t="s">
        <v>161</v>
      </c>
      <c r="B23" s="53"/>
      <c r="C23" s="54">
        <f t="shared" ref="C23:N23" si="3">$B$19*C22</f>
        <v>83960.893943383344</v>
      </c>
      <c r="D23" s="54">
        <f t="shared" si="3"/>
        <v>85313.224153117073</v>
      </c>
      <c r="E23" s="54">
        <f t="shared" si="3"/>
        <v>86687.33589601783</v>
      </c>
      <c r="F23" s="54">
        <f t="shared" si="3"/>
        <v>88083.58</v>
      </c>
      <c r="G23" s="54">
        <f>$B$19*G22</f>
        <v>89502.312943646641</v>
      </c>
      <c r="H23" s="54">
        <f t="shared" si="3"/>
        <v>90943.896947222805</v>
      </c>
      <c r="I23" s="54">
        <f t="shared" si="3"/>
        <v>92408.700065155004</v>
      </c>
      <c r="J23" s="54">
        <f t="shared" si="3"/>
        <v>93897.096280000012</v>
      </c>
      <c r="K23" s="54">
        <f t="shared" si="3"/>
        <v>95409.465597927323</v>
      </c>
      <c r="L23" s="54">
        <f t="shared" si="3"/>
        <v>96946.194145739544</v>
      </c>
      <c r="M23" s="54">
        <f t="shared" si="3"/>
        <v>98507.674269455267</v>
      </c>
      <c r="N23" s="54">
        <f t="shared" si="3"/>
        <v>100093.64782519349</v>
      </c>
      <c r="O23" s="55">
        <f>$B$19*O22</f>
        <v>101705.15555517911</v>
      </c>
      <c r="P23" s="54">
        <f t="shared" ref="P23" si="4">$B$19*P22</f>
        <v>205047.76411479656</v>
      </c>
    </row>
    <row r="24" spans="1:20" ht="12" customHeight="1">
      <c r="A24" s="36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5">G24</f>
        <v>1.2272234429039353</v>
      </c>
      <c r="I24" s="58">
        <f t="shared" si="5"/>
        <v>1.2272234429039353</v>
      </c>
      <c r="J24" s="58">
        <f t="shared" si="5"/>
        <v>1.2272234429039353</v>
      </c>
      <c r="K24" s="58">
        <f t="shared" si="5"/>
        <v>1.2272234429039353</v>
      </c>
      <c r="L24" s="58">
        <f t="shared" si="5"/>
        <v>1.2272234429039353</v>
      </c>
      <c r="M24" s="58">
        <f t="shared" si="5"/>
        <v>1.2272234429039353</v>
      </c>
      <c r="N24" s="58">
        <f t="shared" si="5"/>
        <v>1.2272234429039353</v>
      </c>
      <c r="O24" s="59">
        <f t="shared" si="5"/>
        <v>1.2272234429039353</v>
      </c>
      <c r="P24" s="58">
        <f t="shared" si="5"/>
        <v>1.2272234429039353</v>
      </c>
    </row>
    <row r="25" spans="1:20">
      <c r="A25" s="42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6">I25/(1+H24/100)</f>
        <v>0.92942864090336452</v>
      </c>
      <c r="I25" s="61">
        <f t="shared" si="6"/>
        <v>0.94083480706959399</v>
      </c>
      <c r="J25" s="61">
        <f t="shared" si="6"/>
        <v>0.95238095238095211</v>
      </c>
      <c r="K25" s="61">
        <f t="shared" si="6"/>
        <v>0.96406879469432294</v>
      </c>
      <c r="L25" s="61">
        <f t="shared" si="6"/>
        <v>0.97590007294853309</v>
      </c>
      <c r="M25" s="61">
        <f t="shared" si="6"/>
        <v>0.98787654742307407</v>
      </c>
      <c r="N25" s="61">
        <v>1</v>
      </c>
      <c r="O25" s="62">
        <v>1</v>
      </c>
      <c r="P25" s="61">
        <v>1</v>
      </c>
    </row>
    <row r="26" spans="1:20">
      <c r="A26" s="42" t="s">
        <v>27</v>
      </c>
      <c r="B26" s="63"/>
      <c r="C26" s="63"/>
      <c r="D26" s="63"/>
      <c r="E26" s="64"/>
      <c r="F26" s="64"/>
      <c r="G26" s="64">
        <f>G23*G25</f>
        <v>82177.511392319517</v>
      </c>
      <c r="H26" s="64">
        <f t="shared" ref="H26:O26" si="7">H23*H25</f>
        <v>84525.862538112939</v>
      </c>
      <c r="I26" s="64">
        <f t="shared" si="7"/>
        <v>86941.321497352081</v>
      </c>
      <c r="J26" s="64">
        <f t="shared" si="7"/>
        <v>89425.805980952369</v>
      </c>
      <c r="K26" s="64">
        <f t="shared" si="7"/>
        <v>91981.28850142326</v>
      </c>
      <c r="L26" s="64">
        <f t="shared" si="7"/>
        <v>94609.797938909876</v>
      </c>
      <c r="M26" s="64">
        <f t="shared" si="7"/>
        <v>97313.421151986258</v>
      </c>
      <c r="N26" s="64">
        <f t="shared" si="7"/>
        <v>100093.64782519349</v>
      </c>
      <c r="O26" s="65">
        <f t="shared" si="7"/>
        <v>101705.15555517911</v>
      </c>
      <c r="P26" s="64">
        <f t="shared" ref="P26" si="8">P23*P25</f>
        <v>205047.76411479656</v>
      </c>
    </row>
    <row r="27" spans="1:20" ht="13.5" thickBot="1">
      <c r="A27" s="225" t="s">
        <v>28</v>
      </c>
      <c r="B27" s="226">
        <f>SUM(C27:O27)</f>
        <v>100</v>
      </c>
      <c r="C27" s="227">
        <f>'[31]М. остатка'!D31</f>
        <v>0</v>
      </c>
      <c r="D27" s="227">
        <f>'[31]М. остатка'!E31</f>
        <v>0</v>
      </c>
      <c r="E27" s="227">
        <f>'[31]М. остатка'!F31</f>
        <v>0</v>
      </c>
      <c r="F27" s="227">
        <f>'[31]М. остатка'!G31</f>
        <v>0</v>
      </c>
      <c r="G27" s="228">
        <f>'[30]График реализации'!D10*100</f>
        <v>19.7</v>
      </c>
      <c r="H27" s="228">
        <f>'[30]График реализации'!D13*100</f>
        <v>15.7</v>
      </c>
      <c r="I27" s="228">
        <f>'[30]График реализации'!D16*100</f>
        <v>14.600000000000001</v>
      </c>
      <c r="J27" s="228">
        <f>'[30]График реализации'!D19*100</f>
        <v>14.200000000000001</v>
      </c>
      <c r="K27" s="228">
        <f>'[30]График реализации'!D22*100</f>
        <v>12</v>
      </c>
      <c r="L27" s="228">
        <f>'[30]График реализации'!D25*100</f>
        <v>9.4</v>
      </c>
      <c r="M27" s="228">
        <f>'[30]График реализации'!D28*100</f>
        <v>8.1</v>
      </c>
      <c r="N27" s="229">
        <f>'[30]График реализации'!D31*100</f>
        <v>3.8</v>
      </c>
      <c r="O27" s="230">
        <f>'[30]График реализации'!D34*100</f>
        <v>2.5</v>
      </c>
      <c r="P27" s="229">
        <v>1</v>
      </c>
      <c r="Q27" s="66"/>
    </row>
    <row r="28" spans="1:20">
      <c r="A28" s="67" t="s">
        <v>29</v>
      </c>
      <c r="B28" s="68">
        <f t="shared" ref="B28:B41" si="9">SUM(C28:M28)</f>
        <v>100</v>
      </c>
      <c r="C28" s="69"/>
      <c r="D28" s="69"/>
      <c r="E28" s="69"/>
      <c r="F28" s="69"/>
      <c r="G28" s="223">
        <v>100</v>
      </c>
      <c r="H28" s="70">
        <f t="shared" ref="H28:M28" si="10">(100-$G$28)/($M$17-$G$17)</f>
        <v>0</v>
      </c>
      <c r="I28" s="70">
        <f t="shared" si="10"/>
        <v>0</v>
      </c>
      <c r="J28" s="70">
        <f t="shared" si="10"/>
        <v>0</v>
      </c>
      <c r="K28" s="70">
        <f t="shared" si="10"/>
        <v>0</v>
      </c>
      <c r="L28" s="70">
        <f t="shared" si="10"/>
        <v>0</v>
      </c>
      <c r="M28" s="70">
        <f t="shared" si="10"/>
        <v>0</v>
      </c>
      <c r="N28" s="70"/>
      <c r="O28" s="71"/>
      <c r="P28" s="70"/>
      <c r="Q28" s="72"/>
    </row>
    <row r="29" spans="1:20" ht="13.5" thickBot="1">
      <c r="A29" s="73" t="s">
        <v>30</v>
      </c>
      <c r="B29" s="74">
        <f t="shared" si="9"/>
        <v>1017606260.1863886</v>
      </c>
      <c r="C29" s="75"/>
      <c r="D29" s="75"/>
      <c r="E29" s="75"/>
      <c r="F29" s="75"/>
      <c r="G29" s="76">
        <f>$B$5*(1-$O$46)*$G$26*$G$27%*G28%</f>
        <v>1017606260.1863886</v>
      </c>
      <c r="H29" s="77">
        <f t="shared" ref="H29:M29" si="11">$B$5*(1-$M$46)*$G$26*$G$27%*H28%</f>
        <v>0</v>
      </c>
      <c r="I29" s="76">
        <f t="shared" si="11"/>
        <v>0</v>
      </c>
      <c r="J29" s="76">
        <f t="shared" si="11"/>
        <v>0</v>
      </c>
      <c r="K29" s="76">
        <f t="shared" si="11"/>
        <v>0</v>
      </c>
      <c r="L29" s="76">
        <f t="shared" si="11"/>
        <v>0</v>
      </c>
      <c r="M29" s="76">
        <f t="shared" si="11"/>
        <v>0</v>
      </c>
      <c r="N29" s="76"/>
      <c r="O29" s="78"/>
      <c r="P29" s="76"/>
    </row>
    <row r="30" spans="1:20">
      <c r="A30" s="67" t="s">
        <v>31</v>
      </c>
      <c r="B30" s="68">
        <f t="shared" si="9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71"/>
      <c r="P30" s="70"/>
    </row>
    <row r="31" spans="1:20" ht="13.5" thickBot="1">
      <c r="A31" s="73" t="s">
        <v>32</v>
      </c>
      <c r="B31" s="74">
        <f t="shared" si="9"/>
        <v>834160886.78505039</v>
      </c>
      <c r="C31" s="75"/>
      <c r="D31" s="75"/>
      <c r="E31" s="75"/>
      <c r="F31" s="75"/>
      <c r="G31" s="75"/>
      <c r="H31" s="76">
        <f t="shared" ref="H31:M31" si="12">$B$5*(1-$M$46)*$H$26*$H$27%*H30%</f>
        <v>834160886.78505039</v>
      </c>
      <c r="I31" s="76">
        <f t="shared" si="12"/>
        <v>0</v>
      </c>
      <c r="J31" s="76">
        <f t="shared" si="12"/>
        <v>0</v>
      </c>
      <c r="K31" s="76">
        <f t="shared" si="12"/>
        <v>0</v>
      </c>
      <c r="L31" s="76">
        <f t="shared" si="12"/>
        <v>0</v>
      </c>
      <c r="M31" s="76">
        <f t="shared" si="12"/>
        <v>0</v>
      </c>
      <c r="N31" s="76"/>
      <c r="O31" s="78"/>
      <c r="P31" s="76"/>
    </row>
    <row r="32" spans="1:20">
      <c r="A32" s="67" t="s">
        <v>33</v>
      </c>
      <c r="B32" s="68">
        <f t="shared" si="9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71"/>
      <c r="P32" s="70"/>
    </row>
    <row r="33" spans="1:16" ht="13.5" thickBot="1">
      <c r="A33" s="73" t="s">
        <v>34</v>
      </c>
      <c r="B33" s="74">
        <f t="shared" si="9"/>
        <v>797883807.65536141</v>
      </c>
      <c r="C33" s="75"/>
      <c r="D33" s="75"/>
      <c r="E33" s="75"/>
      <c r="F33" s="80"/>
      <c r="G33" s="80"/>
      <c r="H33" s="80"/>
      <c r="I33" s="76">
        <f>$B$5*(1-$M$46)*$I$26*$I$27%*I32%</f>
        <v>797883807.65536141</v>
      </c>
      <c r="J33" s="76"/>
      <c r="K33" s="76"/>
      <c r="L33" s="76"/>
      <c r="M33" s="76"/>
      <c r="N33" s="76"/>
      <c r="O33" s="78"/>
      <c r="P33" s="76"/>
    </row>
    <row r="34" spans="1:16">
      <c r="A34" s="67" t="s">
        <v>35</v>
      </c>
      <c r="B34" s="68">
        <f t="shared" si="9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71"/>
      <c r="P34" s="70"/>
    </row>
    <row r="35" spans="1:16" ht="13.5" thickBot="1">
      <c r="A35" s="73" t="s">
        <v>36</v>
      </c>
      <c r="B35" s="74">
        <f t="shared" si="9"/>
        <v>798200078.35380006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798200078.35380006</v>
      </c>
      <c r="K35" s="76"/>
      <c r="L35" s="76"/>
      <c r="M35" s="76"/>
      <c r="N35" s="76"/>
      <c r="O35" s="78"/>
      <c r="P35" s="76"/>
    </row>
    <row r="36" spans="1:16">
      <c r="A36" s="67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71"/>
      <c r="P36" s="70"/>
    </row>
    <row r="37" spans="1:16" ht="13.5" thickBot="1">
      <c r="A37" s="73" t="s">
        <v>38</v>
      </c>
      <c r="B37" s="74">
        <f>SUM(C37:M37)</f>
        <v>693811179.91469562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693811179.91469562</v>
      </c>
      <c r="L37" s="76"/>
      <c r="M37" s="76"/>
      <c r="N37" s="76"/>
      <c r="O37" s="78"/>
      <c r="P37" s="76"/>
    </row>
    <row r="38" spans="1:16">
      <c r="A38" s="67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71"/>
      <c r="P38" s="70"/>
    </row>
    <row r="39" spans="1:16" ht="13.5" thickBot="1">
      <c r="A39" s="73" t="s">
        <v>40</v>
      </c>
      <c r="B39" s="74">
        <f>SUM(C39:M39)</f>
        <v>559016371.81133568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559016371.81133568</v>
      </c>
      <c r="M39" s="76"/>
      <c r="N39" s="76"/>
      <c r="O39" s="78"/>
      <c r="P39" s="76"/>
    </row>
    <row r="40" spans="1:16">
      <c r="A40" s="67" t="s">
        <v>41</v>
      </c>
      <c r="B40" s="68">
        <f t="shared" si="9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83"/>
      <c r="P40" s="82"/>
    </row>
    <row r="41" spans="1:16" ht="13.5" thickBot="1">
      <c r="A41" s="73" t="s">
        <v>42</v>
      </c>
      <c r="B41" s="74">
        <f t="shared" si="9"/>
        <v>495471089.16849571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495471089.16849571</v>
      </c>
      <c r="N41" s="76"/>
      <c r="O41" s="78"/>
      <c r="P41" s="76"/>
    </row>
    <row r="42" spans="1:16">
      <c r="A42" s="67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83"/>
      <c r="P42" s="223">
        <v>101</v>
      </c>
    </row>
    <row r="43" spans="1:16" ht="13.5" thickBot="1">
      <c r="A43" s="73" t="s">
        <v>44</v>
      </c>
      <c r="B43" s="74">
        <f>N43</f>
        <v>239084087.56984848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239084087.56984848</v>
      </c>
      <c r="O43" s="78"/>
      <c r="P43" s="76">
        <f>$B$5*(1-$M$46)*$N$26*$N$27%*P42%</f>
        <v>241474928.44554695</v>
      </c>
    </row>
    <row r="44" spans="1:16">
      <c r="A44" s="67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24">
        <v>100</v>
      </c>
      <c r="P44" s="82"/>
    </row>
    <row r="45" spans="1:16" ht="13.5" thickBot="1">
      <c r="A45" s="73" t="s">
        <v>46</v>
      </c>
      <c r="B45" s="74">
        <f>O45</f>
        <v>159824566.6971862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78">
        <f>$B$5*(1-$M$46)*$O$26*$O$27%*O44%</f>
        <v>159824566.6971862</v>
      </c>
      <c r="P45" s="76"/>
    </row>
    <row r="46" spans="1:16">
      <c r="A46" s="84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90">
        <v>0</v>
      </c>
      <c r="P46" s="89"/>
    </row>
    <row r="47" spans="1:16">
      <c r="A47" s="91" t="s">
        <v>48</v>
      </c>
      <c r="B47" s="92">
        <f>B29+B31+B33+B35+B37+B39+B41+B43+B45</f>
        <v>5595058328.1421623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96">
        <f>B5*O26*O46</f>
        <v>0</v>
      </c>
      <c r="P47" s="54"/>
    </row>
    <row r="48" spans="1:16">
      <c r="A48" s="231" t="s">
        <v>49</v>
      </c>
      <c r="B48" s="232">
        <f>SUM(C48:O48)</f>
        <v>5595058328.1421623</v>
      </c>
      <c r="C48" s="233">
        <f t="shared" ref="C48:H48" si="13">C29+C31+C33+C35+C37+C39+C47+C41</f>
        <v>0</v>
      </c>
      <c r="D48" s="233">
        <f t="shared" si="13"/>
        <v>0</v>
      </c>
      <c r="E48" s="233">
        <f t="shared" si="13"/>
        <v>0</v>
      </c>
      <c r="F48" s="233">
        <f t="shared" si="13"/>
        <v>0</v>
      </c>
      <c r="G48" s="234">
        <f t="shared" si="13"/>
        <v>1017606260.1863886</v>
      </c>
      <c r="H48" s="234">
        <f t="shared" si="13"/>
        <v>834160886.78505039</v>
      </c>
      <c r="I48" s="234">
        <f>I33</f>
        <v>797883807.65536141</v>
      </c>
      <c r="J48" s="234">
        <f>J35</f>
        <v>798200078.35380006</v>
      </c>
      <c r="K48" s="234">
        <f>K37</f>
        <v>693811179.91469562</v>
      </c>
      <c r="L48" s="234">
        <f>L39</f>
        <v>559016371.81133568</v>
      </c>
      <c r="M48" s="234">
        <f>M41</f>
        <v>495471089.16849571</v>
      </c>
      <c r="N48" s="234">
        <f>N43</f>
        <v>239084087.56984848</v>
      </c>
      <c r="O48" s="235">
        <f>O45</f>
        <v>159824566.6971862</v>
      </c>
      <c r="P48" s="234">
        <f>P43</f>
        <v>241474928.44554695</v>
      </c>
    </row>
    <row r="49" spans="1:23" hidden="1">
      <c r="A49" s="98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39"/>
      <c r="P49" s="38"/>
    </row>
    <row r="50" spans="1:23" hidden="1">
      <c r="A50" s="98" t="s">
        <v>51</v>
      </c>
      <c r="B50" s="100"/>
      <c r="C50" s="54"/>
      <c r="D50" s="54"/>
      <c r="E50" s="54"/>
      <c r="F50" s="54"/>
      <c r="G50" s="54">
        <f t="shared" ref="G50:M50" si="14">$B$49*G22</f>
        <v>3639.4502177254353</v>
      </c>
      <c r="H50" s="54">
        <f t="shared" si="14"/>
        <v>3698.0696326112629</v>
      </c>
      <c r="I50" s="54">
        <f t="shared" si="14"/>
        <v>3757.6332109272762</v>
      </c>
      <c r="J50" s="54">
        <f t="shared" si="14"/>
        <v>3818.1561600000005</v>
      </c>
      <c r="K50" s="54">
        <f t="shared" si="14"/>
        <v>3879.6539320953143</v>
      </c>
      <c r="L50" s="54">
        <f t="shared" si="14"/>
        <v>3942.142228363607</v>
      </c>
      <c r="M50" s="101">
        <f t="shared" si="14"/>
        <v>4005.6370028484776</v>
      </c>
      <c r="N50" s="38"/>
      <c r="O50" s="39"/>
      <c r="P50" s="38"/>
    </row>
    <row r="51" spans="1:23" ht="25.5" hidden="1">
      <c r="A51" s="36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5">G24</f>
        <v>1.2272234429039353</v>
      </c>
      <c r="H51" s="58">
        <f t="shared" si="15"/>
        <v>1.2272234429039353</v>
      </c>
      <c r="I51" s="58">
        <f t="shared" si="15"/>
        <v>1.2272234429039353</v>
      </c>
      <c r="J51" s="58">
        <f t="shared" si="15"/>
        <v>1.2272234429039353</v>
      </c>
      <c r="K51" s="58">
        <f t="shared" si="15"/>
        <v>1.2272234429039353</v>
      </c>
      <c r="L51" s="58">
        <f t="shared" si="15"/>
        <v>1.2272234429039353</v>
      </c>
      <c r="M51" s="58">
        <f t="shared" si="15"/>
        <v>1.2272234429039353</v>
      </c>
      <c r="N51" s="38"/>
      <c r="O51" s="39"/>
      <c r="P51" s="38"/>
      <c r="T51" s="488" t="s">
        <v>53</v>
      </c>
      <c r="U51" s="493"/>
      <c r="V51" s="493"/>
      <c r="W51" s="493"/>
    </row>
    <row r="52" spans="1:23" hidden="1">
      <c r="A52" s="98" t="s">
        <v>54</v>
      </c>
      <c r="B52" s="102"/>
      <c r="C52" s="102"/>
      <c r="D52" s="102"/>
      <c r="E52" s="54"/>
      <c r="F52" s="54"/>
      <c r="G52" s="54">
        <f t="shared" ref="G52:M52" si="16">G50*G25</f>
        <v>3341.6003664310006</v>
      </c>
      <c r="H52" s="54">
        <f t="shared" si="16"/>
        <v>3437.0918326038905</v>
      </c>
      <c r="I52" s="54">
        <f t="shared" si="16"/>
        <v>3535.3121170410627</v>
      </c>
      <c r="J52" s="54">
        <f t="shared" si="16"/>
        <v>3636.3391999999994</v>
      </c>
      <c r="K52" s="54">
        <f t="shared" si="16"/>
        <v>3740.2532901462205</v>
      </c>
      <c r="L52" s="54">
        <f t="shared" si="16"/>
        <v>3847.1368882335369</v>
      </c>
      <c r="M52" s="103">
        <f t="shared" si="16"/>
        <v>3957.0748526040643</v>
      </c>
      <c r="N52" s="104"/>
      <c r="O52" s="105"/>
      <c r="P52" s="104"/>
      <c r="T52" s="488"/>
      <c r="U52" s="493"/>
      <c r="V52" s="493"/>
      <c r="W52" s="493"/>
    </row>
    <row r="53" spans="1:23" hidden="1">
      <c r="A53" s="106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55"/>
      <c r="P53" s="54"/>
      <c r="T53" s="488"/>
      <c r="U53" s="493"/>
      <c r="V53" s="493"/>
      <c r="W53" s="493"/>
    </row>
    <row r="54" spans="1:23" hidden="1">
      <c r="A54" s="110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65"/>
      <c r="P54" s="64"/>
      <c r="T54" s="112" t="s">
        <v>4</v>
      </c>
    </row>
    <row r="55" spans="1:23" hidden="1">
      <c r="A55" s="113" t="s">
        <v>57</v>
      </c>
      <c r="B55" s="97">
        <f>SUM(C55:M55)</f>
        <v>0</v>
      </c>
      <c r="C55" s="97"/>
      <c r="D55" s="97"/>
      <c r="E55" s="114">
        <f t="shared" ref="E55:M55" si="17">E54</f>
        <v>0</v>
      </c>
      <c r="F55" s="114">
        <f t="shared" si="17"/>
        <v>0</v>
      </c>
      <c r="G55" s="97">
        <f t="shared" si="17"/>
        <v>0</v>
      </c>
      <c r="H55" s="97">
        <f t="shared" si="17"/>
        <v>0</v>
      </c>
      <c r="I55" s="97">
        <f t="shared" si="17"/>
        <v>0</v>
      </c>
      <c r="J55" s="97">
        <f t="shared" si="17"/>
        <v>0</v>
      </c>
      <c r="K55" s="97">
        <f t="shared" si="17"/>
        <v>0</v>
      </c>
      <c r="L55" s="97">
        <f t="shared" si="17"/>
        <v>0</v>
      </c>
      <c r="M55" s="97">
        <f t="shared" si="17"/>
        <v>0</v>
      </c>
      <c r="N55" s="115"/>
      <c r="O55" s="116"/>
      <c r="P55" s="115"/>
    </row>
    <row r="56" spans="1:23">
      <c r="A56" s="98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39"/>
      <c r="P56" s="38"/>
      <c r="T56" s="117"/>
    </row>
    <row r="57" spans="1:23" hidden="1">
      <c r="A57" s="98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39"/>
      <c r="P57" s="38"/>
    </row>
    <row r="58" spans="1:23">
      <c r="A58" s="36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8">H25*H22</f>
        <v>1.0229439977987769</v>
      </c>
      <c r="I58" s="120">
        <f t="shared" si="18"/>
        <v>1.0521762253098401</v>
      </c>
      <c r="J58" s="120">
        <f t="shared" si="18"/>
        <v>1.0822438095238094</v>
      </c>
      <c r="K58" s="120">
        <f t="shared" si="18"/>
        <v>1.1131706220673274</v>
      </c>
      <c r="L58" s="120">
        <f t="shared" si="18"/>
        <v>1.1449812167361717</v>
      </c>
      <c r="M58" s="120">
        <f t="shared" si="18"/>
        <v>1.1777008489893048</v>
      </c>
      <c r="N58" s="120">
        <f t="shared" si="18"/>
        <v>1.2113475472006958</v>
      </c>
      <c r="O58" s="121">
        <f t="shared" si="18"/>
        <v>1.2308502427106269</v>
      </c>
      <c r="P58" s="120">
        <f t="shared" ref="P58" si="19">P25*P22</f>
        <v>2.4815171743288946</v>
      </c>
    </row>
    <row r="59" spans="1:23">
      <c r="A59" s="98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20">$B$56*H58</f>
        <v>1125238.3975786546</v>
      </c>
      <c r="I59" s="123">
        <f t="shared" si="20"/>
        <v>1157393.8478408242</v>
      </c>
      <c r="J59" s="123">
        <f t="shared" si="20"/>
        <v>1190468.1904761903</v>
      </c>
      <c r="K59" s="123">
        <f t="shared" si="20"/>
        <v>1224487.6842740602</v>
      </c>
      <c r="L59" s="123">
        <f t="shared" si="20"/>
        <v>1259479.3384097889</v>
      </c>
      <c r="M59" s="123">
        <f t="shared" si="20"/>
        <v>1295470.9338882354</v>
      </c>
      <c r="N59" s="123">
        <f t="shared" si="20"/>
        <v>1332482.3019207653</v>
      </c>
      <c r="O59" s="124">
        <f t="shared" si="20"/>
        <v>1353935.2669816897</v>
      </c>
      <c r="P59" s="123">
        <f t="shared" ref="P59" si="21">$B$56*P58</f>
        <v>2729668.891761784</v>
      </c>
    </row>
    <row r="60" spans="1:23">
      <c r="A60" s="236" t="s">
        <v>61</v>
      </c>
      <c r="B60" s="237">
        <f>SUM(C60:O60)</f>
        <v>100</v>
      </c>
      <c r="C60" s="238"/>
      <c r="D60" s="238"/>
      <c r="E60" s="239">
        <f>ROUND(E53%*$B$7,0)</f>
        <v>0</v>
      </c>
      <c r="F60" s="239">
        <f>ROUND(F53%*$B$7,0)</f>
        <v>0</v>
      </c>
      <c r="G60" s="240">
        <f>G27</f>
        <v>19.7</v>
      </c>
      <c r="H60" s="240">
        <f t="shared" ref="H60:O60" si="22">H27</f>
        <v>15.7</v>
      </c>
      <c r="I60" s="240">
        <f t="shared" si="22"/>
        <v>14.600000000000001</v>
      </c>
      <c r="J60" s="240">
        <f t="shared" si="22"/>
        <v>14.200000000000001</v>
      </c>
      <c r="K60" s="240">
        <f t="shared" si="22"/>
        <v>12</v>
      </c>
      <c r="L60" s="240">
        <f t="shared" si="22"/>
        <v>9.4</v>
      </c>
      <c r="M60" s="240">
        <f t="shared" si="22"/>
        <v>8.1</v>
      </c>
      <c r="N60" s="240">
        <f t="shared" si="22"/>
        <v>3.8</v>
      </c>
      <c r="O60" s="241">
        <f t="shared" si="22"/>
        <v>2.5</v>
      </c>
      <c r="P60" s="240">
        <f t="shared" ref="P60" si="23">P27</f>
        <v>1</v>
      </c>
    </row>
    <row r="61" spans="1:23" s="125" customFormat="1">
      <c r="A61" s="242" t="s">
        <v>62</v>
      </c>
      <c r="B61" s="238">
        <f>SUM(C61:M61)</f>
        <v>382961636.24799961</v>
      </c>
      <c r="C61" s="238"/>
      <c r="D61" s="238"/>
      <c r="E61" s="233">
        <f>E60*E59</f>
        <v>0</v>
      </c>
      <c r="F61" s="233">
        <f>F60*F59</f>
        <v>0</v>
      </c>
      <c r="G61" s="238">
        <f>$B$7*G59*G60%</f>
        <v>74998639.938436896</v>
      </c>
      <c r="H61" s="238">
        <f t="shared" ref="H61:O61" si="24">$B$7*H59*H60%</f>
        <v>61478525.090107374</v>
      </c>
      <c r="I61" s="238">
        <f t="shared" si="24"/>
        <v>58804866.621096604</v>
      </c>
      <c r="J61" s="238">
        <f t="shared" si="24"/>
        <v>58828176.100571424</v>
      </c>
      <c r="K61" s="238">
        <f t="shared" si="24"/>
        <v>51134605.695284747</v>
      </c>
      <c r="L61" s="238">
        <f t="shared" si="24"/>
        <v>41200088.118061021</v>
      </c>
      <c r="M61" s="238">
        <f t="shared" si="24"/>
        <v>36516734.684441581</v>
      </c>
      <c r="N61" s="238">
        <f t="shared" si="24"/>
        <v>17620745.960600201</v>
      </c>
      <c r="O61" s="243">
        <f t="shared" si="24"/>
        <v>11779236.822740702</v>
      </c>
      <c r="P61" s="238">
        <f t="shared" ref="P61" si="25">$B$7*P59*P60%</f>
        <v>9499247.7433310077</v>
      </c>
    </row>
    <row r="62" spans="1:23" ht="56.25" hidden="1" customHeight="1">
      <c r="A62" s="113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55"/>
      <c r="P62" s="54"/>
    </row>
    <row r="63" spans="1:23" s="6" customFormat="1" ht="15" customHeight="1">
      <c r="A63" s="214" t="s">
        <v>64</v>
      </c>
      <c r="B63" s="215">
        <f>SUM(C63:M63)</f>
        <v>5579111310.1231279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1092604900.1248255</v>
      </c>
      <c r="H63" s="215">
        <f t="shared" ref="H63:O63" si="26">SUM(H48+H61)</f>
        <v>895639411.87515771</v>
      </c>
      <c r="I63" s="215">
        <f t="shared" si="26"/>
        <v>856688674.27645802</v>
      </c>
      <c r="J63" s="215">
        <f t="shared" si="26"/>
        <v>857028254.45437145</v>
      </c>
      <c r="K63" s="215">
        <f t="shared" si="26"/>
        <v>744945785.60998034</v>
      </c>
      <c r="L63" s="215">
        <f t="shared" si="26"/>
        <v>600216459.92939675</v>
      </c>
      <c r="M63" s="215">
        <f t="shared" si="26"/>
        <v>531987823.85293728</v>
      </c>
      <c r="N63" s="215">
        <f t="shared" si="26"/>
        <v>256704833.53044868</v>
      </c>
      <c r="O63" s="217">
        <f t="shared" si="26"/>
        <v>171603803.51992691</v>
      </c>
      <c r="P63" s="215">
        <f t="shared" ref="P63" si="27">SUM(P48+P61)</f>
        <v>250974176.18887797</v>
      </c>
    </row>
    <row r="64" spans="1:23" s="7" customFormat="1">
      <c r="A64" s="126" t="s">
        <v>65</v>
      </c>
      <c r="B64" s="246">
        <f>SUM(C64:M64)</f>
        <v>929851885.02052128</v>
      </c>
      <c r="C64" s="127">
        <f>C63/(1+$B$81)*$B$81</f>
        <v>0</v>
      </c>
      <c r="D64" s="127">
        <f t="shared" ref="D64:L64" si="28">D63/(1+$B$81)*$B$81</f>
        <v>0</v>
      </c>
      <c r="E64" s="127">
        <f t="shared" si="28"/>
        <v>0</v>
      </c>
      <c r="F64" s="127">
        <f t="shared" si="28"/>
        <v>0</v>
      </c>
      <c r="G64" s="93">
        <f>G63/(1+$B$81)*$B$81</f>
        <v>182100816.68747091</v>
      </c>
      <c r="H64" s="93">
        <f t="shared" si="28"/>
        <v>149273235.31252632</v>
      </c>
      <c r="I64" s="93">
        <f t="shared" si="28"/>
        <v>142781445.71274301</v>
      </c>
      <c r="J64" s="93">
        <f t="shared" si="28"/>
        <v>142838042.40906191</v>
      </c>
      <c r="K64" s="93">
        <f t="shared" si="28"/>
        <v>124157630.93499672</v>
      </c>
      <c r="L64" s="93">
        <f t="shared" si="28"/>
        <v>100036076.65489948</v>
      </c>
      <c r="M64" s="93">
        <f>M63/(1+$B$81)*$B$81</f>
        <v>88664637.308822885</v>
      </c>
      <c r="N64" s="93">
        <f>N63/(1+$B$81)*$B$81</f>
        <v>42784138.921741456</v>
      </c>
      <c r="O64" s="128">
        <f>O63/(1+$B$81)*$B$81</f>
        <v>28600633.919987824</v>
      </c>
      <c r="P64" s="93">
        <f>P63/(1+$B$81)*$B$81</f>
        <v>41829029.364813</v>
      </c>
    </row>
    <row r="65" spans="1:17" s="7" customFormat="1" hidden="1">
      <c r="A65" s="129" t="s">
        <v>66</v>
      </c>
      <c r="B65" s="93"/>
      <c r="C65" s="494"/>
      <c r="D65" s="494"/>
      <c r="E65" s="494"/>
      <c r="F65" s="495"/>
      <c r="G65" s="495"/>
      <c r="H65" s="495"/>
      <c r="I65" s="495"/>
      <c r="J65" s="495"/>
      <c r="K65" s="495"/>
      <c r="L65" s="495"/>
      <c r="M65" s="495"/>
      <c r="N65" s="130"/>
      <c r="O65" s="131"/>
      <c r="P65" s="130"/>
    </row>
    <row r="66" spans="1:17" s="7" customFormat="1" ht="22.5">
      <c r="A66" s="400" t="s">
        <v>67</v>
      </c>
      <c r="B66" s="204" t="s">
        <v>68</v>
      </c>
      <c r="C66" s="205" t="str">
        <f t="shared" ref="C66:O66" si="29">C18</f>
        <v>1 квартал</v>
      </c>
      <c r="D66" s="205" t="str">
        <f t="shared" si="29"/>
        <v>2 квартал</v>
      </c>
      <c r="E66" s="205" t="str">
        <f t="shared" si="29"/>
        <v>3 квартал</v>
      </c>
      <c r="F66" s="205" t="str">
        <f t="shared" si="29"/>
        <v>4 квартал</v>
      </c>
      <c r="G66" s="205" t="str">
        <f t="shared" si="29"/>
        <v>5 квартал</v>
      </c>
      <c r="H66" s="205" t="str">
        <f t="shared" si="29"/>
        <v>6 квартал</v>
      </c>
      <c r="I66" s="205" t="str">
        <f t="shared" si="29"/>
        <v>7 квартал</v>
      </c>
      <c r="J66" s="205" t="str">
        <f t="shared" si="29"/>
        <v>8 квартал</v>
      </c>
      <c r="K66" s="205" t="str">
        <f t="shared" si="29"/>
        <v>9 квартал</v>
      </c>
      <c r="L66" s="205" t="str">
        <f t="shared" si="29"/>
        <v>10 квартал</v>
      </c>
      <c r="M66" s="205" t="str">
        <f t="shared" si="29"/>
        <v>11 квартал</v>
      </c>
      <c r="N66" s="205" t="str">
        <f t="shared" si="29"/>
        <v>12 квартал</v>
      </c>
      <c r="O66" s="206" t="str">
        <f t="shared" si="29"/>
        <v>13 квартал</v>
      </c>
      <c r="P66" s="402" t="str">
        <f t="shared" ref="P66" si="30">P18</f>
        <v>14 квартал</v>
      </c>
      <c r="Q66" s="132" t="s">
        <v>69</v>
      </c>
    </row>
    <row r="67" spans="1:17" s="7" customFormat="1">
      <c r="A67" s="133" t="s">
        <v>70</v>
      </c>
      <c r="B67" s="134">
        <f t="shared" ref="B67:B73" si="31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32">G67</f>
        <v>0.14285714285714288</v>
      </c>
      <c r="I67" s="135">
        <f t="shared" si="32"/>
        <v>0.14285714285714288</v>
      </c>
      <c r="J67" s="135">
        <f t="shared" si="32"/>
        <v>0.14285714285714288</v>
      </c>
      <c r="K67" s="135">
        <f t="shared" si="32"/>
        <v>0.14285714285714288</v>
      </c>
      <c r="L67" s="135">
        <f t="shared" si="32"/>
        <v>0.14285714285714288</v>
      </c>
      <c r="M67" s="135">
        <f t="shared" si="32"/>
        <v>0.14285714285714288</v>
      </c>
      <c r="N67" s="136"/>
      <c r="O67" s="137"/>
      <c r="P67" s="136"/>
      <c r="Q67" s="138" t="b">
        <f>B67=100%</f>
        <v>1</v>
      </c>
    </row>
    <row r="68" spans="1:17" s="7" customFormat="1" ht="27.75" customHeight="1">
      <c r="A68" s="139" t="s">
        <v>71</v>
      </c>
      <c r="B68" s="93">
        <f>SUM(C68:M68)</f>
        <v>4793508324.9936466</v>
      </c>
      <c r="C68" s="140">
        <f>'[30]строит (ИТОГО)'!C8</f>
        <v>55948396.90355999</v>
      </c>
      <c r="D68" s="140">
        <f>'[30]строит (ИТОГО)'!D8</f>
        <v>56224004.77008</v>
      </c>
      <c r="E68" s="140">
        <f>'[30]строит (ИТОГО)'!E8</f>
        <v>56664977.356511988</v>
      </c>
      <c r="F68" s="140">
        <f>'[30]строит (ИТОГО)'!F8</f>
        <v>57161071.51624798</v>
      </c>
      <c r="G68" s="141">
        <f>'[30]строит (ИТОГО)'!G8</f>
        <v>349550149.81291765</v>
      </c>
      <c r="H68" s="141">
        <f>'[30]строит (ИТОГО)'!H8</f>
        <v>487082884.93226194</v>
      </c>
      <c r="I68" s="141">
        <f>'[30]строит (ИТОГО)'!I8</f>
        <v>671116179.29086065</v>
      </c>
      <c r="J68" s="141">
        <f>'[30]строит (ИТОГО)'!J8</f>
        <v>824945056.3417995</v>
      </c>
      <c r="K68" s="141">
        <f>'[30]строит (ИТОГО)'!K8</f>
        <v>785404694.03215528</v>
      </c>
      <c r="L68" s="141">
        <f>'[30]строит (ИТОГО)'!L8</f>
        <v>745172133.79059577</v>
      </c>
      <c r="M68" s="141">
        <f>'[30]строит (ИТОГО)'!M8</f>
        <v>704238776.24665558</v>
      </c>
      <c r="N68" s="92">
        <v>0</v>
      </c>
      <c r="O68" s="142">
        <v>0</v>
      </c>
      <c r="P68" s="92">
        <v>0</v>
      </c>
      <c r="Q68" s="143" t="b">
        <f>B68='[30]строит (ИТОГО)'!B8</f>
        <v>1</v>
      </c>
    </row>
    <row r="69" spans="1:17" s="7" customFormat="1">
      <c r="A69" s="144" t="s">
        <v>72</v>
      </c>
      <c r="B69" s="93">
        <f t="shared" si="31"/>
        <v>798918054.16560769</v>
      </c>
      <c r="C69" s="92">
        <f>C68/(1+$B$81)*$B$81</f>
        <v>9324732.817259999</v>
      </c>
      <c r="D69" s="92">
        <f t="shared" ref="D69:M69" si="33">D68/(1+$B$81)*$B$81</f>
        <v>9370667.4616800006</v>
      </c>
      <c r="E69" s="92">
        <f t="shared" si="33"/>
        <v>9444162.8927519973</v>
      </c>
      <c r="F69" s="92">
        <f t="shared" si="33"/>
        <v>9526845.2527079973</v>
      </c>
      <c r="G69" s="92">
        <f>G68/(1+$B$81)*$B$81</f>
        <v>58258358.302152947</v>
      </c>
      <c r="H69" s="92">
        <f>H68/(1+$B$81)*$B$81</f>
        <v>81180480.822043657</v>
      </c>
      <c r="I69" s="92">
        <f>I68/(1+$B$81)*$B$81</f>
        <v>111852696.5484768</v>
      </c>
      <c r="J69" s="92">
        <f>J68/(1+$B$81)*$B$81</f>
        <v>137490842.72363326</v>
      </c>
      <c r="K69" s="92">
        <f>K68/(1+$B$81)*$B$81</f>
        <v>130900782.33869255</v>
      </c>
      <c r="L69" s="92">
        <f t="shared" si="33"/>
        <v>124195355.63176596</v>
      </c>
      <c r="M69" s="92">
        <f t="shared" si="33"/>
        <v>117373129.37444261</v>
      </c>
      <c r="N69" s="92"/>
      <c r="O69" s="142"/>
      <c r="P69" s="92"/>
      <c r="Q69" s="143"/>
    </row>
    <row r="70" spans="1:17" s="7" customFormat="1" hidden="1">
      <c r="A70" s="145" t="s">
        <v>73</v>
      </c>
      <c r="B70" s="93">
        <f>SUM(C70:M70)</f>
        <v>0</v>
      </c>
      <c r="C70" s="93">
        <f>0%*C48</f>
        <v>0</v>
      </c>
      <c r="D70" s="93">
        <f t="shared" ref="D70:M70" si="34">0%*D48</f>
        <v>0</v>
      </c>
      <c r="E70" s="93">
        <f t="shared" si="34"/>
        <v>0</v>
      </c>
      <c r="F70" s="93">
        <f t="shared" si="34"/>
        <v>0</v>
      </c>
      <c r="G70" s="93">
        <f t="shared" si="34"/>
        <v>0</v>
      </c>
      <c r="H70" s="93"/>
      <c r="I70" s="93"/>
      <c r="J70" s="93"/>
      <c r="K70" s="93"/>
      <c r="L70" s="93">
        <f t="shared" si="34"/>
        <v>0</v>
      </c>
      <c r="M70" s="93">
        <f t="shared" si="34"/>
        <v>0</v>
      </c>
      <c r="N70" s="93"/>
      <c r="O70" s="128"/>
      <c r="P70" s="93"/>
      <c r="Q70" s="143"/>
    </row>
    <row r="71" spans="1:17" s="7" customFormat="1" hidden="1">
      <c r="A71" s="91" t="s">
        <v>74</v>
      </c>
      <c r="B71" s="93">
        <f t="shared" si="31"/>
        <v>0</v>
      </c>
      <c r="C71" s="92">
        <f>C70/(1+$B$81)*$B$81</f>
        <v>0</v>
      </c>
      <c r="D71" s="92">
        <f>D70/(1+$B$81)*$B$81</f>
        <v>0</v>
      </c>
      <c r="E71" s="92">
        <f>E70/(1+$B$81)*$B$81</f>
        <v>0</v>
      </c>
      <c r="F71" s="92">
        <f>F70/(1+$B$81)*$B$81</f>
        <v>0</v>
      </c>
      <c r="G71" s="92">
        <f>G70/(1+$B$81)*$B$81</f>
        <v>0</v>
      </c>
      <c r="H71" s="92"/>
      <c r="I71" s="92"/>
      <c r="J71" s="92"/>
      <c r="K71" s="92"/>
      <c r="L71" s="92">
        <f>L70/(1+$B$81)*$B$81</f>
        <v>0</v>
      </c>
      <c r="M71" s="92">
        <f>M70/(1+$B$81)*$B$81</f>
        <v>0</v>
      </c>
      <c r="N71" s="92"/>
      <c r="O71" s="142"/>
      <c r="P71" s="92"/>
      <c r="Q71" s="143"/>
    </row>
    <row r="72" spans="1:17" s="7" customFormat="1" hidden="1">
      <c r="A72" s="145" t="s">
        <v>75</v>
      </c>
      <c r="B72" s="93">
        <f t="shared" si="31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128"/>
      <c r="P72" s="93"/>
      <c r="Q72" s="143"/>
    </row>
    <row r="73" spans="1:17" s="7" customFormat="1" hidden="1">
      <c r="A73" s="91" t="s">
        <v>74</v>
      </c>
      <c r="B73" s="93">
        <f t="shared" si="31"/>
        <v>0</v>
      </c>
      <c r="C73" s="92">
        <f>C72/(1+$B$81)*$B$81</f>
        <v>0</v>
      </c>
      <c r="D73" s="92">
        <f>D72/(1+$B$81)*$B$81</f>
        <v>0</v>
      </c>
      <c r="E73" s="92">
        <f>E72/(1+$B$81)*$B$81</f>
        <v>0</v>
      </c>
      <c r="F73" s="92">
        <f>F72/(1+$B$81)*$B$81</f>
        <v>0</v>
      </c>
      <c r="G73" s="92">
        <f>G72/(1+$B$81)*$B$81</f>
        <v>0</v>
      </c>
      <c r="H73" s="92"/>
      <c r="I73" s="92"/>
      <c r="J73" s="92"/>
      <c r="K73" s="92"/>
      <c r="L73" s="92">
        <f>L72/(1+$B$81)*$B$81</f>
        <v>0</v>
      </c>
      <c r="M73" s="92">
        <f>M72/(1+$B$81)*$B$81</f>
        <v>0</v>
      </c>
      <c r="N73" s="92"/>
      <c r="O73" s="142"/>
      <c r="P73" s="92"/>
      <c r="Q73" s="143"/>
    </row>
    <row r="74" spans="1:17" s="7" customFormat="1" ht="29.25" hidden="1" customHeight="1">
      <c r="A74" s="146" t="s">
        <v>76</v>
      </c>
      <c r="B74" s="147">
        <f>SUM(C74:M74)</f>
        <v>0</v>
      </c>
      <c r="C74" s="147">
        <f t="shared" ref="C74:L74" si="35">$B$118*C63</f>
        <v>0</v>
      </c>
      <c r="D74" s="147">
        <f t="shared" si="35"/>
        <v>0</v>
      </c>
      <c r="E74" s="147">
        <f t="shared" si="35"/>
        <v>0</v>
      </c>
      <c r="F74" s="147">
        <f t="shared" si="35"/>
        <v>0</v>
      </c>
      <c r="G74" s="147">
        <f t="shared" si="35"/>
        <v>0</v>
      </c>
      <c r="H74" s="147">
        <f t="shared" si="35"/>
        <v>0</v>
      </c>
      <c r="I74" s="147">
        <f t="shared" si="35"/>
        <v>0</v>
      </c>
      <c r="J74" s="147">
        <f t="shared" si="35"/>
        <v>0</v>
      </c>
      <c r="K74" s="147">
        <f t="shared" si="35"/>
        <v>0</v>
      </c>
      <c r="L74" s="147">
        <f t="shared" si="35"/>
        <v>0</v>
      </c>
      <c r="M74" s="93">
        <f>$B$118*(M63-M47)</f>
        <v>0</v>
      </c>
      <c r="N74" s="92"/>
      <c r="O74" s="142"/>
      <c r="P74" s="92"/>
      <c r="Q74" s="143"/>
    </row>
    <row r="75" spans="1:17" s="7" customFormat="1" ht="12" customHeight="1">
      <c r="A75" s="145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150">
        <f>'[30]строит (ИТОГО)'!$B$9*0.003/4</f>
        <v>560267.39925000002</v>
      </c>
      <c r="P75" s="149">
        <f>'[30]строит (ИТОГО)'!$B$9*0.003/4</f>
        <v>560267.39925000002</v>
      </c>
      <c r="Q75" s="143"/>
    </row>
    <row r="76" spans="1:17" s="7" customFormat="1" ht="24" customHeight="1">
      <c r="A76" s="218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36">D68+D70+D72+D74+D75</f>
        <v>57344539.568580002</v>
      </c>
      <c r="E76" s="215">
        <f t="shared" si="36"/>
        <v>57785512.155011989</v>
      </c>
      <c r="F76" s="215">
        <f t="shared" si="36"/>
        <v>58281606.314747982</v>
      </c>
      <c r="G76" s="215">
        <f t="shared" si="36"/>
        <v>350670684.61141765</v>
      </c>
      <c r="H76" s="215">
        <f t="shared" si="36"/>
        <v>488203419.73076195</v>
      </c>
      <c r="I76" s="215">
        <f t="shared" si="36"/>
        <v>672236714.08936059</v>
      </c>
      <c r="J76" s="215">
        <f t="shared" si="36"/>
        <v>826065591.14029944</v>
      </c>
      <c r="K76" s="215">
        <f t="shared" si="36"/>
        <v>786525228.83065522</v>
      </c>
      <c r="L76" s="215">
        <f t="shared" si="36"/>
        <v>746292668.58909571</v>
      </c>
      <c r="M76" s="215">
        <f t="shared" si="36"/>
        <v>705359311.04515553</v>
      </c>
      <c r="N76" s="215">
        <f>N75</f>
        <v>560267.39925000002</v>
      </c>
      <c r="O76" s="217">
        <f>O75</f>
        <v>560267.39925000002</v>
      </c>
      <c r="P76" s="215">
        <f>P75</f>
        <v>560267.39925000002</v>
      </c>
      <c r="Q76" s="143"/>
    </row>
    <row r="77" spans="1:17" s="7" customFormat="1">
      <c r="A77" s="91" t="s">
        <v>65</v>
      </c>
      <c r="B77" s="151">
        <f>SUM(C77:M77)</f>
        <v>798918054.16560769</v>
      </c>
      <c r="C77" s="151">
        <f>C69+C71+C73</f>
        <v>9324732.817259999</v>
      </c>
      <c r="D77" s="151">
        <f t="shared" ref="D77:M77" si="37">D69+D71+D73</f>
        <v>9370667.4616800006</v>
      </c>
      <c r="E77" s="151">
        <f t="shared" si="37"/>
        <v>9444162.8927519973</v>
      </c>
      <c r="F77" s="151">
        <f t="shared" si="37"/>
        <v>9526845.2527079973</v>
      </c>
      <c r="G77" s="151">
        <f>G69+G71+G73</f>
        <v>58258358.302152947</v>
      </c>
      <c r="H77" s="151">
        <f t="shared" si="37"/>
        <v>81180480.822043657</v>
      </c>
      <c r="I77" s="151">
        <f t="shared" si="37"/>
        <v>111852696.5484768</v>
      </c>
      <c r="J77" s="151">
        <f t="shared" si="37"/>
        <v>137490842.72363326</v>
      </c>
      <c r="K77" s="151">
        <f t="shared" si="37"/>
        <v>130900782.33869255</v>
      </c>
      <c r="L77" s="151">
        <f t="shared" si="37"/>
        <v>124195355.63176596</v>
      </c>
      <c r="M77" s="151">
        <f t="shared" si="37"/>
        <v>117373129.37444261</v>
      </c>
      <c r="N77" s="30"/>
      <c r="O77" s="31"/>
      <c r="P77" s="30"/>
      <c r="Q77" s="143"/>
    </row>
    <row r="78" spans="1:17" s="156" customFormat="1">
      <c r="A78" s="152"/>
      <c r="B78" s="147"/>
      <c r="C78" s="147"/>
      <c r="D78" s="147"/>
      <c r="E78" s="147"/>
      <c r="F78" s="153"/>
      <c r="G78" s="153"/>
      <c r="H78" s="153"/>
      <c r="I78" s="153"/>
      <c r="J78" s="153"/>
      <c r="K78" s="153"/>
      <c r="L78" s="153"/>
      <c r="M78" s="154"/>
      <c r="N78" s="154"/>
      <c r="O78" s="155"/>
      <c r="P78" s="154"/>
      <c r="Q78" s="138"/>
    </row>
    <row r="79" spans="1:17" s="6" customFormat="1">
      <c r="A79" s="207" t="s">
        <v>79</v>
      </c>
      <c r="B79" s="208">
        <f>SUM(C79:O79)</f>
        <v>453442005.59785652</v>
      </c>
      <c r="C79" s="208">
        <f>C63-C76</f>
        <v>-804092130.70205998</v>
      </c>
      <c r="D79" s="208">
        <f t="shared" ref="D79:O79" si="38">D63-D76</f>
        <v>-57344539.568580002</v>
      </c>
      <c r="E79" s="208">
        <f t="shared" si="38"/>
        <v>-57785512.155011989</v>
      </c>
      <c r="F79" s="208">
        <f t="shared" si="38"/>
        <v>-58281606.314747982</v>
      </c>
      <c r="G79" s="208">
        <f t="shared" si="38"/>
        <v>741934215.51340783</v>
      </c>
      <c r="H79" s="208">
        <f t="shared" si="38"/>
        <v>407435992.14439577</v>
      </c>
      <c r="I79" s="208">
        <f t="shared" si="38"/>
        <v>184451960.18709743</v>
      </c>
      <c r="J79" s="208">
        <f t="shared" si="38"/>
        <v>30962663.314072013</v>
      </c>
      <c r="K79" s="208">
        <f t="shared" si="38"/>
        <v>-41579443.220674872</v>
      </c>
      <c r="L79" s="208">
        <f t="shared" si="38"/>
        <v>-146076208.65969896</v>
      </c>
      <c r="M79" s="208">
        <f t="shared" si="38"/>
        <v>-173371487.19221824</v>
      </c>
      <c r="N79" s="208">
        <f t="shared" si="38"/>
        <v>256144566.13119867</v>
      </c>
      <c r="O79" s="209">
        <f t="shared" si="38"/>
        <v>171043536.1206769</v>
      </c>
      <c r="P79" s="208">
        <f t="shared" ref="P79" si="39">P63-P76</f>
        <v>250413908.78962797</v>
      </c>
      <c r="Q79" s="157"/>
    </row>
    <row r="80" spans="1:17" s="6" customFormat="1" hidden="1">
      <c r="A80" s="207" t="s">
        <v>80</v>
      </c>
      <c r="B80" s="208">
        <f>SUM(C80:O80)</f>
        <v>1213911622.1798563</v>
      </c>
      <c r="C80" s="208">
        <f t="shared" ref="C80:O80" si="40">C63-C76+C75</f>
        <v>-55948396.903560042</v>
      </c>
      <c r="D80" s="208">
        <f t="shared" si="40"/>
        <v>-56224004.77008</v>
      </c>
      <c r="E80" s="208">
        <f t="shared" si="40"/>
        <v>-56664977.356511988</v>
      </c>
      <c r="F80" s="208">
        <f t="shared" si="40"/>
        <v>-57161071.51624798</v>
      </c>
      <c r="G80" s="208">
        <f t="shared" si="40"/>
        <v>743054750.31190777</v>
      </c>
      <c r="H80" s="208">
        <f t="shared" si="40"/>
        <v>408556526.94289577</v>
      </c>
      <c r="I80" s="208">
        <f t="shared" si="40"/>
        <v>185572494.98559743</v>
      </c>
      <c r="J80" s="208">
        <f t="shared" si="40"/>
        <v>32083198.112572014</v>
      </c>
      <c r="K80" s="208">
        <f t="shared" si="40"/>
        <v>-40458908.422174871</v>
      </c>
      <c r="L80" s="208">
        <f t="shared" si="40"/>
        <v>-144955673.86119896</v>
      </c>
      <c r="M80" s="208">
        <f t="shared" si="40"/>
        <v>-172250952.39371824</v>
      </c>
      <c r="N80" s="208">
        <f t="shared" si="40"/>
        <v>256704833.53044868</v>
      </c>
      <c r="O80" s="209">
        <f t="shared" si="40"/>
        <v>171603803.51992691</v>
      </c>
      <c r="P80" s="208">
        <f t="shared" ref="P80" si="41">P63-P76+P75</f>
        <v>250974176.18887797</v>
      </c>
      <c r="Q80" s="157"/>
    </row>
    <row r="81" spans="1:17" s="6" customFormat="1">
      <c r="A81" s="207" t="s">
        <v>81</v>
      </c>
      <c r="B81" s="210">
        <v>0.2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9">
        <v>0</v>
      </c>
      <c r="P81" s="208">
        <v>0</v>
      </c>
      <c r="Q81" s="157">
        <f>B80/(1+B81)*B81</f>
        <v>202318603.69664276</v>
      </c>
    </row>
    <row r="82" spans="1:17" s="6" customFormat="1">
      <c r="A82" s="207" t="s">
        <v>82</v>
      </c>
      <c r="B82" s="208">
        <f>SUM(C82:Q82)</f>
        <v>501537310.69084179</v>
      </c>
      <c r="C82" s="208">
        <f>C79-C81</f>
        <v>-804092130.70205998</v>
      </c>
      <c r="D82" s="208">
        <f t="shared" ref="D82:M82" si="42">D79-D81</f>
        <v>-57344539.568580002</v>
      </c>
      <c r="E82" s="208">
        <f t="shared" si="42"/>
        <v>-57785512.155011989</v>
      </c>
      <c r="F82" s="208">
        <f t="shared" si="42"/>
        <v>-58281606.314747982</v>
      </c>
      <c r="G82" s="208">
        <f t="shared" si="42"/>
        <v>741934215.51340783</v>
      </c>
      <c r="H82" s="208">
        <f>H79-H81</f>
        <v>407435992.14439577</v>
      </c>
      <c r="I82" s="208">
        <f>I79-I81</f>
        <v>184451960.18709743</v>
      </c>
      <c r="J82" s="208">
        <f>J79-J81</f>
        <v>30962663.314072013</v>
      </c>
      <c r="K82" s="208">
        <f>K79-K81</f>
        <v>-41579443.220674872</v>
      </c>
      <c r="L82" s="208">
        <f t="shared" si="42"/>
        <v>-146076208.65969896</v>
      </c>
      <c r="M82" s="208">
        <f t="shared" si="42"/>
        <v>-173371487.19221824</v>
      </c>
      <c r="N82" s="208">
        <f>N79-N81</f>
        <v>256144566.13119867</v>
      </c>
      <c r="O82" s="209">
        <f>O79-O81</f>
        <v>171043536.1206769</v>
      </c>
      <c r="P82" s="208">
        <f>P79-P81</f>
        <v>250413908.78962797</v>
      </c>
      <c r="Q82" s="244">
        <f>Q79-Q81</f>
        <v>-202318603.69664276</v>
      </c>
    </row>
    <row r="83" spans="1:17" s="158" customFormat="1">
      <c r="A83" s="211" t="s">
        <v>83</v>
      </c>
      <c r="B83" s="212">
        <v>0.2</v>
      </c>
      <c r="C83" s="212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3">
        <v>0</v>
      </c>
      <c r="P83" s="212">
        <v>0</v>
      </c>
      <c r="Q83" s="157">
        <f>B82*B83</f>
        <v>100307462.13816836</v>
      </c>
    </row>
    <row r="84" spans="1:17" s="6" customFormat="1">
      <c r="A84" s="207" t="s">
        <v>84</v>
      </c>
      <c r="B84" s="208">
        <f>SUM(C84:Q84)</f>
        <v>401229848.55267346</v>
      </c>
      <c r="C84" s="208">
        <f>C82-C83</f>
        <v>-804092130.70205998</v>
      </c>
      <c r="D84" s="208">
        <f t="shared" ref="D84:N84" si="43">D82-D83</f>
        <v>-57344539.568580002</v>
      </c>
      <c r="E84" s="208">
        <f t="shared" si="43"/>
        <v>-57785512.155011989</v>
      </c>
      <c r="F84" s="208">
        <f t="shared" si="43"/>
        <v>-58281606.314747982</v>
      </c>
      <c r="G84" s="208">
        <f t="shared" si="43"/>
        <v>741934215.51340783</v>
      </c>
      <c r="H84" s="208">
        <f>H82-H83</f>
        <v>407435992.14439577</v>
      </c>
      <c r="I84" s="208">
        <f>I82-I83</f>
        <v>184451960.18709743</v>
      </c>
      <c r="J84" s="208">
        <f>J82-J83</f>
        <v>30962663.314072013</v>
      </c>
      <c r="K84" s="208">
        <f>K82-K83</f>
        <v>-41579443.220674872</v>
      </c>
      <c r="L84" s="208">
        <f t="shared" si="43"/>
        <v>-146076208.65969896</v>
      </c>
      <c r="M84" s="208">
        <f t="shared" si="43"/>
        <v>-173371487.19221824</v>
      </c>
      <c r="N84" s="208">
        <f t="shared" si="43"/>
        <v>256144566.13119867</v>
      </c>
      <c r="O84" s="209">
        <f>O82-O83</f>
        <v>171043536.1206769</v>
      </c>
      <c r="P84" s="208">
        <f t="shared" ref="P84" si="44">P82-P83</f>
        <v>250413908.78962797</v>
      </c>
      <c r="Q84" s="245">
        <f>Q82-Q83</f>
        <v>-302626065.83481109</v>
      </c>
    </row>
    <row r="85" spans="1:17" s="6" customFormat="1" hidden="1">
      <c r="A85" s="159" t="s">
        <v>85</v>
      </c>
      <c r="B85" s="160">
        <f>IRR(C85:O85)</f>
        <v>8.1423118598635158E-2</v>
      </c>
      <c r="C85" s="161">
        <f t="shared" ref="C85:O85" si="45">C84</f>
        <v>-804092130.70205998</v>
      </c>
      <c r="D85" s="161">
        <f t="shared" si="45"/>
        <v>-57344539.568580002</v>
      </c>
      <c r="E85" s="161">
        <f t="shared" si="45"/>
        <v>-57785512.155011989</v>
      </c>
      <c r="F85" s="161">
        <f t="shared" si="45"/>
        <v>-58281606.314747982</v>
      </c>
      <c r="G85" s="161">
        <f t="shared" si="45"/>
        <v>741934215.51340783</v>
      </c>
      <c r="H85" s="161">
        <f>H84</f>
        <v>407435992.14439577</v>
      </c>
      <c r="I85" s="161">
        <f>I84</f>
        <v>184451960.18709743</v>
      </c>
      <c r="J85" s="161">
        <f>J84</f>
        <v>30962663.314072013</v>
      </c>
      <c r="K85" s="161">
        <f>K84</f>
        <v>-41579443.220674872</v>
      </c>
      <c r="L85" s="161">
        <f t="shared" si="45"/>
        <v>-146076208.65969896</v>
      </c>
      <c r="M85" s="161">
        <f t="shared" si="45"/>
        <v>-173371487.19221824</v>
      </c>
      <c r="N85" s="161">
        <f t="shared" si="45"/>
        <v>256144566.13119867</v>
      </c>
      <c r="O85" s="162">
        <f t="shared" si="45"/>
        <v>171043536.1206769</v>
      </c>
      <c r="P85" s="161">
        <f t="shared" ref="P85" si="46">P84</f>
        <v>250413908.78962797</v>
      </c>
      <c r="Q85" s="157"/>
    </row>
    <row r="86" spans="1:17">
      <c r="A86" s="42" t="s">
        <v>86</v>
      </c>
      <c r="B86" s="163">
        <v>19</v>
      </c>
      <c r="C86" s="164">
        <f>(POWER((1+$B$86/100),1/4)-1)*100</f>
        <v>4.4447802172789874</v>
      </c>
      <c r="D86" s="164">
        <f t="shared" ref="D86:M86" si="47">(POWER((1+$B$86/100),1/4)-1)*100</f>
        <v>4.4447802172789874</v>
      </c>
      <c r="E86" s="164">
        <f t="shared" si="47"/>
        <v>4.4447802172789874</v>
      </c>
      <c r="F86" s="164">
        <f t="shared" si="47"/>
        <v>4.4447802172789874</v>
      </c>
      <c r="G86" s="164">
        <f t="shared" si="47"/>
        <v>4.4447802172789874</v>
      </c>
      <c r="H86" s="164">
        <f t="shared" si="47"/>
        <v>4.4447802172789874</v>
      </c>
      <c r="I86" s="164">
        <f t="shared" si="47"/>
        <v>4.4447802172789874</v>
      </c>
      <c r="J86" s="164">
        <f t="shared" si="47"/>
        <v>4.4447802172789874</v>
      </c>
      <c r="K86" s="164">
        <f t="shared" si="47"/>
        <v>4.4447802172789874</v>
      </c>
      <c r="L86" s="164">
        <f t="shared" si="47"/>
        <v>4.4447802172789874</v>
      </c>
      <c r="M86" s="164">
        <f t="shared" si="47"/>
        <v>4.4447802172789874</v>
      </c>
      <c r="N86" s="164">
        <f>M86</f>
        <v>4.4447802172789874</v>
      </c>
      <c r="O86" s="165">
        <f>N86</f>
        <v>4.4447802172789874</v>
      </c>
      <c r="P86" s="164">
        <f>O86</f>
        <v>4.4447802172789874</v>
      </c>
      <c r="Q86" s="166">
        <f>O86</f>
        <v>4.4447802172789874</v>
      </c>
    </row>
    <row r="87" spans="1:17">
      <c r="A87" s="42" t="s">
        <v>87</v>
      </c>
      <c r="B87" s="167"/>
      <c r="C87" s="168">
        <f>1/(1+C86/100)^0.5</f>
        <v>0.9784905367330925</v>
      </c>
      <c r="D87" s="168">
        <f>C87/(1+D86/100)</f>
        <v>0.9368496297254062</v>
      </c>
      <c r="E87" s="168">
        <f>D87/(1+E86/100)</f>
        <v>0.89698080437955385</v>
      </c>
      <c r="F87" s="168">
        <f>E87/(1+F86/100)</f>
        <v>0.85880864751071628</v>
      </c>
      <c r="G87" s="168">
        <f t="shared" ref="G87:P87" si="48">F87/(1+G86/100)</f>
        <v>0.82226095523789322</v>
      </c>
      <c r="H87" s="168">
        <f t="shared" si="48"/>
        <v>0.7872685964079047</v>
      </c>
      <c r="I87" s="168">
        <f t="shared" si="48"/>
        <v>0.75376538183155817</v>
      </c>
      <c r="J87" s="168">
        <f t="shared" si="48"/>
        <v>0.7216879390846358</v>
      </c>
      <c r="K87" s="168">
        <f t="shared" si="48"/>
        <v>0.69097559263688524</v>
      </c>
      <c r="L87" s="168">
        <f t="shared" si="48"/>
        <v>0.66157024908227302</v>
      </c>
      <c r="M87" s="168">
        <f t="shared" si="48"/>
        <v>0.63341628725341037</v>
      </c>
      <c r="N87" s="168">
        <f t="shared" si="48"/>
        <v>0.60646045301229912</v>
      </c>
      <c r="O87" s="169">
        <f t="shared" si="48"/>
        <v>0.58065175851839113</v>
      </c>
      <c r="P87" s="168">
        <f t="shared" si="48"/>
        <v>0.55594138578342289</v>
      </c>
      <c r="Q87" s="170">
        <f>O87/(1+Q86/100)</f>
        <v>0.55594138578342289</v>
      </c>
    </row>
    <row r="88" spans="1:17" ht="26.25" customHeight="1" thickBot="1">
      <c r="A88" s="171" t="s">
        <v>100</v>
      </c>
      <c r="B88" s="172">
        <f>SUM(C88:Q88)</f>
        <v>140243990.22569665</v>
      </c>
      <c r="C88" s="173">
        <f>C84*C87</f>
        <v>-786796540.5535146</v>
      </c>
      <c r="D88" s="173">
        <f>D84*D87</f>
        <v>-53723210.661598079</v>
      </c>
      <c r="E88" s="173">
        <f>E84*E87</f>
        <v>-51832495.17428714</v>
      </c>
      <c r="F88" s="173">
        <f>F84*F87</f>
        <v>-50052747.493920736</v>
      </c>
      <c r="G88" s="173">
        <f>G84*G87</f>
        <v>610063536.77173162</v>
      </c>
      <c r="H88" s="173">
        <f t="shared" ref="H88:N88" si="49">H84*H87</f>
        <v>320761561.66158056</v>
      </c>
      <c r="I88" s="173">
        <f t="shared" si="49"/>
        <v>139033502.20000687</v>
      </c>
      <c r="J88" s="173">
        <f t="shared" si="49"/>
        <v>22345380.675704092</v>
      </c>
      <c r="K88" s="173">
        <f t="shared" si="49"/>
        <v>-28730380.420917541</v>
      </c>
      <c r="L88" s="173">
        <f t="shared" si="49"/>
        <v>-96639673.74799113</v>
      </c>
      <c r="M88" s="173">
        <f t="shared" si="49"/>
        <v>-109816323.73289707</v>
      </c>
      <c r="N88" s="173">
        <f t="shared" si="49"/>
        <v>155341549.61256555</v>
      </c>
      <c r="O88" s="174">
        <f>O84*O87</f>
        <v>99316730.031674996</v>
      </c>
      <c r="P88" s="173">
        <f t="shared" ref="P88" si="50">P84*P87</f>
        <v>139215455.47194943</v>
      </c>
      <c r="Q88" s="175">
        <f>Q84*Q87</f>
        <v>-168242354.41439024</v>
      </c>
    </row>
    <row r="89" spans="1:17" s="14" customFormat="1" ht="13.5" thickTop="1">
      <c r="A89" s="176"/>
      <c r="B89" s="177"/>
      <c r="C89" s="178"/>
      <c r="D89" s="179"/>
      <c r="E89" s="179"/>
      <c r="F89" s="179"/>
      <c r="G89" s="179"/>
      <c r="H89" s="179"/>
      <c r="I89" s="179"/>
      <c r="J89" s="179"/>
      <c r="K89" s="179"/>
      <c r="L89" s="179"/>
      <c r="M89" s="180"/>
    </row>
    <row r="90" spans="1:17" s="190" customFormat="1" ht="18.75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91"/>
    </row>
    <row r="91" spans="1:17" s="14" customFormat="1" ht="15.75">
      <c r="A91" s="496" t="s">
        <v>101</v>
      </c>
      <c r="B91" s="496"/>
      <c r="C91" s="496"/>
      <c r="D91" s="496"/>
      <c r="E91" s="496"/>
      <c r="F91" s="403"/>
      <c r="G91" s="405"/>
      <c r="H91" s="193"/>
      <c r="I91" s="193"/>
      <c r="J91" s="193"/>
      <c r="K91" s="193"/>
      <c r="L91" s="193"/>
    </row>
    <row r="92" spans="1:17" ht="15.75">
      <c r="A92" s="497" t="s">
        <v>102</v>
      </c>
      <c r="B92" s="497"/>
      <c r="C92" s="497"/>
      <c r="D92" s="498">
        <f>B84</f>
        <v>401229848.55267346</v>
      </c>
      <c r="E92" s="498"/>
      <c r="F92" s="404"/>
      <c r="G92" s="406"/>
    </row>
    <row r="93" spans="1:17" ht="15.75">
      <c r="A93" s="497" t="s">
        <v>103</v>
      </c>
      <c r="B93" s="497"/>
      <c r="C93" s="497"/>
      <c r="D93" s="498">
        <f>B88</f>
        <v>140243990.22569665</v>
      </c>
      <c r="E93" s="498"/>
      <c r="F93" s="404"/>
      <c r="G93" s="406"/>
    </row>
    <row r="94" spans="1:17" ht="15.75">
      <c r="A94" s="497" t="s">
        <v>104</v>
      </c>
      <c r="B94" s="497"/>
      <c r="C94" s="497"/>
      <c r="D94" s="398"/>
      <c r="E94" s="398"/>
      <c r="F94" s="404"/>
      <c r="G94" s="406"/>
    </row>
    <row r="95" spans="1:17" ht="15.75">
      <c r="A95" s="497" t="s">
        <v>105</v>
      </c>
      <c r="B95" s="497"/>
      <c r="C95" s="497"/>
      <c r="D95" s="398"/>
      <c r="E95" s="398"/>
      <c r="F95" s="404"/>
      <c r="G95" s="406"/>
    </row>
    <row r="96" spans="1:17" ht="15.75">
      <c r="A96" s="497" t="s">
        <v>106</v>
      </c>
      <c r="B96" s="497"/>
      <c r="C96" s="497"/>
      <c r="D96" s="399"/>
      <c r="E96" s="399">
        <f>(1+D96)^4-1</f>
        <v>0</v>
      </c>
      <c r="F96" s="404"/>
      <c r="G96" s="406"/>
    </row>
    <row r="97" spans="1:14" ht="15.75">
      <c r="A97" s="497" t="s">
        <v>107</v>
      </c>
      <c r="B97" s="497"/>
      <c r="C97" s="497"/>
      <c r="D97" s="508"/>
      <c r="E97" s="508"/>
      <c r="F97" s="404"/>
      <c r="G97" s="406"/>
    </row>
    <row r="98" spans="1:14" ht="15.75">
      <c r="A98" s="499" t="s">
        <v>108</v>
      </c>
      <c r="B98" s="500"/>
      <c r="C98" s="500"/>
      <c r="D98" s="501"/>
      <c r="E98" s="357"/>
    </row>
    <row r="99" spans="1:14" ht="15.75">
      <c r="A99" s="502"/>
      <c r="B99" s="502"/>
      <c r="C99" s="502"/>
      <c r="D99" s="502"/>
      <c r="E99" s="357"/>
    </row>
    <row r="100" spans="1:14" ht="15.75">
      <c r="A100" s="502"/>
      <c r="B100" s="502"/>
      <c r="C100" s="502"/>
      <c r="D100" s="502"/>
      <c r="E100" s="357"/>
    </row>
    <row r="101" spans="1:14" ht="15.75">
      <c r="A101" s="502"/>
      <c r="B101" s="502"/>
      <c r="C101" s="502"/>
      <c r="D101" s="502"/>
      <c r="E101" s="357"/>
    </row>
    <row r="102" spans="1:14" ht="15.75">
      <c r="A102" s="502"/>
      <c r="B102" s="502"/>
      <c r="C102" s="502"/>
      <c r="D102" s="502"/>
      <c r="E102" s="357"/>
    </row>
    <row r="103" spans="1:14" ht="15.75">
      <c r="A103" s="502"/>
      <c r="B103" s="502"/>
      <c r="C103" s="502"/>
      <c r="D103" s="502"/>
      <c r="E103" s="357"/>
    </row>
    <row r="104" spans="1:14" ht="15.75">
      <c r="A104" s="502"/>
      <c r="B104" s="502"/>
      <c r="C104" s="502"/>
      <c r="D104" s="502"/>
      <c r="E104" s="357"/>
    </row>
    <row r="105" spans="1:14" ht="15.75">
      <c r="A105" s="502"/>
      <c r="B105" s="502"/>
      <c r="C105" s="502"/>
      <c r="D105" s="502"/>
      <c r="E105" s="357"/>
    </row>
    <row r="111" spans="1:14" s="14" customFormat="1" ht="12.75" customHeight="1">
      <c r="A111" s="491" t="s">
        <v>88</v>
      </c>
      <c r="B111" s="491"/>
      <c r="C111" s="491"/>
      <c r="D111" s="491"/>
      <c r="E111" s="491"/>
      <c r="F111" s="491"/>
      <c r="G111" s="491"/>
      <c r="H111" s="491"/>
      <c r="I111" s="491"/>
      <c r="J111" s="491"/>
      <c r="K111" s="491"/>
      <c r="L111" s="185"/>
      <c r="M111" s="185"/>
      <c r="N111" s="184"/>
    </row>
    <row r="112" spans="1:14" s="14" customFormat="1" ht="12.75" customHeight="1">
      <c r="A112" s="491"/>
      <c r="B112" s="491"/>
      <c r="C112" s="491"/>
      <c r="D112" s="491"/>
      <c r="E112" s="491"/>
      <c r="F112" s="491"/>
      <c r="G112" s="491"/>
      <c r="H112" s="491"/>
      <c r="I112" s="491"/>
      <c r="J112" s="491"/>
      <c r="K112" s="491"/>
      <c r="L112" s="186"/>
      <c r="M112" s="186"/>
      <c r="N112" s="184"/>
    </row>
    <row r="113" spans="1:14" s="14" customFormat="1" ht="12.75" customHeight="1">
      <c r="A113" s="491"/>
      <c r="B113" s="491"/>
      <c r="C113" s="491"/>
      <c r="D113" s="491"/>
      <c r="E113" s="491"/>
      <c r="F113" s="491"/>
      <c r="G113" s="491"/>
      <c r="H113" s="491"/>
      <c r="I113" s="491"/>
      <c r="J113" s="491"/>
      <c r="K113" s="491"/>
      <c r="L113" s="186"/>
      <c r="M113" s="186"/>
      <c r="N113" s="184"/>
    </row>
    <row r="114" spans="1:14" s="14" customFormat="1" ht="26.25" customHeight="1">
      <c r="A114" s="491"/>
      <c r="B114" s="491"/>
      <c r="C114" s="491"/>
      <c r="D114" s="491"/>
      <c r="E114" s="491"/>
      <c r="F114" s="491"/>
      <c r="G114" s="491"/>
      <c r="H114" s="491"/>
      <c r="I114" s="491"/>
      <c r="J114" s="491"/>
      <c r="K114" s="491"/>
      <c r="L114" s="186"/>
      <c r="M114" s="186"/>
      <c r="N114" s="184"/>
    </row>
    <row r="115" spans="1:14" s="14" customFormat="1" ht="26.25" customHeight="1">
      <c r="A115" s="491"/>
      <c r="B115" s="491"/>
      <c r="C115" s="491"/>
      <c r="D115" s="491"/>
      <c r="E115" s="491"/>
      <c r="F115" s="491"/>
      <c r="G115" s="491"/>
      <c r="H115" s="491"/>
      <c r="I115" s="491"/>
      <c r="J115" s="491"/>
      <c r="K115" s="491"/>
      <c r="L115" s="187"/>
      <c r="M115" s="187"/>
      <c r="N115" s="184"/>
    </row>
    <row r="116" spans="1:14" s="14" customFormat="1" ht="39.75" hidden="1" customHeight="1" outlineLevel="1">
      <c r="A116" s="491"/>
      <c r="B116" s="491"/>
      <c r="C116" s="491"/>
      <c r="D116" s="491"/>
      <c r="E116" s="491"/>
      <c r="F116" s="491"/>
      <c r="G116" s="491"/>
      <c r="H116" s="491"/>
      <c r="I116" s="491"/>
      <c r="J116" s="491"/>
      <c r="K116" s="491"/>
      <c r="L116" s="187"/>
      <c r="M116" s="187"/>
      <c r="N116" s="184"/>
    </row>
    <row r="117" spans="1:14" s="190" customFormat="1" ht="65.25" hidden="1" customHeight="1" outlineLevel="1">
      <c r="A117" s="491"/>
      <c r="B117" s="491"/>
      <c r="C117" s="491"/>
      <c r="D117" s="491"/>
      <c r="E117" s="491"/>
      <c r="F117" s="491"/>
      <c r="G117" s="491"/>
      <c r="H117" s="491"/>
      <c r="I117" s="491"/>
      <c r="J117" s="491"/>
      <c r="K117" s="491"/>
      <c r="L117" s="188"/>
      <c r="M117" s="189"/>
      <c r="N117" s="189"/>
    </row>
    <row r="118" spans="1:14" s="189" customFormat="1" ht="18.75" collapsed="1">
      <c r="A118" s="491"/>
      <c r="B118" s="491"/>
      <c r="C118" s="491"/>
      <c r="D118" s="491"/>
      <c r="E118" s="491"/>
      <c r="F118" s="491"/>
      <c r="G118" s="491"/>
      <c r="H118" s="491"/>
      <c r="I118" s="491"/>
      <c r="J118" s="491"/>
      <c r="K118" s="491"/>
      <c r="L118" s="188"/>
    </row>
    <row r="130" spans="2:29">
      <c r="C130" s="196"/>
    </row>
    <row r="131" spans="2:29">
      <c r="B131" s="22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9"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4" spans="2:29"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C134" s="197"/>
    </row>
    <row r="136" spans="2:29">
      <c r="D136" s="198"/>
      <c r="E136" s="198"/>
    </row>
  </sheetData>
  <mergeCells count="31">
    <mergeCell ref="A97:C97"/>
    <mergeCell ref="D97:E97"/>
    <mergeCell ref="K16:M16"/>
    <mergeCell ref="A16:B17"/>
    <mergeCell ref="C16:F16"/>
    <mergeCell ref="G16:J16"/>
    <mergeCell ref="A96:C96"/>
    <mergeCell ref="A111:K118"/>
    <mergeCell ref="C20:F20"/>
    <mergeCell ref="G20:J20"/>
    <mergeCell ref="K20:M20"/>
    <mergeCell ref="T51:W53"/>
    <mergeCell ref="C65:E65"/>
    <mergeCell ref="F65:M65"/>
    <mergeCell ref="A91:E91"/>
    <mergeCell ref="A92:C92"/>
    <mergeCell ref="D92:E92"/>
    <mergeCell ref="A93:C93"/>
    <mergeCell ref="D93:E93"/>
    <mergeCell ref="A98:D98"/>
    <mergeCell ref="A99:D105"/>
    <mergeCell ref="A94:C94"/>
    <mergeCell ref="A95:C95"/>
    <mergeCell ref="A2:B2"/>
    <mergeCell ref="Q4:T6"/>
    <mergeCell ref="A11:A12"/>
    <mergeCell ref="A13:A14"/>
    <mergeCell ref="U4:X6"/>
    <mergeCell ref="A9:A10"/>
    <mergeCell ref="Q1:T3"/>
    <mergeCell ref="U1:X3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C146"/>
  <sheetViews>
    <sheetView tabSelected="1" topLeftCell="A42" zoomScale="70" zoomScaleNormal="70" zoomScaleSheetLayoutView="75" workbookViewId="0">
      <selection activeCell="Q70" sqref="Q70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4.42578125" style="15" customWidth="1"/>
    <col min="17" max="17" width="17.140625" style="15" bestFit="1" customWidth="1"/>
    <col min="18" max="18" width="12.42578125" style="15" customWidth="1"/>
    <col min="19" max="28" width="9.140625" style="15" customWidth="1"/>
    <col min="29" max="29" width="14.42578125" style="15" customWidth="1"/>
    <col min="30" max="16384" width="9.140625" style="15"/>
  </cols>
  <sheetData>
    <row r="1" spans="1:24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Q1" s="488" t="s">
        <v>0</v>
      </c>
      <c r="R1" s="489"/>
      <c r="S1" s="489"/>
      <c r="T1" s="490"/>
      <c r="U1" s="488"/>
      <c r="V1" s="489"/>
      <c r="W1" s="489"/>
      <c r="X1" s="490"/>
    </row>
    <row r="2" spans="1:24" s="10" customFormat="1" ht="15.75">
      <c r="A2" s="476" t="s">
        <v>1</v>
      </c>
      <c r="B2" s="477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488"/>
      <c r="R2" s="489"/>
      <c r="S2" s="489"/>
      <c r="T2" s="490"/>
      <c r="U2" s="488"/>
      <c r="V2" s="489"/>
      <c r="W2" s="489"/>
      <c r="X2" s="490"/>
    </row>
    <row r="3" spans="1:24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9"/>
      <c r="Q3" s="488"/>
      <c r="R3" s="489"/>
      <c r="S3" s="489"/>
      <c r="T3" s="490"/>
      <c r="U3" s="488"/>
      <c r="V3" s="489"/>
      <c r="W3" s="489"/>
      <c r="X3" s="490"/>
    </row>
    <row r="4" spans="1:24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478" t="s">
        <v>4</v>
      </c>
      <c r="R4" s="479"/>
      <c r="S4" s="479"/>
      <c r="T4" s="480"/>
      <c r="U4" s="478"/>
      <c r="V4" s="479"/>
      <c r="W4" s="479"/>
      <c r="X4" s="480"/>
    </row>
    <row r="5" spans="1:24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78"/>
      <c r="R5" s="479"/>
      <c r="S5" s="479"/>
      <c r="T5" s="480"/>
      <c r="U5" s="478"/>
      <c r="V5" s="479"/>
      <c r="W5" s="479"/>
      <c r="X5" s="480"/>
    </row>
    <row r="6" spans="1:24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481"/>
      <c r="R6" s="482"/>
      <c r="S6" s="482"/>
      <c r="T6" s="483"/>
      <c r="U6" s="481"/>
      <c r="V6" s="482"/>
      <c r="W6" s="482"/>
      <c r="X6" s="483"/>
    </row>
    <row r="7" spans="1:24">
      <c r="A7" s="18" t="s">
        <v>7</v>
      </c>
      <c r="B7" s="19">
        <v>45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24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24" hidden="1">
      <c r="A9" s="486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24" ht="19.5" hidden="1" customHeight="1" thickBot="1">
      <c r="A10" s="487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24" hidden="1">
      <c r="A11" s="484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24" ht="13.5" hidden="1" thickBot="1">
      <c r="A12" s="485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24" hidden="1">
      <c r="A13" s="486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4" ht="13.5" hidden="1" thickBot="1">
      <c r="A14" s="487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24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24" ht="13.5" customHeight="1">
      <c r="A16" s="510" t="s">
        <v>11</v>
      </c>
      <c r="B16" s="511"/>
      <c r="C16" s="513" t="s">
        <v>12</v>
      </c>
      <c r="D16" s="513"/>
      <c r="E16" s="513"/>
      <c r="F16" s="513"/>
      <c r="G16" s="513" t="s">
        <v>13</v>
      </c>
      <c r="H16" s="513"/>
      <c r="I16" s="513"/>
      <c r="J16" s="513"/>
      <c r="K16" s="513" t="s">
        <v>14</v>
      </c>
      <c r="L16" s="513"/>
      <c r="M16" s="513"/>
      <c r="N16" s="255"/>
      <c r="O16" s="256"/>
      <c r="P16" s="407"/>
    </row>
    <row r="17" spans="1:20" s="6" customFormat="1" ht="13.5" customHeight="1">
      <c r="A17" s="512"/>
      <c r="B17" s="507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>
        <v>12</v>
      </c>
      <c r="O17" s="257">
        <v>13</v>
      </c>
      <c r="P17" s="408"/>
      <c r="R17" s="32"/>
    </row>
    <row r="18" spans="1:20" s="35" customFormat="1" ht="25.5">
      <c r="A18" s="258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59" t="s">
        <v>17</v>
      </c>
      <c r="P18" s="259" t="s">
        <v>69</v>
      </c>
      <c r="Q18" s="33" t="s">
        <v>18</v>
      </c>
      <c r="R18" s="34" t="s">
        <v>19</v>
      </c>
      <c r="S18" s="15"/>
      <c r="T18" s="15"/>
    </row>
    <row r="19" spans="1:20">
      <c r="A19" s="260" t="s">
        <v>20</v>
      </c>
      <c r="B19" s="220">
        <v>82630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261"/>
      <c r="P19" s="261"/>
      <c r="Q19" s="40">
        <f>((1+Q20)^(1/4))-1</f>
        <v>1.6106667595102708E-2</v>
      </c>
      <c r="R19" s="41">
        <f>((1+R20)^(1/4))-1</f>
        <v>1.2272234429039353E-2</v>
      </c>
    </row>
    <row r="20" spans="1:20">
      <c r="A20" s="262" t="s">
        <v>21</v>
      </c>
      <c r="B20" s="43"/>
      <c r="C20" s="492">
        <f>Q20</f>
        <v>6.6000000000000003E-2</v>
      </c>
      <c r="D20" s="492"/>
      <c r="E20" s="492"/>
      <c r="F20" s="492"/>
      <c r="G20" s="492">
        <f>C20</f>
        <v>6.6000000000000003E-2</v>
      </c>
      <c r="H20" s="492"/>
      <c r="I20" s="492"/>
      <c r="J20" s="492"/>
      <c r="K20" s="492">
        <f>G20</f>
        <v>6.6000000000000003E-2</v>
      </c>
      <c r="L20" s="492"/>
      <c r="M20" s="492"/>
      <c r="N20" s="221">
        <f>(1+C20)^(1/4)-1</f>
        <v>1.6106667595102708E-2</v>
      </c>
      <c r="O20" s="263">
        <f>Q19</f>
        <v>1.6106667595102708E-2</v>
      </c>
      <c r="P20" s="263">
        <f>R19</f>
        <v>1.2272234429039353E-2</v>
      </c>
      <c r="Q20" s="44">
        <v>6.6000000000000003E-2</v>
      </c>
      <c r="R20" s="45">
        <v>0.05</v>
      </c>
    </row>
    <row r="21" spans="1:20">
      <c r="A21" s="262" t="s">
        <v>22</v>
      </c>
      <c r="B21" s="46"/>
      <c r="C21" s="47">
        <f>Q19</f>
        <v>1.6106667595102708E-2</v>
      </c>
      <c r="D21" s="47">
        <f>Q19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264">
        <f>N21</f>
        <v>1.61E-2</v>
      </c>
      <c r="P21" s="264">
        <f>O21</f>
        <v>1.61E-2</v>
      </c>
    </row>
    <row r="22" spans="1:20">
      <c r="A22" s="262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265">
        <f>N22*(1+O21)</f>
        <v>1.2308502427106269</v>
      </c>
      <c r="P22" s="265">
        <f>O22*(1+P21)</f>
        <v>1.2506669316182679</v>
      </c>
    </row>
    <row r="23" spans="1:20">
      <c r="A23" s="262" t="s">
        <v>24</v>
      </c>
      <c r="B23" s="53"/>
      <c r="C23" s="54">
        <f t="shared" ref="C23:N23" si="3">$B$19*C22</f>
        <v>83960.893943383344</v>
      </c>
      <c r="D23" s="54">
        <f t="shared" si="3"/>
        <v>85313.224153117073</v>
      </c>
      <c r="E23" s="54">
        <f t="shared" si="3"/>
        <v>86687.33589601783</v>
      </c>
      <c r="F23" s="54">
        <f t="shared" si="3"/>
        <v>88083.58</v>
      </c>
      <c r="G23" s="54">
        <f>$B$19*G22</f>
        <v>89502.312943646641</v>
      </c>
      <c r="H23" s="54">
        <f t="shared" si="3"/>
        <v>90943.896947222805</v>
      </c>
      <c r="I23" s="54">
        <f t="shared" si="3"/>
        <v>92408.700065155004</v>
      </c>
      <c r="J23" s="54">
        <f t="shared" si="3"/>
        <v>93897.096280000012</v>
      </c>
      <c r="K23" s="54">
        <f t="shared" si="3"/>
        <v>95409.465597927323</v>
      </c>
      <c r="L23" s="54">
        <f t="shared" si="3"/>
        <v>96946.194145739544</v>
      </c>
      <c r="M23" s="54">
        <f t="shared" si="3"/>
        <v>98507.674269455267</v>
      </c>
      <c r="N23" s="54">
        <f t="shared" si="3"/>
        <v>100093.64782519349</v>
      </c>
      <c r="O23" s="266">
        <f>$B$19*O22</f>
        <v>101705.15555517911</v>
      </c>
      <c r="P23" s="266">
        <f>$B$19*P22</f>
        <v>103342.60855961748</v>
      </c>
    </row>
    <row r="24" spans="1:20" ht="12" customHeight="1">
      <c r="A24" s="260" t="s">
        <v>25</v>
      </c>
      <c r="B24" s="56">
        <f>R19*100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P24" si="4">G24</f>
        <v>1.2272234429039353</v>
      </c>
      <c r="I24" s="58">
        <f t="shared" si="4"/>
        <v>1.2272234429039353</v>
      </c>
      <c r="J24" s="58">
        <f t="shared" si="4"/>
        <v>1.2272234429039353</v>
      </c>
      <c r="K24" s="58">
        <f t="shared" si="4"/>
        <v>1.2272234429039353</v>
      </c>
      <c r="L24" s="58">
        <f t="shared" si="4"/>
        <v>1.2272234429039353</v>
      </c>
      <c r="M24" s="58">
        <f t="shared" si="4"/>
        <v>1.2272234429039353</v>
      </c>
      <c r="N24" s="58">
        <f t="shared" si="4"/>
        <v>1.2272234429039353</v>
      </c>
      <c r="O24" s="267">
        <f t="shared" si="4"/>
        <v>1.2272234429039353</v>
      </c>
      <c r="P24" s="267">
        <f t="shared" si="4"/>
        <v>1.2272234429039353</v>
      </c>
    </row>
    <row r="25" spans="1:20">
      <c r="A25" s="262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5">I25/(1+H24/100)</f>
        <v>0.92942864090336452</v>
      </c>
      <c r="I25" s="61">
        <f t="shared" si="5"/>
        <v>0.94083480706959399</v>
      </c>
      <c r="J25" s="61">
        <f t="shared" si="5"/>
        <v>0.95238095238095211</v>
      </c>
      <c r="K25" s="61">
        <f t="shared" si="5"/>
        <v>0.96406879469432294</v>
      </c>
      <c r="L25" s="61">
        <f t="shared" si="5"/>
        <v>0.97590007294853309</v>
      </c>
      <c r="M25" s="61">
        <f t="shared" si="5"/>
        <v>0.98787654742307407</v>
      </c>
      <c r="N25" s="61">
        <v>1</v>
      </c>
      <c r="O25" s="268">
        <v>1</v>
      </c>
      <c r="P25" s="268">
        <v>2</v>
      </c>
    </row>
    <row r="26" spans="1:20">
      <c r="A26" s="262" t="s">
        <v>27</v>
      </c>
      <c r="B26" s="63"/>
      <c r="C26" s="63"/>
      <c r="D26" s="63"/>
      <c r="E26" s="64"/>
      <c r="F26" s="64"/>
      <c r="G26" s="64">
        <f>G23*G25</f>
        <v>82177.511392319517</v>
      </c>
      <c r="H26" s="64">
        <f t="shared" ref="H26:O26" si="6">H23*H25</f>
        <v>84525.862538112939</v>
      </c>
      <c r="I26" s="64">
        <f t="shared" si="6"/>
        <v>86941.321497352081</v>
      </c>
      <c r="J26" s="64">
        <f t="shared" si="6"/>
        <v>89425.805980952369</v>
      </c>
      <c r="K26" s="64">
        <f t="shared" si="6"/>
        <v>91981.28850142326</v>
      </c>
      <c r="L26" s="64">
        <f t="shared" si="6"/>
        <v>94609.797938909876</v>
      </c>
      <c r="M26" s="64">
        <f t="shared" si="6"/>
        <v>97313.421151986258</v>
      </c>
      <c r="N26" s="64">
        <f t="shared" si="6"/>
        <v>100093.64782519349</v>
      </c>
      <c r="O26" s="269">
        <f t="shared" si="6"/>
        <v>101705.15555517911</v>
      </c>
      <c r="P26" s="269">
        <f t="shared" ref="P26" si="7">P23*P25</f>
        <v>206685.21711923496</v>
      </c>
    </row>
    <row r="27" spans="1:20" ht="13.5" thickBot="1">
      <c r="A27" s="317" t="s">
        <v>28</v>
      </c>
      <c r="B27" s="318">
        <f>SUM(C27:O27)</f>
        <v>96.5</v>
      </c>
      <c r="C27" s="319">
        <f>'[31]М. остатка'!D31</f>
        <v>0</v>
      </c>
      <c r="D27" s="319">
        <f>'[31]М. остатка'!E31</f>
        <v>0</v>
      </c>
      <c r="E27" s="319">
        <f>'[31]М. остатка'!F31</f>
        <v>0</v>
      </c>
      <c r="F27" s="319">
        <f>'[31]М. остатка'!G31</f>
        <v>0</v>
      </c>
      <c r="G27" s="320">
        <v>17</v>
      </c>
      <c r="H27" s="320">
        <v>15</v>
      </c>
      <c r="I27" s="320">
        <v>14</v>
      </c>
      <c r="J27" s="320">
        <v>13</v>
      </c>
      <c r="K27" s="320">
        <f>'[30]График реализации'!D22*100</f>
        <v>12</v>
      </c>
      <c r="L27" s="320">
        <f>'[30]График реализации'!D25*100</f>
        <v>9.4</v>
      </c>
      <c r="M27" s="320">
        <f>'[30]График реализации'!D28*100</f>
        <v>8.1</v>
      </c>
      <c r="N27" s="321">
        <v>4.25</v>
      </c>
      <c r="O27" s="322">
        <v>3.75</v>
      </c>
      <c r="P27" s="322">
        <v>3.5</v>
      </c>
      <c r="Q27" s="427">
        <f>SUM(G27:P27)</f>
        <v>100</v>
      </c>
    </row>
    <row r="28" spans="1:20">
      <c r="A28" s="270" t="s">
        <v>29</v>
      </c>
      <c r="B28" s="68">
        <f t="shared" ref="B28:B41" si="8">SUM(C28:M28)</f>
        <v>100</v>
      </c>
      <c r="C28" s="69"/>
      <c r="D28" s="69"/>
      <c r="E28" s="69"/>
      <c r="F28" s="69"/>
      <c r="G28" s="223">
        <v>100</v>
      </c>
      <c r="H28" s="70">
        <f t="shared" ref="H28:P28" si="9">(100-$G$28)/($M$17-$G$17)</f>
        <v>0</v>
      </c>
      <c r="I28" s="70">
        <f t="shared" si="9"/>
        <v>0</v>
      </c>
      <c r="J28" s="70">
        <f t="shared" si="9"/>
        <v>0</v>
      </c>
      <c r="K28" s="70">
        <f t="shared" si="9"/>
        <v>0</v>
      </c>
      <c r="L28" s="70">
        <f t="shared" si="9"/>
        <v>0</v>
      </c>
      <c r="M28" s="70">
        <f t="shared" si="9"/>
        <v>0</v>
      </c>
      <c r="N28" s="70">
        <f t="shared" si="9"/>
        <v>0</v>
      </c>
      <c r="O28" s="70">
        <f t="shared" si="9"/>
        <v>0</v>
      </c>
      <c r="P28" s="70">
        <f t="shared" si="9"/>
        <v>0</v>
      </c>
      <c r="Q28" s="72"/>
    </row>
    <row r="29" spans="1:20" ht="13.5" thickBot="1">
      <c r="A29" s="271" t="s">
        <v>30</v>
      </c>
      <c r="B29" s="74">
        <f t="shared" si="8"/>
        <v>878137381.88673151</v>
      </c>
      <c r="C29" s="75"/>
      <c r="D29" s="75"/>
      <c r="E29" s="75"/>
      <c r="F29" s="75"/>
      <c r="G29" s="76">
        <f>$B$5*(1-$O$48)*$G$26*$G$27%*G28%</f>
        <v>878137381.88673151</v>
      </c>
      <c r="H29" s="77">
        <f t="shared" ref="H29:M29" si="10">$B$5*(1-$M$48)*$G$26*$G$27%*H28%</f>
        <v>0</v>
      </c>
      <c r="I29" s="76">
        <f t="shared" si="10"/>
        <v>0</v>
      </c>
      <c r="J29" s="76">
        <f t="shared" si="10"/>
        <v>0</v>
      </c>
      <c r="K29" s="76">
        <f t="shared" si="10"/>
        <v>0</v>
      </c>
      <c r="L29" s="76">
        <f t="shared" si="10"/>
        <v>0</v>
      </c>
      <c r="M29" s="76">
        <f t="shared" si="10"/>
        <v>0</v>
      </c>
      <c r="N29" s="76">
        <f t="shared" ref="N29:P29" si="11">$B$5*(1-$M$48)*$G$26*$G$27%*N28%</f>
        <v>0</v>
      </c>
      <c r="O29" s="76">
        <f t="shared" si="11"/>
        <v>0</v>
      </c>
      <c r="P29" s="76">
        <f t="shared" si="11"/>
        <v>0</v>
      </c>
    </row>
    <row r="30" spans="1:20">
      <c r="A30" s="270" t="s">
        <v>31</v>
      </c>
      <c r="B30" s="68">
        <f t="shared" si="8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 t="shared" ref="K30:P30" si="12">(100-$H$30)/($M$17-$H$17)</f>
        <v>0</v>
      </c>
      <c r="L30" s="70">
        <f t="shared" si="12"/>
        <v>0</v>
      </c>
      <c r="M30" s="70">
        <f t="shared" si="12"/>
        <v>0</v>
      </c>
      <c r="N30" s="70">
        <f t="shared" si="12"/>
        <v>0</v>
      </c>
      <c r="O30" s="70">
        <f t="shared" si="12"/>
        <v>0</v>
      </c>
      <c r="P30" s="70">
        <f t="shared" si="12"/>
        <v>0</v>
      </c>
    </row>
    <row r="31" spans="1:20" ht="13.5" thickBot="1">
      <c r="A31" s="271" t="s">
        <v>32</v>
      </c>
      <c r="B31" s="74">
        <f t="shared" si="8"/>
        <v>796969000.11310542</v>
      </c>
      <c r="C31" s="75"/>
      <c r="D31" s="75"/>
      <c r="E31" s="75"/>
      <c r="F31" s="75"/>
      <c r="G31" s="75"/>
      <c r="H31" s="76">
        <f>$B$5*(1-$M$48)*$H$26*$H$27%*H30%</f>
        <v>796969000.11310542</v>
      </c>
      <c r="I31" s="76">
        <f>$B$5*(1-$M$48)*$H$26*$H$27%*I30%</f>
        <v>0</v>
      </c>
      <c r="J31" s="76">
        <f>$B$5*(1-$M$48)*$H$26*$H$27%*J30%</f>
        <v>0</v>
      </c>
      <c r="K31" s="76">
        <f t="shared" ref="K31:P31" si="13">$B$5*(1-$M$48)*$H$26*$H$27%*K30%</f>
        <v>0</v>
      </c>
      <c r="L31" s="76">
        <f t="shared" si="13"/>
        <v>0</v>
      </c>
      <c r="M31" s="76">
        <f t="shared" si="13"/>
        <v>0</v>
      </c>
      <c r="N31" s="76">
        <f t="shared" si="13"/>
        <v>0</v>
      </c>
      <c r="O31" s="76">
        <f t="shared" si="13"/>
        <v>0</v>
      </c>
      <c r="P31" s="76">
        <f t="shared" si="13"/>
        <v>0</v>
      </c>
    </row>
    <row r="32" spans="1:20">
      <c r="A32" s="270" t="s">
        <v>33</v>
      </c>
      <c r="B32" s="68">
        <f t="shared" si="8"/>
        <v>100</v>
      </c>
      <c r="C32" s="69"/>
      <c r="D32" s="69"/>
      <c r="E32" s="69"/>
      <c r="F32" s="79"/>
      <c r="G32" s="79"/>
      <c r="H32" s="79"/>
      <c r="I32" s="223">
        <v>100</v>
      </c>
      <c r="J32" s="70">
        <f>(100-$H$30)/($M$17-$H$17)</f>
        <v>0</v>
      </c>
      <c r="K32" s="70">
        <f t="shared" ref="K32:P44" si="14">(100-$H$30)/($M$17-$H$17)</f>
        <v>0</v>
      </c>
      <c r="L32" s="70">
        <f t="shared" si="14"/>
        <v>0</v>
      </c>
      <c r="M32" s="70">
        <f t="shared" si="14"/>
        <v>0</v>
      </c>
      <c r="N32" s="70">
        <f t="shared" si="14"/>
        <v>0</v>
      </c>
      <c r="O32" s="70">
        <f t="shared" si="14"/>
        <v>0</v>
      </c>
      <c r="P32" s="70">
        <f t="shared" si="14"/>
        <v>0</v>
      </c>
    </row>
    <row r="33" spans="1:16" ht="13.5" thickBot="1">
      <c r="A33" s="271" t="s">
        <v>34</v>
      </c>
      <c r="B33" s="74">
        <f t="shared" si="8"/>
        <v>765094062.13527811</v>
      </c>
      <c r="C33" s="75"/>
      <c r="D33" s="75"/>
      <c r="E33" s="75"/>
      <c r="F33" s="80"/>
      <c r="G33" s="80"/>
      <c r="H33" s="80"/>
      <c r="I33" s="76">
        <f>$B$5*(1-$M$48)*$I$26*$I$27%*I32%</f>
        <v>765094062.13527811</v>
      </c>
      <c r="J33" s="76">
        <f>$B$5*(1-$M$48)*$H$26*$H$27%*J32%</f>
        <v>0</v>
      </c>
      <c r="K33" s="76">
        <f>$B$5*(1-$M$48)*$H$26*$H$27%*K32%</f>
        <v>0</v>
      </c>
      <c r="L33" s="76">
        <f t="shared" ref="L33:P33" si="15">$B$5*(1-$M$48)*$H$26*$H$27%*L32%</f>
        <v>0</v>
      </c>
      <c r="M33" s="76">
        <f t="shared" si="15"/>
        <v>0</v>
      </c>
      <c r="N33" s="76">
        <f t="shared" si="15"/>
        <v>0</v>
      </c>
      <c r="O33" s="76">
        <f t="shared" si="15"/>
        <v>0</v>
      </c>
      <c r="P33" s="76">
        <f t="shared" si="15"/>
        <v>0</v>
      </c>
    </row>
    <row r="34" spans="1:16">
      <c r="A34" s="270" t="s">
        <v>35</v>
      </c>
      <c r="B34" s="68">
        <f t="shared" si="8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>
        <f t="shared" si="14"/>
        <v>0</v>
      </c>
      <c r="L34" s="70">
        <f t="shared" si="14"/>
        <v>0</v>
      </c>
      <c r="M34" s="70">
        <f t="shared" si="14"/>
        <v>0</v>
      </c>
      <c r="N34" s="70">
        <f t="shared" si="14"/>
        <v>0</v>
      </c>
      <c r="O34" s="70">
        <f t="shared" si="14"/>
        <v>0</v>
      </c>
      <c r="P34" s="70">
        <f t="shared" si="14"/>
        <v>0</v>
      </c>
    </row>
    <row r="35" spans="1:16" ht="13.5" thickBot="1">
      <c r="A35" s="271" t="s">
        <v>36</v>
      </c>
      <c r="B35" s="74">
        <f t="shared" si="8"/>
        <v>730746550.60559154</v>
      </c>
      <c r="C35" s="75"/>
      <c r="D35" s="75"/>
      <c r="E35" s="75"/>
      <c r="F35" s="75"/>
      <c r="G35" s="80"/>
      <c r="H35" s="80"/>
      <c r="I35" s="80"/>
      <c r="J35" s="76">
        <f>$B$5*(1-$M$48)*$J$26*$J$27%*J34%</f>
        <v>730746550.60559154</v>
      </c>
      <c r="K35" s="76">
        <f>$B$5*(1-$M$48)*$H$26*$H$27%*K34%</f>
        <v>0</v>
      </c>
      <c r="L35" s="76">
        <f>$B$5*(1-$M$48)*$H$26*$H$27%*L34%</f>
        <v>0</v>
      </c>
      <c r="M35" s="76">
        <f t="shared" ref="M35:P35" si="16">$B$5*(1-$M$48)*$H$26*$H$27%*M34%</f>
        <v>0</v>
      </c>
      <c r="N35" s="76">
        <f t="shared" si="16"/>
        <v>0</v>
      </c>
      <c r="O35" s="76">
        <f t="shared" si="16"/>
        <v>0</v>
      </c>
      <c r="P35" s="76">
        <f t="shared" si="16"/>
        <v>0</v>
      </c>
    </row>
    <row r="36" spans="1:16">
      <c r="A36" s="270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>
        <f t="shared" si="14"/>
        <v>0</v>
      </c>
      <c r="M36" s="70">
        <f t="shared" si="14"/>
        <v>0</v>
      </c>
      <c r="N36" s="70">
        <f t="shared" si="14"/>
        <v>0</v>
      </c>
      <c r="O36" s="70">
        <f t="shared" si="14"/>
        <v>0</v>
      </c>
      <c r="P36" s="70">
        <f t="shared" si="14"/>
        <v>0</v>
      </c>
    </row>
    <row r="37" spans="1:16" ht="13.5" thickBot="1">
      <c r="A37" s="271" t="s">
        <v>38</v>
      </c>
      <c r="B37" s="74">
        <f>SUM(C37:M37)</f>
        <v>693811179.91469562</v>
      </c>
      <c r="C37" s="75"/>
      <c r="D37" s="75"/>
      <c r="E37" s="75"/>
      <c r="F37" s="75"/>
      <c r="G37" s="80"/>
      <c r="H37" s="80"/>
      <c r="I37" s="80"/>
      <c r="J37" s="80"/>
      <c r="K37" s="76">
        <f>$B$5*(1-$M$48)*$K$26*$K$27%*K36%</f>
        <v>693811179.91469562</v>
      </c>
      <c r="L37" s="76">
        <f>$B$5*(1-$M$48)*$H$26*$H$27%*L36%</f>
        <v>0</v>
      </c>
      <c r="M37" s="76">
        <f>$B$5*(1-$M$48)*$H$26*$H$27%*M36%</f>
        <v>0</v>
      </c>
      <c r="N37" s="76">
        <f t="shared" ref="N37:P37" si="17">$B$5*(1-$M$48)*$H$26*$H$27%*N36%</f>
        <v>0</v>
      </c>
      <c r="O37" s="76">
        <f t="shared" si="17"/>
        <v>0</v>
      </c>
      <c r="P37" s="76">
        <f t="shared" si="17"/>
        <v>0</v>
      </c>
    </row>
    <row r="38" spans="1:16">
      <c r="A38" s="270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>
        <f t="shared" si="14"/>
        <v>0</v>
      </c>
      <c r="N38" s="70">
        <f t="shared" si="14"/>
        <v>0</v>
      </c>
      <c r="O38" s="70">
        <f t="shared" si="14"/>
        <v>0</v>
      </c>
      <c r="P38" s="70">
        <f t="shared" si="14"/>
        <v>0</v>
      </c>
    </row>
    <row r="39" spans="1:16" ht="13.5" thickBot="1">
      <c r="A39" s="271" t="s">
        <v>40</v>
      </c>
      <c r="B39" s="74">
        <f>SUM(C39:M39)</f>
        <v>559016371.81133568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$B$5*(1-$M$48)*$L$26*$L$27%*L38%</f>
        <v>559016371.81133568</v>
      </c>
      <c r="M39" s="76">
        <f>$B$5*(1-$M$48)*$H$26*$H$27%*M38%</f>
        <v>0</v>
      </c>
      <c r="N39" s="76">
        <f>$B$5*(1-$M$48)*$H$26*$H$27%*N38%</f>
        <v>0</v>
      </c>
      <c r="O39" s="76">
        <f t="shared" ref="O39:P39" si="18">$B$5*(1-$M$48)*$H$26*$H$27%*O38%</f>
        <v>0</v>
      </c>
      <c r="P39" s="76">
        <f t="shared" si="18"/>
        <v>0</v>
      </c>
    </row>
    <row r="40" spans="1:16">
      <c r="A40" s="270" t="s">
        <v>41</v>
      </c>
      <c r="B40" s="68">
        <f t="shared" si="8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70">
        <f t="shared" si="14"/>
        <v>0</v>
      </c>
      <c r="O40" s="70">
        <f t="shared" si="14"/>
        <v>0</v>
      </c>
      <c r="P40" s="70">
        <f t="shared" si="14"/>
        <v>0</v>
      </c>
    </row>
    <row r="41" spans="1:16" ht="13.5" thickBot="1">
      <c r="A41" s="271" t="s">
        <v>42</v>
      </c>
      <c r="B41" s="74">
        <f t="shared" si="8"/>
        <v>495471089.16849571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$B$5*(1-$M$48)*$M$26*$M$27%*M40%</f>
        <v>495471089.16849571</v>
      </c>
      <c r="N41" s="76">
        <f t="shared" ref="N41:O41" si="19">$B$5*(1-$M$48)*$H$26*$H$27%*N40%</f>
        <v>0</v>
      </c>
      <c r="O41" s="76">
        <f t="shared" si="19"/>
        <v>0</v>
      </c>
      <c r="P41" s="76">
        <f t="shared" ref="P41" si="20">$B$5*(1-$M$48)*$H$26*$H$27%*P40%</f>
        <v>0</v>
      </c>
    </row>
    <row r="42" spans="1:16">
      <c r="A42" s="270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70">
        <f t="shared" si="14"/>
        <v>0</v>
      </c>
      <c r="P42" s="70">
        <f t="shared" si="14"/>
        <v>0</v>
      </c>
    </row>
    <row r="43" spans="1:16" ht="13.5" thickBot="1">
      <c r="A43" s="271" t="s">
        <v>44</v>
      </c>
      <c r="B43" s="74">
        <f>N43</f>
        <v>267396676.88733056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$B$5*(1-$M$48)*$N$26*$N$27%*N42%</f>
        <v>267396676.88733056</v>
      </c>
      <c r="O43" s="76">
        <f t="shared" ref="O43:P43" si="21">$B$5*(1-$M$48)*$H$26*$H$27%*O42%</f>
        <v>0</v>
      </c>
      <c r="P43" s="76">
        <f t="shared" si="21"/>
        <v>0</v>
      </c>
    </row>
    <row r="44" spans="1:16">
      <c r="A44" s="270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422"/>
      <c r="O44" s="426">
        <v>100</v>
      </c>
      <c r="P44" s="70">
        <f t="shared" si="14"/>
        <v>0</v>
      </c>
    </row>
    <row r="45" spans="1:16" ht="13.5" thickBot="1">
      <c r="A45" s="413" t="s">
        <v>46</v>
      </c>
      <c r="B45" s="409">
        <f>O45</f>
        <v>239736850.04577932</v>
      </c>
      <c r="C45" s="410"/>
      <c r="D45" s="410"/>
      <c r="E45" s="410"/>
      <c r="F45" s="411"/>
      <c r="G45" s="411"/>
      <c r="H45" s="411"/>
      <c r="I45" s="411"/>
      <c r="J45" s="411"/>
      <c r="K45" s="411"/>
      <c r="L45" s="411"/>
      <c r="M45" s="412"/>
      <c r="N45" s="423"/>
      <c r="O45" s="426">
        <f>$B$5*(1-$O$48)*$O$26*$O$27%*N42%</f>
        <v>239736850.04577932</v>
      </c>
      <c r="P45" s="76">
        <f t="shared" ref="P45" si="22">$B$5*(1-$M$48)*$H$26*$H$27%*P44%</f>
        <v>0</v>
      </c>
    </row>
    <row r="46" spans="1:16">
      <c r="A46" s="270" t="s">
        <v>162</v>
      </c>
      <c r="B46" s="418">
        <v>100</v>
      </c>
      <c r="C46" s="419"/>
      <c r="D46" s="419"/>
      <c r="E46" s="419"/>
      <c r="F46" s="420"/>
      <c r="G46" s="420"/>
      <c r="H46" s="420"/>
      <c r="I46" s="420"/>
      <c r="J46" s="420"/>
      <c r="K46" s="420"/>
      <c r="L46" s="420"/>
      <c r="M46" s="12"/>
      <c r="N46" s="424"/>
      <c r="O46" s="426"/>
      <c r="P46" s="421">
        <v>100</v>
      </c>
    </row>
    <row r="47" spans="1:16" ht="13.5" thickBot="1">
      <c r="A47" s="413" t="s">
        <v>163</v>
      </c>
      <c r="B47" s="414">
        <f>P47</f>
        <v>454713678.21883059</v>
      </c>
      <c r="C47" s="415"/>
      <c r="D47" s="415"/>
      <c r="E47" s="415"/>
      <c r="F47" s="416"/>
      <c r="G47" s="416"/>
      <c r="H47" s="416"/>
      <c r="I47" s="416"/>
      <c r="J47" s="416"/>
      <c r="K47" s="416"/>
      <c r="L47" s="416"/>
      <c r="M47" s="417"/>
      <c r="N47" s="417"/>
      <c r="O47" s="425"/>
      <c r="P47" s="272">
        <f>$B$5*(1-$M$48)*$P$26*$P$27%*P46%</f>
        <v>454713678.21883059</v>
      </c>
    </row>
    <row r="48" spans="1:16">
      <c r="A48" s="273" t="s">
        <v>47</v>
      </c>
      <c r="B48" s="85">
        <v>100</v>
      </c>
      <c r="C48" s="86"/>
      <c r="D48" s="86"/>
      <c r="E48" s="86"/>
      <c r="F48" s="87"/>
      <c r="G48" s="87"/>
      <c r="H48" s="87"/>
      <c r="I48" s="87"/>
      <c r="J48" s="87"/>
      <c r="K48" s="87"/>
      <c r="L48" s="87"/>
      <c r="M48" s="88"/>
      <c r="N48" s="89"/>
      <c r="O48" s="274"/>
      <c r="P48" s="274">
        <v>1</v>
      </c>
    </row>
    <row r="49" spans="1:23">
      <c r="A49" s="275" t="s">
        <v>48</v>
      </c>
      <c r="B49" s="92">
        <f>B29+B31+B33+B35+B37+B39+B41+B43+B47+B45</f>
        <v>5881092840.7871752</v>
      </c>
      <c r="C49" s="93"/>
      <c r="D49" s="93"/>
      <c r="E49" s="93"/>
      <c r="F49" s="94"/>
      <c r="G49" s="94"/>
      <c r="H49" s="94"/>
      <c r="I49" s="94"/>
      <c r="J49" s="94"/>
      <c r="K49" s="94"/>
      <c r="L49" s="94"/>
      <c r="M49" s="95"/>
      <c r="N49" s="54"/>
      <c r="O49" s="276"/>
      <c r="P49" s="276">
        <f>B5*P26*P48</f>
        <v>12991819377.680872</v>
      </c>
    </row>
    <row r="50" spans="1:23">
      <c r="A50" s="323" t="s">
        <v>94</v>
      </c>
      <c r="B50" s="324">
        <f>SUM(C50:O50)</f>
        <v>5426379162.5683441</v>
      </c>
      <c r="C50" s="325">
        <f t="shared" ref="C50:H50" si="23">C29+C31+C33+C35+C37+C39+C49+C41</f>
        <v>0</v>
      </c>
      <c r="D50" s="325">
        <f t="shared" si="23"/>
        <v>0</v>
      </c>
      <c r="E50" s="325">
        <f t="shared" si="23"/>
        <v>0</v>
      </c>
      <c r="F50" s="325">
        <f t="shared" si="23"/>
        <v>0</v>
      </c>
      <c r="G50" s="326">
        <f t="shared" si="23"/>
        <v>878137381.88673151</v>
      </c>
      <c r="H50" s="326">
        <f t="shared" si="23"/>
        <v>796969000.11310542</v>
      </c>
      <c r="I50" s="326">
        <f>I33</f>
        <v>765094062.13527811</v>
      </c>
      <c r="J50" s="326">
        <f>J35</f>
        <v>730746550.60559154</v>
      </c>
      <c r="K50" s="326">
        <f>K37</f>
        <v>693811179.91469562</v>
      </c>
      <c r="L50" s="326">
        <f>L39</f>
        <v>559016371.81133568</v>
      </c>
      <c r="M50" s="326">
        <f>M41</f>
        <v>495471089.16849571</v>
      </c>
      <c r="N50" s="326">
        <f>N43</f>
        <v>267396676.88733056</v>
      </c>
      <c r="O50" s="327">
        <f>O45</f>
        <v>239736850.04577932</v>
      </c>
      <c r="P50" s="327">
        <f>P47</f>
        <v>454713678.21883059</v>
      </c>
    </row>
    <row r="51" spans="1:23" hidden="1">
      <c r="A51" s="277" t="s">
        <v>50</v>
      </c>
      <c r="B51" s="99">
        <f>'[31]М. остатка'!C34</f>
        <v>3360</v>
      </c>
      <c r="C51" s="43"/>
      <c r="D51" s="43"/>
      <c r="E51" s="43"/>
      <c r="F51" s="60"/>
      <c r="G51" s="38"/>
      <c r="H51" s="38"/>
      <c r="I51" s="38"/>
      <c r="J51" s="38"/>
      <c r="K51" s="38"/>
      <c r="L51" s="38"/>
      <c r="M51" s="38"/>
      <c r="N51" s="38"/>
      <c r="O51" s="261"/>
      <c r="P51" s="261"/>
    </row>
    <row r="52" spans="1:23" hidden="1">
      <c r="A52" s="277" t="s">
        <v>51</v>
      </c>
      <c r="B52" s="100"/>
      <c r="C52" s="54"/>
      <c r="D52" s="54"/>
      <c r="E52" s="54"/>
      <c r="F52" s="54"/>
      <c r="G52" s="54">
        <f t="shared" ref="G52:M52" si="24">$B$51*G22</f>
        <v>3639.4502177254353</v>
      </c>
      <c r="H52" s="54">
        <f t="shared" si="24"/>
        <v>3698.0696326112629</v>
      </c>
      <c r="I52" s="54">
        <f t="shared" si="24"/>
        <v>3757.6332109272762</v>
      </c>
      <c r="J52" s="54">
        <f t="shared" si="24"/>
        <v>3818.1561600000005</v>
      </c>
      <c r="K52" s="54">
        <f t="shared" si="24"/>
        <v>3879.6539320953143</v>
      </c>
      <c r="L52" s="54">
        <f t="shared" si="24"/>
        <v>3942.142228363607</v>
      </c>
      <c r="M52" s="101">
        <f t="shared" si="24"/>
        <v>4005.6370028484776</v>
      </c>
      <c r="N52" s="38"/>
      <c r="O52" s="261"/>
      <c r="P52" s="261"/>
    </row>
    <row r="53" spans="1:23" ht="25.5" hidden="1">
      <c r="A53" s="260" t="s">
        <v>52</v>
      </c>
      <c r="B53" s="56">
        <f>B24</f>
        <v>1.2272234429039353</v>
      </c>
      <c r="C53" s="57"/>
      <c r="D53" s="57"/>
      <c r="E53" s="57"/>
      <c r="F53" s="57"/>
      <c r="G53" s="58">
        <f t="shared" ref="G53:M53" si="25">G24</f>
        <v>1.2272234429039353</v>
      </c>
      <c r="H53" s="58">
        <f t="shared" si="25"/>
        <v>1.2272234429039353</v>
      </c>
      <c r="I53" s="58">
        <f t="shared" si="25"/>
        <v>1.2272234429039353</v>
      </c>
      <c r="J53" s="58">
        <f t="shared" si="25"/>
        <v>1.2272234429039353</v>
      </c>
      <c r="K53" s="58">
        <f t="shared" si="25"/>
        <v>1.2272234429039353</v>
      </c>
      <c r="L53" s="58">
        <f t="shared" si="25"/>
        <v>1.2272234429039353</v>
      </c>
      <c r="M53" s="58">
        <f t="shared" si="25"/>
        <v>1.2272234429039353</v>
      </c>
      <c r="N53" s="38"/>
      <c r="O53" s="261"/>
      <c r="P53" s="261"/>
      <c r="T53" s="488" t="s">
        <v>53</v>
      </c>
      <c r="U53" s="493"/>
      <c r="V53" s="493"/>
      <c r="W53" s="493"/>
    </row>
    <row r="54" spans="1:23" hidden="1">
      <c r="A54" s="277" t="s">
        <v>54</v>
      </c>
      <c r="B54" s="102"/>
      <c r="C54" s="102"/>
      <c r="D54" s="102"/>
      <c r="E54" s="54"/>
      <c r="F54" s="54"/>
      <c r="G54" s="54">
        <f t="shared" ref="G54:M54" si="26">G52*G25</f>
        <v>3341.6003664310006</v>
      </c>
      <c r="H54" s="54">
        <f t="shared" si="26"/>
        <v>3437.0918326038905</v>
      </c>
      <c r="I54" s="54">
        <f t="shared" si="26"/>
        <v>3535.3121170410627</v>
      </c>
      <c r="J54" s="54">
        <f t="shared" si="26"/>
        <v>3636.3391999999994</v>
      </c>
      <c r="K54" s="54">
        <f t="shared" si="26"/>
        <v>3740.2532901462205</v>
      </c>
      <c r="L54" s="54">
        <f t="shared" si="26"/>
        <v>3847.1368882335369</v>
      </c>
      <c r="M54" s="103">
        <f t="shared" si="26"/>
        <v>3957.0748526040643</v>
      </c>
      <c r="N54" s="104"/>
      <c r="O54" s="278"/>
      <c r="P54" s="278"/>
      <c r="T54" s="488"/>
      <c r="U54" s="493"/>
      <c r="V54" s="493"/>
      <c r="W54" s="493"/>
    </row>
    <row r="55" spans="1:23" hidden="1">
      <c r="A55" s="279" t="s">
        <v>55</v>
      </c>
      <c r="B55" s="107">
        <f>SUM(C55:M55)</f>
        <v>0</v>
      </c>
      <c r="C55" s="108"/>
      <c r="D55" s="108"/>
      <c r="E55" s="109">
        <f>E27</f>
        <v>0</v>
      </c>
      <c r="F55" s="109">
        <f>F27</f>
        <v>0</v>
      </c>
      <c r="G55" s="108"/>
      <c r="H55" s="108"/>
      <c r="I55" s="108"/>
      <c r="J55" s="108"/>
      <c r="K55" s="108"/>
      <c r="L55" s="108"/>
      <c r="M55" s="108"/>
      <c r="N55" s="54"/>
      <c r="O55" s="266"/>
      <c r="P55" s="266"/>
      <c r="T55" s="488"/>
      <c r="U55" s="493"/>
      <c r="V55" s="493"/>
      <c r="W55" s="493"/>
    </row>
    <row r="56" spans="1:23" hidden="1">
      <c r="A56" s="280" t="s">
        <v>56</v>
      </c>
      <c r="B56" s="63">
        <f>SUM(C56:M56)</f>
        <v>0</v>
      </c>
      <c r="C56" s="63"/>
      <c r="D56" s="63"/>
      <c r="E56" s="111">
        <f>E55%*E54*$B$6</f>
        <v>0</v>
      </c>
      <c r="F56" s="111">
        <f>F55%*F54*$B$6</f>
        <v>0</v>
      </c>
      <c r="G56" s="63"/>
      <c r="H56" s="63"/>
      <c r="I56" s="63"/>
      <c r="J56" s="63"/>
      <c r="K56" s="63"/>
      <c r="L56" s="63"/>
      <c r="M56" s="63"/>
      <c r="N56" s="64"/>
      <c r="O56" s="269"/>
      <c r="P56" s="269"/>
      <c r="T56" s="112" t="s">
        <v>4</v>
      </c>
    </row>
    <row r="57" spans="1:23" hidden="1">
      <c r="A57" s="281" t="s">
        <v>57</v>
      </c>
      <c r="B57" s="97">
        <f>SUM(C57:M57)</f>
        <v>0</v>
      </c>
      <c r="C57" s="97"/>
      <c r="D57" s="97"/>
      <c r="E57" s="114">
        <f t="shared" ref="E57:M57" si="27">E56</f>
        <v>0</v>
      </c>
      <c r="F57" s="114">
        <f t="shared" si="27"/>
        <v>0</v>
      </c>
      <c r="G57" s="97">
        <f t="shared" si="27"/>
        <v>0</v>
      </c>
      <c r="H57" s="97">
        <f t="shared" si="27"/>
        <v>0</v>
      </c>
      <c r="I57" s="97">
        <f t="shared" si="27"/>
        <v>0</v>
      </c>
      <c r="J57" s="97">
        <f t="shared" si="27"/>
        <v>0</v>
      </c>
      <c r="K57" s="97">
        <f t="shared" si="27"/>
        <v>0</v>
      </c>
      <c r="L57" s="97">
        <f t="shared" si="27"/>
        <v>0</v>
      </c>
      <c r="M57" s="97">
        <f t="shared" si="27"/>
        <v>0</v>
      </c>
      <c r="N57" s="115"/>
      <c r="O57" s="282"/>
      <c r="P57" s="282"/>
    </row>
    <row r="58" spans="1:23">
      <c r="A58" s="277" t="s">
        <v>58</v>
      </c>
      <c r="B58" s="219">
        <v>1300000</v>
      </c>
      <c r="C58" s="43"/>
      <c r="D58" s="43"/>
      <c r="E58" s="43"/>
      <c r="F58" s="60"/>
      <c r="G58" s="38"/>
      <c r="H58" s="38"/>
      <c r="I58" s="38"/>
      <c r="J58" s="38"/>
      <c r="K58" s="38"/>
      <c r="L58" s="38"/>
      <c r="M58" s="38"/>
      <c r="N58" s="38"/>
      <c r="O58" s="261"/>
      <c r="P58" s="261"/>
      <c r="T58" s="117"/>
    </row>
    <row r="59" spans="1:23" hidden="1">
      <c r="A59" s="277" t="s">
        <v>51</v>
      </c>
      <c r="B59" s="100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101"/>
      <c r="N59" s="38"/>
      <c r="O59" s="261"/>
      <c r="P59" s="261"/>
    </row>
    <row r="60" spans="1:23">
      <c r="A60" s="260" t="s">
        <v>59</v>
      </c>
      <c r="B60" s="56">
        <f>B24</f>
        <v>1.2272234429039353</v>
      </c>
      <c r="C60" s="118"/>
      <c r="D60" s="118"/>
      <c r="E60" s="119"/>
      <c r="F60" s="119"/>
      <c r="G60" s="120">
        <f>G25*G22</f>
        <v>0.99452391858065481</v>
      </c>
      <c r="H60" s="120">
        <f t="shared" ref="H60:O60" si="28">H25*H22</f>
        <v>1.0229439977987769</v>
      </c>
      <c r="I60" s="120">
        <f t="shared" si="28"/>
        <v>1.0521762253098401</v>
      </c>
      <c r="J60" s="120">
        <f t="shared" si="28"/>
        <v>1.0822438095238094</v>
      </c>
      <c r="K60" s="120">
        <f t="shared" si="28"/>
        <v>1.1131706220673274</v>
      </c>
      <c r="L60" s="120">
        <f t="shared" si="28"/>
        <v>1.1449812167361717</v>
      </c>
      <c r="M60" s="120">
        <f t="shared" si="28"/>
        <v>1.1777008489893048</v>
      </c>
      <c r="N60" s="120">
        <f t="shared" si="28"/>
        <v>1.2113475472006958</v>
      </c>
      <c r="O60" s="283">
        <f t="shared" si="28"/>
        <v>1.2308502427106269</v>
      </c>
      <c r="P60" s="283">
        <f t="shared" ref="P60" si="29">P25*P22</f>
        <v>2.5013338632365358</v>
      </c>
    </row>
    <row r="61" spans="1:23">
      <c r="A61" s="277" t="s">
        <v>60</v>
      </c>
      <c r="B61" s="102"/>
      <c r="C61" s="102"/>
      <c r="D61" s="102"/>
      <c r="E61" s="122">
        <f>E59*E25</f>
        <v>0</v>
      </c>
      <c r="F61" s="122">
        <f>F59*F25</f>
        <v>0</v>
      </c>
      <c r="G61" s="123">
        <f>$B$58*G60</f>
        <v>1292881.0941548513</v>
      </c>
      <c r="H61" s="123">
        <f t="shared" ref="H61:O61" si="30">$B$58*H60</f>
        <v>1329827.1971384098</v>
      </c>
      <c r="I61" s="123">
        <f t="shared" si="30"/>
        <v>1367829.0929027922</v>
      </c>
      <c r="J61" s="123">
        <f t="shared" si="30"/>
        <v>1406916.9523809522</v>
      </c>
      <c r="K61" s="123">
        <f t="shared" si="30"/>
        <v>1447121.8086875256</v>
      </c>
      <c r="L61" s="123">
        <f t="shared" si="30"/>
        <v>1488475.5817570232</v>
      </c>
      <c r="M61" s="123">
        <f t="shared" si="30"/>
        <v>1531011.1036860964</v>
      </c>
      <c r="N61" s="123">
        <f t="shared" si="30"/>
        <v>1574751.8113609045</v>
      </c>
      <c r="O61" s="284">
        <f t="shared" si="30"/>
        <v>1600105.3155238151</v>
      </c>
      <c r="P61" s="284">
        <f t="shared" ref="P61" si="31">$B$58*P60</f>
        <v>3251734.0222074967</v>
      </c>
    </row>
    <row r="62" spans="1:23">
      <c r="A62" s="329" t="s">
        <v>61</v>
      </c>
      <c r="B62" s="330">
        <f>SUM(C62:P62)</f>
        <v>100</v>
      </c>
      <c r="C62" s="331"/>
      <c r="D62" s="331"/>
      <c r="E62" s="332">
        <f>ROUND(E55%*$B$7,0)</f>
        <v>0</v>
      </c>
      <c r="F62" s="332">
        <f>ROUND(F55%*$B$7,0)</f>
        <v>0</v>
      </c>
      <c r="G62" s="333">
        <f>G27</f>
        <v>17</v>
      </c>
      <c r="H62" s="333">
        <f t="shared" ref="H62:O62" si="32">H27</f>
        <v>15</v>
      </c>
      <c r="I62" s="333">
        <f t="shared" si="32"/>
        <v>14</v>
      </c>
      <c r="J62" s="333">
        <f t="shared" si="32"/>
        <v>13</v>
      </c>
      <c r="K62" s="333">
        <f t="shared" si="32"/>
        <v>12</v>
      </c>
      <c r="L62" s="333">
        <f t="shared" si="32"/>
        <v>9.4</v>
      </c>
      <c r="M62" s="333">
        <f t="shared" si="32"/>
        <v>8.1</v>
      </c>
      <c r="N62" s="333">
        <f t="shared" si="32"/>
        <v>4.25</v>
      </c>
      <c r="O62" s="334">
        <f t="shared" si="32"/>
        <v>3.75</v>
      </c>
      <c r="P62" s="334">
        <f t="shared" ref="P62" si="33">P27</f>
        <v>3.5</v>
      </c>
    </row>
    <row r="63" spans="1:23" s="125" customFormat="1">
      <c r="A63" s="285" t="s">
        <v>62</v>
      </c>
      <c r="B63" s="335">
        <f>SUM(C63:M63)</f>
        <v>55405906.3583657</v>
      </c>
      <c r="C63" s="335"/>
      <c r="D63" s="335"/>
      <c r="E63" s="325">
        <f>E62*E61</f>
        <v>0</v>
      </c>
      <c r="F63" s="325">
        <f>F62*F61</f>
        <v>0</v>
      </c>
      <c r="G63" s="335">
        <f>$B$7*G61*G62%</f>
        <v>9890540.3702846132</v>
      </c>
      <c r="H63" s="335">
        <f t="shared" ref="H63:O63" si="34">$B$7*H61*H62%</f>
        <v>8976333.5806842651</v>
      </c>
      <c r="I63" s="335">
        <f t="shared" si="34"/>
        <v>8617323.2852875907</v>
      </c>
      <c r="J63" s="335">
        <f t="shared" si="34"/>
        <v>8230464.1714285705</v>
      </c>
      <c r="K63" s="335">
        <f t="shared" si="34"/>
        <v>7814457.7669126373</v>
      </c>
      <c r="L63" s="335">
        <f t="shared" si="34"/>
        <v>6296251.7108322084</v>
      </c>
      <c r="M63" s="335">
        <f t="shared" si="34"/>
        <v>5580535.4729358209</v>
      </c>
      <c r="N63" s="335">
        <f t="shared" si="34"/>
        <v>3011712.8392277304</v>
      </c>
      <c r="O63" s="336">
        <f t="shared" si="34"/>
        <v>2700177.719946438</v>
      </c>
      <c r="P63" s="336">
        <f t="shared" ref="P63" si="35">$B$7*P61*P62%</f>
        <v>5121481.0849768072</v>
      </c>
    </row>
    <row r="64" spans="1:23" ht="56.25" hidden="1" customHeight="1" thickBot="1">
      <c r="A64" s="281" t="s">
        <v>63</v>
      </c>
      <c r="B64" s="97">
        <f>SUM(C64:M64)</f>
        <v>0</v>
      </c>
      <c r="C64" s="97"/>
      <c r="D64" s="97"/>
      <c r="E64" s="114">
        <f>E63</f>
        <v>0</v>
      </c>
      <c r="F64" s="114">
        <f>F63</f>
        <v>0</v>
      </c>
      <c r="G64" s="97"/>
      <c r="H64" s="97"/>
      <c r="I64" s="97"/>
      <c r="J64" s="97"/>
      <c r="K64" s="97"/>
      <c r="L64" s="97"/>
      <c r="M64" s="97"/>
      <c r="N64" s="54"/>
      <c r="O64" s="266"/>
      <c r="P64" s="266"/>
    </row>
    <row r="65" spans="1:18" s="6" customFormat="1" ht="15" customHeight="1">
      <c r="A65" s="286" t="s">
        <v>93</v>
      </c>
      <c r="B65" s="215">
        <f>SUM(C65:P65)</f>
        <v>5947332118.789691</v>
      </c>
      <c r="C65" s="216">
        <f>C50+C57+C64</f>
        <v>0</v>
      </c>
      <c r="D65" s="216">
        <f>D50+D57+D64</f>
        <v>0</v>
      </c>
      <c r="E65" s="216">
        <f>E50+E57+E64</f>
        <v>0</v>
      </c>
      <c r="F65" s="216">
        <f>F50+F57+F64</f>
        <v>0</v>
      </c>
      <c r="G65" s="215">
        <f>SUM(G50+G63)</f>
        <v>888027922.25701606</v>
      </c>
      <c r="H65" s="215">
        <f t="shared" ref="H65:O65" si="36">SUM(H50+H63)</f>
        <v>805945333.69378972</v>
      </c>
      <c r="I65" s="215">
        <f t="shared" si="36"/>
        <v>773711385.42056572</v>
      </c>
      <c r="J65" s="215">
        <f t="shared" si="36"/>
        <v>738977014.7770201</v>
      </c>
      <c r="K65" s="215">
        <f t="shared" si="36"/>
        <v>701625637.6816082</v>
      </c>
      <c r="L65" s="215">
        <f t="shared" si="36"/>
        <v>565312623.52216792</v>
      </c>
      <c r="M65" s="215">
        <f t="shared" si="36"/>
        <v>501051624.64143151</v>
      </c>
      <c r="N65" s="215">
        <f t="shared" si="36"/>
        <v>270408389.72655827</v>
      </c>
      <c r="O65" s="287">
        <f t="shared" si="36"/>
        <v>242437027.76572576</v>
      </c>
      <c r="P65" s="287">
        <f t="shared" ref="P65" si="37">SUM(P50+P63)</f>
        <v>459835159.30380738</v>
      </c>
    </row>
    <row r="66" spans="1:18" s="7" customFormat="1">
      <c r="A66" s="288" t="s">
        <v>65</v>
      </c>
      <c r="B66" s="246">
        <f>SUM(C66:P66)</f>
        <v>991222019.79828191</v>
      </c>
      <c r="C66" s="127">
        <f t="shared" ref="C66:O66" si="38">C65/(1+$B$88)*$B$88</f>
        <v>0</v>
      </c>
      <c r="D66" s="127">
        <f t="shared" si="38"/>
        <v>0</v>
      </c>
      <c r="E66" s="127">
        <f t="shared" si="38"/>
        <v>0</v>
      </c>
      <c r="F66" s="127">
        <f t="shared" si="38"/>
        <v>0</v>
      </c>
      <c r="G66" s="93">
        <f t="shared" si="38"/>
        <v>148004653.70950267</v>
      </c>
      <c r="H66" s="93">
        <f t="shared" si="38"/>
        <v>134324222.2822983</v>
      </c>
      <c r="I66" s="93">
        <f t="shared" si="38"/>
        <v>128951897.5700943</v>
      </c>
      <c r="J66" s="93">
        <f t="shared" si="38"/>
        <v>123162835.79617003</v>
      </c>
      <c r="K66" s="93">
        <f t="shared" si="38"/>
        <v>116937606.28026806</v>
      </c>
      <c r="L66" s="93">
        <f t="shared" si="38"/>
        <v>94218770.587027997</v>
      </c>
      <c r="M66" s="93">
        <f t="shared" si="38"/>
        <v>83508604.106905267</v>
      </c>
      <c r="N66" s="93">
        <f t="shared" si="38"/>
        <v>45068064.954426378</v>
      </c>
      <c r="O66" s="289">
        <f t="shared" si="38"/>
        <v>40406171.294287629</v>
      </c>
      <c r="P66" s="289">
        <f t="shared" ref="P66" si="39">P65/(1+$B$88)*$B$88</f>
        <v>76639193.217301235</v>
      </c>
    </row>
    <row r="67" spans="1:18" s="6" customFormat="1" ht="15" customHeight="1">
      <c r="A67" s="286" t="s">
        <v>89</v>
      </c>
      <c r="B67" s="215"/>
      <c r="C67" s="216"/>
      <c r="D67" s="216"/>
      <c r="E67" s="216"/>
      <c r="F67" s="216"/>
      <c r="G67" s="215"/>
      <c r="H67" s="215"/>
      <c r="I67" s="215"/>
      <c r="J67" s="215"/>
      <c r="K67" s="215"/>
      <c r="L67" s="215"/>
      <c r="M67" s="215"/>
      <c r="N67" s="215">
        <f>SUM(G65:N65)</f>
        <v>5245059931.7201576</v>
      </c>
      <c r="O67" s="287">
        <f>O65</f>
        <v>242437027.76572576</v>
      </c>
      <c r="P67" s="287">
        <f>P65</f>
        <v>459835159.30380738</v>
      </c>
    </row>
    <row r="68" spans="1:18" s="7" customFormat="1" ht="15.75">
      <c r="A68" s="258" t="s">
        <v>67</v>
      </c>
      <c r="B68" s="204" t="s">
        <v>68</v>
      </c>
      <c r="C68" s="205" t="str">
        <f t="shared" ref="C68:O68" si="40">C18</f>
        <v>1 квартал</v>
      </c>
      <c r="D68" s="205" t="str">
        <f t="shared" si="40"/>
        <v>2 квартал</v>
      </c>
      <c r="E68" s="205" t="str">
        <f t="shared" si="40"/>
        <v>3 квартал</v>
      </c>
      <c r="F68" s="205" t="str">
        <f t="shared" si="40"/>
        <v>4 квартал</v>
      </c>
      <c r="G68" s="205" t="str">
        <f t="shared" si="40"/>
        <v>5 квартал</v>
      </c>
      <c r="H68" s="205" t="str">
        <f t="shared" si="40"/>
        <v>6 квартал</v>
      </c>
      <c r="I68" s="205" t="str">
        <f t="shared" si="40"/>
        <v>7 квартал</v>
      </c>
      <c r="J68" s="205" t="str">
        <f t="shared" si="40"/>
        <v>8 квартал</v>
      </c>
      <c r="K68" s="205" t="str">
        <f t="shared" si="40"/>
        <v>9 квартал</v>
      </c>
      <c r="L68" s="205" t="str">
        <f t="shared" si="40"/>
        <v>10 квартал</v>
      </c>
      <c r="M68" s="205" t="str">
        <f t="shared" si="40"/>
        <v>11 квартал</v>
      </c>
      <c r="N68" s="205" t="str">
        <f t="shared" si="40"/>
        <v>12 квартал</v>
      </c>
      <c r="O68" s="259" t="str">
        <f t="shared" si="40"/>
        <v>13 квартал</v>
      </c>
      <c r="P68" s="259" t="str">
        <f t="shared" ref="P68" si="41">P18</f>
        <v>14 квартал</v>
      </c>
      <c r="Q68" s="132" t="s">
        <v>164</v>
      </c>
      <c r="R68" s="428"/>
    </row>
    <row r="69" spans="1:18" s="7" customFormat="1">
      <c r="A69" s="290" t="s">
        <v>70</v>
      </c>
      <c r="B69" s="134">
        <f>SUM(C69:P69)</f>
        <v>1</v>
      </c>
      <c r="C69" s="135"/>
      <c r="D69" s="135"/>
      <c r="E69" s="135"/>
      <c r="F69" s="135">
        <v>0.05</v>
      </c>
      <c r="G69" s="135">
        <v>0.1</v>
      </c>
      <c r="H69" s="135">
        <v>0.15</v>
      </c>
      <c r="I69" s="135">
        <v>0.2</v>
      </c>
      <c r="J69" s="135">
        <v>0.15</v>
      </c>
      <c r="K69" s="135">
        <v>0.15</v>
      </c>
      <c r="L69" s="135">
        <v>0.1</v>
      </c>
      <c r="M69" s="135">
        <v>0.05</v>
      </c>
      <c r="N69" s="135">
        <v>0.05</v>
      </c>
      <c r="O69" s="135"/>
      <c r="P69" s="135"/>
      <c r="Q69" s="138" t="b">
        <f>B69=100%</f>
        <v>1</v>
      </c>
      <c r="R69" s="428"/>
    </row>
    <row r="70" spans="1:18" s="7" customFormat="1" ht="27.75" customHeight="1">
      <c r="A70" s="291" t="s">
        <v>71</v>
      </c>
      <c r="B70" s="93">
        <f>SUM(C70:P70)</f>
        <v>4357400896</v>
      </c>
      <c r="C70" s="247">
        <f>'[32]График Стр-ва'!$C$26:$E$26*1000</f>
        <v>19049448</v>
      </c>
      <c r="D70" s="247">
        <f>19049448</f>
        <v>19049448</v>
      </c>
      <c r="E70" s="247">
        <f>195095000</f>
        <v>195095000</v>
      </c>
      <c r="F70" s="247">
        <v>400038000</v>
      </c>
      <c r="G70" s="247">
        <v>380989000</v>
      </c>
      <c r="H70" s="247">
        <v>571484000</v>
      </c>
      <c r="I70" s="247">
        <v>761978000</v>
      </c>
      <c r="J70" s="247">
        <v>571484000</v>
      </c>
      <c r="K70" s="247">
        <v>571484000</v>
      </c>
      <c r="L70" s="247">
        <v>380989000</v>
      </c>
      <c r="M70" s="247">
        <v>190495000</v>
      </c>
      <c r="N70" s="92">
        <v>295266000</v>
      </c>
      <c r="O70" s="292">
        <v>0</v>
      </c>
      <c r="P70" s="292">
        <v>0</v>
      </c>
      <c r="Q70" s="143" t="b">
        <f>B70='[30]строит (ИТОГО)'!B8</f>
        <v>0</v>
      </c>
      <c r="R70" s="428"/>
    </row>
    <row r="71" spans="1:18" s="7" customFormat="1">
      <c r="A71" s="293" t="s">
        <v>72</v>
      </c>
      <c r="B71" s="93">
        <f>SUM(C71:P76)</f>
        <v>726233482.66666675</v>
      </c>
      <c r="C71" s="92">
        <f>C70/(1+$B$88)*$B$88</f>
        <v>3174908</v>
      </c>
      <c r="D71" s="92">
        <f t="shared" ref="D71:P71" si="42">D70/(1+$B$88)*$B$88</f>
        <v>3174908</v>
      </c>
      <c r="E71" s="92">
        <f t="shared" si="42"/>
        <v>32515833.33333334</v>
      </c>
      <c r="F71" s="92">
        <f t="shared" si="42"/>
        <v>66673000</v>
      </c>
      <c r="G71" s="92">
        <f>G70/(1+$B$88)*$B$88</f>
        <v>63498166.666666679</v>
      </c>
      <c r="H71" s="92">
        <f>H70/(1+$B$88)*$B$88</f>
        <v>95247333.333333343</v>
      </c>
      <c r="I71" s="92">
        <f>I70/(1+$B$88)*$B$88</f>
        <v>126996333.33333336</v>
      </c>
      <c r="J71" s="92">
        <f>J70/(1+$B$88)*$B$88</f>
        <v>95247333.333333343</v>
      </c>
      <c r="K71" s="92">
        <f>K70/(1+$B$88)*$B$88</f>
        <v>95247333.333333343</v>
      </c>
      <c r="L71" s="92">
        <f t="shared" si="42"/>
        <v>63498166.666666679</v>
      </c>
      <c r="M71" s="92">
        <f t="shared" si="42"/>
        <v>31749166.666666672</v>
      </c>
      <c r="N71" s="92">
        <f t="shared" si="42"/>
        <v>49211000</v>
      </c>
      <c r="O71" s="92">
        <f t="shared" si="42"/>
        <v>0</v>
      </c>
      <c r="P71" s="92">
        <f t="shared" si="42"/>
        <v>0</v>
      </c>
      <c r="Q71" s="143"/>
      <c r="R71" s="428"/>
    </row>
    <row r="72" spans="1:18" s="7" customFormat="1" hidden="1">
      <c r="A72" s="294" t="s">
        <v>73</v>
      </c>
      <c r="B72" s="93">
        <f>SUM(C72:M72)</f>
        <v>0</v>
      </c>
      <c r="C72" s="93">
        <f>0%*C50</f>
        <v>0</v>
      </c>
      <c r="D72" s="93">
        <f>0%*D50</f>
        <v>0</v>
      </c>
      <c r="E72" s="93">
        <f>0%*E50</f>
        <v>0</v>
      </c>
      <c r="F72" s="93">
        <f>0%*F50</f>
        <v>0</v>
      </c>
      <c r="G72" s="93">
        <f>0%*G50</f>
        <v>0</v>
      </c>
      <c r="H72" s="93"/>
      <c r="I72" s="93"/>
      <c r="J72" s="93"/>
      <c r="K72" s="93"/>
      <c r="L72" s="93">
        <f>0%*L50</f>
        <v>0</v>
      </c>
      <c r="M72" s="93">
        <f>0%*M50</f>
        <v>0</v>
      </c>
      <c r="N72" s="93"/>
      <c r="O72" s="289"/>
      <c r="P72" s="289"/>
      <c r="Q72" s="143"/>
      <c r="R72" s="428"/>
    </row>
    <row r="73" spans="1:18" s="7" customFormat="1" hidden="1">
      <c r="A73" s="275" t="s">
        <v>74</v>
      </c>
      <c r="B73" s="93">
        <f t="shared" ref="B69:B75" si="43">SUM(C73:M73)</f>
        <v>0</v>
      </c>
      <c r="C73" s="92">
        <f>C72/(1+$B$88)*$B$88</f>
        <v>0</v>
      </c>
      <c r="D73" s="92">
        <f>D72/(1+$B$88)*$B$88</f>
        <v>0</v>
      </c>
      <c r="E73" s="92">
        <f>E72/(1+$B$88)*$B$88</f>
        <v>0</v>
      </c>
      <c r="F73" s="92">
        <f>F72/(1+$B$88)*$B$88</f>
        <v>0</v>
      </c>
      <c r="G73" s="92">
        <f>G72/(1+$B$88)*$B$88</f>
        <v>0</v>
      </c>
      <c r="H73" s="92"/>
      <c r="I73" s="92"/>
      <c r="J73" s="92"/>
      <c r="K73" s="92"/>
      <c r="L73" s="92">
        <f>L72/(1+$B$88)*$B$88</f>
        <v>0</v>
      </c>
      <c r="M73" s="92">
        <f>M72/(1+$B$88)*$B$88</f>
        <v>0</v>
      </c>
      <c r="N73" s="92"/>
      <c r="O73" s="292"/>
      <c r="P73" s="292"/>
      <c r="Q73" s="143"/>
      <c r="R73" s="428"/>
    </row>
    <row r="74" spans="1:18" s="7" customFormat="1" hidden="1">
      <c r="A74" s="294" t="s">
        <v>75</v>
      </c>
      <c r="B74" s="93">
        <f t="shared" si="43"/>
        <v>0</v>
      </c>
      <c r="C74" s="93">
        <v>0</v>
      </c>
      <c r="D74" s="93">
        <v>0</v>
      </c>
      <c r="E74" s="93">
        <v>0</v>
      </c>
      <c r="F74" s="93">
        <v>0</v>
      </c>
      <c r="G74" s="93">
        <v>0</v>
      </c>
      <c r="H74" s="93"/>
      <c r="I74" s="93"/>
      <c r="J74" s="93"/>
      <c r="K74" s="93"/>
      <c r="L74" s="93">
        <v>0</v>
      </c>
      <c r="M74" s="93">
        <v>0</v>
      </c>
      <c r="N74" s="93"/>
      <c r="O74" s="289"/>
      <c r="P74" s="289"/>
      <c r="Q74" s="143"/>
      <c r="R74" s="428"/>
    </row>
    <row r="75" spans="1:18" s="7" customFormat="1" hidden="1">
      <c r="A75" s="275" t="s">
        <v>74</v>
      </c>
      <c r="B75" s="93">
        <f t="shared" si="43"/>
        <v>0</v>
      </c>
      <c r="C75" s="92">
        <f>C74/(1+$B$88)*$B$88</f>
        <v>0</v>
      </c>
      <c r="D75" s="92">
        <f>D74/(1+$B$88)*$B$88</f>
        <v>0</v>
      </c>
      <c r="E75" s="92">
        <f>E74/(1+$B$88)*$B$88</f>
        <v>0</v>
      </c>
      <c r="F75" s="92">
        <f>F74/(1+$B$88)*$B$88</f>
        <v>0</v>
      </c>
      <c r="G75" s="92">
        <f>G74/(1+$B$88)*$B$88</f>
        <v>0</v>
      </c>
      <c r="H75" s="92"/>
      <c r="I75" s="92"/>
      <c r="J75" s="92"/>
      <c r="K75" s="92"/>
      <c r="L75" s="92">
        <f>L74/(1+$B$88)*$B$88</f>
        <v>0</v>
      </c>
      <c r="M75" s="92">
        <f>M74/(1+$B$88)*$B$88</f>
        <v>0</v>
      </c>
      <c r="N75" s="92"/>
      <c r="O75" s="292"/>
      <c r="P75" s="292"/>
      <c r="Q75" s="143"/>
      <c r="R75" s="428"/>
    </row>
    <row r="76" spans="1:18" s="7" customFormat="1" ht="29.25" hidden="1" customHeight="1">
      <c r="A76" s="295" t="s">
        <v>76</v>
      </c>
      <c r="B76" s="147">
        <f>SUM(C76:M76)</f>
        <v>0</v>
      </c>
      <c r="C76" s="147">
        <f t="shared" ref="C76:L76" si="44">$B$107*C65</f>
        <v>0</v>
      </c>
      <c r="D76" s="147">
        <f t="shared" si="44"/>
        <v>0</v>
      </c>
      <c r="E76" s="147">
        <f t="shared" si="44"/>
        <v>0</v>
      </c>
      <c r="F76" s="147">
        <f t="shared" si="44"/>
        <v>0</v>
      </c>
      <c r="G76" s="147">
        <f t="shared" si="44"/>
        <v>0</v>
      </c>
      <c r="H76" s="147">
        <f t="shared" si="44"/>
        <v>0</v>
      </c>
      <c r="I76" s="147">
        <f t="shared" si="44"/>
        <v>0</v>
      </c>
      <c r="J76" s="147">
        <f t="shared" si="44"/>
        <v>0</v>
      </c>
      <c r="K76" s="147">
        <f t="shared" si="44"/>
        <v>0</v>
      </c>
      <c r="L76" s="147">
        <f t="shared" si="44"/>
        <v>0</v>
      </c>
      <c r="M76" s="93">
        <f>$B$107*(M65-M49)</f>
        <v>0</v>
      </c>
      <c r="N76" s="92"/>
      <c r="O76" s="292"/>
      <c r="P76" s="292"/>
      <c r="Q76" s="143"/>
      <c r="R76" s="428"/>
    </row>
    <row r="77" spans="1:18" s="7" customFormat="1" ht="12" customHeight="1">
      <c r="A77" s="294" t="s">
        <v>77</v>
      </c>
      <c r="B77" s="148">
        <f>SUM(C77:P77)</f>
        <v>142506861.97999999</v>
      </c>
      <c r="C77" s="149">
        <f>'[32]График Стр-ва'!$C$25:$E$25*1000</f>
        <v>66309069.979999997</v>
      </c>
      <c r="D77" s="149">
        <f>$C$71*2</f>
        <v>6349816</v>
      </c>
      <c r="E77" s="149">
        <f t="shared" ref="E77:N77" si="45">$C$71*2</f>
        <v>6349816</v>
      </c>
      <c r="F77" s="149">
        <f t="shared" si="45"/>
        <v>6349816</v>
      </c>
      <c r="G77" s="149">
        <f t="shared" si="45"/>
        <v>6349816</v>
      </c>
      <c r="H77" s="149">
        <f t="shared" si="45"/>
        <v>6349816</v>
      </c>
      <c r="I77" s="149">
        <f t="shared" si="45"/>
        <v>6349816</v>
      </c>
      <c r="J77" s="149">
        <f t="shared" si="45"/>
        <v>6349816</v>
      </c>
      <c r="K77" s="149">
        <f t="shared" si="45"/>
        <v>6349816</v>
      </c>
      <c r="L77" s="149">
        <f t="shared" si="45"/>
        <v>6349816</v>
      </c>
      <c r="M77" s="149">
        <f t="shared" si="45"/>
        <v>6349816</v>
      </c>
      <c r="N77" s="149">
        <f t="shared" si="45"/>
        <v>6349816</v>
      </c>
      <c r="O77" s="296">
        <f>C71</f>
        <v>3174908</v>
      </c>
      <c r="P77" s="296">
        <f>O77</f>
        <v>3174908</v>
      </c>
      <c r="Q77" s="143"/>
      <c r="R77" s="428"/>
    </row>
    <row r="78" spans="1:18" s="7" customFormat="1" ht="24" customHeight="1">
      <c r="A78" s="297" t="s">
        <v>78</v>
      </c>
      <c r="B78" s="215">
        <f>SUM(C78:P78)</f>
        <v>4204641757.98</v>
      </c>
      <c r="C78" s="215">
        <f>C70+C77</f>
        <v>85358517.979999989</v>
      </c>
      <c r="D78" s="215">
        <f t="shared" ref="D78:M78" si="46">D70+D72+D74+D76+D77</f>
        <v>25399264</v>
      </c>
      <c r="E78" s="215">
        <f t="shared" si="46"/>
        <v>201444816</v>
      </c>
      <c r="F78" s="215">
        <f t="shared" si="46"/>
        <v>406387816</v>
      </c>
      <c r="G78" s="215">
        <f t="shared" si="46"/>
        <v>387338816</v>
      </c>
      <c r="H78" s="215">
        <f t="shared" si="46"/>
        <v>577833816</v>
      </c>
      <c r="I78" s="215">
        <f t="shared" si="46"/>
        <v>768327816</v>
      </c>
      <c r="J78" s="215">
        <f t="shared" si="46"/>
        <v>577833816</v>
      </c>
      <c r="K78" s="215">
        <f t="shared" si="46"/>
        <v>577833816</v>
      </c>
      <c r="L78" s="215">
        <f t="shared" si="46"/>
        <v>387338816</v>
      </c>
      <c r="M78" s="215">
        <f t="shared" si="46"/>
        <v>196844816</v>
      </c>
      <c r="N78" s="215">
        <f>N77</f>
        <v>6349816</v>
      </c>
      <c r="O78" s="287">
        <f>O77</f>
        <v>3174908</v>
      </c>
      <c r="P78" s="287">
        <f>P77</f>
        <v>3174908</v>
      </c>
      <c r="Q78" s="143"/>
      <c r="R78" s="428"/>
    </row>
    <row r="79" spans="1:18" s="7" customFormat="1">
      <c r="A79" s="298" t="s">
        <v>65</v>
      </c>
      <c r="B79" s="253">
        <f>SUM(C79:P79)</f>
        <v>726233482.66666675</v>
      </c>
      <c r="C79" s="253">
        <f>C71+C73+C75</f>
        <v>3174908</v>
      </c>
      <c r="D79" s="253">
        <f t="shared" ref="D79:P79" si="47">D71+D73+D75</f>
        <v>3174908</v>
      </c>
      <c r="E79" s="253">
        <f t="shared" si="47"/>
        <v>32515833.33333334</v>
      </c>
      <c r="F79" s="253">
        <f t="shared" si="47"/>
        <v>66673000</v>
      </c>
      <c r="G79" s="253">
        <f>G71+G73+G75</f>
        <v>63498166.666666679</v>
      </c>
      <c r="H79" s="253">
        <f t="shared" si="47"/>
        <v>95247333.333333343</v>
      </c>
      <c r="I79" s="253">
        <f t="shared" si="47"/>
        <v>126996333.33333336</v>
      </c>
      <c r="J79" s="253">
        <f t="shared" si="47"/>
        <v>95247333.333333343</v>
      </c>
      <c r="K79" s="253">
        <f t="shared" si="47"/>
        <v>95247333.333333343</v>
      </c>
      <c r="L79" s="253">
        <f t="shared" si="47"/>
        <v>63498166.666666679</v>
      </c>
      <c r="M79" s="253">
        <f t="shared" si="47"/>
        <v>31749166.666666672</v>
      </c>
      <c r="N79" s="253">
        <f t="shared" si="47"/>
        <v>49211000</v>
      </c>
      <c r="O79" s="253">
        <f t="shared" si="47"/>
        <v>0</v>
      </c>
      <c r="P79" s="253">
        <f t="shared" si="47"/>
        <v>0</v>
      </c>
      <c r="Q79" s="254"/>
      <c r="R79" s="428"/>
    </row>
    <row r="80" spans="1:18" s="156" customFormat="1" ht="13.5" thickBot="1">
      <c r="A80" s="299"/>
      <c r="B80" s="300"/>
      <c r="C80" s="300"/>
      <c r="D80" s="300"/>
      <c r="E80" s="300"/>
      <c r="F80" s="301"/>
      <c r="G80" s="301"/>
      <c r="H80" s="301"/>
      <c r="I80" s="301"/>
      <c r="J80" s="301"/>
      <c r="K80" s="301"/>
      <c r="L80" s="301"/>
      <c r="M80" s="302"/>
      <c r="N80" s="302"/>
      <c r="O80" s="303"/>
      <c r="P80" s="303"/>
      <c r="Q80" s="138"/>
    </row>
    <row r="81" spans="1:17" s="156" customFormat="1">
      <c r="A81" s="304"/>
      <c r="B81" s="305"/>
      <c r="C81" s="305"/>
      <c r="D81" s="305"/>
      <c r="E81" s="305"/>
      <c r="F81" s="306"/>
      <c r="G81" s="306"/>
      <c r="H81" s="306"/>
      <c r="I81" s="306"/>
      <c r="J81" s="306"/>
      <c r="K81" s="306"/>
      <c r="L81" s="306"/>
    </row>
    <row r="82" spans="1:17" s="156" customFormat="1" ht="13.5" thickBot="1">
      <c r="A82" s="249"/>
      <c r="B82" s="250"/>
      <c r="C82" s="250"/>
      <c r="D82" s="250"/>
      <c r="E82" s="250"/>
      <c r="F82" s="251"/>
      <c r="G82" s="251"/>
      <c r="H82" s="251"/>
      <c r="I82" s="251"/>
      <c r="J82" s="251"/>
      <c r="K82" s="251"/>
      <c r="L82" s="251"/>
      <c r="M82" s="252"/>
      <c r="N82" s="252"/>
      <c r="O82" s="252"/>
      <c r="P82" s="252"/>
      <c r="Q82" s="252"/>
    </row>
    <row r="83" spans="1:17" s="6" customFormat="1">
      <c r="A83" s="309" t="s">
        <v>79</v>
      </c>
      <c r="B83" s="310">
        <f>SUM(C83:P83)</f>
        <v>1742690360.809691</v>
      </c>
      <c r="C83" s="310">
        <f>C67-C78</f>
        <v>-85358517.979999989</v>
      </c>
      <c r="D83" s="310">
        <f t="shared" ref="D83:O83" si="48">D67-D78</f>
        <v>-25399264</v>
      </c>
      <c r="E83" s="310">
        <f t="shared" si="48"/>
        <v>-201444816</v>
      </c>
      <c r="F83" s="310">
        <f t="shared" si="48"/>
        <v>-406387816</v>
      </c>
      <c r="G83" s="310">
        <f t="shared" si="48"/>
        <v>-387338816</v>
      </c>
      <c r="H83" s="310">
        <f t="shared" si="48"/>
        <v>-577833816</v>
      </c>
      <c r="I83" s="310">
        <f t="shared" si="48"/>
        <v>-768327816</v>
      </c>
      <c r="J83" s="310">
        <f t="shared" si="48"/>
        <v>-577833816</v>
      </c>
      <c r="K83" s="310">
        <f t="shared" si="48"/>
        <v>-577833816</v>
      </c>
      <c r="L83" s="310">
        <f t="shared" si="48"/>
        <v>-387338816</v>
      </c>
      <c r="M83" s="310">
        <f t="shared" si="48"/>
        <v>-196844816</v>
      </c>
      <c r="N83" s="310">
        <f t="shared" si="48"/>
        <v>5238710115.7201576</v>
      </c>
      <c r="O83" s="310">
        <f t="shared" si="48"/>
        <v>239262119.76572576</v>
      </c>
      <c r="P83" s="310">
        <f t="shared" ref="P83" si="49">P67-P78</f>
        <v>456660251.30380738</v>
      </c>
      <c r="Q83" s="248"/>
    </row>
    <row r="84" spans="1:17" s="341" customFormat="1" ht="25.5">
      <c r="A84" s="337" t="s">
        <v>92</v>
      </c>
      <c r="B84" s="338"/>
      <c r="C84" s="338">
        <f>C83-C85</f>
        <v>-85358517.979999989</v>
      </c>
      <c r="D84" s="338">
        <f t="shared" ref="D84:O84" si="50">D83-D85</f>
        <v>-25399264</v>
      </c>
      <c r="E84" s="338">
        <f t="shared" si="50"/>
        <v>-201444816</v>
      </c>
      <c r="F84" s="338">
        <f t="shared" si="50"/>
        <v>-406387816</v>
      </c>
      <c r="G84" s="338">
        <f t="shared" si="50"/>
        <v>-387338816</v>
      </c>
      <c r="H84" s="338">
        <f t="shared" si="50"/>
        <v>-577833816</v>
      </c>
      <c r="I84" s="338">
        <f t="shared" si="50"/>
        <v>-768327816</v>
      </c>
      <c r="J84" s="338">
        <f t="shared" si="50"/>
        <v>-577833816</v>
      </c>
      <c r="K84" s="338">
        <f t="shared" si="50"/>
        <v>-577833816</v>
      </c>
      <c r="L84" s="338">
        <f t="shared" si="50"/>
        <v>-387338816</v>
      </c>
      <c r="M84" s="338">
        <f t="shared" si="50"/>
        <v>-196844816</v>
      </c>
      <c r="N84" s="338">
        <f t="shared" si="50"/>
        <v>-6349816</v>
      </c>
      <c r="O84" s="339">
        <f t="shared" si="50"/>
        <v>-3174908</v>
      </c>
      <c r="P84" s="339">
        <f t="shared" ref="P84" si="51">P83-P85</f>
        <v>-3174908</v>
      </c>
      <c r="Q84" s="340"/>
    </row>
    <row r="85" spans="1:17" s="341" customFormat="1" ht="26.25" thickBot="1">
      <c r="A85" s="337" t="s">
        <v>95</v>
      </c>
      <c r="B85" s="342"/>
      <c r="C85" s="343"/>
      <c r="D85" s="343"/>
      <c r="E85" s="343"/>
      <c r="F85" s="343"/>
      <c r="G85" s="342"/>
      <c r="H85" s="342"/>
      <c r="I85" s="342"/>
      <c r="J85" s="342"/>
      <c r="K85" s="342"/>
      <c r="L85" s="342"/>
      <c r="M85" s="342"/>
      <c r="N85" s="342">
        <f>SUM(G65:N65)</f>
        <v>5245059931.7201576</v>
      </c>
      <c r="O85" s="344">
        <f>O65</f>
        <v>242437027.76572576</v>
      </c>
      <c r="P85" s="344">
        <f>P65</f>
        <v>459835159.30380738</v>
      </c>
      <c r="Q85" s="514">
        <f>SUM(N85:P85)</f>
        <v>5947332118.789691</v>
      </c>
    </row>
    <row r="86" spans="1:17" s="6" customFormat="1">
      <c r="A86" s="309" t="s">
        <v>97</v>
      </c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248"/>
    </row>
    <row r="87" spans="1:17" s="328" customFormat="1">
      <c r="A87" s="351" t="s">
        <v>80</v>
      </c>
      <c r="B87" s="347">
        <f>SUM(C87:P87)</f>
        <v>1885197222.7896905</v>
      </c>
      <c r="C87" s="347">
        <f t="shared" ref="C87:O87" si="52">C65-C78+C77</f>
        <v>-19049447.999999993</v>
      </c>
      <c r="D87" s="347">
        <f t="shared" si="52"/>
        <v>-19049448</v>
      </c>
      <c r="E87" s="347">
        <f t="shared" si="52"/>
        <v>-195095000</v>
      </c>
      <c r="F87" s="347">
        <f t="shared" si="52"/>
        <v>-400038000</v>
      </c>
      <c r="G87" s="347">
        <f t="shared" si="52"/>
        <v>507038922.25701606</v>
      </c>
      <c r="H87" s="347">
        <f t="shared" si="52"/>
        <v>234461333.69378972</v>
      </c>
      <c r="I87" s="347">
        <f t="shared" si="52"/>
        <v>11733385.420565724</v>
      </c>
      <c r="J87" s="347">
        <f t="shared" si="52"/>
        <v>167493014.7770201</v>
      </c>
      <c r="K87" s="347">
        <f t="shared" si="52"/>
        <v>130141637.6816082</v>
      </c>
      <c r="L87" s="347">
        <f t="shared" si="52"/>
        <v>184323623.52216792</v>
      </c>
      <c r="M87" s="347">
        <f t="shared" si="52"/>
        <v>310556624.64143151</v>
      </c>
      <c r="N87" s="347">
        <f t="shared" si="52"/>
        <v>270408389.72655827</v>
      </c>
      <c r="O87" s="348">
        <f t="shared" si="52"/>
        <v>242437027.76572576</v>
      </c>
      <c r="P87" s="348">
        <f t="shared" ref="P87" si="53">P65-P78+P77</f>
        <v>459835159.30380738</v>
      </c>
      <c r="Q87" s="349"/>
    </row>
    <row r="88" spans="1:17" s="328" customFormat="1">
      <c r="A88" s="351" t="s">
        <v>81</v>
      </c>
      <c r="B88" s="352">
        <v>0.2</v>
      </c>
      <c r="C88" s="347">
        <v>0</v>
      </c>
      <c r="D88" s="347">
        <v>0</v>
      </c>
      <c r="E88" s="347">
        <v>0</v>
      </c>
      <c r="F88" s="347">
        <v>0</v>
      </c>
      <c r="G88" s="347">
        <v>0</v>
      </c>
      <c r="H88" s="347">
        <v>0</v>
      </c>
      <c r="I88" s="347">
        <v>0</v>
      </c>
      <c r="J88" s="347">
        <v>0</v>
      </c>
      <c r="K88" s="347">
        <v>0</v>
      </c>
      <c r="L88" s="347">
        <v>0</v>
      </c>
      <c r="M88" s="347">
        <v>0</v>
      </c>
      <c r="N88" s="347">
        <v>0</v>
      </c>
      <c r="O88" s="348">
        <v>0</v>
      </c>
      <c r="P88" s="348">
        <v>1</v>
      </c>
      <c r="Q88" s="349">
        <f>B87/(1+B88)*B88</f>
        <v>314199537.1316151</v>
      </c>
    </row>
    <row r="89" spans="1:17" s="328" customFormat="1">
      <c r="A89" s="351" t="s">
        <v>82</v>
      </c>
      <c r="B89" s="347">
        <f>SUM(C89:Q89)</f>
        <v>1428490822.6780758</v>
      </c>
      <c r="C89" s="347">
        <f>C83-C88</f>
        <v>-85358517.979999989</v>
      </c>
      <c r="D89" s="347">
        <f t="shared" ref="D89:M89" si="54">D83-D88</f>
        <v>-25399264</v>
      </c>
      <c r="E89" s="347">
        <f t="shared" si="54"/>
        <v>-201444816</v>
      </c>
      <c r="F89" s="347">
        <f t="shared" si="54"/>
        <v>-406387816</v>
      </c>
      <c r="G89" s="347">
        <f t="shared" si="54"/>
        <v>-387338816</v>
      </c>
      <c r="H89" s="347">
        <f>H83-H88</f>
        <v>-577833816</v>
      </c>
      <c r="I89" s="347">
        <f>I83-I88</f>
        <v>-768327816</v>
      </c>
      <c r="J89" s="347">
        <f>J83-J88</f>
        <v>-577833816</v>
      </c>
      <c r="K89" s="347">
        <f>K83-K88</f>
        <v>-577833816</v>
      </c>
      <c r="L89" s="347">
        <f t="shared" si="54"/>
        <v>-387338816</v>
      </c>
      <c r="M89" s="347">
        <f t="shared" si="54"/>
        <v>-196844816</v>
      </c>
      <c r="N89" s="347">
        <f>N83-N88</f>
        <v>5238710115.7201576</v>
      </c>
      <c r="O89" s="348">
        <f>O83-O88</f>
        <v>239262119.76572576</v>
      </c>
      <c r="P89" s="348">
        <f>P83-P88</f>
        <v>456660250.30380738</v>
      </c>
      <c r="Q89" s="353">
        <f>Q83-Q88</f>
        <v>-314199537.1316151</v>
      </c>
    </row>
    <row r="90" spans="1:17" s="350" customFormat="1">
      <c r="A90" s="354" t="s">
        <v>83</v>
      </c>
      <c r="B90" s="315">
        <v>0.2</v>
      </c>
      <c r="C90" s="315">
        <v>0</v>
      </c>
      <c r="D90" s="315">
        <v>0</v>
      </c>
      <c r="E90" s="315">
        <v>0</v>
      </c>
      <c r="F90" s="315">
        <v>0</v>
      </c>
      <c r="G90" s="315">
        <v>0</v>
      </c>
      <c r="H90" s="315">
        <v>0</v>
      </c>
      <c r="I90" s="315">
        <v>0</v>
      </c>
      <c r="J90" s="315">
        <v>0</v>
      </c>
      <c r="K90" s="315">
        <v>0</v>
      </c>
      <c r="L90" s="315">
        <v>0</v>
      </c>
      <c r="M90" s="315">
        <v>0</v>
      </c>
      <c r="N90" s="315">
        <v>0</v>
      </c>
      <c r="O90" s="316">
        <v>0</v>
      </c>
      <c r="P90" s="316">
        <v>1</v>
      </c>
      <c r="Q90" s="349">
        <f>-B89*B90</f>
        <v>-285698164.53561515</v>
      </c>
    </row>
    <row r="91" spans="1:17" s="350" customFormat="1">
      <c r="A91" s="355" t="s">
        <v>96</v>
      </c>
      <c r="B91" s="356"/>
      <c r="C91" s="356">
        <f>C88+C90</f>
        <v>0</v>
      </c>
      <c r="D91" s="356">
        <f t="shared" ref="D91:O91" si="55">D88+D90</f>
        <v>0</v>
      </c>
      <c r="E91" s="356">
        <f t="shared" si="55"/>
        <v>0</v>
      </c>
      <c r="F91" s="356">
        <f t="shared" si="55"/>
        <v>0</v>
      </c>
      <c r="G91" s="356">
        <f t="shared" si="55"/>
        <v>0</v>
      </c>
      <c r="H91" s="356">
        <f t="shared" si="55"/>
        <v>0</v>
      </c>
      <c r="I91" s="356">
        <f t="shared" si="55"/>
        <v>0</v>
      </c>
      <c r="J91" s="356">
        <f t="shared" si="55"/>
        <v>0</v>
      </c>
      <c r="K91" s="356">
        <f t="shared" si="55"/>
        <v>0</v>
      </c>
      <c r="L91" s="356">
        <f t="shared" si="55"/>
        <v>0</v>
      </c>
      <c r="M91" s="356">
        <f t="shared" si="55"/>
        <v>0</v>
      </c>
      <c r="N91" s="356">
        <f t="shared" si="55"/>
        <v>0</v>
      </c>
      <c r="O91" s="356">
        <f t="shared" si="55"/>
        <v>0</v>
      </c>
      <c r="P91" s="356">
        <f t="shared" ref="P91" si="56">P88+P90</f>
        <v>2</v>
      </c>
      <c r="Q91" s="356">
        <f>Q89+Q90</f>
        <v>-599897701.66723025</v>
      </c>
    </row>
    <row r="92" spans="1:17" s="328" customFormat="1" ht="13.5" thickBot="1">
      <c r="A92" s="345"/>
      <c r="B92" s="346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8"/>
      <c r="P92" s="348"/>
      <c r="Q92" s="349"/>
    </row>
    <row r="93" spans="1:17" s="6" customFormat="1">
      <c r="A93" s="309" t="s">
        <v>98</v>
      </c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248"/>
    </row>
    <row r="94" spans="1:17">
      <c r="A94" s="262" t="s">
        <v>86</v>
      </c>
      <c r="B94" s="163">
        <v>19</v>
      </c>
      <c r="C94" s="164">
        <f>(POWER((1+$B$94/100),1/4)-1)*100</f>
        <v>4.4447802172789874</v>
      </c>
      <c r="D94" s="164">
        <f t="shared" ref="D94:M94" si="57">(POWER((1+$B$94/100),1/4)-1)*100</f>
        <v>4.4447802172789874</v>
      </c>
      <c r="E94" s="164">
        <f t="shared" si="57"/>
        <v>4.4447802172789874</v>
      </c>
      <c r="F94" s="164">
        <f t="shared" si="57"/>
        <v>4.4447802172789874</v>
      </c>
      <c r="G94" s="164">
        <f t="shared" si="57"/>
        <v>4.4447802172789874</v>
      </c>
      <c r="H94" s="164">
        <f t="shared" si="57"/>
        <v>4.4447802172789874</v>
      </c>
      <c r="I94" s="164">
        <f t="shared" si="57"/>
        <v>4.4447802172789874</v>
      </c>
      <c r="J94" s="164">
        <f t="shared" si="57"/>
        <v>4.4447802172789874</v>
      </c>
      <c r="K94" s="164">
        <f t="shared" si="57"/>
        <v>4.4447802172789874</v>
      </c>
      <c r="L94" s="164">
        <f t="shared" si="57"/>
        <v>4.4447802172789874</v>
      </c>
      <c r="M94" s="164">
        <f t="shared" si="57"/>
        <v>4.4447802172789874</v>
      </c>
      <c r="N94" s="164">
        <f>M94</f>
        <v>4.4447802172789874</v>
      </c>
      <c r="O94" s="311">
        <f>N94</f>
        <v>4.4447802172789874</v>
      </c>
      <c r="P94" s="311">
        <f>O94</f>
        <v>4.4447802172789874</v>
      </c>
      <c r="Q94" s="166">
        <f>O94</f>
        <v>4.4447802172789874</v>
      </c>
    </row>
    <row r="95" spans="1:17" ht="25.5">
      <c r="A95" s="260" t="s">
        <v>90</v>
      </c>
      <c r="B95" s="167"/>
      <c r="C95" s="168">
        <f>1/(1+C94/100)^0.5</f>
        <v>0.9784905367330925</v>
      </c>
      <c r="D95" s="168">
        <f>C95/(1+D94/100)</f>
        <v>0.9368496297254062</v>
      </c>
      <c r="E95" s="168">
        <f>D95/(1+E94/100)</f>
        <v>0.89698080437955385</v>
      </c>
      <c r="F95" s="168">
        <f>E95/(1+F94/100)</f>
        <v>0.85880864751071628</v>
      </c>
      <c r="G95" s="168">
        <f t="shared" ref="G95:P95" si="58">F95/(1+G94/100)</f>
        <v>0.82226095523789322</v>
      </c>
      <c r="H95" s="168">
        <f t="shared" si="58"/>
        <v>0.7872685964079047</v>
      </c>
      <c r="I95" s="168">
        <f t="shared" si="58"/>
        <v>0.75376538183155817</v>
      </c>
      <c r="J95" s="168">
        <f t="shared" si="58"/>
        <v>0.7216879390846358</v>
      </c>
      <c r="K95" s="168">
        <f t="shared" si="58"/>
        <v>0.69097559263688524</v>
      </c>
      <c r="L95" s="168">
        <f t="shared" si="58"/>
        <v>0.66157024908227302</v>
      </c>
      <c r="M95" s="168">
        <f t="shared" si="58"/>
        <v>0.63341628725341037</v>
      </c>
      <c r="N95" s="168">
        <f t="shared" si="58"/>
        <v>0.60646045301229912</v>
      </c>
      <c r="O95" s="312">
        <f t="shared" si="58"/>
        <v>0.58065175851839113</v>
      </c>
      <c r="P95" s="312">
        <f t="shared" si="58"/>
        <v>0.55594138578342289</v>
      </c>
      <c r="Q95" s="170">
        <f>O95/(1+Q94/100)</f>
        <v>0.55594138578342289</v>
      </c>
    </row>
    <row r="96" spans="1:17" ht="38.25">
      <c r="A96" s="260" t="s">
        <v>91</v>
      </c>
      <c r="B96" s="167"/>
      <c r="C96" s="168">
        <f>1/(1+C95/100)</f>
        <v>0.99030991123424306</v>
      </c>
      <c r="D96" s="168">
        <f>C96/(1+D94/100)</f>
        <v>0.94816601573968329</v>
      </c>
      <c r="E96" s="168">
        <f t="shared" ref="E96:N96" si="59">D96/(1+E94/100)</f>
        <v>0.9078156072205722</v>
      </c>
      <c r="F96" s="168">
        <f t="shared" si="59"/>
        <v>0.86918236156179518</v>
      </c>
      <c r="G96" s="168">
        <f t="shared" si="59"/>
        <v>0.83219320271785169</v>
      </c>
      <c r="H96" s="168">
        <f t="shared" si="59"/>
        <v>0.79677816448712913</v>
      </c>
      <c r="I96" s="168">
        <f t="shared" si="59"/>
        <v>0.76287025816854837</v>
      </c>
      <c r="J96" s="168">
        <f t="shared" si="59"/>
        <v>0.73040534585024841</v>
      </c>
      <c r="K96" s="168">
        <f t="shared" si="59"/>
        <v>0.69932201909063196</v>
      </c>
      <c r="L96" s="168">
        <f t="shared" si="59"/>
        <v>0.66956148276229366</v>
      </c>
      <c r="M96" s="168">
        <f t="shared" si="59"/>
        <v>0.64106744383911651</v>
      </c>
      <c r="N96" s="168">
        <f t="shared" si="59"/>
        <v>0.6137860049161753</v>
      </c>
      <c r="O96" s="312">
        <f>N96/(1+O94/100)</f>
        <v>0.5876655622610355</v>
      </c>
      <c r="P96" s="312">
        <f>O96/(1+P94/100)</f>
        <v>0.56265670820360836</v>
      </c>
      <c r="Q96" s="170">
        <f>O96/(1+Q94/100)</f>
        <v>0.56265670820360836</v>
      </c>
    </row>
    <row r="97" spans="1:17" ht="26.25" customHeight="1" thickBot="1">
      <c r="A97" s="171" t="s">
        <v>99</v>
      </c>
      <c r="B97" s="313">
        <f>SUM(C97:Q97)</f>
        <v>3439100956.0950851</v>
      </c>
      <c r="C97" s="314">
        <f>C84*C95+C85*C96+C91*C95</f>
        <v>-83522502.07299152</v>
      </c>
      <c r="D97" s="314">
        <f t="shared" ref="D97:O97" si="60">D84*D95+D85*D96+D91*D95</f>
        <v>-23795291.073697839</v>
      </c>
      <c r="E97" s="314">
        <f t="shared" si="60"/>
        <v>-180692133.09377122</v>
      </c>
      <c r="F97" s="314">
        <f t="shared" si="60"/>
        <v>-349009370.62379384</v>
      </c>
      <c r="G97" s="314">
        <f t="shared" si="60"/>
        <v>-318493584.84487456</v>
      </c>
      <c r="H97" s="314">
        <f t="shared" si="60"/>
        <v>-454910417.27934349</v>
      </c>
      <c r="I97" s="314">
        <f t="shared" si="60"/>
        <v>-579138909.59904718</v>
      </c>
      <c r="J97" s="314">
        <f t="shared" si="60"/>
        <v>-417015695.80245066</v>
      </c>
      <c r="K97" s="314">
        <f t="shared" si="60"/>
        <v>-399269063.45623291</v>
      </c>
      <c r="L97" s="314">
        <f t="shared" si="60"/>
        <v>-256251836.98035273</v>
      </c>
      <c r="M97" s="314">
        <f t="shared" si="60"/>
        <v>-124684712.51580071</v>
      </c>
      <c r="N97" s="314">
        <f t="shared" si="60"/>
        <v>3215493468.748518</v>
      </c>
      <c r="O97" s="314">
        <f t="shared" si="60"/>
        <v>140628376.3215054</v>
      </c>
      <c r="P97" s="314">
        <f t="shared" ref="P97" si="61">P84*P95+P85*P96+P91*P95</f>
        <v>256964275.40879002</v>
      </c>
      <c r="Q97" s="314">
        <f>Q84*Q95+Q85*Q96+Q91*Q95</f>
        <v>3012798352.9586287</v>
      </c>
    </row>
    <row r="98" spans="1:17" s="14" customFormat="1" ht="13.5" thickTop="1">
      <c r="A98" s="176"/>
      <c r="B98" s="177"/>
      <c r="C98" s="177"/>
      <c r="D98" s="307"/>
      <c r="E98" s="307"/>
      <c r="F98" s="307"/>
      <c r="G98" s="307"/>
      <c r="H98" s="307"/>
      <c r="I98" s="307"/>
      <c r="J98" s="307"/>
      <c r="K98" s="307"/>
      <c r="L98" s="307"/>
      <c r="M98" s="308"/>
    </row>
    <row r="99" spans="1:17" s="14" customFormat="1">
      <c r="A99" s="181"/>
      <c r="B99" s="509"/>
      <c r="C99" s="509"/>
      <c r="D99" s="509"/>
      <c r="E99" s="182"/>
      <c r="F99" s="183"/>
      <c r="G99" s="183"/>
      <c r="H99" s="183"/>
      <c r="I99" s="183"/>
      <c r="J99" s="183"/>
      <c r="K99" s="183"/>
      <c r="L99" s="183"/>
      <c r="M99" s="183"/>
      <c r="N99" s="184"/>
    </row>
    <row r="100" spans="1:17" s="14" customFormat="1" ht="12.75" customHeight="1">
      <c r="A100" s="491" t="s">
        <v>88</v>
      </c>
      <c r="B100" s="491"/>
      <c r="C100" s="491"/>
      <c r="D100" s="491"/>
      <c r="E100" s="491"/>
      <c r="F100" s="491"/>
      <c r="G100" s="491"/>
      <c r="H100" s="491"/>
      <c r="I100" s="491"/>
      <c r="J100" s="491"/>
      <c r="K100" s="491"/>
      <c r="L100" s="185"/>
      <c r="M100" s="185"/>
      <c r="N100" s="184"/>
    </row>
    <row r="101" spans="1:17" s="14" customFormat="1" ht="12.75" customHeight="1">
      <c r="A101" s="491"/>
      <c r="B101" s="491"/>
      <c r="C101" s="491"/>
      <c r="D101" s="491"/>
      <c r="E101" s="491"/>
      <c r="F101" s="491"/>
      <c r="G101" s="491"/>
      <c r="H101" s="491"/>
      <c r="I101" s="491"/>
      <c r="J101" s="491"/>
      <c r="K101" s="491"/>
      <c r="L101" s="186"/>
      <c r="M101" s="186"/>
      <c r="N101" s="184"/>
    </row>
    <row r="102" spans="1:17" s="14" customFormat="1" ht="12.75" customHeight="1">
      <c r="A102" s="491"/>
      <c r="B102" s="491"/>
      <c r="C102" s="491"/>
      <c r="D102" s="491"/>
      <c r="E102" s="491"/>
      <c r="F102" s="491"/>
      <c r="G102" s="491"/>
      <c r="H102" s="491"/>
      <c r="I102" s="491"/>
      <c r="J102" s="491"/>
      <c r="K102" s="491"/>
      <c r="L102" s="186"/>
      <c r="M102" s="186"/>
      <c r="N102" s="184"/>
    </row>
    <row r="103" spans="1:17" s="14" customFormat="1" ht="26.25" customHeight="1">
      <c r="A103" s="491"/>
      <c r="B103" s="491"/>
      <c r="C103" s="491"/>
      <c r="D103" s="491"/>
      <c r="E103" s="491"/>
      <c r="F103" s="491"/>
      <c r="G103" s="491"/>
      <c r="H103" s="491"/>
      <c r="I103" s="491"/>
      <c r="J103" s="491"/>
      <c r="K103" s="491"/>
      <c r="L103" s="186"/>
      <c r="M103" s="186"/>
      <c r="N103" s="184"/>
    </row>
    <row r="104" spans="1:17" s="14" customFormat="1" ht="26.25" customHeight="1">
      <c r="A104" s="491"/>
      <c r="B104" s="491"/>
      <c r="C104" s="491"/>
      <c r="D104" s="491"/>
      <c r="E104" s="491"/>
      <c r="F104" s="491"/>
      <c r="G104" s="491"/>
      <c r="H104" s="491"/>
      <c r="I104" s="491"/>
      <c r="J104" s="491"/>
      <c r="K104" s="491"/>
      <c r="L104" s="187"/>
      <c r="M104" s="187"/>
      <c r="N104" s="184"/>
    </row>
    <row r="105" spans="1:17" s="14" customFormat="1" ht="39.75" hidden="1" customHeight="1" outlineLevel="1">
      <c r="A105" s="491"/>
      <c r="B105" s="491"/>
      <c r="C105" s="491"/>
      <c r="D105" s="491"/>
      <c r="E105" s="491"/>
      <c r="F105" s="491"/>
      <c r="G105" s="491"/>
      <c r="H105" s="491"/>
      <c r="I105" s="491"/>
      <c r="J105" s="491"/>
      <c r="K105" s="491"/>
      <c r="L105" s="187"/>
      <c r="M105" s="187"/>
      <c r="N105" s="184"/>
    </row>
    <row r="106" spans="1:17" s="190" customFormat="1" ht="65.25" hidden="1" customHeight="1" outlineLevel="1">
      <c r="A106" s="491"/>
      <c r="B106" s="491"/>
      <c r="C106" s="491"/>
      <c r="D106" s="491"/>
      <c r="E106" s="491"/>
      <c r="F106" s="491"/>
      <c r="G106" s="491"/>
      <c r="H106" s="491"/>
      <c r="I106" s="491"/>
      <c r="J106" s="491"/>
      <c r="K106" s="491"/>
      <c r="L106" s="188"/>
      <c r="M106" s="189"/>
      <c r="N106" s="189"/>
    </row>
    <row r="107" spans="1:17" s="189" customFormat="1" ht="18.75" collapsed="1">
      <c r="A107" s="491"/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188"/>
    </row>
    <row r="108" spans="1:17" s="190" customFormat="1" ht="18.75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91"/>
    </row>
    <row r="109" spans="1:17" s="14" customFormat="1">
      <c r="B109" s="192"/>
      <c r="C109" s="193"/>
      <c r="D109" s="193"/>
      <c r="E109" s="193"/>
      <c r="F109" s="193"/>
      <c r="G109" s="193"/>
      <c r="H109" s="193"/>
      <c r="I109" s="193"/>
      <c r="J109" s="193"/>
      <c r="K109" s="193"/>
      <c r="L109" s="193"/>
    </row>
    <row r="110" spans="1:17">
      <c r="B110" s="194"/>
    </row>
    <row r="140" spans="2:29">
      <c r="C140" s="196"/>
    </row>
    <row r="141" spans="2:29">
      <c r="B141" s="22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2:29"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4" spans="2:29"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C144" s="197"/>
    </row>
    <row r="146" spans="2:12">
      <c r="B146" s="15"/>
      <c r="C146" s="15"/>
      <c r="D146" s="198"/>
      <c r="E146" s="198"/>
      <c r="F146" s="15"/>
      <c r="G146" s="15"/>
      <c r="H146" s="15"/>
      <c r="I146" s="15"/>
      <c r="J146" s="15"/>
      <c r="K146" s="15"/>
      <c r="L146" s="15"/>
    </row>
  </sheetData>
  <mergeCells count="18">
    <mergeCell ref="A9:A10"/>
    <mergeCell ref="Q1:T3"/>
    <mergeCell ref="U1:X3"/>
    <mergeCell ref="A2:B2"/>
    <mergeCell ref="Q4:T6"/>
    <mergeCell ref="U4:X6"/>
    <mergeCell ref="T53:W55"/>
    <mergeCell ref="A11:A12"/>
    <mergeCell ref="A13:A14"/>
    <mergeCell ref="A16:B17"/>
    <mergeCell ref="C16:F16"/>
    <mergeCell ref="G16:J16"/>
    <mergeCell ref="K16:M16"/>
    <mergeCell ref="B99:D99"/>
    <mergeCell ref="A100:K107"/>
    <mergeCell ref="C20:F20"/>
    <mergeCell ref="G20:J20"/>
    <mergeCell ref="K20:M20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D9O</cp:lastModifiedBy>
  <dcterms:created xsi:type="dcterms:W3CDTF">2021-11-22T07:29:14Z</dcterms:created>
  <dcterms:modified xsi:type="dcterms:W3CDTF">2023-12-21T15:25:19Z</dcterms:modified>
</cp:coreProperties>
</file>