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GitHub\viettel_odoo_erp_document\ACCOUNTING\SOPEN\Dữ liệu demo\"/>
    </mc:Choice>
  </mc:AlternateContent>
  <bookViews>
    <workbookView xWindow="0" yWindow="0" windowWidth="28800" windowHeight="12330" activeTab="2"/>
  </bookViews>
  <sheets>
    <sheet name="PP GIẢN ĐƠN TT200" sheetId="1" r:id="rId1"/>
    <sheet name="PP GIẢN ĐƠN TT133" sheetId="2" r:id="rId2"/>
    <sheet name="công trình" sheetId="5" r:id="rId3"/>
  </sheets>
  <externalReferences>
    <externalReference r:id="rId4"/>
  </externalReferences>
  <definedNames>
    <definedName name="_Fill" hidden="1">#REF!</definedName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ocument_array">{"Book1"}</definedName>
    <definedName name="DSLCheckService">[1]Validation!$H$2:$H$4</definedName>
    <definedName name="fds">{"Book1"}</definedName>
    <definedName name="Ma_testcase_34">#REF!</definedName>
    <definedName name="Port">[1]Validation!$F$2:$F$40</definedName>
    <definedName name="QLDH_TDTT_41">#REF!</definedName>
    <definedName name="QLHD_CDHD_15">#REF!</definedName>
    <definedName name="QLHD_CNHD_34">#REF!</definedName>
    <definedName name="QLHD_GHD_34">#REF!</definedName>
    <definedName name="QLHD_HHD_13">#REF!</definedName>
    <definedName name="QLHD_KHD_6">#REF!</definedName>
    <definedName name="QLHD_TH_1">#REF!</definedName>
    <definedName name="QLHD_THD_34">#REF!</definedName>
    <definedName name="Tên_TestCase">#REF!</definedName>
    <definedName name="VancoProducts">[1]Validation!$B$2:$B$4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6" i="5" l="1"/>
  <c r="E76" i="5" s="1"/>
  <c r="M69" i="5" s="1"/>
  <c r="N69" i="5" s="1"/>
  <c r="C75" i="5"/>
  <c r="E75" i="5" s="1"/>
  <c r="M68" i="5" s="1"/>
  <c r="K70" i="5"/>
  <c r="J70" i="5"/>
  <c r="I70" i="5"/>
  <c r="H70" i="5"/>
  <c r="G70" i="5"/>
  <c r="J69" i="5"/>
  <c r="J68" i="5"/>
  <c r="D68" i="5"/>
  <c r="D70" i="5" s="1"/>
  <c r="E66" i="5"/>
  <c r="D66" i="5"/>
  <c r="C66" i="5"/>
  <c r="B66" i="5"/>
  <c r="F66" i="5" s="1"/>
  <c r="F64" i="5"/>
  <c r="D61" i="5"/>
  <c r="I60" i="5" s="1"/>
  <c r="D69" i="5" s="1"/>
  <c r="C61" i="5"/>
  <c r="B61" i="5"/>
  <c r="F59" i="5" s="1"/>
  <c r="G60" i="5"/>
  <c r="B69" i="5" s="1"/>
  <c r="F60" i="5"/>
  <c r="C69" i="5" s="1"/>
  <c r="E60" i="5"/>
  <c r="I59" i="5"/>
  <c r="I61" i="5" s="1"/>
  <c r="G59" i="5"/>
  <c r="G61" i="5" s="1"/>
  <c r="E59" i="5"/>
  <c r="C53" i="5"/>
  <c r="E53" i="5" s="1"/>
  <c r="N15" i="5" s="1"/>
  <c r="E52" i="5"/>
  <c r="C52" i="5"/>
  <c r="E28" i="5"/>
  <c r="D27" i="5"/>
  <c r="E26" i="5"/>
  <c r="D25" i="5"/>
  <c r="E24" i="5"/>
  <c r="D23" i="5"/>
  <c r="E22" i="5"/>
  <c r="D21" i="5"/>
  <c r="L16" i="5"/>
  <c r="J16" i="5"/>
  <c r="I16" i="5"/>
  <c r="H16" i="5"/>
  <c r="K15" i="5"/>
  <c r="F15" i="5"/>
  <c r="E40" i="5" s="1"/>
  <c r="D39" i="5" s="1"/>
  <c r="B15" i="5"/>
  <c r="E44" i="5" s="1"/>
  <c r="D43" i="5" s="1"/>
  <c r="N14" i="5"/>
  <c r="K14" i="5"/>
  <c r="O14" i="5" s="1"/>
  <c r="F12" i="5"/>
  <c r="E12" i="5"/>
  <c r="D12" i="5"/>
  <c r="C12" i="5"/>
  <c r="B12" i="5"/>
  <c r="G12" i="5" s="1"/>
  <c r="G10" i="5"/>
  <c r="E7" i="5"/>
  <c r="K5" i="5" s="1"/>
  <c r="D7" i="5"/>
  <c r="J5" i="5" s="1"/>
  <c r="C7" i="5"/>
  <c r="B7" i="5"/>
  <c r="G5" i="5" s="1"/>
  <c r="J6" i="5"/>
  <c r="D15" i="5" s="1"/>
  <c r="E48" i="5" s="1"/>
  <c r="D47" i="5" s="1"/>
  <c r="H6" i="5"/>
  <c r="G6" i="5"/>
  <c r="E15" i="5" s="1"/>
  <c r="F6" i="5"/>
  <c r="I6" i="5" s="1"/>
  <c r="C15" i="5" s="1"/>
  <c r="E32" i="5" s="1"/>
  <c r="D31" i="5" s="1"/>
  <c r="H5" i="5"/>
  <c r="H7" i="5" s="1"/>
  <c r="F5" i="5"/>
  <c r="F7" i="5" s="1"/>
  <c r="I5" i="5" s="1"/>
  <c r="J116" i="2"/>
  <c r="E110" i="2"/>
  <c r="D117" i="2" s="1"/>
  <c r="M103" i="2"/>
  <c r="L103" i="2"/>
  <c r="K110" i="2" s="1"/>
  <c r="J117" i="2" s="1"/>
  <c r="K103" i="2"/>
  <c r="J103" i="2"/>
  <c r="I103" i="2"/>
  <c r="C103" i="2"/>
  <c r="M102" i="2"/>
  <c r="L102" i="2"/>
  <c r="K102" i="2"/>
  <c r="J102" i="2"/>
  <c r="E109" i="2" s="1"/>
  <c r="I102" i="2"/>
  <c r="M101" i="2"/>
  <c r="L101" i="2"/>
  <c r="K101" i="2"/>
  <c r="J101" i="2"/>
  <c r="E108" i="2" s="1"/>
  <c r="I101" i="2"/>
  <c r="C101" i="2"/>
  <c r="E93" i="2"/>
  <c r="C77" i="2"/>
  <c r="D77" i="2" s="1"/>
  <c r="F77" i="2" s="1"/>
  <c r="C74" i="2"/>
  <c r="D74" i="2" s="1"/>
  <c r="F74" i="2" s="1"/>
  <c r="D67" i="2"/>
  <c r="F59" i="2"/>
  <c r="F58" i="2"/>
  <c r="C76" i="2" s="1"/>
  <c r="D76" i="2" s="1"/>
  <c r="F76" i="2" s="1"/>
  <c r="F57" i="2"/>
  <c r="C75" i="2" s="1"/>
  <c r="D75" i="2" s="1"/>
  <c r="F75" i="2" s="1"/>
  <c r="F56" i="2"/>
  <c r="E50" i="2"/>
  <c r="E49" i="2"/>
  <c r="E116" i="2" s="1"/>
  <c r="E48" i="2"/>
  <c r="E51" i="2" s="1"/>
  <c r="K45" i="2"/>
  <c r="K46" i="2" s="1"/>
  <c r="E43" i="2"/>
  <c r="E83" i="2" s="1"/>
  <c r="E42" i="2"/>
  <c r="D69" i="2" s="1"/>
  <c r="E41" i="2"/>
  <c r="D68" i="2" s="1"/>
  <c r="E40" i="2"/>
  <c r="K34" i="2"/>
  <c r="C69" i="2" s="1"/>
  <c r="E69" i="2" s="1"/>
  <c r="K33" i="2"/>
  <c r="K116" i="2" s="1"/>
  <c r="K32" i="2"/>
  <c r="C67" i="2" s="1"/>
  <c r="E67" i="2" s="1"/>
  <c r="G28" i="2"/>
  <c r="F28" i="2"/>
  <c r="E91" i="2" s="1"/>
  <c r="E28" i="2"/>
  <c r="D28" i="2"/>
  <c r="C28" i="2"/>
  <c r="H27" i="2"/>
  <c r="H26" i="2"/>
  <c r="H25" i="2"/>
  <c r="H28" i="2" s="1"/>
  <c r="K21" i="2"/>
  <c r="K20" i="2"/>
  <c r="K19" i="2"/>
  <c r="C102" i="2" s="1"/>
  <c r="K18" i="2"/>
  <c r="K126" i="1"/>
  <c r="J126" i="1"/>
  <c r="J120" i="1"/>
  <c r="F120" i="1"/>
  <c r="E127" i="1" s="1"/>
  <c r="E120" i="1"/>
  <c r="M113" i="1"/>
  <c r="L113" i="1"/>
  <c r="K120" i="1" s="1"/>
  <c r="J127" i="1" s="1"/>
  <c r="K113" i="1"/>
  <c r="J113" i="1"/>
  <c r="I113" i="1"/>
  <c r="M112" i="1"/>
  <c r="L112" i="1"/>
  <c r="K112" i="1"/>
  <c r="J112" i="1"/>
  <c r="E119" i="1" s="1"/>
  <c r="I112" i="1"/>
  <c r="C112" i="1"/>
  <c r="M111" i="1"/>
  <c r="L111" i="1"/>
  <c r="K118" i="1" s="1"/>
  <c r="J125" i="1" s="1"/>
  <c r="K111" i="1"/>
  <c r="J111" i="1"/>
  <c r="E118" i="1" s="1"/>
  <c r="I111" i="1"/>
  <c r="E73" i="1"/>
  <c r="C73" i="1"/>
  <c r="E72" i="1"/>
  <c r="E71" i="1"/>
  <c r="C71" i="1"/>
  <c r="F59" i="1"/>
  <c r="C81" i="1" s="1"/>
  <c r="D81" i="1" s="1"/>
  <c r="F81" i="1" s="1"/>
  <c r="F58" i="1"/>
  <c r="C80" i="1" s="1"/>
  <c r="D80" i="1" s="1"/>
  <c r="F80" i="1" s="1"/>
  <c r="F57" i="1"/>
  <c r="C79" i="1" s="1"/>
  <c r="D79" i="1" s="1"/>
  <c r="F79" i="1" s="1"/>
  <c r="F56" i="1"/>
  <c r="C78" i="1" s="1"/>
  <c r="D78" i="1" s="1"/>
  <c r="F78" i="1" s="1"/>
  <c r="E50" i="1"/>
  <c r="E136" i="1" s="1"/>
  <c r="D135" i="1" s="1"/>
  <c r="E49" i="1"/>
  <c r="E134" i="1" s="1"/>
  <c r="D133" i="1" s="1"/>
  <c r="E48" i="1"/>
  <c r="E132" i="1" s="1"/>
  <c r="D131" i="1" s="1"/>
  <c r="E42" i="1"/>
  <c r="E142" i="1" s="1"/>
  <c r="D141" i="1" s="1"/>
  <c r="E41" i="1"/>
  <c r="D72" i="1" s="1"/>
  <c r="E40" i="1"/>
  <c r="E138" i="1" s="1"/>
  <c r="D137" i="1" s="1"/>
  <c r="L34" i="1"/>
  <c r="L33" i="1"/>
  <c r="C72" i="1" s="1"/>
  <c r="F72" i="1" s="1"/>
  <c r="L32" i="1"/>
  <c r="F28" i="1"/>
  <c r="E97" i="1" s="1"/>
  <c r="K20" i="1"/>
  <c r="K19" i="1"/>
  <c r="K18" i="1"/>
  <c r="F14" i="5" l="1"/>
  <c r="G7" i="5"/>
  <c r="E14" i="5"/>
  <c r="E16" i="5" s="1"/>
  <c r="F61" i="5"/>
  <c r="C68" i="5"/>
  <c r="C70" i="5" s="1"/>
  <c r="N68" i="5"/>
  <c r="N70" i="5" s="1"/>
  <c r="M70" i="5"/>
  <c r="O15" i="5"/>
  <c r="O16" i="5" s="1"/>
  <c r="N16" i="5"/>
  <c r="I7" i="5"/>
  <c r="C14" i="5"/>
  <c r="D14" i="5"/>
  <c r="J7" i="5"/>
  <c r="K7" i="5"/>
  <c r="K6" i="5"/>
  <c r="G15" i="5"/>
  <c r="K16" i="5"/>
  <c r="B68" i="5"/>
  <c r="B14" i="5"/>
  <c r="E61" i="5"/>
  <c r="H60" i="5" s="1"/>
  <c r="E69" i="5" s="1"/>
  <c r="F69" i="5" s="1"/>
  <c r="E36" i="5"/>
  <c r="D35" i="5" s="1"/>
  <c r="D116" i="2"/>
  <c r="M109" i="2"/>
  <c r="E87" i="2"/>
  <c r="E85" i="2"/>
  <c r="E86" i="2"/>
  <c r="F86" i="2" s="1"/>
  <c r="H116" i="2" s="1"/>
  <c r="G85" i="2"/>
  <c r="G86" i="2"/>
  <c r="G87" i="2"/>
  <c r="G83" i="2"/>
  <c r="F83" i="2" s="1"/>
  <c r="G116" i="2" s="1"/>
  <c r="G82" i="2"/>
  <c r="G84" i="2"/>
  <c r="G89" i="2"/>
  <c r="G88" i="2"/>
  <c r="G90" i="2"/>
  <c r="G93" i="2"/>
  <c r="G91" i="2"/>
  <c r="G92" i="2"/>
  <c r="D115" i="2"/>
  <c r="E90" i="2"/>
  <c r="K108" i="2"/>
  <c r="J115" i="2" s="1"/>
  <c r="H110" i="2"/>
  <c r="L110" i="2"/>
  <c r="K117" i="2" s="1"/>
  <c r="L108" i="2"/>
  <c r="K115" i="2" s="1"/>
  <c r="I110" i="2"/>
  <c r="C68" i="2"/>
  <c r="E68" i="2" s="1"/>
  <c r="E84" i="2"/>
  <c r="E88" i="2"/>
  <c r="F88" i="2" s="1"/>
  <c r="G108" i="2" s="1"/>
  <c r="E92" i="2"/>
  <c r="F92" i="2" s="1"/>
  <c r="I116" i="2" s="1"/>
  <c r="F110" i="2"/>
  <c r="E117" i="2" s="1"/>
  <c r="J110" i="2"/>
  <c r="E82" i="2"/>
  <c r="E89" i="2"/>
  <c r="F89" i="2" s="1"/>
  <c r="F116" i="2" s="1"/>
  <c r="F108" i="2"/>
  <c r="E115" i="2" s="1"/>
  <c r="G110" i="2"/>
  <c r="G87" i="1"/>
  <c r="G88" i="1"/>
  <c r="G86" i="1"/>
  <c r="D126" i="1"/>
  <c r="M119" i="1"/>
  <c r="G92" i="1"/>
  <c r="G93" i="1"/>
  <c r="G94" i="1"/>
  <c r="D125" i="1"/>
  <c r="G95" i="1"/>
  <c r="G96" i="1"/>
  <c r="G97" i="1"/>
  <c r="F73" i="1"/>
  <c r="G91" i="1"/>
  <c r="G89" i="1"/>
  <c r="G90" i="1"/>
  <c r="E96" i="1"/>
  <c r="F96" i="1" s="1"/>
  <c r="I126" i="1" s="1"/>
  <c r="C111" i="1"/>
  <c r="C113" i="1"/>
  <c r="H120" i="1"/>
  <c r="L120" i="1"/>
  <c r="K127" i="1" s="1"/>
  <c r="K21" i="1"/>
  <c r="D103" i="1" s="1"/>
  <c r="E103" i="1" s="1"/>
  <c r="E43" i="1"/>
  <c r="E51" i="1"/>
  <c r="E95" i="1"/>
  <c r="F95" i="1" s="1"/>
  <c r="J118" i="1" s="1"/>
  <c r="I125" i="1" s="1"/>
  <c r="L118" i="1"/>
  <c r="K125" i="1" s="1"/>
  <c r="I120" i="1"/>
  <c r="E126" i="1"/>
  <c r="E140" i="1"/>
  <c r="D139" i="1" s="1"/>
  <c r="D127" i="1"/>
  <c r="D71" i="1"/>
  <c r="F71" i="1" s="1"/>
  <c r="D73" i="1"/>
  <c r="F118" i="1"/>
  <c r="E125" i="1" s="1"/>
  <c r="G120" i="1"/>
  <c r="E46" i="5" l="1"/>
  <c r="D45" i="5" s="1"/>
  <c r="D16" i="5"/>
  <c r="H59" i="5"/>
  <c r="E30" i="5"/>
  <c r="D29" i="5" s="1"/>
  <c r="C16" i="5"/>
  <c r="G14" i="5"/>
  <c r="G16" i="5" s="1"/>
  <c r="E42" i="5"/>
  <c r="D41" i="5" s="1"/>
  <c r="E34" i="5"/>
  <c r="D33" i="5" s="1"/>
  <c r="B16" i="5"/>
  <c r="B70" i="5"/>
  <c r="F16" i="5"/>
  <c r="E38" i="5"/>
  <c r="D37" i="5" s="1"/>
  <c r="F115" i="2"/>
  <c r="F90" i="2"/>
  <c r="F84" i="2"/>
  <c r="G117" i="2" s="1"/>
  <c r="F82" i="2"/>
  <c r="H108" i="2" s="1"/>
  <c r="G115" i="2" s="1"/>
  <c r="M110" i="2"/>
  <c r="F117" i="2"/>
  <c r="F85" i="2"/>
  <c r="I108" i="2" s="1"/>
  <c r="H115" i="2" s="1"/>
  <c r="L115" i="2" s="1"/>
  <c r="N115" i="2" s="1"/>
  <c r="L116" i="2"/>
  <c r="N116" i="2" s="1"/>
  <c r="F91" i="2"/>
  <c r="J108" i="2" s="1"/>
  <c r="I115" i="2" s="1"/>
  <c r="F94" i="1"/>
  <c r="E160" i="1" s="1"/>
  <c r="D159" i="1" s="1"/>
  <c r="H127" i="1"/>
  <c r="E89" i="1"/>
  <c r="F89" i="1" s="1"/>
  <c r="E90" i="1"/>
  <c r="F90" i="1" s="1"/>
  <c r="E91" i="1"/>
  <c r="M120" i="1"/>
  <c r="E93" i="1"/>
  <c r="F93" i="1" s="1"/>
  <c r="E94" i="1"/>
  <c r="E86" i="1"/>
  <c r="F86" i="1" s="1"/>
  <c r="E87" i="1"/>
  <c r="F87" i="1" s="1"/>
  <c r="E92" i="1"/>
  <c r="F92" i="1" s="1"/>
  <c r="E88" i="1"/>
  <c r="F97" i="1"/>
  <c r="I127" i="1" s="1"/>
  <c r="D104" i="1"/>
  <c r="F91" i="1"/>
  <c r="E154" i="1" s="1"/>
  <c r="D153" i="1" s="1"/>
  <c r="D102" i="1"/>
  <c r="E102" i="1" s="1"/>
  <c r="E104" i="1" s="1"/>
  <c r="E166" i="1"/>
  <c r="D165" i="1" s="1"/>
  <c r="E162" i="1"/>
  <c r="D161" i="1" s="1"/>
  <c r="E164" i="1"/>
  <c r="D163" i="1" s="1"/>
  <c r="E68" i="5" l="1"/>
  <c r="H61" i="5"/>
  <c r="F87" i="2"/>
  <c r="H117" i="2" s="1"/>
  <c r="L117" i="2" s="1"/>
  <c r="N117" i="2" s="1"/>
  <c r="M108" i="2"/>
  <c r="F93" i="2"/>
  <c r="I117" i="2" s="1"/>
  <c r="E146" i="1"/>
  <c r="D145" i="1" s="1"/>
  <c r="G126" i="1"/>
  <c r="E144" i="1"/>
  <c r="D143" i="1" s="1"/>
  <c r="H118" i="1"/>
  <c r="G125" i="1" s="1"/>
  <c r="F88" i="1"/>
  <c r="F127" i="1"/>
  <c r="F126" i="1"/>
  <c r="E152" i="1"/>
  <c r="D151" i="1" s="1"/>
  <c r="I118" i="1"/>
  <c r="H125" i="1" s="1"/>
  <c r="E156" i="1"/>
  <c r="D155" i="1" s="1"/>
  <c r="E158" i="1"/>
  <c r="D157" i="1" s="1"/>
  <c r="H126" i="1"/>
  <c r="E150" i="1"/>
  <c r="D149" i="1" s="1"/>
  <c r="G118" i="1"/>
  <c r="E70" i="5" l="1"/>
  <c r="F68" i="5"/>
  <c r="F70" i="5" s="1"/>
  <c r="F125" i="1"/>
  <c r="L125" i="1" s="1"/>
  <c r="N125" i="1" s="1"/>
  <c r="M118" i="1"/>
  <c r="E148" i="1"/>
  <c r="D147" i="1" s="1"/>
  <c r="G127" i="1"/>
  <c r="L127" i="1" s="1"/>
  <c r="N127" i="1" s="1"/>
  <c r="L126" i="1"/>
  <c r="N126" i="1" s="1"/>
</calcChain>
</file>

<file path=xl/sharedStrings.xml><?xml version="1.0" encoding="utf-8"?>
<sst xmlns="http://schemas.openxmlformats.org/spreadsheetml/2006/main" count="651" uniqueCount="147">
  <si>
    <t xml:space="preserve">Bước 1: khai báo sản phẩm </t>
  </si>
  <si>
    <t>STT</t>
  </si>
  <si>
    <t xml:space="preserve">Tên sản phẩm </t>
  </si>
  <si>
    <t xml:space="preserve">Mã sản phẩm </t>
  </si>
  <si>
    <t>H111</t>
  </si>
  <si>
    <t>H112</t>
  </si>
  <si>
    <t>H13</t>
  </si>
  <si>
    <t>Bước 2: Khai báo Đối tượng THCP</t>
  </si>
  <si>
    <t>Account_cost_object_id</t>
  </si>
  <si>
    <t xml:space="preserve"> Mã Thành phẩm</t>
  </si>
  <si>
    <t>Tên đối tượng THCP</t>
  </si>
  <si>
    <t>Mã đối tượng THCP</t>
  </si>
  <si>
    <t>H1</t>
  </si>
  <si>
    <t>H2</t>
  </si>
  <si>
    <t>H3</t>
  </si>
  <si>
    <t>Bước 3: Khai báo định mức giá thành</t>
  </si>
  <si>
    <t xml:space="preserve">Thành phẩm </t>
  </si>
  <si>
    <t>NVLTT</t>
  </si>
  <si>
    <t>NVLGT</t>
  </si>
  <si>
    <t>NCTT</t>
  </si>
  <si>
    <t>NCGT</t>
  </si>
  <si>
    <t>CPDCSX</t>
  </si>
  <si>
    <t>KHẤU HAO</t>
  </si>
  <si>
    <t>CP MN</t>
  </si>
  <si>
    <t>CP KHÁC</t>
  </si>
  <si>
    <t>TỔNG CP</t>
  </si>
  <si>
    <t>Company_id=1</t>
  </si>
  <si>
    <t>Branch_id=3</t>
  </si>
  <si>
    <t xml:space="preserve">Bước 4: Khai báo dở dang đầu kỳ </t>
  </si>
  <si>
    <t>Đối tượng THCP</t>
  </si>
  <si>
    <t>CPSXC(hiển thị khi ko tích nhập chi tiết theo yếu tố chi phí)</t>
  </si>
  <si>
    <t>Nguyên vật liệu trực tiếp</t>
  </si>
  <si>
    <t>Bước 5: Khai báo chi phí phát sinh trong kỳ- từ 01/03/2021 đến 31/03/2021</t>
  </si>
  <si>
    <t>Nợ</t>
  </si>
  <si>
    <t>Có</t>
  </si>
  <si>
    <t>Có-Nợ</t>
  </si>
  <si>
    <t>NC TT</t>
  </si>
  <si>
    <t>CPSX Chung</t>
  </si>
  <si>
    <t>Tài khoản</t>
  </si>
  <si>
    <t>Khoản mục phí</t>
  </si>
  <si>
    <t xml:space="preserve">Nhân công gián tiếp </t>
  </si>
  <si>
    <t>Nguyên vật liệu gián tiếp</t>
  </si>
  <si>
    <t>Chi phí dụng cụ sản xuất</t>
  </si>
  <si>
    <t>Chi phí khấu hao</t>
  </si>
  <si>
    <t>Bước 6: khai báo kỳ tính giá thành:01/03/2021 đến 31/03/2021</t>
  </si>
  <si>
    <t xml:space="preserve">Tab Tổng hợp chi phí lúc này </t>
  </si>
  <si>
    <t xml:space="preserve">Dở dang đầu kỳ </t>
  </si>
  <si>
    <t xml:space="preserve">Phát sinh trong kỳ </t>
  </si>
  <si>
    <t>Khoản giảm giá thành</t>
  </si>
  <si>
    <t>Tổng giá thành</t>
  </si>
  <si>
    <t>CPDDCK</t>
  </si>
  <si>
    <t>Tên tài khoản</t>
  </si>
  <si>
    <t>Khoản  giảm giá thành</t>
  </si>
  <si>
    <t xml:space="preserve">Bước 7: Tích vào phân bổ tính phân bổ </t>
  </si>
  <si>
    <t xml:space="preserve">Tài khoản </t>
  </si>
  <si>
    <t xml:space="preserve">Tổng chi phí </t>
  </si>
  <si>
    <t xml:space="preserve">Số chưa phân bổ </t>
  </si>
  <si>
    <t>Tỷ lệ phân bổ</t>
  </si>
  <si>
    <t xml:space="preserve">Số tiền phân bổ </t>
  </si>
  <si>
    <t>Tiêu thức phân bổ</t>
  </si>
  <si>
    <t xml:space="preserve">CP trực tiếp </t>
  </si>
  <si>
    <t>Định mức</t>
  </si>
  <si>
    <t xml:space="preserve">Ra bảng tính phân bổ </t>
  </si>
  <si>
    <t>Tổng chi phí</t>
  </si>
  <si>
    <t xml:space="preserve">Tỷ lệ phân bổ </t>
  </si>
  <si>
    <t>Số tiền phân bổ</t>
  </si>
  <si>
    <t xml:space="preserve">Tổng </t>
  </si>
  <si>
    <t>Tổng</t>
  </si>
  <si>
    <t>Bước 3.1: Khai báo định mức phân bổ chi phí</t>
  </si>
  <si>
    <t xml:space="preserve">Kiểm tra với tk 6274 định mức pân bổ chi phí đều là 0 thì sẽ lấy định mức </t>
  </si>
  <si>
    <t>Bước kết chuyển chi phí cuối kỳ tính giá thành</t>
  </si>
  <si>
    <t>Giá thành định mức</t>
  </si>
  <si>
    <t>SLHT</t>
  </si>
  <si>
    <t>SLDDCK</t>
  </si>
  <si>
    <t>Tỷ lệ % HT</t>
  </si>
  <si>
    <t>Hệ số</t>
  </si>
  <si>
    <t>Tỷ lệ giá thành</t>
  </si>
  <si>
    <t xml:space="preserve">SL SP chuẩn </t>
  </si>
  <si>
    <t>SLHTTD(NVLTT)</t>
  </si>
  <si>
    <t>SLHTTD(NC&amp;SXC)</t>
  </si>
  <si>
    <t>SL DDTD</t>
  </si>
  <si>
    <t>SLSPDDCK</t>
  </si>
  <si>
    <t>KH</t>
  </si>
  <si>
    <t xml:space="preserve">Bảng 1: Thành phẩm </t>
  </si>
  <si>
    <t xml:space="preserve">Bảng 2: Chí phí dở dang cuối kỳ </t>
  </si>
  <si>
    <t xml:space="preserve">Đối tượng THCP </t>
  </si>
  <si>
    <t xml:space="preserve">PP tính giá </t>
  </si>
  <si>
    <t>SLHTTD</t>
  </si>
  <si>
    <t>CP DCSX</t>
  </si>
  <si>
    <t xml:space="preserve">CHI PHÍ KHÁC </t>
  </si>
  <si>
    <t>employee_cost</t>
  </si>
  <si>
    <t>account_cost_type</t>
  </si>
  <si>
    <t>material_cost</t>
  </si>
  <si>
    <t>production_tool_cost</t>
  </si>
  <si>
    <t>depreciation</t>
  </si>
  <si>
    <t>direct_material</t>
  </si>
  <si>
    <t>Bảng 3: Bảng tính giá thành</t>
  </si>
  <si>
    <t>SLTP</t>
  </si>
  <si>
    <t>GT đơn vị</t>
  </si>
  <si>
    <t>Bước 6: khai báo kỳ tính giá thành:01/05/2021 đến 31/05/2021</t>
  </si>
  <si>
    <t>G1</t>
  </si>
  <si>
    <t>G2</t>
  </si>
  <si>
    <t>G3</t>
  </si>
  <si>
    <t>G11</t>
  </si>
  <si>
    <t>G12</t>
  </si>
  <si>
    <t>G13</t>
  </si>
  <si>
    <t>other_expense</t>
  </si>
  <si>
    <t>A11</t>
  </si>
  <si>
    <t xml:space="preserve">THÔNG TƯ 200 </t>
  </si>
  <si>
    <t>TK Đối ứng</t>
  </si>
  <si>
    <t>TK hoạch toán</t>
  </si>
  <si>
    <t>Tên hợp đồng</t>
  </si>
  <si>
    <t>DT</t>
  </si>
  <si>
    <t>NVL+NC</t>
  </si>
  <si>
    <t>TỶ LỆ PHÂN BỔ (%)</t>
  </si>
  <si>
    <t>Giá trị</t>
  </si>
  <si>
    <t>Nội dung</t>
  </si>
  <si>
    <t>Khấu hao</t>
  </si>
  <si>
    <t>CPDV mua ngoài</t>
  </si>
  <si>
    <t>CP khác</t>
  </si>
  <si>
    <t>Tổng tiền PB</t>
  </si>
  <si>
    <t>Luỹ kế kỳ trước</t>
  </si>
  <si>
    <t>Phát sinh trong kỳ</t>
  </si>
  <si>
    <t>Luỹ kế CP</t>
  </si>
  <si>
    <t>Đã NT kỳ trước</t>
  </si>
  <si>
    <t>Tỷ lệ NT (%)</t>
  </si>
  <si>
    <t>Luỹ kế đã NT</t>
  </si>
  <si>
    <t>Số chưa NT</t>
  </si>
  <si>
    <t>Số phát sinh</t>
  </si>
  <si>
    <t>Tỷ lệ phân bổ (%)</t>
  </si>
  <si>
    <t>Tiêu thức PB</t>
  </si>
  <si>
    <t>NVLTT+NCTT</t>
  </si>
  <si>
    <t>CPSX</t>
  </si>
  <si>
    <t>L1</t>
  </si>
  <si>
    <t>TK đối ứng</t>
  </si>
  <si>
    <t>THÔNG TƯ 133</t>
  </si>
  <si>
    <t>ĐỊNH MỨC</t>
  </si>
  <si>
    <t>ĐM</t>
  </si>
  <si>
    <t>Bút toán</t>
  </si>
  <si>
    <t>Phát sinh trong kỳ+phân bổ</t>
  </si>
  <si>
    <t>Bảng tính tại kỳ tính giá thành sau update</t>
  </si>
  <si>
    <t>BẢNG NGHIỆM THU</t>
  </si>
  <si>
    <t>CÔNG TRÌNH</t>
  </si>
  <si>
    <t>DOANH THU</t>
  </si>
  <si>
    <t>SỐ CHƯA NGHIỆM THU</t>
  </si>
  <si>
    <t xml:space="preserve">TỶ LỆ </t>
  </si>
  <si>
    <t>GIÁ TRỊ NGHIỆM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</si>
</sst>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#,##0.0"/>
    <numFmt numFmtId="165" formatCode="#,##0.0000"/>
    <numFmt numFmtId="166" formatCode="#,##0.00000000"/>
    <numFmt numFmtId="167" formatCode="#,##0.0000000"/>
    <numFmt numFmtId="168" formatCode="#,##0.00000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0" xfId="0" applyNumberFormat="1"/>
    <xf numFmtId="3" fontId="0" fillId="0" borderId="0" xfId="0" applyNumberFormat="1"/>
    <xf numFmtId="0" fontId="0" fillId="0" borderId="1" xfId="0" applyBorder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3" fillId="0" borderId="0" xfId="1" applyFont="1" applyAlignment="1">
      <alignment vertical="center"/>
    </xf>
    <xf numFmtId="169" fontId="3" fillId="0" borderId="0" xfId="2" applyNumberFormat="1" applyFont="1" applyAlignment="1">
      <alignment vertical="center"/>
    </xf>
    <xf numFmtId="169" fontId="3" fillId="0" borderId="0" xfId="1" applyNumberFormat="1" applyFont="1" applyAlignment="1">
      <alignment vertical="center"/>
    </xf>
    <xf numFmtId="169" fontId="2" fillId="0" borderId="1" xfId="1" applyNumberFormat="1" applyFont="1" applyBorder="1" applyAlignment="1">
      <alignment vertical="center"/>
    </xf>
    <xf numFmtId="169" fontId="2" fillId="0" borderId="1" xfId="2" applyNumberFormat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169" fontId="3" fillId="0" borderId="1" xfId="1" applyNumberFormat="1" applyFont="1" applyBorder="1" applyAlignment="1">
      <alignment vertical="center"/>
    </xf>
    <xf numFmtId="169" fontId="3" fillId="0" borderId="1" xfId="2" applyNumberFormat="1" applyFont="1" applyBorder="1" applyAlignment="1">
      <alignment vertical="center"/>
    </xf>
    <xf numFmtId="169" fontId="3" fillId="0" borderId="1" xfId="2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9" fontId="2" fillId="0" borderId="1" xfId="2" applyNumberFormat="1" applyFont="1" applyFill="1" applyBorder="1" applyAlignment="1">
      <alignment horizontal="left" vertical="center"/>
    </xf>
    <xf numFmtId="16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3" fillId="0" borderId="0" xfId="1" applyFont="1" applyBorder="1" applyAlignment="1">
      <alignment vertical="center"/>
    </xf>
    <xf numFmtId="2" fontId="3" fillId="0" borderId="1" xfId="1" applyNumberFormat="1" applyFont="1" applyBorder="1" applyAlignment="1">
      <alignment vertical="center"/>
    </xf>
    <xf numFmtId="169" fontId="2" fillId="0" borderId="1" xfId="2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3" fontId="3" fillId="0" borderId="0" xfId="1" applyNumberFormat="1" applyFont="1" applyAlignment="1">
      <alignment vertical="center"/>
    </xf>
    <xf numFmtId="0" fontId="3" fillId="0" borderId="7" xfId="1" applyFont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69" fontId="3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169" fontId="2" fillId="0" borderId="1" xfId="2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/>
    </xf>
    <xf numFmtId="169" fontId="2" fillId="0" borderId="0" xfId="2" applyNumberFormat="1" applyFont="1" applyBorder="1" applyAlignment="1">
      <alignment vertical="center"/>
    </xf>
    <xf numFmtId="169" fontId="2" fillId="0" borderId="0" xfId="1" applyNumberFormat="1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169" fontId="2" fillId="0" borderId="1" xfId="2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  <sheetName val="Giới thiệu"/>
      <sheetName val="Gi?i thi?u"/>
      <sheetName val="Giới_thiệu"/>
      <sheetName val="Gi?i_thi?u"/>
      <sheetName val="Giới_thiệu4"/>
      <sheetName val="Gi?i_thi?u4"/>
      <sheetName val="Giới_thiệu1"/>
      <sheetName val="Gi?i_thi?u1"/>
      <sheetName val="Giới_thiệu2"/>
      <sheetName val="Gi?i_thi?u2"/>
      <sheetName val="Giới_thiệu3"/>
      <sheetName val="Gi?i_thi?u3"/>
      <sheetName val="Giới_thiệu5"/>
      <sheetName val="Gi?i_thi?u5"/>
      <sheetName val="Gi_i thi_u"/>
      <sheetName val="Sheet2"/>
      <sheetName val="Effort"/>
      <sheetName val="Summary"/>
      <sheetName val="Giới_thiệu6"/>
      <sheetName val="Gi?i_thi?u6"/>
      <sheetName val="Gi_i_thi_u"/>
      <sheetName val="DN loại CN"/>
      <sheetName val="DN loại công việc"/>
      <sheetName val="Ref"/>
      <sheetName val="Gi_i_thi_u4"/>
      <sheetName val="Gi_i_thi_u1"/>
      <sheetName val="Gi_i_thi_u2"/>
      <sheetName val="Gi_i_thi_u3"/>
      <sheetName val="Gi_i_thi_u5"/>
      <sheetName val="Gi_i_thi_u6"/>
    </sheetNames>
    <sheetDataSet>
      <sheetData sheetId="0" refreshError="1"/>
      <sheetData sheetId="1" refreshError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opLeftCell="A139" workbookViewId="0">
      <selection activeCell="C169" sqref="C169"/>
    </sheetView>
  </sheetViews>
  <sheetFormatPr defaultRowHeight="15" x14ac:dyDescent="0.25"/>
  <cols>
    <col min="2" max="2" width="37.28515625" customWidth="1"/>
    <col min="3" max="3" width="38.85546875" customWidth="1"/>
    <col min="4" max="4" width="31" customWidth="1"/>
    <col min="5" max="5" width="41.42578125" customWidth="1"/>
    <col min="6" max="6" width="34.42578125" style="9" customWidth="1"/>
    <col min="7" max="9" width="24.42578125" customWidth="1"/>
    <col min="10" max="10" width="16.7109375" customWidth="1"/>
    <col min="11" max="11" width="20.140625" customWidth="1"/>
    <col min="12" max="12" width="13.85546875" customWidth="1"/>
    <col min="13" max="13" width="16.140625" customWidth="1"/>
    <col min="14" max="14" width="17.7109375" customWidth="1"/>
  </cols>
  <sheetData>
    <row r="1" spans="1:6" x14ac:dyDescent="0.25">
      <c r="A1" t="s">
        <v>0</v>
      </c>
      <c r="E1" t="s">
        <v>26</v>
      </c>
      <c r="F1" s="9" t="s">
        <v>27</v>
      </c>
    </row>
    <row r="3" spans="1:6" ht="33.75" customHeight="1" x14ac:dyDescent="0.25">
      <c r="A3" s="2" t="s">
        <v>1</v>
      </c>
      <c r="B3" s="2" t="s">
        <v>2</v>
      </c>
      <c r="C3" s="2" t="s">
        <v>3</v>
      </c>
    </row>
    <row r="4" spans="1:6" ht="36.75" customHeight="1" x14ac:dyDescent="0.25">
      <c r="A4" s="3">
        <v>1</v>
      </c>
      <c r="B4" s="3" t="s">
        <v>4</v>
      </c>
      <c r="C4" s="3" t="s">
        <v>4</v>
      </c>
    </row>
    <row r="5" spans="1:6" ht="36.75" customHeight="1" x14ac:dyDescent="0.25">
      <c r="A5" s="3">
        <v>2</v>
      </c>
      <c r="B5" s="3" t="s">
        <v>5</v>
      </c>
      <c r="C5" s="3" t="s">
        <v>5</v>
      </c>
    </row>
    <row r="6" spans="1:6" ht="39" customHeight="1" x14ac:dyDescent="0.25">
      <c r="A6" s="3">
        <v>3</v>
      </c>
      <c r="B6" s="3" t="s">
        <v>6</v>
      </c>
      <c r="C6" s="3" t="s">
        <v>6</v>
      </c>
    </row>
    <row r="8" spans="1:6" x14ac:dyDescent="0.25">
      <c r="A8" t="s">
        <v>7</v>
      </c>
    </row>
    <row r="10" spans="1:6" ht="54" customHeight="1" x14ac:dyDescent="0.25">
      <c r="A10" s="2" t="s">
        <v>1</v>
      </c>
      <c r="B10" s="2" t="s">
        <v>10</v>
      </c>
      <c r="C10" s="2" t="s">
        <v>11</v>
      </c>
      <c r="D10" s="2" t="s">
        <v>8</v>
      </c>
      <c r="E10" s="2" t="s">
        <v>9</v>
      </c>
    </row>
    <row r="11" spans="1:6" ht="54" customHeight="1" x14ac:dyDescent="0.25">
      <c r="A11" s="3">
        <v>1</v>
      </c>
      <c r="B11" s="3" t="s">
        <v>12</v>
      </c>
      <c r="C11" s="3" t="s">
        <v>12</v>
      </c>
      <c r="D11" s="3">
        <v>1</v>
      </c>
      <c r="E11" s="3" t="s">
        <v>4</v>
      </c>
    </row>
    <row r="12" spans="1:6" ht="54" customHeight="1" x14ac:dyDescent="0.25">
      <c r="A12" s="3">
        <v>2</v>
      </c>
      <c r="B12" s="3" t="s">
        <v>13</v>
      </c>
      <c r="C12" s="3" t="s">
        <v>13</v>
      </c>
      <c r="D12" s="3">
        <v>2</v>
      </c>
      <c r="E12" s="3" t="s">
        <v>5</v>
      </c>
    </row>
    <row r="13" spans="1:6" ht="54" customHeight="1" x14ac:dyDescent="0.25">
      <c r="A13" s="3">
        <v>3</v>
      </c>
      <c r="B13" s="3" t="s">
        <v>14</v>
      </c>
      <c r="C13" s="3" t="s">
        <v>14</v>
      </c>
      <c r="D13" s="3">
        <v>3</v>
      </c>
      <c r="E13" s="3" t="s">
        <v>6</v>
      </c>
    </row>
    <row r="15" spans="1:6" x14ac:dyDescent="0.25">
      <c r="A15" t="s">
        <v>15</v>
      </c>
    </row>
    <row r="17" spans="1:12" ht="39.75" customHeight="1" x14ac:dyDescent="0.25">
      <c r="A17" s="2" t="s">
        <v>1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21</v>
      </c>
      <c r="G17" s="2" t="s">
        <v>82</v>
      </c>
      <c r="H17" s="10" t="s">
        <v>20</v>
      </c>
      <c r="I17" s="2" t="s">
        <v>23</v>
      </c>
      <c r="J17" s="2" t="s">
        <v>24</v>
      </c>
      <c r="K17" s="2" t="s">
        <v>25</v>
      </c>
    </row>
    <row r="18" spans="1:12" ht="67.5" customHeight="1" x14ac:dyDescent="0.25">
      <c r="A18" s="3">
        <v>1</v>
      </c>
      <c r="B18" s="3" t="s">
        <v>4</v>
      </c>
      <c r="C18" s="7">
        <v>5000</v>
      </c>
      <c r="D18" s="7">
        <v>1000</v>
      </c>
      <c r="E18" s="7">
        <v>1000</v>
      </c>
      <c r="F18" s="7">
        <v>1000</v>
      </c>
      <c r="G18" s="7">
        <v>1000</v>
      </c>
      <c r="H18" s="11">
        <v>1000</v>
      </c>
      <c r="I18" s="7">
        <v>1000</v>
      </c>
      <c r="J18" s="7">
        <v>1000</v>
      </c>
      <c r="K18" s="7">
        <f>SUM(C18:J18)</f>
        <v>12000</v>
      </c>
    </row>
    <row r="19" spans="1:12" ht="67.5" customHeight="1" x14ac:dyDescent="0.25">
      <c r="A19" s="3">
        <v>2</v>
      </c>
      <c r="B19" s="3" t="s">
        <v>5</v>
      </c>
      <c r="C19" s="5">
        <v>4000</v>
      </c>
      <c r="D19" s="5"/>
      <c r="E19" s="5">
        <v>2000</v>
      </c>
      <c r="F19" s="5"/>
      <c r="G19" s="5"/>
      <c r="H19" s="12"/>
      <c r="I19" s="6"/>
      <c r="J19" s="6"/>
      <c r="K19" s="7">
        <f>SUM(C19:J19)</f>
        <v>6000</v>
      </c>
    </row>
    <row r="20" spans="1:12" ht="67.5" customHeight="1" x14ac:dyDescent="0.25">
      <c r="A20" s="3">
        <v>3</v>
      </c>
      <c r="B20" s="3" t="s">
        <v>6</v>
      </c>
      <c r="C20" s="5">
        <v>3000</v>
      </c>
      <c r="D20" s="5"/>
      <c r="E20" s="5">
        <v>2000</v>
      </c>
      <c r="F20" s="5"/>
      <c r="G20" s="5"/>
      <c r="H20" s="12"/>
      <c r="I20" s="6"/>
      <c r="J20" s="6"/>
      <c r="K20" s="7">
        <f>SUM(C20:J20)</f>
        <v>5000</v>
      </c>
    </row>
    <row r="21" spans="1:12" ht="67.5" customHeight="1" x14ac:dyDescent="0.25">
      <c r="A21" s="54" t="s">
        <v>67</v>
      </c>
      <c r="B21" s="55"/>
      <c r="C21" s="5"/>
      <c r="D21" s="5"/>
      <c r="E21" s="5"/>
      <c r="F21" s="5"/>
      <c r="G21" s="5"/>
      <c r="H21" s="12"/>
      <c r="I21" s="6"/>
      <c r="J21" s="6"/>
      <c r="K21" s="7">
        <f>SUM(K18:K20)</f>
        <v>23000</v>
      </c>
    </row>
    <row r="22" spans="1:12" ht="67.5" customHeight="1" x14ac:dyDescent="0.25">
      <c r="A22" t="s">
        <v>68</v>
      </c>
    </row>
    <row r="23" spans="1:12" ht="67.5" customHeight="1" x14ac:dyDescent="0.25"/>
    <row r="24" spans="1:12" ht="67.5" customHeight="1" x14ac:dyDescent="0.25">
      <c r="A24" s="2" t="s">
        <v>1</v>
      </c>
      <c r="B24" s="2" t="s">
        <v>29</v>
      </c>
      <c r="C24" s="2">
        <v>6271</v>
      </c>
      <c r="D24" s="2">
        <v>6272</v>
      </c>
      <c r="E24" s="10">
        <v>6273</v>
      </c>
      <c r="F24" s="2">
        <v>6274</v>
      </c>
      <c r="G24" s="2"/>
      <c r="H24" s="2"/>
    </row>
    <row r="25" spans="1:12" ht="67.5" customHeight="1" x14ac:dyDescent="0.25">
      <c r="A25" s="3">
        <v>1</v>
      </c>
      <c r="B25" s="3" t="s">
        <v>12</v>
      </c>
      <c r="C25" s="7">
        <v>5000</v>
      </c>
      <c r="D25" s="7">
        <v>2000</v>
      </c>
      <c r="E25" s="11">
        <v>1000</v>
      </c>
      <c r="F25" s="7">
        <v>1000</v>
      </c>
      <c r="G25" s="7"/>
      <c r="H25" s="7"/>
    </row>
    <row r="26" spans="1:12" ht="67.5" customHeight="1" x14ac:dyDescent="0.25">
      <c r="A26" s="3">
        <v>2</v>
      </c>
      <c r="B26" s="3" t="s">
        <v>13</v>
      </c>
      <c r="C26" s="7">
        <v>4000</v>
      </c>
      <c r="D26" s="7">
        <v>3000</v>
      </c>
      <c r="E26" s="11">
        <v>2000</v>
      </c>
      <c r="F26" s="7">
        <v>1000</v>
      </c>
      <c r="G26" s="7"/>
      <c r="H26" s="7"/>
    </row>
    <row r="27" spans="1:12" ht="67.5" customHeight="1" x14ac:dyDescent="0.25">
      <c r="A27" s="3">
        <v>3</v>
      </c>
      <c r="B27" s="3" t="s">
        <v>14</v>
      </c>
      <c r="C27" s="5">
        <v>3000</v>
      </c>
      <c r="D27" s="5">
        <v>2000</v>
      </c>
      <c r="E27" s="13">
        <v>2000</v>
      </c>
      <c r="F27" s="5">
        <v>1000</v>
      </c>
      <c r="G27" s="6"/>
      <c r="H27" s="7"/>
    </row>
    <row r="28" spans="1:12" ht="67.5" customHeight="1" x14ac:dyDescent="0.25">
      <c r="A28" s="54" t="s">
        <v>67</v>
      </c>
      <c r="B28" s="55"/>
      <c r="C28" s="5"/>
      <c r="D28" s="5"/>
      <c r="E28" s="12"/>
      <c r="F28" s="6">
        <f>SUM(F25:F27)</f>
        <v>3000</v>
      </c>
      <c r="G28" s="6"/>
      <c r="H28" s="7"/>
    </row>
    <row r="29" spans="1:12" ht="33" customHeight="1" x14ac:dyDescent="0.25">
      <c r="A29" t="s">
        <v>28</v>
      </c>
    </row>
    <row r="31" spans="1:12" ht="63.75" customHeight="1" x14ac:dyDescent="0.25">
      <c r="A31" s="2" t="s">
        <v>1</v>
      </c>
      <c r="B31" s="2" t="s">
        <v>29</v>
      </c>
      <c r="C31" s="2" t="s">
        <v>17</v>
      </c>
      <c r="D31" s="2" t="s">
        <v>19</v>
      </c>
      <c r="E31" s="10" t="s">
        <v>30</v>
      </c>
      <c r="F31" s="10" t="s">
        <v>18</v>
      </c>
      <c r="G31" s="10" t="s">
        <v>20</v>
      </c>
      <c r="H31" s="2" t="s">
        <v>22</v>
      </c>
      <c r="I31" s="2" t="s">
        <v>42</v>
      </c>
      <c r="J31" s="2" t="s">
        <v>23</v>
      </c>
      <c r="K31" s="2" t="s">
        <v>24</v>
      </c>
      <c r="L31" s="2" t="s">
        <v>25</v>
      </c>
    </row>
    <row r="32" spans="1:12" ht="37.5" customHeight="1" x14ac:dyDescent="0.25">
      <c r="A32" s="3">
        <v>1</v>
      </c>
      <c r="B32" s="3" t="s">
        <v>12</v>
      </c>
      <c r="C32" s="7">
        <v>50000000</v>
      </c>
      <c r="D32" s="7">
        <v>10000000</v>
      </c>
      <c r="E32" s="11"/>
      <c r="F32" s="7">
        <v>10000000</v>
      </c>
      <c r="G32" s="7">
        <v>10000000</v>
      </c>
      <c r="H32" s="7">
        <v>10000000</v>
      </c>
      <c r="I32" s="7">
        <v>10000000</v>
      </c>
      <c r="J32" s="7">
        <v>10000000</v>
      </c>
      <c r="K32" s="7">
        <v>10000000</v>
      </c>
      <c r="L32" s="7">
        <f>SUM(C32:K32)</f>
        <v>120000000</v>
      </c>
    </row>
    <row r="33" spans="1:12" ht="37.5" customHeight="1" x14ac:dyDescent="0.25">
      <c r="A33" s="3">
        <v>2</v>
      </c>
      <c r="B33" s="3" t="s">
        <v>13</v>
      </c>
      <c r="C33" s="5">
        <v>40000000</v>
      </c>
      <c r="D33" s="7">
        <v>10000000</v>
      </c>
      <c r="E33" s="11"/>
      <c r="F33" s="11"/>
      <c r="G33" s="11"/>
      <c r="H33" s="6"/>
      <c r="I33" s="6"/>
      <c r="J33" s="6"/>
      <c r="K33" s="11">
        <v>10000000</v>
      </c>
      <c r="L33" s="7">
        <f>SUM(C33:K33)</f>
        <v>60000000</v>
      </c>
    </row>
    <row r="34" spans="1:12" ht="37.5" customHeight="1" x14ac:dyDescent="0.25">
      <c r="A34" s="3">
        <v>3</v>
      </c>
      <c r="B34" s="3" t="s">
        <v>14</v>
      </c>
      <c r="C34" s="5">
        <v>30000000</v>
      </c>
      <c r="D34" s="7">
        <v>10000000</v>
      </c>
      <c r="E34" s="11"/>
      <c r="F34" s="11"/>
      <c r="G34" s="11"/>
      <c r="H34" s="6"/>
      <c r="I34" s="6"/>
      <c r="J34" s="6"/>
      <c r="K34" s="11">
        <v>10000000</v>
      </c>
      <c r="L34" s="7">
        <f>SUM(C34:K34)</f>
        <v>50000000</v>
      </c>
    </row>
    <row r="36" spans="1:12" x14ac:dyDescent="0.25">
      <c r="A36" t="s">
        <v>32</v>
      </c>
    </row>
    <row r="37" spans="1:12" x14ac:dyDescent="0.25">
      <c r="A37" s="14">
        <v>5.0999999999999996</v>
      </c>
      <c r="B37" s="14" t="s">
        <v>31</v>
      </c>
    </row>
    <row r="39" spans="1:12" ht="38.25" customHeight="1" x14ac:dyDescent="0.25">
      <c r="A39" s="2" t="s">
        <v>1</v>
      </c>
      <c r="B39" s="2" t="s">
        <v>29</v>
      </c>
      <c r="C39" s="2" t="s">
        <v>33</v>
      </c>
      <c r="D39" s="2" t="s">
        <v>34</v>
      </c>
      <c r="E39" s="2" t="s">
        <v>35</v>
      </c>
    </row>
    <row r="40" spans="1:12" ht="38.25" customHeight="1" x14ac:dyDescent="0.25">
      <c r="A40" s="3">
        <v>1</v>
      </c>
      <c r="B40" s="3" t="s">
        <v>12</v>
      </c>
      <c r="C40" s="7">
        <v>5000000</v>
      </c>
      <c r="D40" s="7">
        <v>40000000</v>
      </c>
      <c r="E40" s="7">
        <f>D40-C40</f>
        <v>35000000</v>
      </c>
      <c r="G40" s="20"/>
    </row>
    <row r="41" spans="1:12" ht="38.25" customHeight="1" x14ac:dyDescent="0.25">
      <c r="A41" s="3">
        <v>2</v>
      </c>
      <c r="B41" s="3" t="s">
        <v>13</v>
      </c>
      <c r="C41" s="5">
        <v>0</v>
      </c>
      <c r="D41" s="7">
        <v>30000000</v>
      </c>
      <c r="E41" s="7">
        <f>D41-C41</f>
        <v>30000000</v>
      </c>
      <c r="G41" s="20"/>
    </row>
    <row r="42" spans="1:12" ht="38.25" customHeight="1" x14ac:dyDescent="0.25">
      <c r="A42" s="3">
        <v>3</v>
      </c>
      <c r="B42" s="3" t="s">
        <v>14</v>
      </c>
      <c r="C42" s="5">
        <v>0</v>
      </c>
      <c r="D42" s="7">
        <v>50000000</v>
      </c>
      <c r="E42" s="7">
        <f>D42-C42</f>
        <v>50000000</v>
      </c>
      <c r="G42" s="20"/>
    </row>
    <row r="43" spans="1:12" ht="38.25" customHeight="1" x14ac:dyDescent="0.25">
      <c r="A43" s="54" t="s">
        <v>66</v>
      </c>
      <c r="B43" s="55"/>
      <c r="C43" s="5"/>
      <c r="D43" s="7"/>
      <c r="E43" s="7">
        <f>SUM(E40:E42)</f>
        <v>115000000</v>
      </c>
      <c r="G43" s="20"/>
    </row>
    <row r="45" spans="1:12" x14ac:dyDescent="0.25">
      <c r="A45" s="14">
        <v>5.0999999999999996</v>
      </c>
      <c r="B45" s="14" t="s">
        <v>36</v>
      </c>
    </row>
    <row r="47" spans="1:12" x14ac:dyDescent="0.25">
      <c r="A47" s="2" t="s">
        <v>1</v>
      </c>
      <c r="B47" s="2" t="s">
        <v>29</v>
      </c>
      <c r="C47" s="2" t="s">
        <v>33</v>
      </c>
      <c r="D47" s="2" t="s">
        <v>34</v>
      </c>
      <c r="E47" s="2" t="s">
        <v>35</v>
      </c>
    </row>
    <row r="48" spans="1:12" ht="36.75" customHeight="1" x14ac:dyDescent="0.25">
      <c r="A48" s="3">
        <v>1</v>
      </c>
      <c r="B48" s="3" t="s">
        <v>12</v>
      </c>
      <c r="C48" s="7">
        <v>0</v>
      </c>
      <c r="D48" s="7">
        <v>20000000</v>
      </c>
      <c r="E48" s="7">
        <f>D48-C48</f>
        <v>20000000</v>
      </c>
    </row>
    <row r="49" spans="1:7" ht="36.75" customHeight="1" x14ac:dyDescent="0.25">
      <c r="A49" s="3">
        <v>2</v>
      </c>
      <c r="B49" s="3" t="s">
        <v>13</v>
      </c>
      <c r="C49" s="5">
        <v>0</v>
      </c>
      <c r="D49" s="7">
        <v>10000000</v>
      </c>
      <c r="E49" s="7">
        <f>D49-C49</f>
        <v>10000000</v>
      </c>
    </row>
    <row r="50" spans="1:7" ht="36.75" customHeight="1" x14ac:dyDescent="0.25">
      <c r="A50" s="3">
        <v>3</v>
      </c>
      <c r="B50" s="3" t="s">
        <v>14</v>
      </c>
      <c r="C50" s="5">
        <v>0</v>
      </c>
      <c r="D50" s="7">
        <v>10000000</v>
      </c>
      <c r="E50" s="7">
        <f>D50-C50</f>
        <v>10000000</v>
      </c>
    </row>
    <row r="51" spans="1:7" ht="36.75" customHeight="1" x14ac:dyDescent="0.25">
      <c r="A51" s="54" t="s">
        <v>67</v>
      </c>
      <c r="B51" s="55"/>
      <c r="C51" s="5"/>
      <c r="D51" s="7"/>
      <c r="E51" s="7">
        <f>SUM(E48:E50)</f>
        <v>40000000</v>
      </c>
    </row>
    <row r="53" spans="1:7" x14ac:dyDescent="0.25">
      <c r="A53" s="14">
        <v>5.3</v>
      </c>
      <c r="B53" s="14" t="s">
        <v>37</v>
      </c>
    </row>
    <row r="55" spans="1:7" ht="27" customHeight="1" x14ac:dyDescent="0.25">
      <c r="A55" s="2" t="s">
        <v>1</v>
      </c>
      <c r="B55" s="2" t="s">
        <v>38</v>
      </c>
      <c r="C55" s="2" t="s">
        <v>51</v>
      </c>
      <c r="D55" s="2" t="s">
        <v>33</v>
      </c>
      <c r="E55" s="2" t="s">
        <v>34</v>
      </c>
      <c r="F55" s="2" t="s">
        <v>35</v>
      </c>
    </row>
    <row r="56" spans="1:7" ht="38.25" customHeight="1" x14ac:dyDescent="0.25">
      <c r="A56" s="3">
        <v>1</v>
      </c>
      <c r="B56" s="3">
        <v>6271</v>
      </c>
      <c r="C56" s="15" t="s">
        <v>40</v>
      </c>
      <c r="D56" s="7">
        <v>0</v>
      </c>
      <c r="E56" s="7">
        <v>50000000</v>
      </c>
      <c r="F56" s="7">
        <f>E56-D56</f>
        <v>50000000</v>
      </c>
    </row>
    <row r="57" spans="1:7" ht="38.25" customHeight="1" x14ac:dyDescent="0.25">
      <c r="A57" s="3">
        <v>2</v>
      </c>
      <c r="B57" s="3">
        <v>6272</v>
      </c>
      <c r="C57" s="15" t="s">
        <v>41</v>
      </c>
      <c r="D57" s="5">
        <v>0</v>
      </c>
      <c r="E57" s="7">
        <v>20000000</v>
      </c>
      <c r="F57" s="7">
        <f t="shared" ref="F57:F59" si="0">E57-D57</f>
        <v>20000000</v>
      </c>
    </row>
    <row r="58" spans="1:7" ht="38.25" customHeight="1" x14ac:dyDescent="0.25">
      <c r="A58" s="3">
        <v>3</v>
      </c>
      <c r="B58" s="3">
        <v>6273</v>
      </c>
      <c r="C58" s="15" t="s">
        <v>42</v>
      </c>
      <c r="D58" s="5">
        <v>0</v>
      </c>
      <c r="E58" s="7">
        <v>20000000</v>
      </c>
      <c r="F58" s="7">
        <f t="shared" si="0"/>
        <v>20000000</v>
      </c>
    </row>
    <row r="59" spans="1:7" ht="36" customHeight="1" x14ac:dyDescent="0.25">
      <c r="A59" s="3">
        <v>4</v>
      </c>
      <c r="B59" s="3">
        <v>6274</v>
      </c>
      <c r="C59" s="15" t="s">
        <v>43</v>
      </c>
      <c r="D59" s="3">
        <v>0</v>
      </c>
      <c r="E59" s="7">
        <v>20000000</v>
      </c>
      <c r="F59" s="7">
        <f t="shared" si="0"/>
        <v>20000000</v>
      </c>
    </row>
    <row r="61" spans="1:7" x14ac:dyDescent="0.25">
      <c r="A61" s="14">
        <v>5.4</v>
      </c>
      <c r="B61" s="14" t="s">
        <v>52</v>
      </c>
    </row>
    <row r="63" spans="1:7" ht="30.75" customHeight="1" x14ac:dyDescent="0.25">
      <c r="A63" s="2" t="s">
        <v>1</v>
      </c>
      <c r="B63" s="2" t="s">
        <v>38</v>
      </c>
      <c r="C63" s="2" t="s">
        <v>51</v>
      </c>
      <c r="D63" s="2" t="s">
        <v>39</v>
      </c>
      <c r="E63" s="2" t="s">
        <v>29</v>
      </c>
      <c r="F63" s="2" t="s">
        <v>34</v>
      </c>
      <c r="G63" s="9"/>
    </row>
    <row r="64" spans="1:7" ht="30.75" customHeight="1" x14ac:dyDescent="0.25">
      <c r="A64" s="3">
        <v>1</v>
      </c>
      <c r="B64" s="3">
        <v>1541</v>
      </c>
      <c r="C64" s="3" t="s">
        <v>50</v>
      </c>
      <c r="D64" s="3" t="s">
        <v>95</v>
      </c>
      <c r="E64" s="7" t="s">
        <v>12</v>
      </c>
      <c r="F64" s="7">
        <v>5000000</v>
      </c>
      <c r="G64" s="9"/>
    </row>
    <row r="66" spans="1:7" x14ac:dyDescent="0.25">
      <c r="A66" t="s">
        <v>44</v>
      </c>
    </row>
    <row r="68" spans="1:7" x14ac:dyDescent="0.25">
      <c r="A68" t="s">
        <v>45</v>
      </c>
      <c r="F68"/>
    </row>
    <row r="69" spans="1:7" x14ac:dyDescent="0.25">
      <c r="F69"/>
    </row>
    <row r="70" spans="1:7" ht="42" customHeight="1" x14ac:dyDescent="0.25">
      <c r="A70" s="2" t="s">
        <v>1</v>
      </c>
      <c r="B70" s="2" t="s">
        <v>29</v>
      </c>
      <c r="C70" s="2" t="s">
        <v>46</v>
      </c>
      <c r="D70" s="2" t="s">
        <v>47</v>
      </c>
      <c r="E70" s="2" t="s">
        <v>48</v>
      </c>
      <c r="F70" s="2" t="s">
        <v>49</v>
      </c>
    </row>
    <row r="71" spans="1:7" ht="42" customHeight="1" x14ac:dyDescent="0.25">
      <c r="A71" s="3">
        <v>1</v>
      </c>
      <c r="B71" s="3" t="s">
        <v>12</v>
      </c>
      <c r="C71" s="7">
        <f>VLOOKUP($B71,$B$32:$L$34,11,0)</f>
        <v>120000000</v>
      </c>
      <c r="D71" s="7">
        <f>VLOOKUP($B71,$B$40:$E$42,4)+VLOOKUP($B71,$B$48:$E$50,4)</f>
        <v>55000000</v>
      </c>
      <c r="E71" s="7">
        <f>VLOOKUP($B71,$E$64:$F$64,2,0)</f>
        <v>5000000</v>
      </c>
      <c r="F71" s="7">
        <f>C71+D71-E71</f>
        <v>170000000</v>
      </c>
    </row>
    <row r="72" spans="1:7" ht="42" customHeight="1" x14ac:dyDescent="0.25">
      <c r="A72" s="3">
        <v>2</v>
      </c>
      <c r="B72" s="3" t="s">
        <v>13</v>
      </c>
      <c r="C72" s="7">
        <f t="shared" ref="C72:C73" si="1">VLOOKUP($B72,$B$32:$L$34,11,0)</f>
        <v>60000000</v>
      </c>
      <c r="D72" s="7">
        <f>VLOOKUP($B72,$B$40:$E$42,4)+VLOOKUP($B72,$B$48:$E$50,4)</f>
        <v>40000000</v>
      </c>
      <c r="E72" s="7">
        <f>IFERROR(VLOOKUP($B72,$E$64:$F$64,2,0),0)</f>
        <v>0</v>
      </c>
      <c r="F72" s="7">
        <f>C72+D72-E72</f>
        <v>100000000</v>
      </c>
    </row>
    <row r="73" spans="1:7" ht="42" customHeight="1" x14ac:dyDescent="0.25">
      <c r="A73" s="3">
        <v>3</v>
      </c>
      <c r="B73" s="3" t="s">
        <v>14</v>
      </c>
      <c r="C73" s="7">
        <f t="shared" si="1"/>
        <v>50000000</v>
      </c>
      <c r="D73" s="7">
        <f>VLOOKUP($B73,$B$40:$E$42,4)+VLOOKUP($B73,$B$48:$E$50,4)</f>
        <v>60000000</v>
      </c>
      <c r="E73" s="7">
        <f>IFERROR(VLOOKUP($B73,$E$64:$F$64,2,0),0)</f>
        <v>0</v>
      </c>
      <c r="F73" s="7">
        <f>C73+D73-E73</f>
        <v>110000000</v>
      </c>
    </row>
    <row r="75" spans="1:7" x14ac:dyDescent="0.25">
      <c r="A75" t="s">
        <v>53</v>
      </c>
    </row>
    <row r="77" spans="1:7" ht="25.5" customHeight="1" x14ac:dyDescent="0.25">
      <c r="A77" s="2" t="s">
        <v>1</v>
      </c>
      <c r="B77" s="2" t="s">
        <v>54</v>
      </c>
      <c r="C77" s="2" t="s">
        <v>55</v>
      </c>
      <c r="D77" s="2" t="s">
        <v>56</v>
      </c>
      <c r="E77" s="2" t="s">
        <v>57</v>
      </c>
      <c r="F77" s="10" t="s">
        <v>58</v>
      </c>
      <c r="G77" s="2" t="s">
        <v>59</v>
      </c>
    </row>
    <row r="78" spans="1:7" ht="37.5" customHeight="1" x14ac:dyDescent="0.25">
      <c r="A78" s="3">
        <v>1</v>
      </c>
      <c r="B78" s="3">
        <v>6271</v>
      </c>
      <c r="C78" s="7">
        <f>SUMIF($B$56:$B$59,$B78,$F$56:$F$59)</f>
        <v>50000000</v>
      </c>
      <c r="D78" s="7">
        <f>C78</f>
        <v>50000000</v>
      </c>
      <c r="E78" s="17">
        <v>1</v>
      </c>
      <c r="F78" s="11">
        <f>D78*E78</f>
        <v>50000000</v>
      </c>
      <c r="G78" s="7" t="s">
        <v>17</v>
      </c>
    </row>
    <row r="79" spans="1:7" ht="37.5" customHeight="1" x14ac:dyDescent="0.25">
      <c r="A79" s="3">
        <v>2</v>
      </c>
      <c r="B79" s="3">
        <v>6272</v>
      </c>
      <c r="C79" s="7">
        <f>SUMIF($B$56:$B$59,$B79,$F$56:$F$59)</f>
        <v>20000000</v>
      </c>
      <c r="D79" s="7">
        <f t="shared" ref="D79:D81" si="2">C79</f>
        <v>20000000</v>
      </c>
      <c r="E79" s="17">
        <v>1</v>
      </c>
      <c r="F79" s="11">
        <f t="shared" ref="F79:F81" si="3">D79*E79</f>
        <v>20000000</v>
      </c>
      <c r="G79" s="7" t="s">
        <v>19</v>
      </c>
    </row>
    <row r="80" spans="1:7" ht="37.5" customHeight="1" x14ac:dyDescent="0.25">
      <c r="A80" s="3">
        <v>3</v>
      </c>
      <c r="B80" s="3">
        <v>6273</v>
      </c>
      <c r="C80" s="7">
        <f>SUMIF($B$56:$B$59,$B80,$F$56:$F$59)</f>
        <v>20000000</v>
      </c>
      <c r="D80" s="7">
        <f t="shared" si="2"/>
        <v>20000000</v>
      </c>
      <c r="E80" s="17">
        <v>0.8</v>
      </c>
      <c r="F80" s="11">
        <f t="shared" si="3"/>
        <v>16000000</v>
      </c>
      <c r="G80" s="7" t="s">
        <v>60</v>
      </c>
    </row>
    <row r="81" spans="1:11" ht="37.5" customHeight="1" x14ac:dyDescent="0.25">
      <c r="A81" s="3">
        <v>4</v>
      </c>
      <c r="B81" s="3">
        <v>6274</v>
      </c>
      <c r="C81" s="7">
        <f>SUMIF($B$56:$B$59,$B81,$F$56:$F$59)</f>
        <v>20000000</v>
      </c>
      <c r="D81" s="7">
        <f t="shared" si="2"/>
        <v>20000000</v>
      </c>
      <c r="E81" s="17">
        <v>1</v>
      </c>
      <c r="F81" s="11">
        <f t="shared" si="3"/>
        <v>20000000</v>
      </c>
      <c r="G81" s="7" t="s">
        <v>61</v>
      </c>
    </row>
    <row r="83" spans="1:11" x14ac:dyDescent="0.25">
      <c r="A83" t="s">
        <v>62</v>
      </c>
    </row>
    <row r="85" spans="1:11" ht="33.75" customHeight="1" x14ac:dyDescent="0.25">
      <c r="A85" s="2" t="s">
        <v>1</v>
      </c>
      <c r="B85" s="2" t="s">
        <v>54</v>
      </c>
      <c r="C85" s="2" t="s">
        <v>91</v>
      </c>
      <c r="D85" s="2" t="s">
        <v>29</v>
      </c>
      <c r="E85" s="2" t="s">
        <v>64</v>
      </c>
      <c r="F85" s="2" t="s">
        <v>65</v>
      </c>
      <c r="G85" s="2" t="s">
        <v>63</v>
      </c>
    </row>
    <row r="86" spans="1:11" ht="55.5" customHeight="1" x14ac:dyDescent="0.25">
      <c r="A86" s="21">
        <v>1</v>
      </c>
      <c r="B86" s="21">
        <v>6271</v>
      </c>
      <c r="C86" s="21" t="s">
        <v>90</v>
      </c>
      <c r="D86" s="3" t="s">
        <v>12</v>
      </c>
      <c r="E86" s="17">
        <f>(SUMIF($B$40:$B$42,$D86,$E$40:$E$42)/$E$43)*100</f>
        <v>30.434782608695656</v>
      </c>
      <c r="F86" s="7">
        <f>ROUND((G86*E86)/100,0)</f>
        <v>15217391</v>
      </c>
      <c r="G86" s="7">
        <f>VLOOKUP(6271,$B$78:$F$81,5,0)</f>
        <v>50000000</v>
      </c>
      <c r="H86" s="20"/>
    </row>
    <row r="87" spans="1:11" ht="55.5" customHeight="1" x14ac:dyDescent="0.25">
      <c r="A87" s="21">
        <v>2</v>
      </c>
      <c r="B87" s="21">
        <v>6271</v>
      </c>
      <c r="C87" s="21" t="s">
        <v>90</v>
      </c>
      <c r="D87" s="3" t="s">
        <v>13</v>
      </c>
      <c r="E87" s="17">
        <f>(SUMIF($B$40:$B$42,$D87,$E$40:$E$42)/$E$43)*100</f>
        <v>26.086956521739129</v>
      </c>
      <c r="F87" s="7">
        <f>ROUND((G87*E87)/100,0)</f>
        <v>13043478</v>
      </c>
      <c r="G87" s="7">
        <f>VLOOKUP(6271,$B$78:$F$81,5,0)</f>
        <v>50000000</v>
      </c>
    </row>
    <row r="88" spans="1:11" ht="55.5" customHeight="1" x14ac:dyDescent="0.25">
      <c r="A88" s="21">
        <v>3</v>
      </c>
      <c r="B88" s="21">
        <v>6271</v>
      </c>
      <c r="C88" s="21" t="s">
        <v>90</v>
      </c>
      <c r="D88" s="3" t="s">
        <v>14</v>
      </c>
      <c r="E88" s="17">
        <f>(SUMIF($B$40:$B$42,$D88,$E$40:$E$42)/$E$43)*100</f>
        <v>43.478260869565219</v>
      </c>
      <c r="F88" s="7">
        <f>G86-F86-F87</f>
        <v>21739131</v>
      </c>
      <c r="G88" s="7">
        <f>VLOOKUP(6271,$B$78:$F$81,5,0)</f>
        <v>50000000</v>
      </c>
    </row>
    <row r="89" spans="1:11" ht="55.5" customHeight="1" x14ac:dyDescent="0.25">
      <c r="A89" s="21">
        <v>4</v>
      </c>
      <c r="B89" s="21">
        <v>6272</v>
      </c>
      <c r="C89" s="21" t="s">
        <v>92</v>
      </c>
      <c r="D89" s="3" t="s">
        <v>12</v>
      </c>
      <c r="E89" s="17">
        <f>(SUMIF($B$48:$B$50,D89,$E$48:$E$50)/$E$51)*100</f>
        <v>50</v>
      </c>
      <c r="F89" s="7">
        <f>ROUND((E89*G89)/100,0)</f>
        <v>10000000</v>
      </c>
      <c r="G89" s="7">
        <f>VLOOKUP(6272,$B$78:$F$81,5,0)</f>
        <v>20000000</v>
      </c>
      <c r="I89" s="20"/>
    </row>
    <row r="90" spans="1:11" ht="55.5" customHeight="1" x14ac:dyDescent="0.25">
      <c r="A90" s="21">
        <v>5</v>
      </c>
      <c r="B90" s="21">
        <v>6272</v>
      </c>
      <c r="C90" s="21" t="s">
        <v>92</v>
      </c>
      <c r="D90" s="3" t="s">
        <v>13</v>
      </c>
      <c r="E90" s="17">
        <f t="shared" ref="E90" si="4">(SUMIF($B$48:$B$50,D90,$E$48:$E$50)/$E$51)*100</f>
        <v>25</v>
      </c>
      <c r="F90" s="7">
        <f>ROUND((E90*G90)/100,0)</f>
        <v>5000000</v>
      </c>
      <c r="G90" s="7">
        <f>VLOOKUP(6272,$B$78:$F$81,5,0)</f>
        <v>20000000</v>
      </c>
    </row>
    <row r="91" spans="1:11" ht="55.5" customHeight="1" x14ac:dyDescent="0.25">
      <c r="A91" s="21">
        <v>6</v>
      </c>
      <c r="B91" s="21">
        <v>6272</v>
      </c>
      <c r="C91" s="21" t="s">
        <v>92</v>
      </c>
      <c r="D91" s="3" t="s">
        <v>14</v>
      </c>
      <c r="E91" s="17">
        <f>(SUMIF($B$48:$B$50,D91,$E$48:$E$50)/$E$51)*100</f>
        <v>25</v>
      </c>
      <c r="F91" s="7">
        <f>G89-F89-F90</f>
        <v>5000000</v>
      </c>
      <c r="G91" s="7">
        <f>VLOOKUP(6272,$B$78:$F$81,5,0)</f>
        <v>20000000</v>
      </c>
      <c r="H91">
        <v>35</v>
      </c>
    </row>
    <row r="92" spans="1:11" ht="55.5" customHeight="1" x14ac:dyDescent="0.25">
      <c r="A92" s="21">
        <v>7</v>
      </c>
      <c r="B92" s="21">
        <v>6273</v>
      </c>
      <c r="C92" s="21" t="s">
        <v>93</v>
      </c>
      <c r="D92" s="3" t="s">
        <v>12</v>
      </c>
      <c r="E92" s="17">
        <f>((SUMIF($B$40:$B$42,$D92,$E$40:$E$42)+SUMIF($B$48:$B$50,$D92,$E$48:$E$50))/($E$43+$E$51))*100</f>
        <v>35.483870967741936</v>
      </c>
      <c r="F92" s="7">
        <f>ROUND((E92*G92)/100,0)</f>
        <v>5677419</v>
      </c>
      <c r="G92" s="7">
        <f>VLOOKUP(6273,$B$78:$F$81,5,0)</f>
        <v>16000000</v>
      </c>
      <c r="H92" s="22"/>
      <c r="I92" s="20"/>
    </row>
    <row r="93" spans="1:11" ht="55.5" customHeight="1" x14ac:dyDescent="0.25">
      <c r="A93" s="21">
        <v>8</v>
      </c>
      <c r="B93" s="21">
        <v>6273</v>
      </c>
      <c r="C93" s="21" t="s">
        <v>93</v>
      </c>
      <c r="D93" s="3" t="s">
        <v>13</v>
      </c>
      <c r="E93" s="17">
        <f t="shared" ref="E93:E94" si="5">((SUMIF($B$40:$B$42,$D93,$E$40:$E$42)+SUMIF($B$48:$B$50,$D93,$E$48:$E$50))/($E$43+$E$51))*100</f>
        <v>25.806451612903224</v>
      </c>
      <c r="F93" s="7">
        <f>ROUND((E93*G93)/100,0)</f>
        <v>4129032</v>
      </c>
      <c r="G93" s="7">
        <f>VLOOKUP(6273,$B$78:$F$81,5,0)</f>
        <v>16000000</v>
      </c>
      <c r="H93" s="22"/>
      <c r="I93" s="22"/>
      <c r="K93" s="22"/>
    </row>
    <row r="94" spans="1:11" ht="55.5" customHeight="1" x14ac:dyDescent="0.25">
      <c r="A94" s="21">
        <v>9</v>
      </c>
      <c r="B94" s="21">
        <v>6273</v>
      </c>
      <c r="C94" s="21" t="s">
        <v>93</v>
      </c>
      <c r="D94" s="3" t="s">
        <v>14</v>
      </c>
      <c r="E94" s="17">
        <f t="shared" si="5"/>
        <v>38.70967741935484</v>
      </c>
      <c r="F94" s="7">
        <f>G93-F92-F93</f>
        <v>6193549</v>
      </c>
      <c r="G94" s="7">
        <f>VLOOKUP(6273,$B$78:$F$81,5,0)</f>
        <v>16000000</v>
      </c>
      <c r="H94" s="24"/>
      <c r="I94" s="23"/>
      <c r="K94" s="20"/>
    </row>
    <row r="95" spans="1:11" ht="55.5" customHeight="1" x14ac:dyDescent="0.25">
      <c r="A95" s="21">
        <v>10</v>
      </c>
      <c r="B95" s="21">
        <v>6274</v>
      </c>
      <c r="C95" s="21" t="s">
        <v>94</v>
      </c>
      <c r="D95" s="3" t="s">
        <v>12</v>
      </c>
      <c r="E95" s="18">
        <f>(VLOOKUP($D95,$B$25:$F$27,5,0)/$F$28)*100</f>
        <v>33.333333333333329</v>
      </c>
      <c r="F95" s="7">
        <f>ROUND((E95*G95)/100,0)</f>
        <v>6666667</v>
      </c>
      <c r="G95" s="7">
        <f>VLOOKUP(6274,$B$78:$F$81,5,0)</f>
        <v>20000000</v>
      </c>
      <c r="I95" s="23"/>
      <c r="K95" s="20"/>
    </row>
    <row r="96" spans="1:11" ht="51" customHeight="1" x14ac:dyDescent="0.25">
      <c r="A96" s="21">
        <v>11</v>
      </c>
      <c r="B96" s="21">
        <v>6274</v>
      </c>
      <c r="C96" s="21" t="s">
        <v>94</v>
      </c>
      <c r="D96" s="3" t="s">
        <v>13</v>
      </c>
      <c r="E96" s="18">
        <f>(VLOOKUP($D96,$B$25:$F$27,5,0)/$F$28)*100</f>
        <v>33.333333333333329</v>
      </c>
      <c r="F96" s="7">
        <f>ROUND((E96*G96)/100,0)</f>
        <v>6666667</v>
      </c>
      <c r="G96" s="7">
        <f t="shared" ref="G96:G97" si="6">VLOOKUP(6274,$B$78:$F$81,5,0)</f>
        <v>20000000</v>
      </c>
      <c r="I96" s="19"/>
      <c r="K96" s="20"/>
    </row>
    <row r="97" spans="1:13" ht="51" customHeight="1" x14ac:dyDescent="0.25">
      <c r="A97" s="21">
        <v>12</v>
      </c>
      <c r="B97" s="21">
        <v>6274</v>
      </c>
      <c r="C97" s="21" t="s">
        <v>94</v>
      </c>
      <c r="D97" s="3" t="s">
        <v>14</v>
      </c>
      <c r="E97" s="18">
        <f>(VLOOKUP($D97,$B$25:$F$27,5,0)/$F$28)*100</f>
        <v>33.333333333333329</v>
      </c>
      <c r="F97" s="7">
        <f>G95-F95-F96</f>
        <v>6666666</v>
      </c>
      <c r="G97" s="7">
        <f t="shared" si="6"/>
        <v>20000000</v>
      </c>
      <c r="H97" s="19"/>
    </row>
    <row r="99" spans="1:13" x14ac:dyDescent="0.25">
      <c r="A99" t="s">
        <v>69</v>
      </c>
    </row>
    <row r="101" spans="1:13" ht="40.5" customHeight="1" x14ac:dyDescent="0.25">
      <c r="A101" s="2" t="s">
        <v>1</v>
      </c>
      <c r="B101" s="2" t="s">
        <v>54</v>
      </c>
      <c r="C101" s="2" t="s">
        <v>29</v>
      </c>
      <c r="D101" s="2" t="s">
        <v>64</v>
      </c>
      <c r="E101" s="2" t="s">
        <v>65</v>
      </c>
      <c r="F101" s="2" t="s">
        <v>63</v>
      </c>
    </row>
    <row r="102" spans="1:13" ht="40.5" customHeight="1" x14ac:dyDescent="0.25">
      <c r="A102" s="56">
        <v>1</v>
      </c>
      <c r="B102" s="56">
        <v>6274</v>
      </c>
      <c r="C102" s="3" t="s">
        <v>12</v>
      </c>
      <c r="D102" s="17">
        <f>(K18/$K$21)*100</f>
        <v>52.173913043478258</v>
      </c>
      <c r="E102" s="7">
        <f>ROUND((F102*D102)/100,0)</f>
        <v>10434783</v>
      </c>
      <c r="F102" s="7">
        <v>20000000</v>
      </c>
    </row>
    <row r="103" spans="1:13" ht="40.5" customHeight="1" x14ac:dyDescent="0.25">
      <c r="A103" s="57"/>
      <c r="B103" s="57"/>
      <c r="C103" s="3" t="s">
        <v>13</v>
      </c>
      <c r="D103" s="17">
        <f>(K19/$K$21)*100</f>
        <v>26.086956521739129</v>
      </c>
      <c r="E103" s="7">
        <f>ROUND((F103*D103)/100,0)</f>
        <v>5217391</v>
      </c>
      <c r="F103" s="7">
        <v>20000000</v>
      </c>
    </row>
    <row r="104" spans="1:13" ht="40.5" customHeight="1" x14ac:dyDescent="0.25">
      <c r="A104" s="58"/>
      <c r="B104" s="58"/>
      <c r="C104" s="3" t="s">
        <v>14</v>
      </c>
      <c r="D104" s="17">
        <f>(K20/$K$21)*100</f>
        <v>21.739130434782609</v>
      </c>
      <c r="E104" s="7">
        <f>F102-E102-E103</f>
        <v>4347826</v>
      </c>
      <c r="F104" s="7">
        <v>20000000</v>
      </c>
    </row>
    <row r="106" spans="1:13" x14ac:dyDescent="0.25">
      <c r="A106" t="s">
        <v>70</v>
      </c>
    </row>
    <row r="108" spans="1:13" x14ac:dyDescent="0.25">
      <c r="A108" t="s">
        <v>83</v>
      </c>
    </row>
    <row r="110" spans="1:13" ht="45" customHeight="1" x14ac:dyDescent="0.25">
      <c r="A110" s="3" t="s">
        <v>1</v>
      </c>
      <c r="B110" s="3" t="s">
        <v>16</v>
      </c>
      <c r="C110" s="3" t="s">
        <v>71</v>
      </c>
      <c r="D110" s="3" t="s">
        <v>72</v>
      </c>
      <c r="E110" s="3" t="s">
        <v>73</v>
      </c>
      <c r="F110" s="16" t="s">
        <v>74</v>
      </c>
      <c r="G110" s="3" t="s">
        <v>75</v>
      </c>
      <c r="H110" s="3" t="s">
        <v>76</v>
      </c>
      <c r="I110" s="3" t="s">
        <v>77</v>
      </c>
      <c r="J110" s="3" t="s">
        <v>78</v>
      </c>
      <c r="K110" s="3" t="s">
        <v>79</v>
      </c>
      <c r="L110" s="3" t="s">
        <v>80</v>
      </c>
      <c r="M110" s="3" t="s">
        <v>81</v>
      </c>
    </row>
    <row r="111" spans="1:13" ht="51" customHeight="1" x14ac:dyDescent="0.25">
      <c r="A111" s="1">
        <v>1</v>
      </c>
      <c r="B111" s="3" t="s">
        <v>4</v>
      </c>
      <c r="C111" s="7">
        <f>VLOOKUP($B111,$B$18:$K$20,10,0)</f>
        <v>12000</v>
      </c>
      <c r="D111" s="7">
        <v>15</v>
      </c>
      <c r="E111" s="7">
        <v>10</v>
      </c>
      <c r="F111" s="11">
        <v>10</v>
      </c>
      <c r="G111" s="7">
        <v>1</v>
      </c>
      <c r="H111" s="7">
        <v>1</v>
      </c>
      <c r="I111" s="7">
        <f>D111</f>
        <v>15</v>
      </c>
      <c r="J111" s="7">
        <f t="shared" ref="J111:J113" si="7">D111+E111</f>
        <v>25</v>
      </c>
      <c r="K111" s="7">
        <f>D111+E111*F111/100</f>
        <v>16</v>
      </c>
      <c r="L111" s="7">
        <f>E111*F111/100</f>
        <v>1</v>
      </c>
      <c r="M111" s="7">
        <f>E111</f>
        <v>10</v>
      </c>
    </row>
    <row r="112" spans="1:13" ht="51" customHeight="1" x14ac:dyDescent="0.25">
      <c r="A112" s="1">
        <v>2</v>
      </c>
      <c r="B112" s="3" t="s">
        <v>5</v>
      </c>
      <c r="C112" s="7">
        <f t="shared" ref="C112:C113" si="8">VLOOKUP($B112,$B$18:$K$20,10,0)</f>
        <v>6000</v>
      </c>
      <c r="D112" s="7">
        <v>10</v>
      </c>
      <c r="E112" s="7">
        <v>5</v>
      </c>
      <c r="F112" s="11">
        <v>20</v>
      </c>
      <c r="G112" s="7">
        <v>1</v>
      </c>
      <c r="H112" s="7">
        <v>1</v>
      </c>
      <c r="I112" s="7">
        <f t="shared" ref="I112:I113" si="9">D112</f>
        <v>10</v>
      </c>
      <c r="J112" s="7">
        <f t="shared" si="7"/>
        <v>15</v>
      </c>
      <c r="K112" s="7">
        <f t="shared" ref="K112:K113" si="10">D112+E112*F112/100</f>
        <v>11</v>
      </c>
      <c r="L112" s="7">
        <f t="shared" ref="L112:L113" si="11">E112*F112/100</f>
        <v>1</v>
      </c>
      <c r="M112" s="7">
        <f t="shared" ref="M112:M113" si="12">E112</f>
        <v>5</v>
      </c>
    </row>
    <row r="113" spans="1:14" ht="51" customHeight="1" x14ac:dyDescent="0.25">
      <c r="A113" s="1">
        <v>3</v>
      </c>
      <c r="B113" s="3" t="s">
        <v>6</v>
      </c>
      <c r="C113" s="7">
        <f t="shared" si="8"/>
        <v>5000</v>
      </c>
      <c r="D113" s="7">
        <v>50</v>
      </c>
      <c r="E113" s="7">
        <v>20</v>
      </c>
      <c r="F113" s="11">
        <v>10</v>
      </c>
      <c r="G113" s="7">
        <v>1</v>
      </c>
      <c r="H113" s="7">
        <v>1</v>
      </c>
      <c r="I113" s="7">
        <f t="shared" si="9"/>
        <v>50</v>
      </c>
      <c r="J113" s="7">
        <f t="shared" si="7"/>
        <v>70</v>
      </c>
      <c r="K113" s="7">
        <f t="shared" si="10"/>
        <v>52</v>
      </c>
      <c r="L113" s="7">
        <f t="shared" si="11"/>
        <v>2</v>
      </c>
      <c r="M113" s="7">
        <f t="shared" si="12"/>
        <v>20</v>
      </c>
    </row>
    <row r="114" spans="1:14" x14ac:dyDescent="0.25">
      <c r="B114" s="8"/>
    </row>
    <row r="115" spans="1:14" x14ac:dyDescent="0.25">
      <c r="A115" t="s">
        <v>84</v>
      </c>
    </row>
    <row r="117" spans="1:14" ht="36.75" customHeight="1" x14ac:dyDescent="0.25">
      <c r="A117" s="3" t="s">
        <v>1</v>
      </c>
      <c r="B117" s="3" t="s">
        <v>85</v>
      </c>
      <c r="C117" s="3" t="s">
        <v>86</v>
      </c>
      <c r="D117" s="3" t="s">
        <v>16</v>
      </c>
      <c r="E117" s="3" t="s">
        <v>17</v>
      </c>
      <c r="F117" s="3" t="s">
        <v>19</v>
      </c>
      <c r="G117" s="16" t="s">
        <v>18</v>
      </c>
      <c r="H117" s="3" t="s">
        <v>20</v>
      </c>
      <c r="I117" s="3" t="s">
        <v>88</v>
      </c>
      <c r="J117" s="3" t="s">
        <v>22</v>
      </c>
      <c r="K117" s="3" t="s">
        <v>23</v>
      </c>
      <c r="L117" s="3" t="s">
        <v>89</v>
      </c>
      <c r="M117" s="3" t="s">
        <v>25</v>
      </c>
    </row>
    <row r="118" spans="1:14" ht="50.25" customHeight="1" x14ac:dyDescent="0.25">
      <c r="A118" s="1">
        <v>1</v>
      </c>
      <c r="B118" s="3" t="s">
        <v>12</v>
      </c>
      <c r="C118" s="3" t="s">
        <v>87</v>
      </c>
      <c r="D118" s="3" t="s">
        <v>4</v>
      </c>
      <c r="E118" s="7">
        <f>((VLOOKUP($B118,$B$32:$L$34,2,0)+SUMIF($B$40:$B$42,$B118,$E$40:$E$42)-SUMIFS($F$64:$F$64,$D$64:$D$64,"direct_material",$E$64:$E$64,"H1")+SUMIFS($F$86:$F$97,$C$86:$C$97,"direct_material",$D$86:$D$97,"H1"))/J111)*E111</f>
        <v>32000000</v>
      </c>
      <c r="F118" s="7">
        <f>(((VLOOKUP($B118,$B$32:$L$34,3,0)+SUMIF($B$48:$B$50,$B118,$E$48:$E$50)-SUMIFS($F$64:$F$64,$D$64:$D$64,"direct_labor",$E$64:$E$64,"H1")+SUMIFS($F$86:$F$97,$C$86:$C$97,"direct_labor",$D$86:$D$97,"H1"))/$K$111)/$L$111)</f>
        <v>1875000</v>
      </c>
      <c r="G118" s="7">
        <f>(((VLOOKUP($B118,$B$32:$L$34,5,0)-SUMIFS($F$64:$F$64,$D$64:$D$64,"material_cost",$E$64:$E$64,"H1")+SUMIFS($F$86:$F$97,$C$86:$C$97,"material_cost",$D$86:$D$97,"H1"))/$K$111)/$L$111)</f>
        <v>1250000</v>
      </c>
      <c r="H118" s="7">
        <f>(((VLOOKUP($B118,$B$32:$L$34,6,0)-SUMIFS($F$64:$F$64,$D$64:$D$64,"employee_cost",$E$64:$E$64,"H1")+SUMIFS($F$86:$F$97,$C$86:$C$97,"employee_cost",$D$86:$D$97,"H1"))/$K$111)/$L$111)</f>
        <v>1576086.9375</v>
      </c>
      <c r="I118" s="7">
        <f>(((VLOOKUP($B118,$B$32:$L$34,8,0)-SUMIFS($F$64:$F$64,$D$64:$D$64,"production_tool_cost",$E$64:$E$64,"H1")+SUMIFS($F$86:$F$97,$C$86:$C$97,"production_tool_cost",$D$86:$D$97,"H1"))/$K$111)/$L$111)</f>
        <v>979838.6875</v>
      </c>
      <c r="J118" s="7">
        <f>(((VLOOKUP($B118,$B$32:$L$34,7,0)-SUMIFS($F$64:$F$64,$D$64:$D$64,"depreciation",$E$64:$E$64,"H1")+SUMIFS($F$86:$F$97,$C$86:$C$97,"depreciation",$D$86:$D$97,"H1"))/$K$111)/$L$111)</f>
        <v>1041666.6875</v>
      </c>
      <c r="K118" s="7">
        <f>(((VLOOKUP($B118,$B$32:$L$34,9,0)-SUMIFS($F$64:$F$64,$D$64:$D$64,"outside_service_cost",$E$64:$E$64,"H1")+SUMIFS($F$86:$F$97,$C$86:$C$97,"outside_service_cost",$D$86:$D$97,"H1"))/$K$111)/$L$111)</f>
        <v>625000</v>
      </c>
      <c r="L118" s="7">
        <f>(((VLOOKUP($B118,$B$32:$L$34,10,0)-SUMIFS($F$64:$F$64,$D$64:$D$64,"other_expense",$E$64:$E$64,"H1")+SUMIFS($F$86:$F$97,$C$86:$C$97,"other_expense",$D$86:$D$97,"H1"))/$K$111)/$L$111)</f>
        <v>625000</v>
      </c>
      <c r="M118" s="7">
        <f t="shared" ref="M118:M119" si="13">SUM(E118:L118)</f>
        <v>39972592.3125</v>
      </c>
    </row>
    <row r="119" spans="1:14" ht="50.25" customHeight="1" x14ac:dyDescent="0.25">
      <c r="A119" s="1">
        <v>2</v>
      </c>
      <c r="B119" s="3" t="s">
        <v>13</v>
      </c>
      <c r="C119" s="3" t="s">
        <v>17</v>
      </c>
      <c r="D119" s="3" t="s">
        <v>5</v>
      </c>
      <c r="E119" s="7">
        <f>((VLOOKUP($B119,$B$32:$L$34,2,0)+SUMIF($B$40:$B$42,$B119,$E$40:$E$42)-SUMIFS($F$64:$F$64,$D$64:$D$64,"direct_material",$E$64:$E$64,"H2")+SUMIFS($F$86:$F$97,$C$86:$C$97,"direct_material",$D$86:$D$97,"H2"))/J112)*E112</f>
        <v>23333333.333333336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f t="shared" si="13"/>
        <v>23333333.333333336</v>
      </c>
    </row>
    <row r="120" spans="1:14" ht="50.25" customHeight="1" x14ac:dyDescent="0.25">
      <c r="A120" s="1">
        <v>3</v>
      </c>
      <c r="B120" s="3" t="s">
        <v>14</v>
      </c>
      <c r="C120" s="3" t="s">
        <v>61</v>
      </c>
      <c r="D120" s="3" t="s">
        <v>6</v>
      </c>
      <c r="E120" s="7">
        <f>C20*$E$113</f>
        <v>60000</v>
      </c>
      <c r="F120" s="7">
        <f>E20*$L$113</f>
        <v>4000</v>
      </c>
      <c r="G120" s="7">
        <f>D20*$L$113</f>
        <v>0</v>
      </c>
      <c r="H120" s="7">
        <f>H20*$L$113</f>
        <v>0</v>
      </c>
      <c r="I120" s="7">
        <f>F20*$L$113</f>
        <v>0</v>
      </c>
      <c r="J120" s="7">
        <f>G20*$L$113</f>
        <v>0</v>
      </c>
      <c r="K120" s="7">
        <f>I20*$L$113</f>
        <v>0</v>
      </c>
      <c r="L120" s="7">
        <f>J20*$L$113</f>
        <v>0</v>
      </c>
      <c r="M120" s="7">
        <f>SUM(E120:L120)</f>
        <v>64000</v>
      </c>
    </row>
    <row r="122" spans="1:14" x14ac:dyDescent="0.25">
      <c r="A122" t="s">
        <v>96</v>
      </c>
    </row>
    <row r="123" spans="1:14" x14ac:dyDescent="0.25">
      <c r="F123"/>
    </row>
    <row r="124" spans="1:14" ht="32.25" customHeight="1" x14ac:dyDescent="0.25">
      <c r="A124" s="3" t="s">
        <v>1</v>
      </c>
      <c r="B124" s="3" t="s">
        <v>85</v>
      </c>
      <c r="C124" s="3" t="s">
        <v>16</v>
      </c>
      <c r="D124" s="3" t="s">
        <v>17</v>
      </c>
      <c r="E124" s="3" t="s">
        <v>19</v>
      </c>
      <c r="F124" s="16" t="s">
        <v>18</v>
      </c>
      <c r="G124" s="3" t="s">
        <v>20</v>
      </c>
      <c r="H124" s="3" t="s">
        <v>88</v>
      </c>
      <c r="I124" s="3" t="s">
        <v>22</v>
      </c>
      <c r="J124" s="3" t="s">
        <v>23</v>
      </c>
      <c r="K124" s="3" t="s">
        <v>89</v>
      </c>
      <c r="L124" s="3" t="s">
        <v>25</v>
      </c>
      <c r="M124" s="1" t="s">
        <v>97</v>
      </c>
      <c r="N124" s="1" t="s">
        <v>98</v>
      </c>
    </row>
    <row r="125" spans="1:14" ht="39" customHeight="1" x14ac:dyDescent="0.25">
      <c r="A125" s="1">
        <v>1</v>
      </c>
      <c r="B125" s="3" t="s">
        <v>12</v>
      </c>
      <c r="C125" s="3" t="s">
        <v>4</v>
      </c>
      <c r="D125" s="7">
        <f>(VLOOKUP($B125,$B$32:$L$34,2,0)+SUMIF($B$40:$B$42,$B125,$E$40:$E$42)-SUMIFS($F$64:$F$64,$D$64:$D$64,"direct_material",$E$64:$E$64,"H1")+SUMIFS($F$86:$F$97,$C$86:$C$97,"direct_material",$D$86:$D$97,"H1"))-E118</f>
        <v>48000000</v>
      </c>
      <c r="E125" s="7">
        <f>(VLOOKUP($B125,$B$32:$L$34,3,0)+SUMIF($B$48:$B$50,$B125,$E$48:$E$50)-SUMIFS($F$64:$F$64,$D$64:$D$64,"direct_labor",$E$64:$E$64,"H1")+SUMIFS($F$86:$F$97,$C$86:$C$97,"direct_labor",$D$86:$D$97,"H1"))-F118</f>
        <v>28125000</v>
      </c>
      <c r="F125" s="7">
        <f>VLOOKUP($B125,$B$32:$L$34,5,0)-SUMIFS($F$64:$F$64,$D$64:$D$64,"material_cost",$E$64:$E$64,"H1")+SUMIFS($F$86:$F$97,$C$86:$C$97,"material_cost",$D$86:$D$97,"H1")-G118</f>
        <v>18750000</v>
      </c>
      <c r="G125" s="7">
        <f>(VLOOKUP($B125,$B$32:$L$34,6,0)-SUMIFS($F$64:$F$64,$D$64:$D$64,"employee_cost",$E$64:$E$64,"H1")+SUMIFS($F$86:$F$97,$C$86:$C$97,"employee_cost",$D$86:$D$97,"H1"))-H118</f>
        <v>23641304.0625</v>
      </c>
      <c r="H125" s="17">
        <f>(VLOOKUP($B125,$B$32:$L$34,8,0)-SUMIFS($F$64:$F$64,$D$64:$D$64,"production_tool_cost",$E$64:$E$64,"H1")+SUMIFS($F$86:$F$97,$C$86:$C$97,"production_tool_cost",$D$86:$D$97,"H1"))-I118</f>
        <v>14697580.3125</v>
      </c>
      <c r="I125" s="7">
        <f>(VLOOKUP($B125,$B$32:$L$34,7,0)-SUMIFS($F$64:$F$64,$D$64:$D$64,"depreciation",$E$64:$E$64,"H1")+SUMIFS($F$86:$F$97,$C$86:$C$97,"depreciation",$D$86:$D$97,"H1")-J118)</f>
        <v>15625000.3125</v>
      </c>
      <c r="J125" s="7">
        <f>(VLOOKUP($B125,$B$32:$L$34,9,0)-SUMIFS($F$64:$F$64,$D$64:$D$64,"outside_service_cost",$E$64:$E$64,"H1")+SUMIFS($F$86:$F$97,$C$86:$C$97,"outside_service_cost",$D$86:$D$97,"H1")-K118)</f>
        <v>9375000</v>
      </c>
      <c r="K125" s="7">
        <f>VLOOKUP($B125,$B$32:$L$34,10,0)-SUMIFS($F$64:$F$64,$D$64:$D$64,"other_expense",$E$64:$E$64,"H1")+SUMIFS($F$86:$F$97,$C$86:$C$97,"other_expense",$D$86:$D$97,"H1")-L118</f>
        <v>9375000</v>
      </c>
      <c r="L125" s="7">
        <f t="shared" ref="L125:L127" si="14">SUM(D125:K125)</f>
        <v>167588884.6875</v>
      </c>
      <c r="M125" s="1">
        <v>15</v>
      </c>
      <c r="N125" s="4">
        <f>L125/M125</f>
        <v>11172592.3125</v>
      </c>
    </row>
    <row r="126" spans="1:14" ht="39" customHeight="1" x14ac:dyDescent="0.25">
      <c r="A126" s="1">
        <v>2</v>
      </c>
      <c r="B126" s="3" t="s">
        <v>13</v>
      </c>
      <c r="C126" s="3" t="s">
        <v>5</v>
      </c>
      <c r="D126" s="7">
        <f>(VLOOKUP($B126,$B$32:$L$34,2,0)+SUMIF($B$40:$B$42,$B126,$E$40:$E$42)-SUMIFS($F$64:$F$64,$D$64:$D$64,"direct_material",$E$64:$E$64,"H2")+SUMIFS($F$86:$F$97,$C$86:$C$97,"direct_material",$D$86:$D$97,"H2"))-E119</f>
        <v>46666666.666666664</v>
      </c>
      <c r="E126" s="7">
        <f>(VLOOKUP($B126,$B$32:$L$34,3,0)+SUMIF($B$48:$B$50,$B126,$E$48:$E$50)-SUMIFS($F$64:$F$64,$D$64:$D$64,"direct_labor",$E$64:$E$64,"H2")+SUMIFS($F$86:$F$97,$C$86:$C$97,"direct_labor",$D$86:$D$97,"H2"))-F119</f>
        <v>20000000</v>
      </c>
      <c r="F126" s="7">
        <f>VLOOKUP($B126,$B$32:$L$34,5,0)-SUMIFS($F$64:$F$64,$D$64:$D$64,"material_cost",$E$64:$E$64,"H2")+SUMIFS($F$86:$F$97,$C$86:$C$97,"material_cost",$D$86:$D$97,"H2")-G119</f>
        <v>5000000</v>
      </c>
      <c r="G126" s="7">
        <f>(VLOOKUP($B126,$B$32:$L$34,6,0)-SUMIFS($F$64:$F$64,$D$64:$D$64,"employee_cost",$E$64:$E$64,"H2")+SUMIFS($F$86:$F$97,$C$86:$C$97,"employee_cost",$D$86:$D$97,"H2"))-H119</f>
        <v>13043478</v>
      </c>
      <c r="H126" s="17">
        <f>(VLOOKUP($B126,$B$32:$L$34,8,0)-SUMIFS($F$64:$F$64,$D$64:$D$64,"production_tool_cost",$E$64:$E$64,"H2")+SUMIFS($F$86:$F$97,$C$86:$C$97,"production_tool_cost",$D$86:$D$97,"H2"))-I119</f>
        <v>4129032</v>
      </c>
      <c r="I126" s="7">
        <f>(VLOOKUP($B126,$B$32:$L$34,7,0)-SUMIFS($F$64:$F$64,$D$64:$D$64,"depreciation",$E$64:$E$64,"H2")+SUMIFS($F$86:$F$97,$C$86:$C$97,"depreciation",$D$86:$D$97,"H2")-J119)</f>
        <v>6666667</v>
      </c>
      <c r="J126" s="7">
        <f>(VLOOKUP($B126,$B$32:$L$34,9,0)-SUMIFS($F$64:$F$64,$D$64:$D$64,"outside_service_cost",$E$64:$E$64,"H2")+SUMIFS($F$86:$F$97,$C$86:$C$97,"outside_service_cost",$D$86:$D$97,"H2")-K119)</f>
        <v>0</v>
      </c>
      <c r="K126" s="7">
        <f>VLOOKUP($B126,$B$32:$L$34,10,0)-SUMIFS($F$64:$F$64,$D$64:$D$64,"other_expense",$E$64:$E$64,"H2")+SUMIFS($F$86:$F$97,$C$86:$C$97,"other_expense",$D$86:$D$97,"H2")-L119</f>
        <v>10000000</v>
      </c>
      <c r="L126" s="7">
        <f t="shared" si="14"/>
        <v>105505843.66666666</v>
      </c>
      <c r="M126" s="1">
        <v>10</v>
      </c>
      <c r="N126" s="4">
        <f>L126/M126</f>
        <v>10550584.366666665</v>
      </c>
    </row>
    <row r="127" spans="1:14" ht="39" customHeight="1" x14ac:dyDescent="0.25">
      <c r="A127" s="1">
        <v>3</v>
      </c>
      <c r="B127" s="3" t="s">
        <v>14</v>
      </c>
      <c r="C127" s="3" t="s">
        <v>6</v>
      </c>
      <c r="D127" s="7">
        <f>(VLOOKUP($B127,$B$32:$L$34,2,0)+SUMIF($B$40:$B$42,$B127,$E$40:$E$42)-SUMIFS($F$64:$F$64,$D$64:$D$64,"direct_material",$E$64:$E$64,"H3")+SUMIFS($F$86:$F$97,$C$86:$C$97,"direct_material",$D$86:$D$97,"H3"))-E120</f>
        <v>79940000</v>
      </c>
      <c r="E127" s="7">
        <f>(VLOOKUP($B127,$B$32:$L$34,3,0)+SUMIF($B$48:$B$50,$B127,$E$48:$E$50)-SUMIFS($F$64:$F$64,$D$64:$D$64,"direct_labor",$E$64:$E$64,"H3")+SUMIFS($F$86:$F$97,$C$86:$C$97,"direct_labor",$D$86:$D$97,"H3"))-F120</f>
        <v>19996000</v>
      </c>
      <c r="F127" s="7">
        <f>VLOOKUP($B127,$B$32:$L$34,5,0)-SUMIFS($F$64:$F$64,$D$64:$D$64,"material_cost",$E$64:$E$64,"H3")+SUMIFS($F$86:$F$97,$C$86:$C$97,"material_cost",$D$86:$D$97,"H3")-G120</f>
        <v>5000000</v>
      </c>
      <c r="G127" s="7">
        <f>(VLOOKUP($B127,$B$32:$L$34,6,0)-SUMIFS($F$64:$F$64,$D$64:$D$64,"employee_cost",$E$64:$E$64,"H3")+SUMIFS($F$86:$F$97,$C$86:$C$97,"employee_cost",$D$86:$D$97,"H3"))-H120</f>
        <v>21739131</v>
      </c>
      <c r="H127" s="17">
        <f>(VLOOKUP($B127,$B$32:$L$34,8,0)-SUMIFS($F$64:$F$64,$D$64:$D$64,"production_tool_cost",$E$64:$E$64,"H3")+SUMIFS($F$86:$F$97,$C$86:$C$97,"production_tool_cost",$D$86:$D$97,"H3"))-I120</f>
        <v>6193549</v>
      </c>
      <c r="I127" s="7">
        <f>(VLOOKUP($B127,$B$32:$L$34,7,0)-SUMIFS($F$64:$F$64,$D$64:$D$64,"depreciation",$E$64:$E$64,"H3")+SUMIFS($F$86:$F$97,$C$86:$C$97,"depreciation",$D$86:$D$97,"H3")-J120)</f>
        <v>6666666</v>
      </c>
      <c r="J127" s="7">
        <f>(VLOOKUP($B127,$B$32:$L$34,9,0)-SUMIFS($F$64:$F$64,$D$64:$D$64,"outside_service_cost",$E$64:$E$64,"H1")+SUMIFS($F$86:$F$97,$C$86:$C$97,"outside_service_cost",$D$86:$D$97,"H1")-K120)</f>
        <v>0</v>
      </c>
      <c r="K127" s="7">
        <f>VLOOKUP($B127,$B$32:$L$34,10,0)-SUMIFS($F$64:$F$64,$D$64:$D$64,"other_expense",$E$64:$E$64,"H3")+SUMIFS($F$86:$F$97,$C$86:$C$97,"other_expense",$D$86:$D$97,"H3")-L120</f>
        <v>10000000</v>
      </c>
      <c r="L127" s="7">
        <f t="shared" si="14"/>
        <v>149535346</v>
      </c>
      <c r="M127" s="1">
        <v>50</v>
      </c>
      <c r="N127" s="4">
        <f>L127/M127</f>
        <v>2990706.92</v>
      </c>
    </row>
    <row r="129" spans="1:5" x14ac:dyDescent="0.25">
      <c r="A129" t="s">
        <v>138</v>
      </c>
    </row>
    <row r="130" spans="1:5" x14ac:dyDescent="0.25">
      <c r="A130" t="s">
        <v>139</v>
      </c>
      <c r="D130" t="s">
        <v>33</v>
      </c>
      <c r="E130" t="s">
        <v>34</v>
      </c>
    </row>
    <row r="131" spans="1:5" x14ac:dyDescent="0.25">
      <c r="B131">
        <v>1541</v>
      </c>
      <c r="C131" t="s">
        <v>12</v>
      </c>
      <c r="D131">
        <f>E132</f>
        <v>20000000</v>
      </c>
    </row>
    <row r="132" spans="1:5" x14ac:dyDescent="0.25">
      <c r="B132">
        <v>622</v>
      </c>
      <c r="C132" t="s">
        <v>12</v>
      </c>
      <c r="E132">
        <f>VLOOKUP($C132,$B$48:$E$50,4,0)</f>
        <v>20000000</v>
      </c>
    </row>
    <row r="133" spans="1:5" x14ac:dyDescent="0.25">
      <c r="B133">
        <v>1541</v>
      </c>
      <c r="C133" t="s">
        <v>13</v>
      </c>
      <c r="D133">
        <f>E134</f>
        <v>10000000</v>
      </c>
    </row>
    <row r="134" spans="1:5" x14ac:dyDescent="0.25">
      <c r="B134">
        <v>622</v>
      </c>
      <c r="C134" t="s">
        <v>13</v>
      </c>
      <c r="E134">
        <f>VLOOKUP($C134,$B$48:$E$50,4,0)</f>
        <v>10000000</v>
      </c>
    </row>
    <row r="135" spans="1:5" x14ac:dyDescent="0.25">
      <c r="B135">
        <v>1541</v>
      </c>
      <c r="C135" t="s">
        <v>14</v>
      </c>
      <c r="D135">
        <f>E136</f>
        <v>10000000</v>
      </c>
    </row>
    <row r="136" spans="1:5" x14ac:dyDescent="0.25">
      <c r="B136">
        <v>622</v>
      </c>
      <c r="C136" t="s">
        <v>14</v>
      </c>
      <c r="E136">
        <f>VLOOKUP($C136,$B$48:$E$50,4,0)</f>
        <v>10000000</v>
      </c>
    </row>
    <row r="137" spans="1:5" x14ac:dyDescent="0.25">
      <c r="B137">
        <v>1541</v>
      </c>
      <c r="C137" t="s">
        <v>12</v>
      </c>
      <c r="D137">
        <f>E138</f>
        <v>35000000</v>
      </c>
    </row>
    <row r="138" spans="1:5" x14ac:dyDescent="0.25">
      <c r="B138">
        <v>621</v>
      </c>
      <c r="C138" t="s">
        <v>12</v>
      </c>
      <c r="E138">
        <f>VLOOKUP(C138,$B$40:$E$42,4,0)</f>
        <v>35000000</v>
      </c>
    </row>
    <row r="139" spans="1:5" x14ac:dyDescent="0.25">
      <c r="B139">
        <v>1541</v>
      </c>
      <c r="C139" t="s">
        <v>13</v>
      </c>
      <c r="D139">
        <f>E140</f>
        <v>30000000</v>
      </c>
    </row>
    <row r="140" spans="1:5" x14ac:dyDescent="0.25">
      <c r="B140">
        <v>621</v>
      </c>
      <c r="C140" t="s">
        <v>13</v>
      </c>
      <c r="E140">
        <f>VLOOKUP(C140,$B$40:$E$42,4,0)</f>
        <v>30000000</v>
      </c>
    </row>
    <row r="141" spans="1:5" x14ac:dyDescent="0.25">
      <c r="B141">
        <v>1541</v>
      </c>
      <c r="C141" t="s">
        <v>14</v>
      </c>
      <c r="D141">
        <f>E142</f>
        <v>50000000</v>
      </c>
    </row>
    <row r="142" spans="1:5" x14ac:dyDescent="0.25">
      <c r="B142">
        <v>621</v>
      </c>
      <c r="C142" t="s">
        <v>14</v>
      </c>
      <c r="E142">
        <f>VLOOKUP(C142,$B$40:$E$42,4,0)</f>
        <v>50000000</v>
      </c>
    </row>
    <row r="143" spans="1:5" x14ac:dyDescent="0.25">
      <c r="B143">
        <v>1541</v>
      </c>
      <c r="C143" t="s">
        <v>12</v>
      </c>
      <c r="D143">
        <f>E144</f>
        <v>15217391</v>
      </c>
    </row>
    <row r="144" spans="1:5" x14ac:dyDescent="0.25">
      <c r="B144">
        <v>6271</v>
      </c>
      <c r="C144" t="s">
        <v>12</v>
      </c>
      <c r="E144">
        <f>SUMIFS($F$86:$F$97,$B$86:$B$97,"6271",$D$86:$D$97,"H1")</f>
        <v>15217391</v>
      </c>
    </row>
    <row r="145" spans="2:5" x14ac:dyDescent="0.25">
      <c r="B145">
        <v>1541</v>
      </c>
      <c r="C145" t="s">
        <v>13</v>
      </c>
      <c r="D145">
        <f>E146</f>
        <v>13043478</v>
      </c>
    </row>
    <row r="146" spans="2:5" x14ac:dyDescent="0.25">
      <c r="B146">
        <v>6271</v>
      </c>
      <c r="C146" t="s">
        <v>13</v>
      </c>
      <c r="E146">
        <f>SUMIFS($F$86:$F$97,$B$86:$B$97,"6271",$D$86:$D$97,"H2")</f>
        <v>13043478</v>
      </c>
    </row>
    <row r="147" spans="2:5" x14ac:dyDescent="0.25">
      <c r="B147">
        <v>1541</v>
      </c>
      <c r="C147" t="s">
        <v>14</v>
      </c>
      <c r="D147">
        <f>E148</f>
        <v>21739131</v>
      </c>
    </row>
    <row r="148" spans="2:5" x14ac:dyDescent="0.25">
      <c r="B148">
        <v>6271</v>
      </c>
      <c r="C148" t="s">
        <v>14</v>
      </c>
      <c r="E148">
        <f>SUMIFS($F$86:$F$97,$B$86:$B$97,"6271",$D$86:$D$97,"H3")</f>
        <v>21739131</v>
      </c>
    </row>
    <row r="149" spans="2:5" x14ac:dyDescent="0.25">
      <c r="B149">
        <v>1541</v>
      </c>
      <c r="C149" t="s">
        <v>12</v>
      </c>
      <c r="D149">
        <f>E150</f>
        <v>10000000</v>
      </c>
    </row>
    <row r="150" spans="2:5" x14ac:dyDescent="0.25">
      <c r="B150">
        <v>6272</v>
      </c>
      <c r="C150" t="s">
        <v>12</v>
      </c>
      <c r="E150">
        <f>SUMIFS($F$86:$F$97,$B$86:$B$97,"6272",$D$86:$D$97,"H1")</f>
        <v>10000000</v>
      </c>
    </row>
    <row r="151" spans="2:5" x14ac:dyDescent="0.25">
      <c r="B151">
        <v>1541</v>
      </c>
      <c r="C151" t="s">
        <v>13</v>
      </c>
      <c r="D151">
        <f>E152</f>
        <v>5000000</v>
      </c>
    </row>
    <row r="152" spans="2:5" x14ac:dyDescent="0.25">
      <c r="B152">
        <v>6272</v>
      </c>
      <c r="C152" t="s">
        <v>13</v>
      </c>
      <c r="E152">
        <f>SUMIFS($F$86:$F$97,$B$86:$B$97,"6272",$D$86:$D$97,"H2")</f>
        <v>5000000</v>
      </c>
    </row>
    <row r="153" spans="2:5" x14ac:dyDescent="0.25">
      <c r="B153">
        <v>1541</v>
      </c>
      <c r="C153" t="s">
        <v>14</v>
      </c>
      <c r="D153">
        <f>E154</f>
        <v>5000000</v>
      </c>
    </row>
    <row r="154" spans="2:5" x14ac:dyDescent="0.25">
      <c r="B154">
        <v>6272</v>
      </c>
      <c r="C154" t="s">
        <v>14</v>
      </c>
      <c r="E154">
        <f>SUMIFS($F$86:$F$97,$B$86:$B$97,"6272",$D$86:$D$97,"H3")</f>
        <v>5000000</v>
      </c>
    </row>
    <row r="155" spans="2:5" x14ac:dyDescent="0.25">
      <c r="B155">
        <v>1541</v>
      </c>
      <c r="C155" t="s">
        <v>12</v>
      </c>
      <c r="D155">
        <f>E156</f>
        <v>5677419</v>
      </c>
    </row>
    <row r="156" spans="2:5" x14ac:dyDescent="0.25">
      <c r="B156">
        <v>6273</v>
      </c>
      <c r="C156" t="s">
        <v>12</v>
      </c>
      <c r="E156">
        <f>SUMIFS($F$86:$F$97,$B$86:$B$97,"6273",$D$86:$D$97,"H1")</f>
        <v>5677419</v>
      </c>
    </row>
    <row r="157" spans="2:5" x14ac:dyDescent="0.25">
      <c r="B157">
        <v>1541</v>
      </c>
      <c r="C157" t="s">
        <v>13</v>
      </c>
      <c r="D157">
        <f>E158</f>
        <v>4129032</v>
      </c>
    </row>
    <row r="158" spans="2:5" x14ac:dyDescent="0.25">
      <c r="B158">
        <v>6273</v>
      </c>
      <c r="C158" t="s">
        <v>13</v>
      </c>
      <c r="E158">
        <f>SUMIFS($F$86:$F$97,$B$86:$B$97,"6273",$D$86:$D$97,"H2")</f>
        <v>4129032</v>
      </c>
    </row>
    <row r="159" spans="2:5" x14ac:dyDescent="0.25">
      <c r="B159">
        <v>1541</v>
      </c>
      <c r="C159" t="s">
        <v>14</v>
      </c>
      <c r="D159">
        <f>E160</f>
        <v>6193549</v>
      </c>
    </row>
    <row r="160" spans="2:5" x14ac:dyDescent="0.25">
      <c r="B160">
        <v>6273</v>
      </c>
      <c r="C160" t="s">
        <v>14</v>
      </c>
      <c r="E160">
        <f>SUMIFS($F$86:$F$97,$B$86:$B$97,"6273",$D$86:$D$97,"H3")</f>
        <v>6193549</v>
      </c>
    </row>
    <row r="161" spans="2:5" x14ac:dyDescent="0.25">
      <c r="B161">
        <v>1541</v>
      </c>
      <c r="C161" t="s">
        <v>12</v>
      </c>
      <c r="D161">
        <f>E162</f>
        <v>6666667</v>
      </c>
    </row>
    <row r="162" spans="2:5" x14ac:dyDescent="0.25">
      <c r="B162">
        <v>6274</v>
      </c>
      <c r="C162" t="s">
        <v>12</v>
      </c>
      <c r="E162">
        <f>SUMIFS($F$86:$F$97,$B$86:$B$97,"6274",$D$86:$D$97,"H1")</f>
        <v>6666667</v>
      </c>
    </row>
    <row r="163" spans="2:5" x14ac:dyDescent="0.25">
      <c r="B163">
        <v>1541</v>
      </c>
      <c r="C163" t="s">
        <v>13</v>
      </c>
      <c r="D163">
        <f>E164</f>
        <v>6666667</v>
      </c>
    </row>
    <row r="164" spans="2:5" x14ac:dyDescent="0.25">
      <c r="B164">
        <v>6274</v>
      </c>
      <c r="C164" t="s">
        <v>13</v>
      </c>
      <c r="E164">
        <f>SUMIFS($F$86:$F$97,$B$86:$B$97,"6274",$D$86:$D$97,"H1")</f>
        <v>6666667</v>
      </c>
    </row>
    <row r="165" spans="2:5" x14ac:dyDescent="0.25">
      <c r="B165">
        <v>1541</v>
      </c>
      <c r="C165" t="s">
        <v>14</v>
      </c>
      <c r="D165">
        <f>E166</f>
        <v>6666667</v>
      </c>
    </row>
    <row r="166" spans="2:5" x14ac:dyDescent="0.25">
      <c r="B166">
        <v>6274</v>
      </c>
      <c r="C166" t="s">
        <v>14</v>
      </c>
      <c r="E166">
        <f>SUMIFS($F$86:$F$97,$B$86:$B$97,"6274",$D$86:$D$97,"H1")</f>
        <v>6666667</v>
      </c>
    </row>
  </sheetData>
  <mergeCells count="6">
    <mergeCell ref="A51:B51"/>
    <mergeCell ref="A28:B28"/>
    <mergeCell ref="A102:A104"/>
    <mergeCell ref="B102:B104"/>
    <mergeCell ref="A21:B21"/>
    <mergeCell ref="A43:B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opLeftCell="A106" workbookViewId="0">
      <selection activeCell="C124" sqref="C124"/>
    </sheetView>
  </sheetViews>
  <sheetFormatPr defaultRowHeight="15" x14ac:dyDescent="0.25"/>
  <cols>
    <col min="2" max="2" width="37.28515625" customWidth="1"/>
    <col min="3" max="3" width="38.85546875" customWidth="1"/>
    <col min="4" max="4" width="31" customWidth="1"/>
    <col min="5" max="5" width="41.42578125" customWidth="1"/>
    <col min="6" max="6" width="34.42578125" style="9" customWidth="1"/>
    <col min="7" max="9" width="24.42578125" customWidth="1"/>
    <col min="10" max="10" width="16.7109375" customWidth="1"/>
    <col min="11" max="11" width="20.140625" customWidth="1"/>
    <col min="12" max="12" width="13.85546875" customWidth="1"/>
    <col min="13" max="13" width="16.140625" customWidth="1"/>
    <col min="14" max="14" width="17.7109375" customWidth="1"/>
  </cols>
  <sheetData>
    <row r="1" spans="1:6" x14ac:dyDescent="0.25">
      <c r="A1" t="s">
        <v>0</v>
      </c>
      <c r="E1" t="s">
        <v>26</v>
      </c>
      <c r="F1" s="9" t="s">
        <v>27</v>
      </c>
    </row>
    <row r="3" spans="1:6" ht="33.75" customHeight="1" x14ac:dyDescent="0.25">
      <c r="A3" s="2" t="s">
        <v>1</v>
      </c>
      <c r="B3" s="2" t="s">
        <v>2</v>
      </c>
      <c r="C3" s="2" t="s">
        <v>3</v>
      </c>
    </row>
    <row r="4" spans="1:6" ht="36.75" customHeight="1" x14ac:dyDescent="0.25">
      <c r="A4" s="3">
        <v>1</v>
      </c>
      <c r="B4" s="3" t="s">
        <v>103</v>
      </c>
      <c r="C4" s="3" t="s">
        <v>103</v>
      </c>
    </row>
    <row r="5" spans="1:6" ht="36.75" customHeight="1" x14ac:dyDescent="0.25">
      <c r="A5" s="3">
        <v>2</v>
      </c>
      <c r="B5" s="3" t="s">
        <v>104</v>
      </c>
      <c r="C5" s="3" t="s">
        <v>104</v>
      </c>
    </row>
    <row r="6" spans="1:6" ht="39" customHeight="1" x14ac:dyDescent="0.25">
      <c r="A6" s="3">
        <v>3</v>
      </c>
      <c r="B6" s="3" t="s">
        <v>105</v>
      </c>
      <c r="C6" s="3" t="s">
        <v>105</v>
      </c>
    </row>
    <row r="8" spans="1:6" x14ac:dyDescent="0.25">
      <c r="A8" t="s">
        <v>7</v>
      </c>
    </row>
    <row r="10" spans="1:6" ht="54" customHeight="1" x14ac:dyDescent="0.25">
      <c r="A10" s="2" t="s">
        <v>1</v>
      </c>
      <c r="B10" s="2" t="s">
        <v>10</v>
      </c>
      <c r="C10" s="2" t="s">
        <v>11</v>
      </c>
      <c r="D10" s="2" t="s">
        <v>8</v>
      </c>
      <c r="E10" s="2" t="s">
        <v>9</v>
      </c>
    </row>
    <row r="11" spans="1:6" ht="54" customHeight="1" x14ac:dyDescent="0.25">
      <c r="A11" s="3">
        <v>1</v>
      </c>
      <c r="B11" s="3" t="s">
        <v>100</v>
      </c>
      <c r="C11" s="3" t="s">
        <v>100</v>
      </c>
      <c r="D11" s="3">
        <v>6</v>
      </c>
      <c r="E11" s="3" t="s">
        <v>103</v>
      </c>
    </row>
    <row r="12" spans="1:6" ht="54" customHeight="1" x14ac:dyDescent="0.25">
      <c r="A12" s="3">
        <v>2</v>
      </c>
      <c r="B12" s="3" t="s">
        <v>101</v>
      </c>
      <c r="C12" s="3" t="s">
        <v>101</v>
      </c>
      <c r="D12" s="3">
        <v>7</v>
      </c>
      <c r="E12" s="3" t="s">
        <v>104</v>
      </c>
    </row>
    <row r="13" spans="1:6" ht="54" customHeight="1" x14ac:dyDescent="0.25">
      <c r="A13" s="3">
        <v>3</v>
      </c>
      <c r="B13" s="3" t="s">
        <v>102</v>
      </c>
      <c r="C13" s="3" t="s">
        <v>102</v>
      </c>
      <c r="D13" s="3">
        <v>8</v>
      </c>
      <c r="E13" s="3" t="s">
        <v>105</v>
      </c>
    </row>
    <row r="15" spans="1:6" x14ac:dyDescent="0.25">
      <c r="A15" t="s">
        <v>15</v>
      </c>
    </row>
    <row r="17" spans="1:11" ht="39.75" customHeight="1" x14ac:dyDescent="0.25">
      <c r="A17" s="2" t="s">
        <v>1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21</v>
      </c>
      <c r="G17" s="2" t="s">
        <v>82</v>
      </c>
      <c r="H17" s="10" t="s">
        <v>20</v>
      </c>
      <c r="I17" s="2" t="s">
        <v>23</v>
      </c>
      <c r="J17" s="2" t="s">
        <v>24</v>
      </c>
      <c r="K17" s="2" t="s">
        <v>25</v>
      </c>
    </row>
    <row r="18" spans="1:11" ht="67.5" customHeight="1" x14ac:dyDescent="0.25">
      <c r="A18" s="3">
        <v>1</v>
      </c>
      <c r="B18" s="3" t="s">
        <v>103</v>
      </c>
      <c r="C18" s="7">
        <v>6000</v>
      </c>
      <c r="D18" s="7">
        <v>1000</v>
      </c>
      <c r="E18" s="7">
        <v>1000</v>
      </c>
      <c r="F18" s="7">
        <v>1000</v>
      </c>
      <c r="G18" s="7">
        <v>1000</v>
      </c>
      <c r="H18" s="11">
        <v>1000</v>
      </c>
      <c r="I18" s="7">
        <v>1000</v>
      </c>
      <c r="J18" s="7">
        <v>1000</v>
      </c>
      <c r="K18" s="7">
        <f>SUM(C18:J18)</f>
        <v>13000</v>
      </c>
    </row>
    <row r="19" spans="1:11" ht="67.5" customHeight="1" x14ac:dyDescent="0.25">
      <c r="A19" s="3">
        <v>2</v>
      </c>
      <c r="B19" s="3" t="s">
        <v>104</v>
      </c>
      <c r="C19" s="5">
        <v>5000</v>
      </c>
      <c r="D19" s="5"/>
      <c r="E19" s="5">
        <v>2000</v>
      </c>
      <c r="F19" s="5"/>
      <c r="G19" s="5"/>
      <c r="H19" s="12"/>
      <c r="I19" s="6"/>
      <c r="J19" s="6"/>
      <c r="K19" s="7">
        <f>SUM(C19:J19)</f>
        <v>7000</v>
      </c>
    </row>
    <row r="20" spans="1:11" ht="67.5" customHeight="1" x14ac:dyDescent="0.25">
      <c r="A20" s="3">
        <v>3</v>
      </c>
      <c r="B20" s="3" t="s">
        <v>105</v>
      </c>
      <c r="C20" s="5">
        <v>4000</v>
      </c>
      <c r="D20" s="5"/>
      <c r="E20" s="5">
        <v>2000</v>
      </c>
      <c r="F20" s="5"/>
      <c r="G20" s="5"/>
      <c r="H20" s="12"/>
      <c r="I20" s="6"/>
      <c r="J20" s="6"/>
      <c r="K20" s="7">
        <f>SUM(C20:J20)</f>
        <v>6000</v>
      </c>
    </row>
    <row r="21" spans="1:11" ht="67.5" customHeight="1" x14ac:dyDescent="0.25">
      <c r="A21" s="54" t="s">
        <v>67</v>
      </c>
      <c r="B21" s="55"/>
      <c r="C21" s="5"/>
      <c r="D21" s="5"/>
      <c r="E21" s="5"/>
      <c r="F21" s="5"/>
      <c r="G21" s="5"/>
      <c r="H21" s="12"/>
      <c r="I21" s="6"/>
      <c r="J21" s="6"/>
      <c r="K21" s="7">
        <f>SUM(K18:K20)</f>
        <v>26000</v>
      </c>
    </row>
    <row r="22" spans="1:11" ht="67.5" customHeight="1" x14ac:dyDescent="0.25">
      <c r="A22" t="s">
        <v>68</v>
      </c>
    </row>
    <row r="23" spans="1:11" ht="67.5" customHeight="1" x14ac:dyDescent="0.25"/>
    <row r="24" spans="1:11" ht="67.5" customHeight="1" x14ac:dyDescent="0.25">
      <c r="A24" s="2" t="s">
        <v>1</v>
      </c>
      <c r="B24" s="2" t="s">
        <v>29</v>
      </c>
      <c r="C24" s="2" t="s">
        <v>90</v>
      </c>
      <c r="D24" s="2" t="s">
        <v>94</v>
      </c>
      <c r="E24" s="10" t="s">
        <v>92</v>
      </c>
      <c r="F24" s="2" t="s">
        <v>93</v>
      </c>
      <c r="G24" s="2" t="s">
        <v>106</v>
      </c>
      <c r="H24" s="2" t="s">
        <v>67</v>
      </c>
    </row>
    <row r="25" spans="1:11" ht="67.5" customHeight="1" x14ac:dyDescent="0.25">
      <c r="A25" s="3">
        <v>1</v>
      </c>
      <c r="B25" s="3" t="s">
        <v>100</v>
      </c>
      <c r="C25" s="7">
        <v>5000</v>
      </c>
      <c r="D25" s="7">
        <v>1000</v>
      </c>
      <c r="E25" s="11">
        <v>1000</v>
      </c>
      <c r="F25" s="7">
        <v>1000</v>
      </c>
      <c r="G25" s="7">
        <v>1000</v>
      </c>
      <c r="H25" s="7">
        <f>SUM(C25:G25)</f>
        <v>9000</v>
      </c>
    </row>
    <row r="26" spans="1:11" ht="67.5" customHeight="1" x14ac:dyDescent="0.25">
      <c r="A26" s="3">
        <v>2</v>
      </c>
      <c r="B26" s="3" t="s">
        <v>101</v>
      </c>
      <c r="C26" s="7">
        <v>4000</v>
      </c>
      <c r="D26" s="11">
        <v>2000</v>
      </c>
      <c r="E26" s="11">
        <v>2000</v>
      </c>
      <c r="F26" s="11">
        <v>2000</v>
      </c>
      <c r="G26" s="11">
        <v>2000</v>
      </c>
      <c r="H26" s="7">
        <f t="shared" ref="H26:H27" si="0">SUM(C26:G26)</f>
        <v>12000</v>
      </c>
    </row>
    <row r="27" spans="1:11" ht="67.5" customHeight="1" x14ac:dyDescent="0.25">
      <c r="A27" s="3">
        <v>3</v>
      </c>
      <c r="B27" s="3" t="s">
        <v>102</v>
      </c>
      <c r="C27" s="5">
        <v>3000</v>
      </c>
      <c r="D27" s="5">
        <v>1000</v>
      </c>
      <c r="E27" s="5">
        <v>1000</v>
      </c>
      <c r="F27" s="5">
        <v>1000</v>
      </c>
      <c r="G27" s="5">
        <v>1000</v>
      </c>
      <c r="H27" s="7">
        <f t="shared" si="0"/>
        <v>7000</v>
      </c>
    </row>
    <row r="28" spans="1:11" ht="67.5" customHeight="1" x14ac:dyDescent="0.25">
      <c r="A28" s="54" t="s">
        <v>67</v>
      </c>
      <c r="B28" s="55"/>
      <c r="C28" s="5">
        <f>SUM(C25:C27)</f>
        <v>12000</v>
      </c>
      <c r="D28" s="5">
        <f t="shared" ref="D28:H28" si="1">SUM(D25:D27)</f>
        <v>4000</v>
      </c>
      <c r="E28" s="5">
        <f t="shared" si="1"/>
        <v>4000</v>
      </c>
      <c r="F28" s="5">
        <f t="shared" si="1"/>
        <v>4000</v>
      </c>
      <c r="G28" s="5">
        <f t="shared" si="1"/>
        <v>4000</v>
      </c>
      <c r="H28" s="5">
        <f t="shared" si="1"/>
        <v>28000</v>
      </c>
    </row>
    <row r="29" spans="1:11" ht="33" customHeight="1" x14ac:dyDescent="0.25">
      <c r="A29" t="s">
        <v>28</v>
      </c>
    </row>
    <row r="31" spans="1:11" ht="63.75" customHeight="1" x14ac:dyDescent="0.25">
      <c r="A31" s="2" t="s">
        <v>1</v>
      </c>
      <c r="B31" s="2" t="s">
        <v>29</v>
      </c>
      <c r="C31" s="2" t="s">
        <v>17</v>
      </c>
      <c r="D31" s="2" t="s">
        <v>19</v>
      </c>
      <c r="E31" s="10" t="s">
        <v>18</v>
      </c>
      <c r="F31" s="10" t="s">
        <v>20</v>
      </c>
      <c r="G31" s="2" t="s">
        <v>22</v>
      </c>
      <c r="H31" s="2" t="s">
        <v>42</v>
      </c>
      <c r="I31" s="2" t="s">
        <v>23</v>
      </c>
      <c r="J31" s="2" t="s">
        <v>24</v>
      </c>
      <c r="K31" s="2" t="s">
        <v>25</v>
      </c>
    </row>
    <row r="32" spans="1:11" ht="37.5" customHeight="1" x14ac:dyDescent="0.25">
      <c r="A32" s="3">
        <v>1</v>
      </c>
      <c r="B32" s="3" t="s">
        <v>100</v>
      </c>
      <c r="C32" s="7">
        <v>30000000</v>
      </c>
      <c r="D32" s="7">
        <v>1000000</v>
      </c>
      <c r="E32" s="7">
        <v>1000000</v>
      </c>
      <c r="F32" s="7">
        <v>1000000</v>
      </c>
      <c r="G32" s="7">
        <v>1000000</v>
      </c>
      <c r="H32" s="7">
        <v>1000000</v>
      </c>
      <c r="I32" s="7">
        <v>1000000</v>
      </c>
      <c r="J32" s="7">
        <v>1000000</v>
      </c>
      <c r="K32" s="7">
        <f>SUM(C32:J32)</f>
        <v>37000000</v>
      </c>
    </row>
    <row r="33" spans="1:11" ht="37.5" customHeight="1" x14ac:dyDescent="0.25">
      <c r="A33" s="3">
        <v>2</v>
      </c>
      <c r="B33" s="3" t="s">
        <v>101</v>
      </c>
      <c r="C33" s="5">
        <v>50000000</v>
      </c>
      <c r="D33" s="7">
        <v>10000000</v>
      </c>
      <c r="E33" s="11"/>
      <c r="F33" s="11"/>
      <c r="G33" s="6"/>
      <c r="H33" s="6"/>
      <c r="I33" s="6"/>
      <c r="J33" s="11">
        <v>10000000</v>
      </c>
      <c r="K33" s="7">
        <f>SUM(C33:J33)</f>
        <v>70000000</v>
      </c>
    </row>
    <row r="34" spans="1:11" ht="37.5" customHeight="1" x14ac:dyDescent="0.25">
      <c r="A34" s="3">
        <v>3</v>
      </c>
      <c r="B34" s="3" t="s">
        <v>102</v>
      </c>
      <c r="C34" s="5">
        <v>40000000</v>
      </c>
      <c r="D34" s="7">
        <v>10000000</v>
      </c>
      <c r="E34" s="11"/>
      <c r="F34" s="11"/>
      <c r="G34" s="6"/>
      <c r="H34" s="6"/>
      <c r="I34" s="6"/>
      <c r="J34" s="11">
        <v>10000000</v>
      </c>
      <c r="K34" s="7">
        <f>SUM(C34:J34)</f>
        <v>60000000</v>
      </c>
    </row>
    <row r="36" spans="1:11" x14ac:dyDescent="0.25">
      <c r="A36" t="s">
        <v>32</v>
      </c>
    </row>
    <row r="37" spans="1:11" x14ac:dyDescent="0.25">
      <c r="A37" s="14">
        <v>5.0999999999999996</v>
      </c>
      <c r="B37" s="14" t="s">
        <v>31</v>
      </c>
    </row>
    <row r="39" spans="1:11" ht="38.25" customHeight="1" x14ac:dyDescent="0.25">
      <c r="A39" s="2" t="s">
        <v>1</v>
      </c>
      <c r="B39" s="2" t="s">
        <v>29</v>
      </c>
      <c r="C39" s="2" t="s">
        <v>33</v>
      </c>
      <c r="D39" s="2" t="s">
        <v>34</v>
      </c>
      <c r="E39" s="2" t="s">
        <v>35</v>
      </c>
    </row>
    <row r="40" spans="1:11" ht="38.25" customHeight="1" x14ac:dyDescent="0.25">
      <c r="A40" s="3">
        <v>1</v>
      </c>
      <c r="B40" s="3" t="s">
        <v>100</v>
      </c>
      <c r="C40" s="7">
        <v>5000000</v>
      </c>
      <c r="D40" s="7">
        <v>50000000</v>
      </c>
      <c r="E40" s="7">
        <f>D40-C40</f>
        <v>45000000</v>
      </c>
      <c r="G40" s="20"/>
    </row>
    <row r="41" spans="1:11" ht="38.25" customHeight="1" x14ac:dyDescent="0.25">
      <c r="A41" s="3">
        <v>2</v>
      </c>
      <c r="B41" s="3" t="s">
        <v>101</v>
      </c>
      <c r="C41" s="5">
        <v>0</v>
      </c>
      <c r="D41" s="7">
        <v>40000000</v>
      </c>
      <c r="E41" s="7">
        <f>D41-C41</f>
        <v>40000000</v>
      </c>
      <c r="G41" s="20"/>
    </row>
    <row r="42" spans="1:11" ht="38.25" customHeight="1" x14ac:dyDescent="0.25">
      <c r="A42" s="3">
        <v>3</v>
      </c>
      <c r="B42" s="3" t="s">
        <v>102</v>
      </c>
      <c r="C42" s="5">
        <v>0</v>
      </c>
      <c r="D42" s="7">
        <v>30000000</v>
      </c>
      <c r="E42" s="7">
        <f>D42-C42</f>
        <v>30000000</v>
      </c>
      <c r="G42" s="20"/>
    </row>
    <row r="43" spans="1:11" ht="38.25" customHeight="1" x14ac:dyDescent="0.25">
      <c r="A43" s="54" t="s">
        <v>66</v>
      </c>
      <c r="B43" s="55"/>
      <c r="C43" s="5"/>
      <c r="D43" s="7"/>
      <c r="E43" s="7">
        <f>SUM(E40:E42)</f>
        <v>115000000</v>
      </c>
      <c r="G43" s="20"/>
    </row>
    <row r="45" spans="1:11" x14ac:dyDescent="0.25">
      <c r="A45" s="14">
        <v>5.0999999999999996</v>
      </c>
      <c r="B45" s="14" t="s">
        <v>36</v>
      </c>
      <c r="K45">
        <f>J45/16</f>
        <v>0</v>
      </c>
    </row>
    <row r="46" spans="1:11" x14ac:dyDescent="0.25">
      <c r="K46">
        <f>J45-K45</f>
        <v>0</v>
      </c>
    </row>
    <row r="47" spans="1:11" x14ac:dyDescent="0.25">
      <c r="A47" s="2" t="s">
        <v>1</v>
      </c>
      <c r="B47" s="2" t="s">
        <v>29</v>
      </c>
      <c r="C47" s="2" t="s">
        <v>33</v>
      </c>
      <c r="D47" s="2" t="s">
        <v>34</v>
      </c>
      <c r="E47" s="2" t="s">
        <v>35</v>
      </c>
    </row>
    <row r="48" spans="1:11" ht="36.75" customHeight="1" x14ac:dyDescent="0.25">
      <c r="A48" s="3">
        <v>1</v>
      </c>
      <c r="B48" s="3" t="s">
        <v>100</v>
      </c>
      <c r="C48" s="7">
        <v>0</v>
      </c>
      <c r="D48" s="7">
        <v>20000000</v>
      </c>
      <c r="E48" s="7">
        <f>D48-C48</f>
        <v>20000000</v>
      </c>
    </row>
    <row r="49" spans="1:6" ht="36.75" customHeight="1" x14ac:dyDescent="0.25">
      <c r="A49" s="3">
        <v>2</v>
      </c>
      <c r="B49" s="3" t="s">
        <v>101</v>
      </c>
      <c r="C49" s="5">
        <v>0</v>
      </c>
      <c r="D49" s="7">
        <v>10000000</v>
      </c>
      <c r="E49" s="7">
        <f>D49-C49</f>
        <v>10000000</v>
      </c>
    </row>
    <row r="50" spans="1:6" ht="36.75" customHeight="1" x14ac:dyDescent="0.25">
      <c r="A50" s="3">
        <v>3</v>
      </c>
      <c r="B50" s="3" t="s">
        <v>102</v>
      </c>
      <c r="C50" s="5">
        <v>0</v>
      </c>
      <c r="D50" s="7">
        <v>10000000</v>
      </c>
      <c r="E50" s="7">
        <f>D50-C50</f>
        <v>10000000</v>
      </c>
    </row>
    <row r="51" spans="1:6" ht="36.75" customHeight="1" x14ac:dyDescent="0.25">
      <c r="A51" s="54" t="s">
        <v>67</v>
      </c>
      <c r="B51" s="55"/>
      <c r="C51" s="5"/>
      <c r="D51" s="7"/>
      <c r="E51" s="7">
        <f>SUM(E48:E50)</f>
        <v>40000000</v>
      </c>
    </row>
    <row r="53" spans="1:6" x14ac:dyDescent="0.25">
      <c r="A53" s="14">
        <v>5.3</v>
      </c>
      <c r="B53" s="14" t="s">
        <v>37</v>
      </c>
    </row>
    <row r="55" spans="1:6" ht="27" customHeight="1" x14ac:dyDescent="0.25">
      <c r="A55" s="2" t="s">
        <v>1</v>
      </c>
      <c r="B55" s="2" t="s">
        <v>39</v>
      </c>
      <c r="C55" s="2" t="s">
        <v>51</v>
      </c>
      <c r="D55" s="2" t="s">
        <v>33</v>
      </c>
      <c r="E55" s="2" t="s">
        <v>34</v>
      </c>
      <c r="F55" s="2" t="s">
        <v>35</v>
      </c>
    </row>
    <row r="56" spans="1:6" ht="38.25" customHeight="1" x14ac:dyDescent="0.25">
      <c r="A56" s="3">
        <v>1</v>
      </c>
      <c r="B56" s="3" t="s">
        <v>90</v>
      </c>
      <c r="C56" s="15" t="s">
        <v>40</v>
      </c>
      <c r="D56" s="7">
        <v>0</v>
      </c>
      <c r="E56" s="7">
        <v>40000000</v>
      </c>
      <c r="F56" s="7">
        <f>E56-D56</f>
        <v>40000000</v>
      </c>
    </row>
    <row r="57" spans="1:6" ht="38.25" customHeight="1" x14ac:dyDescent="0.25">
      <c r="A57" s="3">
        <v>2</v>
      </c>
      <c r="B57" s="3" t="s">
        <v>93</v>
      </c>
      <c r="C57" s="15" t="s">
        <v>41</v>
      </c>
      <c r="D57" s="5">
        <v>0</v>
      </c>
      <c r="E57" s="7">
        <v>10000000</v>
      </c>
      <c r="F57" s="7">
        <f t="shared" ref="F57:F59" si="2">E57-D57</f>
        <v>10000000</v>
      </c>
    </row>
    <row r="58" spans="1:6" ht="38.25" customHeight="1" x14ac:dyDescent="0.25">
      <c r="A58" s="3">
        <v>3</v>
      </c>
      <c r="B58" s="3" t="s">
        <v>92</v>
      </c>
      <c r="C58" s="15" t="s">
        <v>42</v>
      </c>
      <c r="D58" s="5">
        <v>0</v>
      </c>
      <c r="E58" s="7">
        <v>10000000</v>
      </c>
      <c r="F58" s="7">
        <f t="shared" si="2"/>
        <v>10000000</v>
      </c>
    </row>
    <row r="59" spans="1:6" ht="36" customHeight="1" x14ac:dyDescent="0.25">
      <c r="A59" s="3">
        <v>4</v>
      </c>
      <c r="B59" s="3" t="s">
        <v>94</v>
      </c>
      <c r="C59" s="15" t="s">
        <v>43</v>
      </c>
      <c r="D59" s="3">
        <v>0</v>
      </c>
      <c r="E59" s="7">
        <v>10000000</v>
      </c>
      <c r="F59" s="7">
        <f t="shared" si="2"/>
        <v>10000000</v>
      </c>
    </row>
    <row r="62" spans="1:6" x14ac:dyDescent="0.25">
      <c r="A62" t="s">
        <v>99</v>
      </c>
    </row>
    <row r="64" spans="1:6" x14ac:dyDescent="0.25">
      <c r="A64" t="s">
        <v>45</v>
      </c>
      <c r="F64"/>
    </row>
    <row r="65" spans="1:7" x14ac:dyDescent="0.25">
      <c r="F65"/>
    </row>
    <row r="66" spans="1:7" ht="42" customHeight="1" x14ac:dyDescent="0.25">
      <c r="A66" s="2" t="s">
        <v>1</v>
      </c>
      <c r="B66" s="2" t="s">
        <v>29</v>
      </c>
      <c r="C66" s="2" t="s">
        <v>46</v>
      </c>
      <c r="D66" s="2" t="s">
        <v>47</v>
      </c>
      <c r="E66" s="2" t="s">
        <v>49</v>
      </c>
      <c r="F66"/>
    </row>
    <row r="67" spans="1:7" ht="42" customHeight="1" x14ac:dyDescent="0.25">
      <c r="A67" s="3">
        <v>1</v>
      </c>
      <c r="B67" s="3" t="s">
        <v>100</v>
      </c>
      <c r="C67" s="7">
        <f>VLOOKUP(B67,$B$32:$K$34,10,0)</f>
        <v>37000000</v>
      </c>
      <c r="D67" s="7">
        <f>VLOOKUP($B67,$B$40:$E$42,4)+VLOOKUP($B67,$B$48:$E$50,4)</f>
        <v>65000000</v>
      </c>
      <c r="E67" s="7">
        <f>C67+D67</f>
        <v>102000000</v>
      </c>
      <c r="F67"/>
    </row>
    <row r="68" spans="1:7" ht="42" customHeight="1" x14ac:dyDescent="0.25">
      <c r="A68" s="3">
        <v>2</v>
      </c>
      <c r="B68" s="3" t="s">
        <v>101</v>
      </c>
      <c r="C68" s="7">
        <f t="shared" ref="C68:C69" si="3">VLOOKUP(B68,$B$32:$K$34,10,0)</f>
        <v>70000000</v>
      </c>
      <c r="D68" s="7">
        <f>VLOOKUP($B68,$B$40:$E$42,4)+VLOOKUP($B68,$B$48:$E$50,4)</f>
        <v>50000000</v>
      </c>
      <c r="E68" s="7">
        <f t="shared" ref="E68:E69" si="4">C68+D68</f>
        <v>120000000</v>
      </c>
      <c r="F68"/>
    </row>
    <row r="69" spans="1:7" ht="42" customHeight="1" x14ac:dyDescent="0.25">
      <c r="A69" s="3">
        <v>3</v>
      </c>
      <c r="B69" s="3" t="s">
        <v>102</v>
      </c>
      <c r="C69" s="7">
        <f t="shared" si="3"/>
        <v>60000000</v>
      </c>
      <c r="D69" s="7">
        <f>VLOOKUP($B69,$B$40:$E$42,4)+VLOOKUP($B69,$B$48:$E$50,4)</f>
        <v>40000000</v>
      </c>
      <c r="E69" s="7">
        <f t="shared" si="4"/>
        <v>100000000</v>
      </c>
      <c r="F69"/>
    </row>
    <row r="71" spans="1:7" x14ac:dyDescent="0.25">
      <c r="A71" t="s">
        <v>53</v>
      </c>
    </row>
    <row r="73" spans="1:7" ht="25.5" customHeight="1" x14ac:dyDescent="0.25">
      <c r="A73" s="2" t="s">
        <v>1</v>
      </c>
      <c r="B73" s="2" t="s">
        <v>39</v>
      </c>
      <c r="C73" s="2" t="s">
        <v>55</v>
      </c>
      <c r="D73" s="2" t="s">
        <v>56</v>
      </c>
      <c r="E73" s="2" t="s">
        <v>57</v>
      </c>
      <c r="F73" s="10" t="s">
        <v>58</v>
      </c>
      <c r="G73" s="2" t="s">
        <v>59</v>
      </c>
    </row>
    <row r="74" spans="1:7" ht="37.5" customHeight="1" x14ac:dyDescent="0.25">
      <c r="A74" s="3">
        <v>1</v>
      </c>
      <c r="B74" s="3" t="s">
        <v>90</v>
      </c>
      <c r="C74" s="7">
        <f>SUMIF($B$56:$B$59,$B74,$F$56:$F$59)</f>
        <v>40000000</v>
      </c>
      <c r="D74" s="7">
        <f>C74</f>
        <v>40000000</v>
      </c>
      <c r="E74" s="17">
        <v>1</v>
      </c>
      <c r="F74" s="11">
        <f>D74*E74</f>
        <v>40000000</v>
      </c>
      <c r="G74" s="7" t="s">
        <v>17</v>
      </c>
    </row>
    <row r="75" spans="1:7" ht="37.5" customHeight="1" x14ac:dyDescent="0.25">
      <c r="A75" s="3">
        <v>2</v>
      </c>
      <c r="B75" s="3" t="s">
        <v>93</v>
      </c>
      <c r="C75" s="7">
        <f>SUMIF($B$56:$B$59,$B75,$F$56:$F$59)</f>
        <v>10000000</v>
      </c>
      <c r="D75" s="7">
        <f t="shared" ref="D75:D77" si="5">C75</f>
        <v>10000000</v>
      </c>
      <c r="E75" s="17">
        <v>0.8</v>
      </c>
      <c r="F75" s="11">
        <f t="shared" ref="F75:F77" si="6">D75*E75</f>
        <v>8000000</v>
      </c>
      <c r="G75" s="7" t="s">
        <v>19</v>
      </c>
    </row>
    <row r="76" spans="1:7" ht="37.5" customHeight="1" x14ac:dyDescent="0.25">
      <c r="A76" s="3">
        <v>3</v>
      </c>
      <c r="B76" s="3" t="s">
        <v>92</v>
      </c>
      <c r="C76" s="7">
        <f>SUMIF($B$56:$B$59,$B76,$F$56:$F$59)</f>
        <v>10000000</v>
      </c>
      <c r="D76" s="7">
        <f t="shared" si="5"/>
        <v>10000000</v>
      </c>
      <c r="E76" s="17">
        <v>1</v>
      </c>
      <c r="F76" s="11">
        <f t="shared" si="6"/>
        <v>10000000</v>
      </c>
      <c r="G76" s="7" t="s">
        <v>60</v>
      </c>
    </row>
    <row r="77" spans="1:7" ht="37.5" customHeight="1" x14ac:dyDescent="0.25">
      <c r="A77" s="3">
        <v>4</v>
      </c>
      <c r="B77" s="3" t="s">
        <v>94</v>
      </c>
      <c r="C77" s="7">
        <f>SUMIF($B$56:$B$59,$B77,$F$56:$F$59)</f>
        <v>10000000</v>
      </c>
      <c r="D77" s="7">
        <f t="shared" si="5"/>
        <v>10000000</v>
      </c>
      <c r="E77" s="17">
        <v>1</v>
      </c>
      <c r="F77" s="11">
        <f t="shared" si="6"/>
        <v>10000000</v>
      </c>
      <c r="G77" s="7" t="s">
        <v>61</v>
      </c>
    </row>
    <row r="79" spans="1:7" x14ac:dyDescent="0.25">
      <c r="A79" t="s">
        <v>62</v>
      </c>
    </row>
    <row r="81" spans="1:11" ht="33.75" customHeight="1" x14ac:dyDescent="0.25">
      <c r="A81" s="2" t="s">
        <v>1</v>
      </c>
      <c r="B81" s="2" t="s">
        <v>54</v>
      </c>
      <c r="C81" s="2" t="s">
        <v>91</v>
      </c>
      <c r="D81" s="2" t="s">
        <v>29</v>
      </c>
      <c r="E81" s="2" t="s">
        <v>64</v>
      </c>
      <c r="F81" s="2" t="s">
        <v>65</v>
      </c>
      <c r="G81" s="2" t="s">
        <v>63</v>
      </c>
    </row>
    <row r="82" spans="1:11" ht="55.5" customHeight="1" x14ac:dyDescent="0.25">
      <c r="A82" s="21">
        <v>1</v>
      </c>
      <c r="B82" s="21">
        <v>1571</v>
      </c>
      <c r="C82" s="21" t="s">
        <v>90</v>
      </c>
      <c r="D82" s="3" t="s">
        <v>100</v>
      </c>
      <c r="E82" s="17">
        <f>(SUMIF($B$40:$B$42,$D82,$E$40:$E$42)/$E$43)*100</f>
        <v>39.130434782608695</v>
      </c>
      <c r="F82" s="7">
        <f>ROUND((G82*E82)/100,0)</f>
        <v>15652174</v>
      </c>
      <c r="G82" s="7">
        <f>VLOOKUP($C82,$B$74:$F$77,5,0)</f>
        <v>40000000</v>
      </c>
      <c r="H82" s="20"/>
    </row>
    <row r="83" spans="1:11" ht="55.5" customHeight="1" x14ac:dyDescent="0.25">
      <c r="A83" s="21">
        <v>2</v>
      </c>
      <c r="B83" s="21">
        <v>1571</v>
      </c>
      <c r="C83" s="21" t="s">
        <v>90</v>
      </c>
      <c r="D83" s="3" t="s">
        <v>101</v>
      </c>
      <c r="E83" s="17">
        <f>(SUMIF($B$40:$B$42,$D83,$E$40:$E$42)/$E$43)*100</f>
        <v>34.782608695652172</v>
      </c>
      <c r="F83" s="7">
        <f>ROUND((G83*E83)/100,0)</f>
        <v>13913043</v>
      </c>
      <c r="G83" s="7">
        <f t="shared" ref="G83:G93" si="7">VLOOKUP($C83,$B$74:$F$77,5,0)</f>
        <v>40000000</v>
      </c>
    </row>
    <row r="84" spans="1:11" ht="55.5" customHeight="1" x14ac:dyDescent="0.25">
      <c r="A84" s="21">
        <v>3</v>
      </c>
      <c r="B84" s="21">
        <v>1571</v>
      </c>
      <c r="C84" s="21" t="s">
        <v>90</v>
      </c>
      <c r="D84" s="3" t="s">
        <v>102</v>
      </c>
      <c r="E84" s="17">
        <f>(SUMIF($B$40:$B$42,$D84,$E$40:$E$42)/$E$43)*100</f>
        <v>26.086956521739129</v>
      </c>
      <c r="F84" s="7">
        <f>G82-F82-F83</f>
        <v>10434783</v>
      </c>
      <c r="G84" s="7">
        <f t="shared" si="7"/>
        <v>40000000</v>
      </c>
    </row>
    <row r="85" spans="1:11" ht="55.5" customHeight="1" x14ac:dyDescent="0.25">
      <c r="A85" s="21">
        <v>4</v>
      </c>
      <c r="B85" s="21">
        <v>1573</v>
      </c>
      <c r="C85" s="21" t="s">
        <v>93</v>
      </c>
      <c r="D85" s="3" t="s">
        <v>100</v>
      </c>
      <c r="E85" s="17">
        <f>(SUMIF($B$48:$B$50,D85,$E$48:$E$50)/$E$51)*100</f>
        <v>50</v>
      </c>
      <c r="F85" s="7">
        <f>ROUND((E85*G85)/100,0)</f>
        <v>4000000</v>
      </c>
      <c r="G85" s="7">
        <f t="shared" si="7"/>
        <v>8000000</v>
      </c>
      <c r="I85" s="20"/>
    </row>
    <row r="86" spans="1:11" ht="55.5" customHeight="1" x14ac:dyDescent="0.25">
      <c r="A86" s="21">
        <v>5</v>
      </c>
      <c r="B86" s="21">
        <v>1573</v>
      </c>
      <c r="C86" s="21" t="s">
        <v>93</v>
      </c>
      <c r="D86" s="3" t="s">
        <v>101</v>
      </c>
      <c r="E86" s="17">
        <f t="shared" ref="E86" si="8">(SUMIF($B$48:$B$50,D86,$E$48:$E$50)/$E$51)*100</f>
        <v>25</v>
      </c>
      <c r="F86" s="7">
        <f>ROUND((E86*G86)/100,0)</f>
        <v>2000000</v>
      </c>
      <c r="G86" s="7">
        <f t="shared" si="7"/>
        <v>8000000</v>
      </c>
    </row>
    <row r="87" spans="1:11" ht="55.5" customHeight="1" x14ac:dyDescent="0.25">
      <c r="A87" s="21">
        <v>6</v>
      </c>
      <c r="B87" s="21">
        <v>1573</v>
      </c>
      <c r="C87" s="21" t="s">
        <v>93</v>
      </c>
      <c r="D87" s="3" t="s">
        <v>102</v>
      </c>
      <c r="E87" s="17">
        <f>(SUMIF($B$48:$B$50,D87,$E$48:$E$50)/$E$51)*100</f>
        <v>25</v>
      </c>
      <c r="F87" s="7">
        <f>G85-F85-F86</f>
        <v>2000000</v>
      </c>
      <c r="G87" s="7">
        <f t="shared" si="7"/>
        <v>8000000</v>
      </c>
      <c r="H87">
        <v>35</v>
      </c>
    </row>
    <row r="88" spans="1:11" ht="55.5" customHeight="1" x14ac:dyDescent="0.25">
      <c r="A88" s="21">
        <v>7</v>
      </c>
      <c r="B88" s="21">
        <v>1572</v>
      </c>
      <c r="C88" s="3" t="s">
        <v>92</v>
      </c>
      <c r="D88" s="3" t="s">
        <v>100</v>
      </c>
      <c r="E88" s="17">
        <f>((SUMIF($B$40:$B$42,$D88,$E$40:$E$42)+SUMIF($B$48:$B$50,$D88,$E$48:$E$50))/($E$43+$E$51))*100</f>
        <v>41.935483870967744</v>
      </c>
      <c r="F88" s="7">
        <f>ROUND((E88*G88)/100,0)</f>
        <v>4193548</v>
      </c>
      <c r="G88" s="7">
        <f t="shared" si="7"/>
        <v>10000000</v>
      </c>
      <c r="H88" s="22"/>
      <c r="I88" s="20"/>
    </row>
    <row r="89" spans="1:11" ht="55.5" customHeight="1" x14ac:dyDescent="0.25">
      <c r="A89" s="21">
        <v>8</v>
      </c>
      <c r="B89" s="21">
        <v>1572</v>
      </c>
      <c r="C89" s="3" t="s">
        <v>92</v>
      </c>
      <c r="D89" s="3" t="s">
        <v>101</v>
      </c>
      <c r="E89" s="17">
        <f t="shared" ref="E89:E90" si="9">((SUMIF($B$40:$B$42,$D89,$E$40:$E$42)+SUMIF($B$48:$B$50,$D89,$E$48:$E$50))/($E$43+$E$51))*100</f>
        <v>32.258064516129032</v>
      </c>
      <c r="F89" s="7">
        <f>ROUND((E89*G89)/100,0)</f>
        <v>3225806</v>
      </c>
      <c r="G89" s="7">
        <f t="shared" si="7"/>
        <v>10000000</v>
      </c>
      <c r="H89" s="22"/>
      <c r="I89" s="22"/>
      <c r="K89" s="22"/>
    </row>
    <row r="90" spans="1:11" ht="55.5" customHeight="1" x14ac:dyDescent="0.25">
      <c r="A90" s="21">
        <v>9</v>
      </c>
      <c r="B90" s="21">
        <v>1572</v>
      </c>
      <c r="C90" s="3" t="s">
        <v>92</v>
      </c>
      <c r="D90" s="3" t="s">
        <v>102</v>
      </c>
      <c r="E90" s="17">
        <f t="shared" si="9"/>
        <v>25.806451612903224</v>
      </c>
      <c r="F90" s="7">
        <f>G89-F88-F89</f>
        <v>2580646</v>
      </c>
      <c r="G90" s="7">
        <f t="shared" si="7"/>
        <v>10000000</v>
      </c>
      <c r="H90" s="24"/>
      <c r="I90" s="23"/>
      <c r="K90" s="20"/>
    </row>
    <row r="91" spans="1:11" ht="55.5" customHeight="1" x14ac:dyDescent="0.25">
      <c r="A91" s="21">
        <v>10</v>
      </c>
      <c r="B91" s="21">
        <v>1574</v>
      </c>
      <c r="C91" s="21" t="s">
        <v>94</v>
      </c>
      <c r="D91" s="3" t="s">
        <v>100</v>
      </c>
      <c r="E91" s="18">
        <f>(VLOOKUP($D91,$B$25:$F$27,3,0)/$F$28)*100</f>
        <v>25</v>
      </c>
      <c r="F91" s="7">
        <f>ROUND((E91*G91)/100,0)</f>
        <v>2500000</v>
      </c>
      <c r="G91" s="7">
        <f t="shared" si="7"/>
        <v>10000000</v>
      </c>
      <c r="I91" s="23"/>
      <c r="K91" s="20"/>
    </row>
    <row r="92" spans="1:11" ht="51" customHeight="1" x14ac:dyDescent="0.25">
      <c r="A92" s="21">
        <v>11</v>
      </c>
      <c r="B92" s="21">
        <v>1574</v>
      </c>
      <c r="C92" s="21" t="s">
        <v>94</v>
      </c>
      <c r="D92" s="3" t="s">
        <v>101</v>
      </c>
      <c r="E92" s="18">
        <f>(VLOOKUP($D92,$B$25:$F$27,5,0)/$F$28)*100</f>
        <v>50</v>
      </c>
      <c r="F92" s="7">
        <f>ROUND((E92*G92)/100,0)</f>
        <v>5000000</v>
      </c>
      <c r="G92" s="7">
        <f t="shared" si="7"/>
        <v>10000000</v>
      </c>
      <c r="I92" s="19"/>
      <c r="K92" s="20"/>
    </row>
    <row r="93" spans="1:11" ht="51" customHeight="1" x14ac:dyDescent="0.25">
      <c r="A93" s="21">
        <v>12</v>
      </c>
      <c r="B93" s="21">
        <v>1574</v>
      </c>
      <c r="C93" s="21" t="s">
        <v>94</v>
      </c>
      <c r="D93" s="3" t="s">
        <v>102</v>
      </c>
      <c r="E93" s="18">
        <f>(VLOOKUP($D93,$B$25:$F$27,5,0)/$F$28)*100</f>
        <v>25</v>
      </c>
      <c r="F93" s="7">
        <f>G91-F91-F92</f>
        <v>2500000</v>
      </c>
      <c r="G93" s="7">
        <f t="shared" si="7"/>
        <v>10000000</v>
      </c>
      <c r="H93" s="19"/>
    </row>
    <row r="96" spans="1:11" x14ac:dyDescent="0.25">
      <c r="A96" t="s">
        <v>70</v>
      </c>
    </row>
    <row r="98" spans="1:13" x14ac:dyDescent="0.25">
      <c r="A98" t="s">
        <v>83</v>
      </c>
    </row>
    <row r="100" spans="1:13" ht="45" customHeight="1" x14ac:dyDescent="0.25">
      <c r="A100" s="3" t="s">
        <v>1</v>
      </c>
      <c r="B100" s="3" t="s">
        <v>16</v>
      </c>
      <c r="C100" s="3" t="s">
        <v>71</v>
      </c>
      <c r="D100" s="3" t="s">
        <v>72</v>
      </c>
      <c r="E100" s="3" t="s">
        <v>73</v>
      </c>
      <c r="F100" s="16" t="s">
        <v>74</v>
      </c>
      <c r="G100" s="3" t="s">
        <v>75</v>
      </c>
      <c r="H100" s="3" t="s">
        <v>76</v>
      </c>
      <c r="I100" s="3" t="s">
        <v>77</v>
      </c>
      <c r="J100" s="3" t="s">
        <v>78</v>
      </c>
      <c r="K100" s="3" t="s">
        <v>79</v>
      </c>
      <c r="L100" s="3" t="s">
        <v>80</v>
      </c>
      <c r="M100" s="3" t="s">
        <v>81</v>
      </c>
    </row>
    <row r="101" spans="1:13" ht="51" customHeight="1" x14ac:dyDescent="0.25">
      <c r="A101" s="1">
        <v>1</v>
      </c>
      <c r="B101" s="3" t="s">
        <v>103</v>
      </c>
      <c r="C101" s="7">
        <f>VLOOKUP($B101,$B$18:$K$20,10,0)</f>
        <v>13000</v>
      </c>
      <c r="D101" s="7">
        <v>30</v>
      </c>
      <c r="E101" s="7">
        <v>20</v>
      </c>
      <c r="F101" s="11">
        <v>5</v>
      </c>
      <c r="G101" s="7">
        <v>1</v>
      </c>
      <c r="H101" s="7">
        <v>1</v>
      </c>
      <c r="I101" s="7">
        <f>D101</f>
        <v>30</v>
      </c>
      <c r="J101" s="7">
        <f t="shared" ref="J101:J103" si="10">D101+E101</f>
        <v>50</v>
      </c>
      <c r="K101" s="17">
        <f>D101+E101*F101/100</f>
        <v>31</v>
      </c>
      <c r="L101" s="17">
        <f>E101*F101/100</f>
        <v>1</v>
      </c>
      <c r="M101" s="7">
        <f>E101</f>
        <v>20</v>
      </c>
    </row>
    <row r="102" spans="1:13" ht="51" customHeight="1" x14ac:dyDescent="0.25">
      <c r="A102" s="1">
        <v>2</v>
      </c>
      <c r="B102" s="3" t="s">
        <v>104</v>
      </c>
      <c r="C102" s="7">
        <f t="shared" ref="C102:C103" si="11">VLOOKUP($B102,$B$18:$K$20,10,0)</f>
        <v>7000</v>
      </c>
      <c r="D102" s="7">
        <v>20</v>
      </c>
      <c r="E102" s="7">
        <v>10</v>
      </c>
      <c r="F102" s="11">
        <v>5</v>
      </c>
      <c r="G102" s="7">
        <v>1</v>
      </c>
      <c r="H102" s="7">
        <v>1</v>
      </c>
      <c r="I102" s="7">
        <f t="shared" ref="I102:I103" si="12">D102</f>
        <v>20</v>
      </c>
      <c r="J102" s="7">
        <f t="shared" si="10"/>
        <v>30</v>
      </c>
      <c r="K102" s="17">
        <f t="shared" ref="K102:K103" si="13">D102+E102*F102/100</f>
        <v>20.5</v>
      </c>
      <c r="L102" s="17">
        <f t="shared" ref="L102:L103" si="14">E102*F102/100</f>
        <v>0.5</v>
      </c>
      <c r="M102" s="7">
        <f t="shared" ref="M102:M103" si="15">E102</f>
        <v>10</v>
      </c>
    </row>
    <row r="103" spans="1:13" ht="51" customHeight="1" x14ac:dyDescent="0.25">
      <c r="A103" s="1">
        <v>3</v>
      </c>
      <c r="B103" s="3" t="s">
        <v>105</v>
      </c>
      <c r="C103" s="7">
        <f t="shared" si="11"/>
        <v>6000</v>
      </c>
      <c r="D103" s="7">
        <v>10</v>
      </c>
      <c r="E103" s="7">
        <v>10</v>
      </c>
      <c r="F103" s="11">
        <v>10</v>
      </c>
      <c r="G103" s="7">
        <v>1</v>
      </c>
      <c r="H103" s="7">
        <v>1</v>
      </c>
      <c r="I103" s="7">
        <f t="shared" si="12"/>
        <v>10</v>
      </c>
      <c r="J103" s="7">
        <f t="shared" si="10"/>
        <v>20</v>
      </c>
      <c r="K103" s="17">
        <f t="shared" si="13"/>
        <v>11</v>
      </c>
      <c r="L103" s="17">
        <f t="shared" si="14"/>
        <v>1</v>
      </c>
      <c r="M103" s="7">
        <f t="shared" si="15"/>
        <v>10</v>
      </c>
    </row>
    <row r="104" spans="1:13" x14ac:dyDescent="0.25">
      <c r="B104" s="8"/>
    </row>
    <row r="105" spans="1:13" x14ac:dyDescent="0.25">
      <c r="A105" t="s">
        <v>84</v>
      </c>
    </row>
    <row r="107" spans="1:13" ht="36.75" customHeight="1" x14ac:dyDescent="0.25">
      <c r="A107" s="3" t="s">
        <v>1</v>
      </c>
      <c r="B107" s="3" t="s">
        <v>85</v>
      </c>
      <c r="C107" s="3" t="s">
        <v>86</v>
      </c>
      <c r="D107" s="3" t="s">
        <v>16</v>
      </c>
      <c r="E107" s="3" t="s">
        <v>17</v>
      </c>
      <c r="F107" s="3" t="s">
        <v>19</v>
      </c>
      <c r="G107" s="16" t="s">
        <v>18</v>
      </c>
      <c r="H107" s="3" t="s">
        <v>20</v>
      </c>
      <c r="I107" s="3" t="s">
        <v>88</v>
      </c>
      <c r="J107" s="3" t="s">
        <v>22</v>
      </c>
      <c r="K107" s="3" t="s">
        <v>23</v>
      </c>
      <c r="L107" s="3" t="s">
        <v>89</v>
      </c>
      <c r="M107" s="3" t="s">
        <v>25</v>
      </c>
    </row>
    <row r="108" spans="1:13" ht="50.25" customHeight="1" x14ac:dyDescent="0.25">
      <c r="A108" s="1">
        <v>1</v>
      </c>
      <c r="B108" s="3" t="s">
        <v>100</v>
      </c>
      <c r="C108" s="3" t="s">
        <v>87</v>
      </c>
      <c r="D108" s="3" t="s">
        <v>103</v>
      </c>
      <c r="E108" s="7">
        <f>((((VLOOKUP($B108,$B$32:$K$34,2,0)+SUMIF($B$40:$B$42,$B108,$E$40:$E$42)))+SUMIFS($F$82:$F$93,$C$82:$C$93,"direct_material",$D$82:$D$93,"G1"))/$J$101)*$E$101</f>
        <v>30000000</v>
      </c>
      <c r="F108" s="7">
        <f>(((VLOOKUP($B108,$B$32:$K$34,3,0)+SUMIF($B$48:$B$50,$B108,$E$48:$E$50)+SUMIFS($F$82:$F$93,$C$82:$C$93,"direct_labor",$D$82:$D$93,"G1"))/$K$101)/$L$101)</f>
        <v>677419.3548387097</v>
      </c>
      <c r="G108" s="7">
        <f>(((VLOOKUP($B108,$B$32:$K$34,5,0)+SUMIFS($F$82:$F$93,$C$82:$C$93,"material_cost",$D$82:$D$93,"G1"))/$K$101)/$L$101)</f>
        <v>167533.80645161291</v>
      </c>
      <c r="H108" s="7">
        <f>(((VLOOKUP($B108,$B$32:$K$34,6,0)+SUMIFS($F$82:$F$93,$C$82:$C$93,"employee_cost",$D$82:$D$93,"G1"))/$K$101)/$L$101)</f>
        <v>537166.90322580643</v>
      </c>
      <c r="I108" s="7">
        <f>(((VLOOKUP($B108,$B$32:$K$34,8,0)+SUMIFS($F$82:$F$93,$C$82:$C$93,"production_tool_cost",$D$82:$D$93,"G1"))/$K$101)/$L$101)</f>
        <v>161290.32258064515</v>
      </c>
      <c r="J108" s="7">
        <f>(((VLOOKUP($B108,$B$32:$K$34,7,0)+SUMIFS($F$82:$F$93,$C$82:$C$93,"depreciation",$D$82:$D$93,"G1"))/$K$101)/$L$101)</f>
        <v>112903.22580645161</v>
      </c>
      <c r="K108" s="7">
        <f>(((VLOOKUP($B108,$B$32:$K$34,9,0)+SUMIFS($F$82:$F$93,$C$82:$C$93,"outside_service_cost",$D$82:$D$93,"G1"))/$K$101)/$L$101)</f>
        <v>32258.064516129034</v>
      </c>
      <c r="L108" s="7">
        <f>(((VLOOKUP($B108,$B$32:$K$34,9,0)+SUMIFS($F$82:$F$93,$C$82:$C$93,"other_expense",$D$82:$D$93,"G1"))/$K$101)/$L$101)</f>
        <v>32258.064516129034</v>
      </c>
      <c r="M108" s="7">
        <f t="shared" ref="M108:M109" si="16">SUM(E108:L108)</f>
        <v>31720829.741935488</v>
      </c>
    </row>
    <row r="109" spans="1:13" ht="50.25" customHeight="1" x14ac:dyDescent="0.25">
      <c r="A109" s="1">
        <v>2</v>
      </c>
      <c r="B109" s="3" t="s">
        <v>101</v>
      </c>
      <c r="C109" s="3" t="s">
        <v>17</v>
      </c>
      <c r="D109" s="3" t="s">
        <v>104</v>
      </c>
      <c r="E109" s="7">
        <f>((VLOOKUP($B109,$B$32:$K$34,2,0)+SUMIF($B$40:$B$42,$B109,$E$40:$E$42)+SUMIFS($F$82:$F$93,$C$82:$C$93,"direct_material",$D$82:$D$93,"G2"))/J102)*E102</f>
        <v>30000000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f t="shared" si="16"/>
        <v>30000000</v>
      </c>
    </row>
    <row r="110" spans="1:13" ht="50.25" customHeight="1" x14ac:dyDescent="0.25">
      <c r="A110" s="1">
        <v>3</v>
      </c>
      <c r="B110" s="3" t="s">
        <v>102</v>
      </c>
      <c r="C110" s="3" t="s">
        <v>61</v>
      </c>
      <c r="D110" s="3" t="s">
        <v>105</v>
      </c>
      <c r="E110" s="7">
        <f>C20*$E$103</f>
        <v>40000</v>
      </c>
      <c r="F110" s="7">
        <f>E20*$L$103</f>
        <v>2000</v>
      </c>
      <c r="G110" s="7">
        <f>D20*$L$103</f>
        <v>0</v>
      </c>
      <c r="H110" s="7">
        <f>H20*$L$103</f>
        <v>0</v>
      </c>
      <c r="I110" s="7">
        <f>F20*$L$103</f>
        <v>0</v>
      </c>
      <c r="J110" s="7">
        <f>G20*$L$103</f>
        <v>0</v>
      </c>
      <c r="K110" s="7">
        <f>I20*$L$103</f>
        <v>0</v>
      </c>
      <c r="L110" s="7">
        <f>J20*$L$103</f>
        <v>0</v>
      </c>
      <c r="M110" s="7">
        <f>SUM(E110:L110)</f>
        <v>42000</v>
      </c>
    </row>
    <row r="112" spans="1:13" x14ac:dyDescent="0.25">
      <c r="A112" t="s">
        <v>96</v>
      </c>
    </row>
    <row r="113" spans="1:14" x14ac:dyDescent="0.25">
      <c r="F113"/>
    </row>
    <row r="114" spans="1:14" ht="32.25" customHeight="1" x14ac:dyDescent="0.25">
      <c r="A114" s="3" t="s">
        <v>1</v>
      </c>
      <c r="B114" s="3" t="s">
        <v>85</v>
      </c>
      <c r="C114" s="3" t="s">
        <v>16</v>
      </c>
      <c r="D114" s="3" t="s">
        <v>17</v>
      </c>
      <c r="E114" s="3" t="s">
        <v>19</v>
      </c>
      <c r="F114" s="16" t="s">
        <v>18</v>
      </c>
      <c r="G114" s="3" t="s">
        <v>20</v>
      </c>
      <c r="H114" s="3" t="s">
        <v>88</v>
      </c>
      <c r="I114" s="3" t="s">
        <v>22</v>
      </c>
      <c r="J114" s="3" t="s">
        <v>23</v>
      </c>
      <c r="K114" s="3" t="s">
        <v>89</v>
      </c>
      <c r="L114" s="3" t="s">
        <v>25</v>
      </c>
      <c r="M114" s="1" t="s">
        <v>97</v>
      </c>
      <c r="N114" s="1" t="s">
        <v>98</v>
      </c>
    </row>
    <row r="115" spans="1:14" ht="39" customHeight="1" x14ac:dyDescent="0.25">
      <c r="A115" s="1">
        <v>1</v>
      </c>
      <c r="B115" s="3" t="s">
        <v>100</v>
      </c>
      <c r="C115" s="3" t="s">
        <v>103</v>
      </c>
      <c r="D115" s="7">
        <f>(VLOOKUP($B115,$B$32:$K$34,2,0)+SUMIF($B$40:$B$42,$B115,$E$40:$E$42)+SUMIFS($F$82:$F$93,$C$82:$C$93,"direct_material",$D$82:$D$93,"G1"))-E108</f>
        <v>45000000</v>
      </c>
      <c r="E115" s="7">
        <f>(VLOOKUP($B115,$B$32:$K$34,3,0)+SUMIF($B$48:$B$50,$B115,$E$48:$E$50)+SUMIFS($F$82:$F$93,$C$82:$C$93,"direct_labor",$D$82:$D$93,"G1"))-F108</f>
        <v>20322580.64516129</v>
      </c>
      <c r="F115" s="7">
        <f>VLOOKUP($B115,$B$32:$K$34,5,0)+SUMIFS($F$82:$F$93,$C$82:$C$93,"material_cost",$D$82:$D$93,"G1")-G108</f>
        <v>5026014.1935483869</v>
      </c>
      <c r="G115" s="7">
        <f>(VLOOKUP($B115,$B$32:$K$34,6,0)+SUMIFS($F$82:$F$93,$C$82:$C$93,"employee_cost",$D$82:$D$93,"G1"))-H108</f>
        <v>16115007.096774194</v>
      </c>
      <c r="H115" s="17">
        <f>(VLOOKUP($B115,$B$32:$K$34,8,0)+SUMIFS($F$82:$F$93,$C$82:$C$93,"production_tool_cost",$D$82:$D$93,"G1"))-I108</f>
        <v>4838709.6774193551</v>
      </c>
      <c r="I115" s="7">
        <f>(VLOOKUP($B115,$B$32:$K$34,7,0)+SUMIFS($F$82:$F$93,$C$82:$C$93,"depreciation",$D$82:$D$93,"G1")-J108)</f>
        <v>3387096.7741935486</v>
      </c>
      <c r="J115" s="7">
        <f>(VLOOKUP($B115,$B$32:$K$34,9,0)+SUMIFS($F$82:$F$93,$C$82:$C$93,"outside_service_cost",$D$82:$D$93,"G1")-K108)</f>
        <v>967741.93548387091</v>
      </c>
      <c r="K115" s="7">
        <f>VLOOKUP($B115,$B$32:$K$34,10,0)+SUMIFS($F$82:$F$93,$C$82:$C$93,"other_expense",$D$82:$D$93,"G1")-L108</f>
        <v>36967741.935483873</v>
      </c>
      <c r="L115" s="7">
        <f t="shared" ref="L115:L117" si="17">SUM(D115:K115)</f>
        <v>132624892.25806451</v>
      </c>
      <c r="M115" s="1">
        <v>30</v>
      </c>
      <c r="N115" s="4">
        <f>L115/M115</f>
        <v>4420829.7419354832</v>
      </c>
    </row>
    <row r="116" spans="1:14" ht="39" customHeight="1" x14ac:dyDescent="0.25">
      <c r="A116" s="1">
        <v>2</v>
      </c>
      <c r="B116" s="3" t="s">
        <v>101</v>
      </c>
      <c r="C116" s="3" t="s">
        <v>104</v>
      </c>
      <c r="D116" s="7">
        <f>(VLOOKUP($B116,$B$32:$K$34,2,0)+SUMIF($B$40:$B$42,$B116,$E$40:$E$42)+SUMIFS($F$82:$F$93,$C$82:$C$93,"direct_material",$D$82:$D$93,"G2"))-E109</f>
        <v>60000000</v>
      </c>
      <c r="E116" s="7">
        <f>(VLOOKUP($B116,$B$32:$K$34,3,0)+SUMIF($B$48:$B$50,$B116,$E$48:$E$50)+SUMIFS($F$82:$F$93,$C$82:$C$93,"direct_labor",$D$82:$D$93,"G2"))-F109</f>
        <v>20000000</v>
      </c>
      <c r="F116" s="7">
        <f>VLOOKUP($B116,$B$32:$K$34,5,0)+SUMIFS($F$82:$F$93,$C$82:$C$93,"material_cost",$D$82:$D$93,"G2")-G109</f>
        <v>3225806</v>
      </c>
      <c r="G116" s="7">
        <f>(VLOOKUP($B116,$B$32:$K$34,6,0)+SUMIFS($F$82:$F$93,$C$82:$C$93,"employee_cost",$D$82:$D$93,"G2"))-H109</f>
        <v>13913043</v>
      </c>
      <c r="H116" s="17">
        <f>(VLOOKUP($B116,$B$32:$K$34,8,0)+SUMIFS($F$82:$F$93,$C$82:$C$93,"production_tool_cost",$D$82:$D$93,"G2"))-I109</f>
        <v>2000000</v>
      </c>
      <c r="I116" s="7">
        <f>(VLOOKUP($B116,$B$32:$K$34,7,0)+SUMIFS($F$82:$F$93,$C$82:$C$93,"depreciation",$D$82:$D$93,"G2")-J109)</f>
        <v>5000000</v>
      </c>
      <c r="J116" s="7">
        <f>(VLOOKUP($B116,$B$32:$K$34,9,0)+SUMIFS($F$82:$F$93,$C$82:$C$93,"outside_service_cost",$D$82:$D$93,"G2")-K109)</f>
        <v>10000000</v>
      </c>
      <c r="K116" s="7">
        <f>VLOOKUP($B116,$B$32:$K$34,10,0)+SUMIFS($F$82:$F$93,$C$82:$C$93,"other_expense",$D$82:$D$93,"G2")-L109</f>
        <v>70000000</v>
      </c>
      <c r="L116" s="7">
        <f t="shared" si="17"/>
        <v>184138849</v>
      </c>
      <c r="M116" s="1">
        <v>20</v>
      </c>
      <c r="N116" s="4">
        <f>L116/M116</f>
        <v>9206942.4499999993</v>
      </c>
    </row>
    <row r="117" spans="1:14" ht="39" customHeight="1" x14ac:dyDescent="0.25">
      <c r="A117" s="1">
        <v>3</v>
      </c>
      <c r="B117" s="3" t="s">
        <v>102</v>
      </c>
      <c r="C117" s="3" t="s">
        <v>105</v>
      </c>
      <c r="D117" s="7">
        <f>(VLOOKUP($B117,$B$32:$K$34,2,0)+SUMIF($B$40:$B$42,$B117,$E$40:$E$42)+SUMIFS($F$82:$F$93,$C$82:$C$93,"direct_material",$D$82:$D$93,"G3"))-E110</f>
        <v>69960000</v>
      </c>
      <c r="E117" s="7">
        <f>(VLOOKUP($B117,$B$32:$K$34,3,0)+SUMIF($B$48:$B$50,$B117,$E$48:$E$50)+SUMIFS($F$82:$F$93,$C$82:$C$93,"direct_labor",$D$82:$D$93,"G3"))-F110</f>
        <v>19998000</v>
      </c>
      <c r="F117" s="7">
        <f>VLOOKUP($B117,$B$32:$K$34,5,0)+SUMIFS($F$82:$F$93,$C$82:$C$93,"material_cost",$D$82:$D$93,"G3")-G110</f>
        <v>2580646</v>
      </c>
      <c r="G117" s="7">
        <f>(VLOOKUP($B117,$B$32:$K$34,6,0)+SUMIFS($F$82:$F$93,$C$82:$C$93,"employee_cost",$D$82:$D$93,"G3"))-H110</f>
        <v>10434783</v>
      </c>
      <c r="H117" s="17">
        <f>(VLOOKUP($B117,$B$32:$K$34,8,0)+SUMIFS($F$82:$F$93,$C$82:$C$93,"production_tool_cost",$D$82:$D$93,"G3"))-I110</f>
        <v>2000000</v>
      </c>
      <c r="I117" s="7">
        <f>(VLOOKUP($B117,$B$32:$K$34,7,0)+SUMIFS($F$82:$F$93,$C$82:$C$93,"depreciation",$D$82:$D$93,"G3")-J110)</f>
        <v>2500000</v>
      </c>
      <c r="J117" s="7">
        <f>(VLOOKUP($B117,$B$32:$K$34,9,0)+SUMIFS($F$82:$F$93,$C$82:$C$93,"outside_service_cost",$D$82:$D$93,"G3")-K110)</f>
        <v>10000000</v>
      </c>
      <c r="K117" s="7">
        <f>VLOOKUP($B117,$B$32:$K$34,10,0)+SUMIFS($F$82:$F$93,$C$82:$C$93,"other_expense",$D$82:$D$93,"G3")-L110</f>
        <v>60000000</v>
      </c>
      <c r="L117" s="7">
        <f t="shared" si="17"/>
        <v>177473429</v>
      </c>
      <c r="M117" s="1">
        <v>10</v>
      </c>
      <c r="N117" s="4">
        <f>L117/M117</f>
        <v>17747342.899999999</v>
      </c>
    </row>
  </sheetData>
  <mergeCells count="4">
    <mergeCell ref="A21:B21"/>
    <mergeCell ref="A28:B28"/>
    <mergeCell ref="A43:B43"/>
    <mergeCell ref="A51:B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G31" sqref="G31"/>
    </sheetView>
  </sheetViews>
  <sheetFormatPr defaultRowHeight="15.75" x14ac:dyDescent="0.25"/>
  <cols>
    <col min="1" max="1" width="17.42578125" style="25" customWidth="1"/>
    <col min="2" max="2" width="22.140625" style="26" customWidth="1"/>
    <col min="3" max="3" width="31.140625" style="26" customWidth="1"/>
    <col min="4" max="4" width="24.7109375" style="25" customWidth="1"/>
    <col min="5" max="5" width="30.140625" style="25" customWidth="1"/>
    <col min="6" max="6" width="18.85546875" style="25" customWidth="1"/>
    <col min="7" max="7" width="21" style="25" customWidth="1"/>
    <col min="8" max="8" width="20.42578125" style="25" customWidth="1"/>
    <col min="9" max="9" width="19" style="25" customWidth="1"/>
    <col min="10" max="10" width="21.7109375" style="25" customWidth="1"/>
    <col min="11" max="11" width="21.5703125" style="25" customWidth="1"/>
    <col min="12" max="12" width="17.42578125" style="25" customWidth="1"/>
    <col min="13" max="13" width="18.85546875" style="25" customWidth="1"/>
    <col min="14" max="15" width="19" style="25" customWidth="1"/>
    <col min="16" max="16" width="14.42578125" style="25" customWidth="1"/>
    <col min="17" max="16384" width="9.140625" style="25"/>
  </cols>
  <sheetData>
    <row r="1" spans="1:16" x14ac:dyDescent="0.25">
      <c r="A1" s="59" t="s">
        <v>108</v>
      </c>
      <c r="B1" s="59"/>
      <c r="C1" s="59"/>
      <c r="D1" s="59"/>
      <c r="E1" s="46" t="s">
        <v>109</v>
      </c>
    </row>
    <row r="2" spans="1:16" x14ac:dyDescent="0.25">
      <c r="A2" s="25" t="s">
        <v>110</v>
      </c>
      <c r="B2" s="26">
        <v>621</v>
      </c>
      <c r="C2" s="26">
        <v>622</v>
      </c>
      <c r="D2" s="25">
        <v>5113</v>
      </c>
      <c r="E2" s="25">
        <v>1121</v>
      </c>
    </row>
    <row r="3" spans="1:16" x14ac:dyDescent="0.25">
      <c r="A3" s="60" t="s">
        <v>111</v>
      </c>
      <c r="B3" s="42" t="s">
        <v>17</v>
      </c>
      <c r="C3" s="42" t="s">
        <v>19</v>
      </c>
      <c r="D3" s="42" t="s">
        <v>112</v>
      </c>
      <c r="E3" s="42" t="s">
        <v>136</v>
      </c>
      <c r="F3" s="42" t="s">
        <v>113</v>
      </c>
      <c r="G3" s="62" t="s">
        <v>114</v>
      </c>
      <c r="H3" s="63"/>
      <c r="I3" s="63"/>
      <c r="J3" s="63"/>
      <c r="K3" s="64"/>
    </row>
    <row r="4" spans="1:16" x14ac:dyDescent="0.25">
      <c r="A4" s="60"/>
      <c r="B4" s="42" t="s">
        <v>115</v>
      </c>
      <c r="C4" s="42" t="s">
        <v>115</v>
      </c>
      <c r="D4" s="42" t="s">
        <v>115</v>
      </c>
      <c r="E4" s="42" t="s">
        <v>115</v>
      </c>
      <c r="F4" s="42" t="s">
        <v>115</v>
      </c>
      <c r="G4" s="43" t="s">
        <v>17</v>
      </c>
      <c r="H4" s="43" t="s">
        <v>19</v>
      </c>
      <c r="I4" s="43" t="s">
        <v>113</v>
      </c>
      <c r="J4" s="43" t="s">
        <v>112</v>
      </c>
      <c r="K4" s="34" t="s">
        <v>137</v>
      </c>
    </row>
    <row r="5" spans="1:16" x14ac:dyDescent="0.25">
      <c r="A5" s="32" t="s">
        <v>107</v>
      </c>
      <c r="B5" s="32">
        <v>3500000000</v>
      </c>
      <c r="C5" s="32">
        <v>2000000000</v>
      </c>
      <c r="D5" s="32">
        <v>50000000000</v>
      </c>
      <c r="E5" s="32">
        <v>10000000000</v>
      </c>
      <c r="F5" s="31">
        <f>B5+C5</f>
        <v>5500000000</v>
      </c>
      <c r="G5" s="41">
        <f>(B5/$B$7)*100</f>
        <v>53.846153846153847</v>
      </c>
      <c r="H5" s="41">
        <f>(C5/$C$7)*100</f>
        <v>66.666666666666657</v>
      </c>
      <c r="I5" s="41">
        <f>(F5/$F$7)*100</f>
        <v>57.894736842105267</v>
      </c>
      <c r="J5" s="41">
        <f>(D5/$D$7)*100</f>
        <v>45.454545454545453</v>
      </c>
      <c r="K5" s="41">
        <f>(E5/$E$7)*100</f>
        <v>66.666666666666657</v>
      </c>
    </row>
    <row r="6" spans="1:16" x14ac:dyDescent="0.25">
      <c r="A6" s="32" t="s">
        <v>12</v>
      </c>
      <c r="B6" s="32">
        <v>3000000000</v>
      </c>
      <c r="C6" s="32">
        <v>1000000000</v>
      </c>
      <c r="D6" s="32">
        <v>60000000000</v>
      </c>
      <c r="E6" s="32">
        <v>5000000000</v>
      </c>
      <c r="F6" s="31">
        <f>B6+C6</f>
        <v>4000000000</v>
      </c>
      <c r="G6" s="41">
        <f>(B6/$B$7)*100</f>
        <v>46.153846153846153</v>
      </c>
      <c r="H6" s="41">
        <f>(C6/$C$7)*100</f>
        <v>33.333333333333329</v>
      </c>
      <c r="I6" s="41">
        <f>(F6/$F$7)*100</f>
        <v>42.105263157894733</v>
      </c>
      <c r="J6" s="41">
        <f>(D6/$D$7)*100</f>
        <v>54.54545454545454</v>
      </c>
      <c r="K6" s="41">
        <f>(E6/$E$7)*100</f>
        <v>33.333333333333329</v>
      </c>
    </row>
    <row r="7" spans="1:16" x14ac:dyDescent="0.25">
      <c r="A7" s="29" t="s">
        <v>67</v>
      </c>
      <c r="B7" s="29">
        <f t="shared" ref="B7:K7" si="0">SUM(B5:B6)</f>
        <v>6500000000</v>
      </c>
      <c r="C7" s="29">
        <f t="shared" si="0"/>
        <v>3000000000</v>
      </c>
      <c r="D7" s="29">
        <f t="shared" si="0"/>
        <v>110000000000</v>
      </c>
      <c r="E7" s="29">
        <f t="shared" si="0"/>
        <v>15000000000</v>
      </c>
      <c r="F7" s="29">
        <f t="shared" si="0"/>
        <v>9500000000</v>
      </c>
      <c r="G7" s="29">
        <f t="shared" si="0"/>
        <v>100</v>
      </c>
      <c r="H7" s="29">
        <f t="shared" si="0"/>
        <v>99.999999999999986</v>
      </c>
      <c r="I7" s="29">
        <f t="shared" si="0"/>
        <v>100</v>
      </c>
      <c r="J7" s="29">
        <f t="shared" si="0"/>
        <v>100</v>
      </c>
      <c r="K7" s="29">
        <f t="shared" si="0"/>
        <v>99.999999999999986</v>
      </c>
    </row>
    <row r="8" spans="1:16" x14ac:dyDescent="0.25">
      <c r="A8" s="25" t="s">
        <v>110</v>
      </c>
      <c r="B8" s="25">
        <v>6272</v>
      </c>
      <c r="C8" s="25">
        <v>6271</v>
      </c>
      <c r="D8" s="25">
        <v>6277</v>
      </c>
      <c r="E8" s="25">
        <v>6272</v>
      </c>
      <c r="F8" s="25">
        <v>6273</v>
      </c>
    </row>
    <row r="9" spans="1:16" s="49" customFormat="1" ht="31.5" x14ac:dyDescent="0.25">
      <c r="A9" s="37" t="s">
        <v>116</v>
      </c>
      <c r="B9" s="50" t="s">
        <v>117</v>
      </c>
      <c r="C9" s="50" t="s">
        <v>20</v>
      </c>
      <c r="D9" s="37" t="s">
        <v>118</v>
      </c>
      <c r="E9" s="37" t="s">
        <v>119</v>
      </c>
      <c r="F9" s="37" t="s">
        <v>18</v>
      </c>
      <c r="G9" s="37" t="s">
        <v>120</v>
      </c>
      <c r="H9" s="37" t="s">
        <v>121</v>
      </c>
      <c r="I9" s="37" t="s">
        <v>122</v>
      </c>
      <c r="J9" s="37" t="s">
        <v>48</v>
      </c>
      <c r="K9" s="37" t="s">
        <v>123</v>
      </c>
      <c r="L9" s="37" t="s">
        <v>124</v>
      </c>
      <c r="M9" s="37" t="s">
        <v>125</v>
      </c>
      <c r="N9" s="38" t="s">
        <v>126</v>
      </c>
      <c r="O9" s="37" t="s">
        <v>127</v>
      </c>
    </row>
    <row r="10" spans="1:16" x14ac:dyDescent="0.25">
      <c r="A10" s="35" t="s">
        <v>128</v>
      </c>
      <c r="B10" s="42">
        <v>5000000000</v>
      </c>
      <c r="C10" s="42">
        <v>10000000000</v>
      </c>
      <c r="D10" s="42">
        <v>5000000000</v>
      </c>
      <c r="E10" s="42">
        <v>5000000000</v>
      </c>
      <c r="F10" s="42">
        <v>5000000000</v>
      </c>
      <c r="G10" s="28">
        <f>SUM(B10:F10)</f>
        <v>30000000000</v>
      </c>
      <c r="H10" s="34"/>
      <c r="I10" s="34"/>
      <c r="J10" s="34"/>
      <c r="K10" s="34"/>
      <c r="L10" s="34"/>
      <c r="M10" s="34"/>
      <c r="N10" s="34"/>
      <c r="O10" s="34"/>
    </row>
    <row r="11" spans="1:16" x14ac:dyDescent="0.25">
      <c r="A11" s="35" t="s">
        <v>129</v>
      </c>
      <c r="B11" s="42">
        <v>1</v>
      </c>
      <c r="C11" s="42">
        <v>1</v>
      </c>
      <c r="D11" s="42">
        <v>1</v>
      </c>
      <c r="E11" s="42">
        <v>1</v>
      </c>
      <c r="F11" s="42">
        <v>1</v>
      </c>
      <c r="G11" s="30"/>
      <c r="H11" s="34"/>
      <c r="I11" s="34"/>
      <c r="J11" s="34"/>
      <c r="K11" s="34"/>
      <c r="L11" s="34"/>
      <c r="M11" s="34"/>
      <c r="N11" s="34"/>
      <c r="O11" s="34"/>
    </row>
    <row r="12" spans="1:16" x14ac:dyDescent="0.25">
      <c r="A12" s="35" t="s">
        <v>65</v>
      </c>
      <c r="B12" s="42">
        <f>B10*100%</f>
        <v>5000000000</v>
      </c>
      <c r="C12" s="42">
        <f>C10*C11</f>
        <v>10000000000</v>
      </c>
      <c r="D12" s="42">
        <f>D10*D11</f>
        <v>5000000000</v>
      </c>
      <c r="E12" s="42">
        <f>E10*E11</f>
        <v>5000000000</v>
      </c>
      <c r="F12" s="42">
        <f>F10*F11</f>
        <v>5000000000</v>
      </c>
      <c r="G12" s="28">
        <f>SUM(B12:F12)</f>
        <v>30000000000</v>
      </c>
      <c r="H12" s="34"/>
      <c r="I12" s="34"/>
      <c r="J12" s="34"/>
      <c r="K12" s="34"/>
      <c r="L12" s="34"/>
      <c r="M12" s="34"/>
      <c r="N12" s="34"/>
      <c r="O12" s="34"/>
    </row>
    <row r="13" spans="1:16" x14ac:dyDescent="0.25">
      <c r="A13" s="35" t="s">
        <v>130</v>
      </c>
      <c r="B13" s="42" t="s">
        <v>19</v>
      </c>
      <c r="C13" s="42" t="s">
        <v>131</v>
      </c>
      <c r="D13" s="42" t="s">
        <v>112</v>
      </c>
      <c r="E13" s="42" t="s">
        <v>17</v>
      </c>
      <c r="F13" s="36" t="s">
        <v>136</v>
      </c>
      <c r="G13" s="30"/>
      <c r="H13" s="34"/>
      <c r="I13" s="34"/>
      <c r="J13" s="34"/>
      <c r="K13" s="34"/>
      <c r="L13" s="34"/>
      <c r="M13" s="34"/>
      <c r="N13" s="34"/>
      <c r="O13" s="34"/>
    </row>
    <row r="14" spans="1:16" x14ac:dyDescent="0.25">
      <c r="A14" s="32" t="s">
        <v>107</v>
      </c>
      <c r="B14" s="33">
        <f>ROUND((H5*$B$12)/100,0)</f>
        <v>3333333333</v>
      </c>
      <c r="C14" s="33">
        <f>ROUND((I5*$C$12)/100,0)</f>
        <v>5789473684</v>
      </c>
      <c r="D14" s="33">
        <f>ROUND((J5*$D$12)/100,0)</f>
        <v>2272727273</v>
      </c>
      <c r="E14" s="33">
        <f>ROUND((G5*$E$12)/100,0)</f>
        <v>2692307692</v>
      </c>
      <c r="F14" s="48">
        <f>ROUND((G5*$F$12)/100,0)</f>
        <v>2692307692</v>
      </c>
      <c r="G14" s="31">
        <f>SUM(B14:F14)</f>
        <v>16780149674</v>
      </c>
      <c r="H14" s="32">
        <v>4000000000</v>
      </c>
      <c r="I14" s="31">
        <v>5500000000</v>
      </c>
      <c r="J14" s="32">
        <v>1000000000</v>
      </c>
      <c r="K14" s="32">
        <f>H14+I14-J14</f>
        <v>8500000000</v>
      </c>
      <c r="L14" s="32">
        <v>1000000000</v>
      </c>
      <c r="M14" s="32">
        <v>100</v>
      </c>
      <c r="N14" s="32">
        <f>E52+L14</f>
        <v>8500000000</v>
      </c>
      <c r="O14" s="31">
        <f>K14-N14</f>
        <v>0</v>
      </c>
      <c r="P14" s="27" t="s">
        <v>140</v>
      </c>
    </row>
    <row r="15" spans="1:16" x14ac:dyDescent="0.25">
      <c r="A15" s="32" t="s">
        <v>12</v>
      </c>
      <c r="B15" s="33">
        <f>ROUND((H6*$B$12)/100,0)</f>
        <v>1666666667</v>
      </c>
      <c r="C15" s="33">
        <f>ROUND((I6*$C$12)/100,0)</f>
        <v>4210526316</v>
      </c>
      <c r="D15" s="33">
        <f>ROUND((J6*$D$12)/100,0)</f>
        <v>2727272727</v>
      </c>
      <c r="E15" s="33">
        <f>ROUND((G6*$E$12)/100,0)</f>
        <v>2307692308</v>
      </c>
      <c r="F15" s="48">
        <f>ROUND((G6*$F$12)/100,0)</f>
        <v>2307692308</v>
      </c>
      <c r="G15" s="31">
        <f>SUM(B15:F15)</f>
        <v>13219850326</v>
      </c>
      <c r="H15" s="32">
        <v>8000000000</v>
      </c>
      <c r="I15" s="31">
        <v>4000000000</v>
      </c>
      <c r="J15" s="32"/>
      <c r="K15" s="32">
        <f>H15+I15-J15</f>
        <v>12000000000</v>
      </c>
      <c r="L15" s="32">
        <v>1000000000</v>
      </c>
      <c r="M15" s="32">
        <v>100</v>
      </c>
      <c r="N15" s="32">
        <f>E53+L15</f>
        <v>12000000000</v>
      </c>
      <c r="O15" s="31">
        <f>K15-N15</f>
        <v>0</v>
      </c>
      <c r="P15" s="27"/>
    </row>
    <row r="16" spans="1:16" s="47" customFormat="1" x14ac:dyDescent="0.25">
      <c r="A16" s="30" t="s">
        <v>67</v>
      </c>
      <c r="B16" s="29">
        <f t="shared" ref="B16:L16" si="1">SUM(B14:B15)</f>
        <v>5000000000</v>
      </c>
      <c r="C16" s="29">
        <f t="shared" si="1"/>
        <v>10000000000</v>
      </c>
      <c r="D16" s="29">
        <f t="shared" si="1"/>
        <v>5000000000</v>
      </c>
      <c r="E16" s="29">
        <f t="shared" si="1"/>
        <v>5000000000</v>
      </c>
      <c r="F16" s="29">
        <f t="shared" si="1"/>
        <v>5000000000</v>
      </c>
      <c r="G16" s="28">
        <f t="shared" si="1"/>
        <v>30000000000</v>
      </c>
      <c r="H16" s="28">
        <f t="shared" si="1"/>
        <v>12000000000</v>
      </c>
      <c r="I16" s="28">
        <f t="shared" si="1"/>
        <v>9500000000</v>
      </c>
      <c r="J16" s="28">
        <f t="shared" si="1"/>
        <v>1000000000</v>
      </c>
      <c r="K16" s="28">
        <f t="shared" si="1"/>
        <v>20500000000</v>
      </c>
      <c r="L16" s="28">
        <f t="shared" si="1"/>
        <v>2000000000</v>
      </c>
      <c r="M16" s="28"/>
      <c r="N16" s="28">
        <f>SUM(N14:N15)</f>
        <v>20500000000</v>
      </c>
      <c r="O16" s="28">
        <f>SUM(O14:O15)</f>
        <v>0</v>
      </c>
    </row>
    <row r="17" spans="1:15" s="47" customFormat="1" x14ac:dyDescent="0.25">
      <c r="A17" s="51"/>
      <c r="B17" s="52"/>
      <c r="C17" s="52"/>
      <c r="D17" s="52"/>
      <c r="E17" s="52"/>
      <c r="F17" s="52"/>
      <c r="G17" s="53"/>
      <c r="H17" s="53"/>
      <c r="I17" s="53"/>
      <c r="J17" s="53"/>
      <c r="K17" s="53"/>
      <c r="L17" s="53"/>
      <c r="M17" s="53"/>
      <c r="N17" s="53"/>
      <c r="O17" s="53"/>
    </row>
    <row r="18" spans="1:15" s="47" customFormat="1" x14ac:dyDescent="0.25">
      <c r="A18" s="51"/>
      <c r="B18" s="52"/>
      <c r="C18" s="52"/>
      <c r="D18" s="52"/>
      <c r="E18" s="52"/>
      <c r="F18" s="52"/>
      <c r="G18" s="53"/>
      <c r="H18" s="53"/>
      <c r="I18" s="53"/>
      <c r="J18" s="53"/>
      <c r="K18" s="53"/>
      <c r="L18" s="53"/>
      <c r="M18" s="53"/>
      <c r="N18" s="53"/>
      <c r="O18" s="53"/>
    </row>
    <row r="19" spans="1:15" s="47" customFormat="1" x14ac:dyDescent="0.25">
      <c r="A19" t="s">
        <v>138</v>
      </c>
      <c r="B19"/>
      <c r="C19"/>
      <c r="D19"/>
      <c r="E19"/>
      <c r="F19" s="52"/>
      <c r="G19" s="53"/>
      <c r="H19" s="53"/>
      <c r="I19" s="53"/>
      <c r="J19" s="53"/>
      <c r="K19" s="53"/>
      <c r="L19" s="53"/>
      <c r="M19" s="53"/>
      <c r="N19" s="53"/>
      <c r="O19" s="53"/>
    </row>
    <row r="20" spans="1:15" s="47" customFormat="1" x14ac:dyDescent="0.25">
      <c r="A20" t="s">
        <v>139</v>
      </c>
      <c r="B20"/>
      <c r="C20"/>
      <c r="D20" t="s">
        <v>33</v>
      </c>
      <c r="E20" t="s">
        <v>34</v>
      </c>
      <c r="F20" s="52"/>
      <c r="G20" s="53"/>
      <c r="H20" s="53"/>
      <c r="I20" s="53"/>
      <c r="J20" s="53"/>
      <c r="K20" s="53"/>
      <c r="L20" s="53"/>
      <c r="M20" s="53"/>
      <c r="N20" s="53"/>
      <c r="O20" s="53"/>
    </row>
    <row r="21" spans="1:15" s="47" customFormat="1" x14ac:dyDescent="0.25">
      <c r="A21"/>
      <c r="B21">
        <v>1541</v>
      </c>
      <c r="C21" t="s">
        <v>107</v>
      </c>
      <c r="D21">
        <f>E22</f>
        <v>2000000000</v>
      </c>
      <c r="E21"/>
      <c r="F21" s="52"/>
      <c r="G21" s="53"/>
      <c r="H21" s="53"/>
      <c r="I21" s="53"/>
      <c r="J21" s="53"/>
      <c r="K21" s="53"/>
      <c r="L21" s="53"/>
      <c r="M21" s="53"/>
      <c r="N21" s="53"/>
      <c r="O21" s="53"/>
    </row>
    <row r="22" spans="1:15" s="47" customFormat="1" x14ac:dyDescent="0.25">
      <c r="A22"/>
      <c r="B22">
        <v>622</v>
      </c>
      <c r="C22" t="s">
        <v>107</v>
      </c>
      <c r="D22"/>
      <c r="E22">
        <f>VLOOKUP($C22,$A$5:$C$6,3,0)</f>
        <v>2000000000</v>
      </c>
      <c r="F22" s="52"/>
      <c r="G22" s="53"/>
      <c r="H22" s="53"/>
      <c r="I22" s="53"/>
      <c r="J22" s="53"/>
      <c r="K22" s="53"/>
      <c r="L22" s="53"/>
      <c r="M22" s="53"/>
      <c r="N22" s="53"/>
      <c r="O22" s="53"/>
    </row>
    <row r="23" spans="1:15" s="47" customFormat="1" x14ac:dyDescent="0.25">
      <c r="A23"/>
      <c r="B23">
        <v>1541</v>
      </c>
      <c r="C23" t="s">
        <v>12</v>
      </c>
      <c r="D23">
        <f>E24</f>
        <v>1000000000</v>
      </c>
      <c r="E23"/>
      <c r="F23" s="52"/>
      <c r="G23" s="53"/>
      <c r="H23" s="53"/>
      <c r="I23" s="53"/>
      <c r="J23" s="53"/>
      <c r="K23" s="53"/>
      <c r="L23" s="53"/>
      <c r="M23" s="53"/>
      <c r="N23" s="53"/>
      <c r="O23" s="53"/>
    </row>
    <row r="24" spans="1:15" s="47" customFormat="1" x14ac:dyDescent="0.25">
      <c r="A24"/>
      <c r="B24">
        <v>622</v>
      </c>
      <c r="C24" t="s">
        <v>12</v>
      </c>
      <c r="D24"/>
      <c r="E24">
        <f>VLOOKUP($C24,$A$5:$C$6,3,0)</f>
        <v>1000000000</v>
      </c>
      <c r="F24" s="52"/>
      <c r="G24" s="53"/>
      <c r="H24" s="53"/>
      <c r="I24" s="53"/>
      <c r="J24" s="53"/>
      <c r="K24" s="53"/>
      <c r="L24" s="53"/>
      <c r="M24" s="53"/>
      <c r="N24" s="53"/>
      <c r="O24" s="53"/>
    </row>
    <row r="25" spans="1:15" s="47" customFormat="1" x14ac:dyDescent="0.25">
      <c r="A25"/>
      <c r="B25">
        <v>1541</v>
      </c>
      <c r="C25" t="s">
        <v>107</v>
      </c>
      <c r="D25">
        <f>E26</f>
        <v>3500000000</v>
      </c>
      <c r="E25"/>
      <c r="F25" s="52"/>
      <c r="G25" s="53"/>
      <c r="H25" s="53"/>
      <c r="I25" s="53"/>
      <c r="J25" s="53"/>
      <c r="K25" s="53"/>
      <c r="L25" s="53"/>
      <c r="M25" s="53"/>
      <c r="N25" s="53"/>
      <c r="O25" s="53"/>
    </row>
    <row r="26" spans="1:15" s="47" customFormat="1" x14ac:dyDescent="0.25">
      <c r="A26"/>
      <c r="B26">
        <v>621</v>
      </c>
      <c r="C26" t="s">
        <v>107</v>
      </c>
      <c r="D26"/>
      <c r="E26">
        <f>VLOOKUP(C26,$A$5:$B$6,2,0)</f>
        <v>3500000000</v>
      </c>
      <c r="F26" s="52"/>
      <c r="G26" s="53"/>
      <c r="H26" s="53"/>
      <c r="I26" s="53"/>
      <c r="J26" s="53"/>
      <c r="K26" s="53"/>
      <c r="L26" s="53"/>
      <c r="M26" s="53"/>
      <c r="N26" s="53"/>
      <c r="O26" s="53"/>
    </row>
    <row r="27" spans="1:15" s="47" customFormat="1" x14ac:dyDescent="0.25">
      <c r="A27"/>
      <c r="B27">
        <v>1541</v>
      </c>
      <c r="C27" t="s">
        <v>12</v>
      </c>
      <c r="D27">
        <f>E28</f>
        <v>3000000000</v>
      </c>
      <c r="E27"/>
      <c r="F27" s="52"/>
      <c r="G27" s="53"/>
      <c r="H27" s="53"/>
      <c r="I27" s="53"/>
      <c r="J27" s="53"/>
      <c r="K27" s="53"/>
      <c r="L27" s="53"/>
      <c r="M27" s="53"/>
      <c r="N27" s="53"/>
      <c r="O27" s="53"/>
    </row>
    <row r="28" spans="1:15" s="47" customFormat="1" x14ac:dyDescent="0.25">
      <c r="A28"/>
      <c r="B28">
        <v>621</v>
      </c>
      <c r="C28" t="s">
        <v>12</v>
      </c>
      <c r="D28"/>
      <c r="E28">
        <f>VLOOKUP(C28,$A$5:$B$6,2,0)</f>
        <v>3000000000</v>
      </c>
      <c r="F28" s="52"/>
      <c r="G28" s="53"/>
      <c r="H28" s="53"/>
      <c r="I28" s="53"/>
      <c r="J28" s="53"/>
      <c r="K28" s="53"/>
      <c r="L28" s="53"/>
      <c r="M28" s="53"/>
      <c r="N28" s="53"/>
      <c r="O28" s="53"/>
    </row>
    <row r="29" spans="1:15" s="47" customFormat="1" x14ac:dyDescent="0.25">
      <c r="A29"/>
      <c r="B29">
        <v>1541</v>
      </c>
      <c r="C29" t="s">
        <v>107</v>
      </c>
      <c r="D29">
        <f>E30</f>
        <v>5789473684</v>
      </c>
      <c r="E29"/>
      <c r="F29" s="52"/>
      <c r="G29" s="53"/>
      <c r="H29" s="53"/>
      <c r="I29" s="53"/>
      <c r="J29" s="53"/>
      <c r="K29" s="53"/>
      <c r="L29" s="53"/>
      <c r="M29" s="53"/>
      <c r="N29" s="53"/>
      <c r="O29" s="53"/>
    </row>
    <row r="30" spans="1:15" s="47" customFormat="1" x14ac:dyDescent="0.25">
      <c r="A30"/>
      <c r="B30">
        <v>6271</v>
      </c>
      <c r="C30" t="s">
        <v>107</v>
      </c>
      <c r="D30"/>
      <c r="E30">
        <f>VLOOKUP(C30,$A$14:$C$15,3,0)</f>
        <v>5789473684</v>
      </c>
      <c r="F30" s="52"/>
      <c r="G30" s="53"/>
      <c r="H30" s="53"/>
      <c r="I30" s="53"/>
      <c r="J30" s="53"/>
      <c r="K30" s="53"/>
      <c r="L30" s="53"/>
      <c r="M30" s="53"/>
      <c r="N30" s="53"/>
      <c r="O30" s="53"/>
    </row>
    <row r="31" spans="1:15" s="47" customFormat="1" x14ac:dyDescent="0.25">
      <c r="A31"/>
      <c r="B31">
        <v>1541</v>
      </c>
      <c r="C31" t="s">
        <v>12</v>
      </c>
      <c r="D31">
        <f>E32</f>
        <v>4210526316</v>
      </c>
      <c r="E31"/>
      <c r="F31" s="52"/>
      <c r="G31" s="53"/>
      <c r="H31" s="53"/>
      <c r="I31" s="53"/>
      <c r="J31" s="53"/>
      <c r="K31" s="53"/>
      <c r="L31" s="53"/>
      <c r="M31" s="53"/>
      <c r="N31" s="53"/>
      <c r="O31" s="53"/>
    </row>
    <row r="32" spans="1:15" s="47" customFormat="1" ht="26.25" customHeight="1" x14ac:dyDescent="0.25">
      <c r="A32"/>
      <c r="B32">
        <v>6271</v>
      </c>
      <c r="C32" t="s">
        <v>12</v>
      </c>
      <c r="D32"/>
      <c r="E32">
        <f>VLOOKUP(C32,$A$14:$C$15,3,0)</f>
        <v>4210526316</v>
      </c>
      <c r="F32" s="52"/>
      <c r="G32" s="53"/>
      <c r="H32" s="53"/>
      <c r="I32" s="53"/>
      <c r="J32" s="53"/>
      <c r="K32" s="53"/>
      <c r="L32" s="53"/>
      <c r="M32" s="53"/>
      <c r="N32" s="53"/>
      <c r="O32" s="53"/>
    </row>
    <row r="33" spans="1:15" s="47" customFormat="1" x14ac:dyDescent="0.25">
      <c r="A33"/>
      <c r="B33">
        <v>1541</v>
      </c>
      <c r="C33" t="s">
        <v>107</v>
      </c>
      <c r="D33">
        <f>E34</f>
        <v>3333333333</v>
      </c>
      <c r="E33"/>
      <c r="F33" s="52"/>
      <c r="G33" s="53"/>
      <c r="H33" s="53"/>
      <c r="I33" s="53"/>
      <c r="J33" s="53"/>
      <c r="K33" s="53"/>
      <c r="L33" s="53"/>
      <c r="M33" s="53"/>
      <c r="N33" s="53"/>
      <c r="O33" s="53"/>
    </row>
    <row r="34" spans="1:15" s="47" customFormat="1" x14ac:dyDescent="0.25">
      <c r="A34"/>
      <c r="B34">
        <v>6272</v>
      </c>
      <c r="C34" t="s">
        <v>107</v>
      </c>
      <c r="D34"/>
      <c r="E34">
        <f>VLOOKUP(C34,$A$14:$E$15,2,0)</f>
        <v>3333333333</v>
      </c>
      <c r="F34" s="52"/>
      <c r="G34" s="53"/>
      <c r="H34" s="53"/>
      <c r="I34" s="53"/>
      <c r="J34" s="53"/>
      <c r="K34" s="53"/>
      <c r="L34" s="53"/>
      <c r="M34" s="53"/>
      <c r="N34" s="53"/>
      <c r="O34" s="53"/>
    </row>
    <row r="35" spans="1:15" s="47" customFormat="1" x14ac:dyDescent="0.25">
      <c r="A35"/>
      <c r="B35">
        <v>1541</v>
      </c>
      <c r="C35" t="s">
        <v>12</v>
      </c>
      <c r="D35">
        <f>E36</f>
        <v>1666666667</v>
      </c>
      <c r="E35"/>
      <c r="F35" s="52"/>
      <c r="G35" s="53"/>
      <c r="H35" s="53"/>
      <c r="I35" s="53"/>
      <c r="J35" s="53"/>
      <c r="K35" s="53"/>
      <c r="L35" s="53"/>
      <c r="M35" s="53"/>
      <c r="N35" s="53"/>
      <c r="O35" s="53"/>
    </row>
    <row r="36" spans="1:15" s="47" customFormat="1" x14ac:dyDescent="0.25">
      <c r="A36"/>
      <c r="B36">
        <v>6272</v>
      </c>
      <c r="C36" t="s">
        <v>12</v>
      </c>
      <c r="D36"/>
      <c r="E36">
        <f>VLOOKUP(C36,$A$14:$E$15,2,0)</f>
        <v>1666666667</v>
      </c>
      <c r="F36" s="52"/>
      <c r="G36" s="53"/>
      <c r="H36" s="53"/>
      <c r="I36" s="53"/>
      <c r="J36" s="53"/>
      <c r="K36" s="53"/>
      <c r="L36" s="53"/>
      <c r="M36" s="53"/>
      <c r="N36" s="53"/>
      <c r="O36" s="53"/>
    </row>
    <row r="37" spans="1:15" s="47" customFormat="1" ht="27.75" customHeight="1" x14ac:dyDescent="0.25">
      <c r="A37"/>
      <c r="B37">
        <v>1541</v>
      </c>
      <c r="C37" t="s">
        <v>107</v>
      </c>
      <c r="D37">
        <f>E38</f>
        <v>2692307692</v>
      </c>
      <c r="E37"/>
      <c r="F37" s="52"/>
      <c r="G37" s="53"/>
      <c r="H37" s="53"/>
      <c r="I37" s="53"/>
      <c r="J37" s="53"/>
      <c r="K37" s="53"/>
      <c r="L37" s="53"/>
      <c r="M37" s="53"/>
      <c r="N37" s="53"/>
      <c r="O37" s="53"/>
    </row>
    <row r="38" spans="1:15" s="47" customFormat="1" x14ac:dyDescent="0.25">
      <c r="A38"/>
      <c r="B38">
        <v>6273</v>
      </c>
      <c r="C38" t="s">
        <v>107</v>
      </c>
      <c r="D38"/>
      <c r="E38">
        <f>VLOOKUP(C38,$A$14:$F$15,6,0)</f>
        <v>2692307692</v>
      </c>
      <c r="F38" s="52"/>
      <c r="G38" s="53"/>
      <c r="H38" s="53"/>
      <c r="I38" s="53"/>
      <c r="J38" s="53"/>
      <c r="K38" s="53"/>
      <c r="L38" s="53"/>
      <c r="M38" s="53"/>
      <c r="N38" s="53"/>
      <c r="O38" s="53"/>
    </row>
    <row r="39" spans="1:15" s="47" customFormat="1" x14ac:dyDescent="0.25">
      <c r="A39"/>
      <c r="B39">
        <v>1541</v>
      </c>
      <c r="C39" t="s">
        <v>12</v>
      </c>
      <c r="D39">
        <f>E40</f>
        <v>2307692308</v>
      </c>
      <c r="E39"/>
      <c r="F39" s="52"/>
      <c r="G39" s="53"/>
      <c r="H39" s="53"/>
      <c r="I39" s="53"/>
      <c r="J39" s="53"/>
      <c r="K39" s="53"/>
      <c r="L39" s="53"/>
      <c r="M39" s="53"/>
      <c r="N39" s="53"/>
      <c r="O39" s="53"/>
    </row>
    <row r="40" spans="1:15" s="47" customFormat="1" x14ac:dyDescent="0.25">
      <c r="A40"/>
      <c r="B40">
        <v>6273</v>
      </c>
      <c r="C40" t="s">
        <v>12</v>
      </c>
      <c r="D40"/>
      <c r="E40">
        <f>VLOOKUP(C40,$A$14:$F$15,6,0)</f>
        <v>2307692308</v>
      </c>
      <c r="F40" s="52"/>
      <c r="G40" s="53"/>
      <c r="H40" s="53"/>
      <c r="I40" s="53"/>
      <c r="J40" s="53"/>
      <c r="K40" s="53"/>
      <c r="L40" s="53"/>
      <c r="M40" s="53"/>
      <c r="N40" s="53"/>
      <c r="O40" s="53"/>
    </row>
    <row r="41" spans="1:15" s="47" customFormat="1" x14ac:dyDescent="0.25">
      <c r="A41"/>
      <c r="B41">
        <v>1541</v>
      </c>
      <c r="C41" t="s">
        <v>107</v>
      </c>
      <c r="D41">
        <f>E42</f>
        <v>3333333333</v>
      </c>
      <c r="E41"/>
      <c r="F41" s="52"/>
      <c r="G41" s="53"/>
      <c r="H41" s="53"/>
      <c r="I41" s="53"/>
      <c r="J41" s="53"/>
      <c r="K41" s="53"/>
      <c r="L41" s="53"/>
      <c r="M41" s="53"/>
      <c r="N41" s="53"/>
      <c r="O41" s="53"/>
    </row>
    <row r="42" spans="1:15" s="47" customFormat="1" x14ac:dyDescent="0.25">
      <c r="A42"/>
      <c r="B42">
        <v>6274</v>
      </c>
      <c r="C42" t="s">
        <v>107</v>
      </c>
      <c r="D42"/>
      <c r="E42">
        <f>VLOOKUP(C42,$A$14:$B$15,2,0)</f>
        <v>3333333333</v>
      </c>
      <c r="F42" s="52"/>
      <c r="G42" s="53"/>
      <c r="H42" s="53"/>
      <c r="I42" s="53"/>
      <c r="J42" s="53"/>
      <c r="K42" s="53"/>
      <c r="L42" s="53"/>
      <c r="M42" s="53"/>
      <c r="N42" s="53"/>
      <c r="O42" s="53"/>
    </row>
    <row r="43" spans="1:15" s="47" customFormat="1" x14ac:dyDescent="0.25">
      <c r="A43"/>
      <c r="B43">
        <v>1541</v>
      </c>
      <c r="C43" t="s">
        <v>12</v>
      </c>
      <c r="D43">
        <f>E44</f>
        <v>1666666667</v>
      </c>
      <c r="E43"/>
      <c r="F43" s="52"/>
      <c r="G43" s="53"/>
      <c r="H43" s="53"/>
      <c r="I43" s="53"/>
      <c r="J43" s="53"/>
      <c r="K43" s="53"/>
      <c r="L43" s="53"/>
      <c r="M43" s="53"/>
      <c r="N43" s="53"/>
      <c r="O43" s="53"/>
    </row>
    <row r="44" spans="1:15" s="47" customFormat="1" x14ac:dyDescent="0.25">
      <c r="A44"/>
      <c r="B44">
        <v>6274</v>
      </c>
      <c r="C44" t="s">
        <v>12</v>
      </c>
      <c r="D44"/>
      <c r="E44">
        <f>VLOOKUP(C44,$A$14:$B$15,2,0)</f>
        <v>1666666667</v>
      </c>
      <c r="F44" s="52"/>
      <c r="G44" s="53"/>
      <c r="H44" s="53"/>
      <c r="I44" s="53"/>
      <c r="J44" s="53"/>
      <c r="K44" s="53"/>
      <c r="L44" s="53"/>
      <c r="M44" s="53"/>
      <c r="N44" s="53"/>
      <c r="O44" s="53"/>
    </row>
    <row r="45" spans="1:15" s="47" customFormat="1" x14ac:dyDescent="0.25">
      <c r="A45" s="51"/>
      <c r="B45">
        <v>1541</v>
      </c>
      <c r="C45" t="s">
        <v>107</v>
      </c>
      <c r="D45">
        <f>E46</f>
        <v>2272727273</v>
      </c>
      <c r="E45"/>
      <c r="F45" s="52"/>
      <c r="G45" s="53"/>
      <c r="H45" s="53"/>
      <c r="I45" s="53"/>
      <c r="J45" s="53"/>
      <c r="K45" s="53"/>
      <c r="L45" s="53"/>
      <c r="M45" s="53"/>
      <c r="N45" s="53"/>
      <c r="O45" s="53"/>
    </row>
    <row r="46" spans="1:15" s="47" customFormat="1" x14ac:dyDescent="0.25">
      <c r="A46" s="51"/>
      <c r="B46">
        <v>6277</v>
      </c>
      <c r="C46" t="s">
        <v>107</v>
      </c>
      <c r="D46"/>
      <c r="E46">
        <f>VLOOKUP(C46,$A$14:$D$15,4,0)</f>
        <v>2272727273</v>
      </c>
      <c r="F46" s="52"/>
      <c r="G46" s="53"/>
      <c r="H46" s="53"/>
      <c r="I46" s="53"/>
      <c r="J46" s="53"/>
      <c r="K46" s="53"/>
      <c r="L46" s="53"/>
      <c r="M46" s="53"/>
      <c r="N46" s="53"/>
      <c r="O46" s="53"/>
    </row>
    <row r="47" spans="1:15" s="47" customFormat="1" x14ac:dyDescent="0.25">
      <c r="A47" s="51"/>
      <c r="B47">
        <v>1541</v>
      </c>
      <c r="C47" t="s">
        <v>12</v>
      </c>
      <c r="D47">
        <f>E48</f>
        <v>2727272727</v>
      </c>
      <c r="E47"/>
      <c r="F47" s="52"/>
      <c r="G47" s="53"/>
      <c r="H47" s="53"/>
      <c r="I47" s="53"/>
      <c r="J47" s="53"/>
      <c r="K47" s="53"/>
      <c r="L47" s="53"/>
      <c r="M47" s="53"/>
      <c r="N47" s="53"/>
      <c r="O47" s="53"/>
    </row>
    <row r="48" spans="1:15" s="47" customFormat="1" x14ac:dyDescent="0.25">
      <c r="A48" s="51"/>
      <c r="B48">
        <v>6277</v>
      </c>
      <c r="C48" t="s">
        <v>12</v>
      </c>
      <c r="D48"/>
      <c r="E48">
        <f>VLOOKUP(C48,$A$14:$D$15,4,0)</f>
        <v>2727272727</v>
      </c>
      <c r="F48" s="52"/>
      <c r="G48" s="53"/>
      <c r="H48" s="53"/>
      <c r="I48" s="53"/>
      <c r="J48" s="53"/>
      <c r="K48" s="53"/>
      <c r="L48" s="53"/>
      <c r="M48" s="53"/>
      <c r="N48" s="53"/>
      <c r="O48" s="53"/>
    </row>
    <row r="49" spans="1:15" s="47" customFormat="1" x14ac:dyDescent="0.25">
      <c r="A49" s="51" t="s">
        <v>141</v>
      </c>
      <c r="B49" s="52"/>
      <c r="C49" s="52"/>
      <c r="D49" s="52"/>
      <c r="E49" s="52"/>
      <c r="F49" s="52"/>
      <c r="G49" s="53"/>
      <c r="H49" s="53"/>
      <c r="I49" s="53"/>
      <c r="J49" s="53"/>
      <c r="K49" s="53"/>
      <c r="L49" s="53"/>
      <c r="M49" s="53"/>
      <c r="N49" s="53"/>
      <c r="O49" s="53"/>
    </row>
    <row r="50" spans="1:15" s="47" customFormat="1" x14ac:dyDescent="0.25">
      <c r="A50" s="51"/>
      <c r="B50" s="52"/>
      <c r="C50" s="52"/>
      <c r="D50" s="52"/>
      <c r="E50" s="52"/>
      <c r="F50" s="52"/>
      <c r="G50" s="53"/>
      <c r="H50" s="53"/>
      <c r="I50" s="53"/>
      <c r="J50" s="53"/>
      <c r="K50" s="53"/>
      <c r="L50" s="53"/>
      <c r="M50" s="53"/>
      <c r="N50" s="53"/>
      <c r="O50" s="53"/>
    </row>
    <row r="51" spans="1:15" s="47" customFormat="1" x14ac:dyDescent="0.25">
      <c r="A51" s="30" t="s">
        <v>142</v>
      </c>
      <c r="B51" s="29" t="s">
        <v>143</v>
      </c>
      <c r="C51" s="29" t="s">
        <v>144</v>
      </c>
      <c r="D51" s="29" t="s">
        <v>145</v>
      </c>
      <c r="E51" s="29" t="s">
        <v>146</v>
      </c>
      <c r="F51" s="29"/>
      <c r="G51" s="28"/>
      <c r="H51" s="28"/>
      <c r="I51" s="28"/>
      <c r="J51" s="28"/>
      <c r="K51" s="53"/>
      <c r="L51" s="53"/>
      <c r="M51" s="53"/>
      <c r="N51" s="53"/>
      <c r="O51" s="53"/>
    </row>
    <row r="52" spans="1:15" s="47" customFormat="1" ht="28.5" customHeight="1" x14ac:dyDescent="0.25">
      <c r="A52" s="30" t="s">
        <v>107</v>
      </c>
      <c r="B52" s="29">
        <v>50000000000</v>
      </c>
      <c r="C52" s="29">
        <f>H14+I14-J14-L14</f>
        <v>7500000000</v>
      </c>
      <c r="D52" s="29">
        <v>1</v>
      </c>
      <c r="E52" s="29">
        <f>H14+I14-J14-L14</f>
        <v>7500000000</v>
      </c>
      <c r="F52" s="29"/>
      <c r="G52" s="28"/>
      <c r="H52" s="28"/>
      <c r="I52" s="28"/>
      <c r="J52" s="28"/>
      <c r="K52" s="53"/>
      <c r="L52" s="53"/>
      <c r="M52" s="53"/>
      <c r="N52" s="53"/>
      <c r="O52" s="53"/>
    </row>
    <row r="53" spans="1:15" s="47" customFormat="1" ht="28.5" customHeight="1" x14ac:dyDescent="0.25">
      <c r="A53" s="30" t="s">
        <v>12</v>
      </c>
      <c r="B53" s="29">
        <v>60000000000</v>
      </c>
      <c r="C53" s="29">
        <f>H15+I15-J15-L15</f>
        <v>11000000000</v>
      </c>
      <c r="D53" s="29">
        <v>1</v>
      </c>
      <c r="E53" s="29">
        <f>C53*D53</f>
        <v>11000000000</v>
      </c>
      <c r="F53" s="29"/>
      <c r="G53" s="28"/>
      <c r="H53" s="28"/>
      <c r="I53" s="28"/>
      <c r="J53" s="28"/>
      <c r="K53" s="53"/>
      <c r="L53" s="53"/>
      <c r="M53" s="53"/>
      <c r="N53" s="53"/>
      <c r="O53" s="53"/>
    </row>
    <row r="54" spans="1:15" s="47" customFormat="1" x14ac:dyDescent="0.25">
      <c r="A54" s="51"/>
      <c r="B54" s="52"/>
      <c r="C54" s="52"/>
      <c r="D54" s="52"/>
      <c r="E54" s="52"/>
      <c r="F54" s="52"/>
      <c r="G54" s="53"/>
      <c r="H54" s="53"/>
      <c r="I54" s="53"/>
      <c r="J54" s="53"/>
      <c r="K54" s="53"/>
      <c r="L54" s="53"/>
      <c r="M54" s="53"/>
      <c r="N54" s="53"/>
      <c r="O54" s="53"/>
    </row>
    <row r="55" spans="1:15" x14ac:dyDescent="0.25">
      <c r="A55" s="59" t="s">
        <v>135</v>
      </c>
      <c r="B55" s="59"/>
      <c r="C55" s="59"/>
      <c r="D55" s="59"/>
      <c r="E55" s="46" t="s">
        <v>134</v>
      </c>
    </row>
    <row r="56" spans="1:15" x14ac:dyDescent="0.25">
      <c r="A56" s="25" t="s">
        <v>110</v>
      </c>
      <c r="B56" s="25">
        <v>1571</v>
      </c>
      <c r="C56" s="25">
        <v>1572</v>
      </c>
      <c r="D56" s="25">
        <v>51131</v>
      </c>
      <c r="E56" s="25">
        <v>11211</v>
      </c>
      <c r="G56" s="45"/>
      <c r="H56" s="45"/>
      <c r="I56" s="45"/>
      <c r="N56" s="27"/>
      <c r="O56" s="44"/>
    </row>
    <row r="57" spans="1:15" x14ac:dyDescent="0.25">
      <c r="A57" s="60" t="s">
        <v>111</v>
      </c>
      <c r="B57" s="42" t="s">
        <v>17</v>
      </c>
      <c r="C57" s="42" t="s">
        <v>19</v>
      </c>
      <c r="D57" s="42" t="s">
        <v>112</v>
      </c>
      <c r="E57" s="42" t="s">
        <v>113</v>
      </c>
      <c r="F57" s="61" t="s">
        <v>114</v>
      </c>
      <c r="G57" s="61"/>
      <c r="H57" s="61"/>
      <c r="I57" s="61"/>
      <c r="N57" s="27"/>
    </row>
    <row r="58" spans="1:15" x14ac:dyDescent="0.25">
      <c r="A58" s="60"/>
      <c r="B58" s="42" t="s">
        <v>115</v>
      </c>
      <c r="C58" s="42" t="s">
        <v>115</v>
      </c>
      <c r="D58" s="42" t="s">
        <v>115</v>
      </c>
      <c r="E58" s="42" t="s">
        <v>115</v>
      </c>
      <c r="F58" s="43" t="s">
        <v>17</v>
      </c>
      <c r="G58" s="43" t="s">
        <v>19</v>
      </c>
      <c r="H58" s="43" t="s">
        <v>113</v>
      </c>
      <c r="I58" s="43" t="s">
        <v>112</v>
      </c>
      <c r="J58" s="39"/>
      <c r="N58" s="27"/>
    </row>
    <row r="59" spans="1:15" x14ac:dyDescent="0.25">
      <c r="A59" s="32" t="s">
        <v>100</v>
      </c>
      <c r="B59" s="32">
        <v>40000000000</v>
      </c>
      <c r="C59" s="32">
        <v>20000000000</v>
      </c>
      <c r="D59" s="32">
        <v>50000000000</v>
      </c>
      <c r="E59" s="31">
        <f>B59+C59</f>
        <v>60000000000</v>
      </c>
      <c r="F59" s="41">
        <f>(B59/$B$61)*100</f>
        <v>57.142857142857139</v>
      </c>
      <c r="G59" s="41">
        <f>(C59/$C$61)*100</f>
        <v>66.666666666666657</v>
      </c>
      <c r="H59" s="41">
        <f>(E59/$E$61)*100</f>
        <v>60</v>
      </c>
      <c r="I59" s="41">
        <f>(D59/$D$61)*100</f>
        <v>45.454545454545453</v>
      </c>
      <c r="J59" s="39"/>
      <c r="N59" s="27"/>
      <c r="O59" s="27"/>
    </row>
    <row r="60" spans="1:15" x14ac:dyDescent="0.25">
      <c r="A60" s="32" t="s">
        <v>133</v>
      </c>
      <c r="B60" s="32">
        <v>30000000000</v>
      </c>
      <c r="C60" s="32">
        <v>10000000000</v>
      </c>
      <c r="D60" s="32">
        <v>60000000000</v>
      </c>
      <c r="E60" s="31">
        <f>B60+C60</f>
        <v>40000000000</v>
      </c>
      <c r="F60" s="41">
        <f>(B60/$B$61)*100</f>
        <v>42.857142857142854</v>
      </c>
      <c r="G60" s="41">
        <f>(C60/$C$61)*100</f>
        <v>33.333333333333329</v>
      </c>
      <c r="H60" s="41">
        <f>(E60/$E$61)*100</f>
        <v>40</v>
      </c>
      <c r="I60" s="41">
        <f>(D60/$D$61)*100</f>
        <v>54.54545454545454</v>
      </c>
      <c r="J60" s="39"/>
      <c r="N60" s="40"/>
    </row>
    <row r="61" spans="1:15" x14ac:dyDescent="0.25">
      <c r="A61" s="29" t="s">
        <v>67</v>
      </c>
      <c r="B61" s="29">
        <f t="shared" ref="B61:I61" si="2">SUM(B59:B60)</f>
        <v>70000000000</v>
      </c>
      <c r="C61" s="29">
        <f t="shared" si="2"/>
        <v>30000000000</v>
      </c>
      <c r="D61" s="29">
        <f t="shared" si="2"/>
        <v>110000000000</v>
      </c>
      <c r="E61" s="29">
        <f t="shared" si="2"/>
        <v>100000000000</v>
      </c>
      <c r="F61" s="29">
        <f t="shared" si="2"/>
        <v>100</v>
      </c>
      <c r="G61" s="29">
        <f t="shared" si="2"/>
        <v>99.999999999999986</v>
      </c>
      <c r="H61" s="29">
        <f t="shared" si="2"/>
        <v>100</v>
      </c>
      <c r="I61" s="29">
        <f t="shared" si="2"/>
        <v>100</v>
      </c>
      <c r="J61" s="39"/>
    </row>
    <row r="62" spans="1:15" x14ac:dyDescent="0.25">
      <c r="A62" s="25" t="s">
        <v>110</v>
      </c>
      <c r="B62" s="25" t="s">
        <v>20</v>
      </c>
      <c r="C62" s="25" t="s">
        <v>18</v>
      </c>
      <c r="D62" s="25" t="s">
        <v>132</v>
      </c>
      <c r="E62" s="25" t="s">
        <v>82</v>
      </c>
    </row>
    <row r="63" spans="1:15" ht="31.5" x14ac:dyDescent="0.25">
      <c r="A63" s="37" t="s">
        <v>116</v>
      </c>
      <c r="B63" s="34" t="s">
        <v>20</v>
      </c>
      <c r="C63" s="34" t="s">
        <v>18</v>
      </c>
      <c r="D63" s="34" t="s">
        <v>132</v>
      </c>
      <c r="E63" s="34" t="s">
        <v>82</v>
      </c>
      <c r="F63" s="37" t="s">
        <v>120</v>
      </c>
      <c r="G63" s="37" t="s">
        <v>121</v>
      </c>
      <c r="H63" s="37" t="s">
        <v>122</v>
      </c>
      <c r="I63" s="37" t="s">
        <v>48</v>
      </c>
      <c r="J63" s="37" t="s">
        <v>123</v>
      </c>
      <c r="K63" s="37" t="s">
        <v>124</v>
      </c>
      <c r="L63" s="37" t="s">
        <v>125</v>
      </c>
      <c r="M63" s="38" t="s">
        <v>126</v>
      </c>
      <c r="N63" s="37" t="s">
        <v>127</v>
      </c>
    </row>
    <row r="64" spans="1:15" x14ac:dyDescent="0.25">
      <c r="A64" s="35" t="s">
        <v>128</v>
      </c>
      <c r="B64" s="42">
        <v>10000000000</v>
      </c>
      <c r="C64" s="42">
        <v>5000000000</v>
      </c>
      <c r="D64" s="36">
        <v>5000000000</v>
      </c>
      <c r="E64" s="36">
        <v>5000000000</v>
      </c>
      <c r="F64" s="28">
        <f>SUM(B64:E64)</f>
        <v>25000000000</v>
      </c>
      <c r="G64" s="34"/>
      <c r="H64" s="34"/>
      <c r="I64" s="34"/>
      <c r="J64" s="34"/>
      <c r="K64" s="34"/>
      <c r="L64" s="34"/>
      <c r="M64" s="34"/>
      <c r="N64" s="34"/>
    </row>
    <row r="65" spans="1:15" x14ac:dyDescent="0.25">
      <c r="A65" s="35" t="s">
        <v>129</v>
      </c>
      <c r="B65" s="42">
        <v>100</v>
      </c>
      <c r="C65" s="42">
        <v>100</v>
      </c>
      <c r="D65" s="42">
        <v>100</v>
      </c>
      <c r="E65" s="42">
        <v>80</v>
      </c>
      <c r="F65" s="30"/>
      <c r="G65" s="34"/>
      <c r="H65" s="34"/>
      <c r="I65" s="34"/>
      <c r="J65" s="34"/>
      <c r="K65" s="34"/>
      <c r="L65" s="34"/>
      <c r="M65" s="34"/>
      <c r="N65" s="34"/>
    </row>
    <row r="66" spans="1:15" x14ac:dyDescent="0.25">
      <c r="A66" s="35" t="s">
        <v>65</v>
      </c>
      <c r="B66" s="42">
        <f>(B64*B65)/100</f>
        <v>10000000000</v>
      </c>
      <c r="C66" s="42">
        <f>(C64*C65)/100</f>
        <v>5000000000</v>
      </c>
      <c r="D66" s="42">
        <f>(D64*D65)/100</f>
        <v>5000000000</v>
      </c>
      <c r="E66" s="42">
        <f>(E64*E65)/100</f>
        <v>4000000000</v>
      </c>
      <c r="F66" s="28">
        <f>SUM(B66:E66)</f>
        <v>24000000000</v>
      </c>
      <c r="G66" s="34"/>
      <c r="H66" s="34"/>
      <c r="I66" s="34"/>
      <c r="J66" s="34"/>
      <c r="K66" s="34"/>
      <c r="L66" s="34"/>
      <c r="M66" s="34"/>
      <c r="N66" s="34"/>
    </row>
    <row r="67" spans="1:15" x14ac:dyDescent="0.25">
      <c r="A67" s="35" t="s">
        <v>130</v>
      </c>
      <c r="B67" s="42" t="s">
        <v>19</v>
      </c>
      <c r="C67" s="42" t="s">
        <v>17</v>
      </c>
      <c r="D67" s="42" t="s">
        <v>112</v>
      </c>
      <c r="E67" s="42" t="s">
        <v>113</v>
      </c>
      <c r="F67" s="30"/>
      <c r="G67" s="34"/>
      <c r="H67" s="34"/>
      <c r="I67" s="34"/>
      <c r="J67" s="34"/>
      <c r="K67" s="34"/>
      <c r="L67" s="34"/>
      <c r="M67" s="34"/>
      <c r="N67" s="34"/>
    </row>
    <row r="68" spans="1:15" x14ac:dyDescent="0.25">
      <c r="A68" s="32" t="s">
        <v>107</v>
      </c>
      <c r="B68" s="33">
        <f>ROUND((G59*$B$66)/100,0)</f>
        <v>6666666667</v>
      </c>
      <c r="C68" s="33">
        <f>ROUND((F59*$C$66)/100,0)</f>
        <v>2857142857</v>
      </c>
      <c r="D68" s="33">
        <f>ROUND((I59*$D$66)/100,0)</f>
        <v>2272727273</v>
      </c>
      <c r="E68" s="33">
        <f>ROUND((H59*$E$66)/100,0)</f>
        <v>2400000000</v>
      </c>
      <c r="F68" s="31">
        <f>SUM(B68:E68)</f>
        <v>14196536797</v>
      </c>
      <c r="G68" s="32">
        <v>2000000000</v>
      </c>
      <c r="H68" s="31">
        <v>60000000000</v>
      </c>
      <c r="I68" s="32"/>
      <c r="J68" s="32">
        <f>G68+H68</f>
        <v>62000000000</v>
      </c>
      <c r="K68" s="32"/>
      <c r="L68" s="32">
        <v>100</v>
      </c>
      <c r="M68" s="32">
        <f>E75+K68</f>
        <v>62000000000</v>
      </c>
      <c r="N68" s="31">
        <f>J68-M68</f>
        <v>0</v>
      </c>
      <c r="O68" s="27"/>
    </row>
    <row r="69" spans="1:15" x14ac:dyDescent="0.25">
      <c r="A69" s="32" t="s">
        <v>12</v>
      </c>
      <c r="B69" s="33">
        <f>ROUND((G60*$B$66)/100,0)</f>
        <v>3333333333</v>
      </c>
      <c r="C69" s="33">
        <f>ROUND((F60*$C$66)/100,0)</f>
        <v>2142857143</v>
      </c>
      <c r="D69" s="33">
        <f>ROUND((I60*$D$66)/100,0)</f>
        <v>2727272727</v>
      </c>
      <c r="E69" s="33">
        <f>ROUND((H60*$E$66)/100,0)</f>
        <v>1600000000</v>
      </c>
      <c r="F69" s="31">
        <f>SUM(B69:E69)</f>
        <v>9803463203</v>
      </c>
      <c r="G69" s="32">
        <v>9000000000</v>
      </c>
      <c r="H69" s="31">
        <v>40000000000</v>
      </c>
      <c r="I69" s="32">
        <v>0</v>
      </c>
      <c r="J69" s="32">
        <f>G69+H69</f>
        <v>49000000000</v>
      </c>
      <c r="K69" s="32">
        <v>2000000000</v>
      </c>
      <c r="L69" s="32">
        <v>100</v>
      </c>
      <c r="M69" s="32">
        <f>K69+E76</f>
        <v>49000000000</v>
      </c>
      <c r="N69" s="31">
        <f>J69-M69</f>
        <v>0</v>
      </c>
      <c r="O69" s="27"/>
    </row>
    <row r="70" spans="1:15" x14ac:dyDescent="0.25">
      <c r="A70" s="30" t="s">
        <v>67</v>
      </c>
      <c r="B70" s="29">
        <f t="shared" ref="B70:K70" si="3">SUM(B68:B69)</f>
        <v>10000000000</v>
      </c>
      <c r="C70" s="29">
        <f t="shared" si="3"/>
        <v>5000000000</v>
      </c>
      <c r="D70" s="29">
        <f t="shared" si="3"/>
        <v>5000000000</v>
      </c>
      <c r="E70" s="29">
        <f t="shared" si="3"/>
        <v>4000000000</v>
      </c>
      <c r="F70" s="28">
        <f t="shared" si="3"/>
        <v>24000000000</v>
      </c>
      <c r="G70" s="28">
        <f t="shared" si="3"/>
        <v>11000000000</v>
      </c>
      <c r="H70" s="28">
        <f t="shared" si="3"/>
        <v>100000000000</v>
      </c>
      <c r="I70" s="28">
        <f t="shared" si="3"/>
        <v>0</v>
      </c>
      <c r="J70" s="28">
        <f t="shared" si="3"/>
        <v>111000000000</v>
      </c>
      <c r="K70" s="28">
        <f t="shared" si="3"/>
        <v>2000000000</v>
      </c>
      <c r="L70" s="28"/>
      <c r="M70" s="28">
        <f>SUM(M68:M69)</f>
        <v>111000000000</v>
      </c>
      <c r="N70" s="28">
        <f>SUM(N68:N69)</f>
        <v>0</v>
      </c>
    </row>
    <row r="72" spans="1:15" x14ac:dyDescent="0.25">
      <c r="G72" s="27"/>
      <c r="H72" s="27"/>
    </row>
    <row r="74" spans="1:15" x14ac:dyDescent="0.25">
      <c r="A74" s="30" t="s">
        <v>142</v>
      </c>
      <c r="B74" s="29" t="s">
        <v>143</v>
      </c>
      <c r="C74" s="29" t="s">
        <v>144</v>
      </c>
      <c r="D74" s="29" t="s">
        <v>145</v>
      </c>
      <c r="E74" s="29" t="s">
        <v>146</v>
      </c>
    </row>
    <row r="75" spans="1:15" ht="32.25" customHeight="1" x14ac:dyDescent="0.25">
      <c r="A75" s="30" t="s">
        <v>107</v>
      </c>
      <c r="B75" s="29">
        <v>50000000000</v>
      </c>
      <c r="C75" s="29">
        <f>G68+H68</f>
        <v>62000000000</v>
      </c>
      <c r="D75" s="29">
        <v>1</v>
      </c>
      <c r="E75" s="29">
        <f>C75*D75</f>
        <v>62000000000</v>
      </c>
    </row>
    <row r="76" spans="1:15" ht="39.75" customHeight="1" x14ac:dyDescent="0.25">
      <c r="A76" s="30" t="s">
        <v>12</v>
      </c>
      <c r="B76" s="29">
        <v>60000000000</v>
      </c>
      <c r="C76" s="29">
        <f>G69+H69-K69</f>
        <v>47000000000</v>
      </c>
      <c r="D76" s="29">
        <v>1</v>
      </c>
      <c r="E76" s="29">
        <f>C76*D76</f>
        <v>47000000000</v>
      </c>
    </row>
  </sheetData>
  <mergeCells count="6">
    <mergeCell ref="A55:D55"/>
    <mergeCell ref="A57:A58"/>
    <mergeCell ref="F57:I57"/>
    <mergeCell ref="A1:D1"/>
    <mergeCell ref="A3:A4"/>
    <mergeCell ref="G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 GIẢN ĐƠN TT200</vt:lpstr>
      <vt:lpstr>PP GIẢN ĐƠN TT133</vt:lpstr>
      <vt:lpstr>công trình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2021-09-29T01:06:19Z</dcterms:created>
  <dcterms:modified xsi:type="dcterms:W3CDTF">2021-09-30T11:00:16Z</dcterms:modified>
</cp:coreProperties>
</file>