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E742DE0-E247-40B7-91A6-2E8BE0128A42}" xr6:coauthVersionLast="47" xr6:coauthVersionMax="47" xr10:uidLastSave="{00000000-0000-0000-0000-000000000000}"/>
  <bookViews>
    <workbookView xWindow="45" yWindow="30" windowWidth="27300" windowHeight="15390" activeTab="4" xr2:uid="{00000000-000D-0000-FFFF-FFFF00000000}"/>
  </bookViews>
  <sheets>
    <sheet name="估驗單" sheetId="30" r:id="rId1"/>
    <sheet name="契約" sheetId="9" r:id="rId2"/>
    <sheet name="數量計算(勇哥)" sheetId="10" state="hidden" r:id="rId3"/>
    <sheet name="數量計算(FOR4變)" sheetId="25" r:id="rId4"/>
    <sheet name="4變" sheetId="31" r:id="rId5"/>
    <sheet name="大宗資材" sheetId="29" r:id="rId6"/>
    <sheet name="變更說明" sheetId="32" r:id="rId7"/>
    <sheet name="水溝集水井" sheetId="28" r:id="rId8"/>
    <sheet name="希冀橋" sheetId="15" r:id="rId9"/>
    <sheet name="鋼筋" sheetId="18" r:id="rId10"/>
    <sheet name="土方挖填及拆除" sheetId="24" r:id="rId11"/>
    <sheet name="回填" sheetId="27" r:id="rId12"/>
    <sheet name="堤牆加高" sheetId="22" r:id="rId13"/>
    <sheet name="砌石" sheetId="26" r:id="rId14"/>
    <sheet name="圍籬" sheetId="11" r:id="rId15"/>
    <sheet name="土方回填" sheetId="16" r:id="rId16"/>
    <sheet name="義交" sheetId="17" r:id="rId17"/>
    <sheet name="鄰房" sheetId="21" r:id="rId18"/>
    <sheet name="試驗統計" sheetId="20" r:id="rId19"/>
  </sheets>
  <externalReferences>
    <externalReference r:id="rId20"/>
    <externalReference r:id="rId21"/>
  </externalReferences>
  <definedNames>
    <definedName name="_290_2_0.15_0.2_12_5_0.15_0.2" localSheetId="5">大宗資材!#REF!</definedName>
    <definedName name="_290_2_0.15_0.2_12_5_0.15_0.2" localSheetId="3">'數量計算(FOR4變)'!$G$9</definedName>
    <definedName name="_290_2_0.15_0.2_12_5_0.15_0.2">'數量計算(勇哥)'!$G$9</definedName>
    <definedName name="_xlnm._FilterDatabase" localSheetId="5" hidden="1">大宗資材!$A$5:$L$131</definedName>
    <definedName name="_xlnm._FilterDatabase" localSheetId="3" hidden="1">'數量計算(FOR4變)'!$A$5:$L$647</definedName>
    <definedName name="_xlnm._FilterDatabase" localSheetId="2" hidden="1">'數量計算(勇哥)'!$A$5:$L$584</definedName>
    <definedName name="_xlnm.Print_Area" localSheetId="4">'4變'!$A$1:$M$471</definedName>
    <definedName name="_xlnm.Print_Area" localSheetId="5">大宗資材!$A$1:$J$132</definedName>
    <definedName name="_xlnm.Print_Area" localSheetId="0">估驗單!$A$1:$R$473</definedName>
    <definedName name="_xlnm.Print_Area" localSheetId="14">圍籬!$A$1:$G$36</definedName>
    <definedName name="_xlnm.Print_Area" localSheetId="3">'數量計算(FOR4變)'!$A$1:$J$648</definedName>
    <definedName name="_xlnm.Print_Area" localSheetId="2">'數量計算(勇哥)'!$A$1:$I$585</definedName>
    <definedName name="_xlnm.Print_Area" localSheetId="6">變更說明!$A$1:$P$452</definedName>
    <definedName name="_xlnm.Print_Titles" localSheetId="4">'4變'!$1:$8</definedName>
    <definedName name="_xlnm.Print_Titles" localSheetId="5">大宗資材!$1:$5</definedName>
    <definedName name="_xlnm.Print_Titles" localSheetId="3">'數量計算(FOR4變)'!$1:$5</definedName>
    <definedName name="_xlnm.Print_Titles" localSheetId="2">'數量計算(勇哥)'!$1:$5</definedName>
    <definedName name="_xlnm.Print_Titles" localSheetId="6">變更說明!$1:$8</definedName>
    <definedName name="鋼筋資料">鋼筋!$AD$4:$AM$13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2" i="30" l="1"/>
  <c r="F41" i="30"/>
  <c r="H42" i="30"/>
  <c r="H41" i="30"/>
  <c r="G42" i="30"/>
  <c r="G41" i="30"/>
  <c r="J98" i="25"/>
  <c r="J93" i="25"/>
  <c r="I98" i="25"/>
  <c r="I93" i="25"/>
  <c r="H102" i="25"/>
  <c r="H101" i="25"/>
  <c r="H100" i="25"/>
  <c r="H99" i="25"/>
  <c r="H95" i="25"/>
  <c r="H96" i="25"/>
  <c r="H97" i="25"/>
  <c r="H94" i="25"/>
  <c r="H312" i="25"/>
  <c r="K432" i="31"/>
  <c r="K359" i="31"/>
  <c r="K123" i="31"/>
  <c r="K124" i="31"/>
  <c r="K125" i="31"/>
  <c r="F470" i="31"/>
  <c r="I468" i="31"/>
  <c r="G467" i="31"/>
  <c r="I466" i="31" l="1"/>
  <c r="I465" i="31"/>
  <c r="I464" i="31"/>
  <c r="G464" i="31" s="1"/>
  <c r="I446" i="31"/>
  <c r="I447" i="31"/>
  <c r="I448" i="31"/>
  <c r="I449" i="31"/>
  <c r="I450" i="31"/>
  <c r="I451" i="31"/>
  <c r="I452" i="31"/>
  <c r="I453" i="31"/>
  <c r="I454" i="31"/>
  <c r="I455" i="31"/>
  <c r="I456" i="31"/>
  <c r="I457" i="31"/>
  <c r="I458" i="31"/>
  <c r="I459" i="31"/>
  <c r="I460" i="31"/>
  <c r="I461" i="31"/>
  <c r="I462" i="31"/>
  <c r="I463" i="31"/>
  <c r="I445" i="31"/>
  <c r="I426" i="31"/>
  <c r="I427" i="31"/>
  <c r="I428" i="31"/>
  <c r="I429" i="31"/>
  <c r="I430" i="31"/>
  <c r="I431" i="31"/>
  <c r="I432" i="31"/>
  <c r="I433" i="31"/>
  <c r="I434" i="31"/>
  <c r="I435" i="31"/>
  <c r="I436" i="31"/>
  <c r="I437" i="31"/>
  <c r="I438" i="31"/>
  <c r="I439" i="31"/>
  <c r="I440" i="31"/>
  <c r="I441" i="31"/>
  <c r="I442" i="31"/>
  <c r="I443" i="31"/>
  <c r="J443" i="31"/>
  <c r="K443" i="31" s="1"/>
  <c r="I425" i="31"/>
  <c r="I422" i="31"/>
  <c r="I423" i="31"/>
  <c r="I421" i="31"/>
  <c r="I382" i="31"/>
  <c r="I383" i="31"/>
  <c r="I384" i="31"/>
  <c r="I385" i="31"/>
  <c r="I386" i="31"/>
  <c r="I387" i="31"/>
  <c r="I388" i="31"/>
  <c r="I389" i="31"/>
  <c r="I390" i="31"/>
  <c r="I391" i="31"/>
  <c r="I392" i="31"/>
  <c r="I393" i="31"/>
  <c r="I394" i="31"/>
  <c r="I395" i="31"/>
  <c r="I396" i="31"/>
  <c r="I397" i="31"/>
  <c r="I398" i="31"/>
  <c r="I399" i="31"/>
  <c r="I400" i="31"/>
  <c r="I401" i="31"/>
  <c r="I402" i="31"/>
  <c r="I403" i="31"/>
  <c r="I404" i="31"/>
  <c r="I405" i="31"/>
  <c r="I406" i="31"/>
  <c r="I407" i="31"/>
  <c r="I408" i="31"/>
  <c r="I409" i="31"/>
  <c r="I410" i="31"/>
  <c r="I411" i="31"/>
  <c r="I412" i="31"/>
  <c r="I413" i="31"/>
  <c r="I414" i="31"/>
  <c r="I415" i="31"/>
  <c r="I416" i="31"/>
  <c r="I417" i="31"/>
  <c r="I418" i="31"/>
  <c r="I419" i="31"/>
  <c r="I381" i="31"/>
  <c r="I356" i="31"/>
  <c r="I357" i="31"/>
  <c r="I358" i="31"/>
  <c r="I359" i="31"/>
  <c r="I360" i="31"/>
  <c r="I361" i="31"/>
  <c r="I362" i="31"/>
  <c r="I363" i="31"/>
  <c r="I364" i="31"/>
  <c r="I365" i="31"/>
  <c r="J365" i="31"/>
  <c r="K365" i="31" s="1"/>
  <c r="I366" i="31"/>
  <c r="J366" i="31"/>
  <c r="I367" i="31"/>
  <c r="J367" i="31"/>
  <c r="K367" i="31" s="1"/>
  <c r="I368" i="31"/>
  <c r="J368" i="31"/>
  <c r="I369" i="31"/>
  <c r="J369" i="31"/>
  <c r="I370" i="31"/>
  <c r="J370" i="31"/>
  <c r="K370" i="31" s="1"/>
  <c r="I371" i="31"/>
  <c r="J371" i="31"/>
  <c r="K371" i="31" s="1"/>
  <c r="I372" i="31"/>
  <c r="J372" i="31"/>
  <c r="K372" i="31" s="1"/>
  <c r="I373" i="31"/>
  <c r="J373" i="31"/>
  <c r="K373" i="31" s="1"/>
  <c r="I374" i="31"/>
  <c r="J374" i="31"/>
  <c r="K374" i="31" s="1"/>
  <c r="I375" i="31"/>
  <c r="J375" i="31"/>
  <c r="K375" i="31" s="1"/>
  <c r="I376" i="31"/>
  <c r="J376" i="31"/>
  <c r="K376" i="31" s="1"/>
  <c r="I377" i="31"/>
  <c r="J377" i="31"/>
  <c r="K377" i="31" s="1"/>
  <c r="I378" i="31"/>
  <c r="J378" i="31"/>
  <c r="I379" i="31"/>
  <c r="J379" i="31"/>
  <c r="K379" i="31" s="1"/>
  <c r="I355" i="31"/>
  <c r="I351" i="31"/>
  <c r="I352" i="31"/>
  <c r="I353" i="31"/>
  <c r="I312" i="31"/>
  <c r="I313" i="31"/>
  <c r="I314" i="31"/>
  <c r="I315" i="31"/>
  <c r="I316" i="31"/>
  <c r="I317" i="31"/>
  <c r="I318" i="31"/>
  <c r="I319" i="31"/>
  <c r="I320" i="31"/>
  <c r="I321" i="31"/>
  <c r="I322" i="31"/>
  <c r="I323" i="31"/>
  <c r="I324" i="31"/>
  <c r="I325" i="31"/>
  <c r="I326" i="31"/>
  <c r="I327" i="31"/>
  <c r="I328" i="31"/>
  <c r="I329" i="31"/>
  <c r="I330" i="31"/>
  <c r="I331" i="31"/>
  <c r="I332" i="31"/>
  <c r="I333" i="31"/>
  <c r="I334" i="31"/>
  <c r="I335" i="31"/>
  <c r="I336" i="31"/>
  <c r="I337" i="31"/>
  <c r="I338" i="31"/>
  <c r="I339" i="31"/>
  <c r="I340" i="31"/>
  <c r="I341" i="31"/>
  <c r="I342" i="31"/>
  <c r="I343" i="31"/>
  <c r="I311" i="31"/>
  <c r="I234" i="31"/>
  <c r="I235" i="31"/>
  <c r="I236" i="31"/>
  <c r="I237" i="31"/>
  <c r="I238" i="31"/>
  <c r="I239" i="31"/>
  <c r="I240" i="31"/>
  <c r="I241" i="31"/>
  <c r="I242" i="31"/>
  <c r="I243" i="31"/>
  <c r="I244" i="31"/>
  <c r="I245" i="31"/>
  <c r="I246" i="31"/>
  <c r="I247" i="31"/>
  <c r="I248" i="31"/>
  <c r="I249" i="31"/>
  <c r="I250" i="31"/>
  <c r="I251" i="31"/>
  <c r="I252" i="31"/>
  <c r="I253" i="31"/>
  <c r="I254" i="31"/>
  <c r="I255" i="31"/>
  <c r="I256" i="31"/>
  <c r="I257" i="31"/>
  <c r="I258" i="31"/>
  <c r="I259" i="31"/>
  <c r="I260" i="31"/>
  <c r="I261" i="31"/>
  <c r="I262" i="31"/>
  <c r="I263" i="31"/>
  <c r="I264" i="31"/>
  <c r="I265" i="31"/>
  <c r="I266" i="31"/>
  <c r="I267" i="31"/>
  <c r="I268" i="31"/>
  <c r="I269" i="31"/>
  <c r="I270" i="31"/>
  <c r="I271" i="31"/>
  <c r="I272" i="31"/>
  <c r="I273" i="31"/>
  <c r="I274" i="31"/>
  <c r="I275" i="31"/>
  <c r="I276" i="31"/>
  <c r="I277" i="31"/>
  <c r="I278" i="31"/>
  <c r="I279" i="31"/>
  <c r="I280" i="31"/>
  <c r="I281" i="31"/>
  <c r="I282" i="31"/>
  <c r="I283" i="31"/>
  <c r="I284" i="31"/>
  <c r="I285" i="31"/>
  <c r="I286" i="31"/>
  <c r="I287" i="31"/>
  <c r="I288" i="31"/>
  <c r="I289" i="31"/>
  <c r="I290" i="31"/>
  <c r="I291" i="31"/>
  <c r="I292" i="31"/>
  <c r="I293" i="31"/>
  <c r="I294" i="31"/>
  <c r="I295" i="31"/>
  <c r="I296" i="31"/>
  <c r="I297" i="31"/>
  <c r="I298" i="31"/>
  <c r="I299" i="31"/>
  <c r="I300" i="31"/>
  <c r="I301" i="31"/>
  <c r="I302" i="31"/>
  <c r="I303" i="31"/>
  <c r="I304" i="31"/>
  <c r="I305" i="31"/>
  <c r="I306" i="31"/>
  <c r="I307" i="31"/>
  <c r="I308" i="31"/>
  <c r="I233" i="31"/>
  <c r="F224" i="30"/>
  <c r="I217" i="31"/>
  <c r="I218" i="31"/>
  <c r="I219" i="31"/>
  <c r="I220" i="31"/>
  <c r="I221" i="31"/>
  <c r="I222" i="31"/>
  <c r="I223" i="31"/>
  <c r="I224" i="31"/>
  <c r="I225" i="31"/>
  <c r="I226" i="31"/>
  <c r="I227" i="31"/>
  <c r="I228" i="31"/>
  <c r="I229" i="31"/>
  <c r="I230" i="31"/>
  <c r="I231" i="31"/>
  <c r="I216" i="31"/>
  <c r="F173" i="30"/>
  <c r="I197" i="31"/>
  <c r="I198" i="31"/>
  <c r="I199" i="31"/>
  <c r="I200" i="31"/>
  <c r="I201" i="31"/>
  <c r="I202" i="31"/>
  <c r="I203" i="31"/>
  <c r="I204" i="31"/>
  <c r="I205" i="31"/>
  <c r="I206" i="31"/>
  <c r="I207" i="31"/>
  <c r="I208" i="31"/>
  <c r="I209" i="31"/>
  <c r="I210" i="31"/>
  <c r="I211" i="31"/>
  <c r="I212" i="31"/>
  <c r="I213" i="31"/>
  <c r="I214" i="31"/>
  <c r="I196" i="31"/>
  <c r="H315" i="25"/>
  <c r="I168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I185" i="31"/>
  <c r="I186" i="31"/>
  <c r="I187" i="31"/>
  <c r="I188" i="31"/>
  <c r="I189" i="31"/>
  <c r="I192" i="31"/>
  <c r="I193" i="31"/>
  <c r="I194" i="31"/>
  <c r="I16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63" i="31"/>
  <c r="I164" i="31"/>
  <c r="I165" i="31"/>
  <c r="I127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38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12" i="31"/>
  <c r="H255" i="25"/>
  <c r="I420" i="31" l="1"/>
  <c r="G420" i="31" s="1"/>
  <c r="K369" i="31"/>
  <c r="K368" i="31"/>
  <c r="K378" i="31"/>
  <c r="K366" i="31"/>
  <c r="I195" i="31"/>
  <c r="G195" i="31" s="1"/>
  <c r="I354" i="31"/>
  <c r="G354" i="31" s="1"/>
  <c r="I424" i="31"/>
  <c r="G424" i="31" s="1"/>
  <c r="I215" i="31"/>
  <c r="G215" i="31" s="1"/>
  <c r="I11" i="31"/>
  <c r="I310" i="31"/>
  <c r="G310" i="31" s="1"/>
  <c r="I380" i="31"/>
  <c r="G380" i="31" s="1"/>
  <c r="I444" i="31"/>
  <c r="G444" i="31" s="1"/>
  <c r="I126" i="31"/>
  <c r="G126" i="31" s="1"/>
  <c r="I37" i="31"/>
  <c r="J124" i="31" l="1"/>
  <c r="J125" i="31"/>
  <c r="J123" i="31"/>
  <c r="J122" i="31"/>
  <c r="J470" i="31"/>
  <c r="F122" i="31"/>
  <c r="F123" i="31"/>
  <c r="F124" i="31"/>
  <c r="F125" i="31"/>
  <c r="H552" i="25"/>
  <c r="H553" i="25"/>
  <c r="H551" i="25"/>
  <c r="H550" i="25"/>
  <c r="H549" i="25"/>
  <c r="H548" i="25"/>
  <c r="H547" i="25"/>
  <c r="L122" i="31" l="1"/>
  <c r="L37" i="31" s="1"/>
  <c r="I547" i="25" l="1"/>
  <c r="H546" i="25"/>
  <c r="I546" i="25"/>
  <c r="H545" i="25"/>
  <c r="H544" i="25"/>
  <c r="I544" i="25"/>
  <c r="I545" i="25"/>
  <c r="I548" i="25"/>
  <c r="I549" i="25"/>
  <c r="I550" i="25"/>
  <c r="I551" i="25"/>
  <c r="I552" i="25"/>
  <c r="I553" i="25"/>
  <c r="H543" i="25"/>
  <c r="I543" i="25" s="1"/>
  <c r="H542" i="25"/>
  <c r="I542" i="25" s="1"/>
  <c r="H541" i="25"/>
  <c r="I541" i="25" s="1"/>
  <c r="H540" i="25"/>
  <c r="I540" i="25" s="1"/>
  <c r="H539" i="25"/>
  <c r="I539" i="25" s="1"/>
  <c r="H524" i="25"/>
  <c r="H520" i="25"/>
  <c r="H523" i="25"/>
  <c r="H522" i="25"/>
  <c r="H521" i="25"/>
  <c r="I520" i="25" l="1"/>
  <c r="J520" i="25" l="1"/>
  <c r="F342" i="30"/>
  <c r="H305" i="25" l="1"/>
  <c r="M77" i="25"/>
  <c r="K77" i="25" l="1"/>
  <c r="G30" i="15" l="1"/>
  <c r="G31" i="15"/>
  <c r="G32" i="15"/>
  <c r="G33" i="15"/>
  <c r="G34" i="15"/>
  <c r="G35" i="15"/>
  <c r="G29" i="15"/>
  <c r="G36" i="15" s="1"/>
  <c r="G28" i="15"/>
  <c r="F30" i="15"/>
  <c r="F31" i="15"/>
  <c r="F32" i="15"/>
  <c r="F33" i="15"/>
  <c r="F34" i="15"/>
  <c r="F35" i="15"/>
  <c r="F29" i="15"/>
  <c r="E35" i="15"/>
  <c r="E34" i="15"/>
  <c r="E33" i="15"/>
  <c r="E32" i="15"/>
  <c r="E31" i="15"/>
  <c r="E30" i="15"/>
  <c r="E29" i="15"/>
  <c r="D29" i="15"/>
  <c r="D30" i="15"/>
  <c r="D31" i="15"/>
  <c r="D32" i="15"/>
  <c r="D33" i="15"/>
  <c r="D34" i="15"/>
  <c r="D35" i="15"/>
  <c r="D28" i="15"/>
  <c r="C23" i="15"/>
  <c r="D23" i="15"/>
  <c r="E23" i="15"/>
  <c r="F23" i="15"/>
  <c r="G23" i="15"/>
  <c r="H23" i="15"/>
  <c r="I23" i="15"/>
  <c r="B23" i="15"/>
  <c r="H304" i="25" l="1"/>
  <c r="H302" i="25"/>
  <c r="H230" i="25" l="1"/>
  <c r="H303" i="25" l="1"/>
  <c r="S16" i="28" l="1"/>
  <c r="R17" i="28"/>
  <c r="R16" i="28"/>
  <c r="H91" i="25" l="1"/>
  <c r="L452" i="32" l="1"/>
  <c r="L451" i="32"/>
  <c r="L450" i="32"/>
  <c r="L449" i="32"/>
  <c r="L447" i="32"/>
  <c r="L446" i="32"/>
  <c r="O445" i="32"/>
  <c r="L445" i="32"/>
  <c r="G445" i="32"/>
  <c r="L444" i="32"/>
  <c r="L443" i="32"/>
  <c r="L442" i="32"/>
  <c r="L441" i="32"/>
  <c r="L440" i="32"/>
  <c r="L439" i="32"/>
  <c r="L438" i="32"/>
  <c r="L437" i="32"/>
  <c r="L436" i="32"/>
  <c r="L435" i="32"/>
  <c r="L434" i="32"/>
  <c r="L433" i="32"/>
  <c r="M432" i="32"/>
  <c r="L432" i="32"/>
  <c r="G432" i="32"/>
  <c r="F432" i="32"/>
  <c r="L431" i="32"/>
  <c r="L430" i="32"/>
  <c r="L429" i="32"/>
  <c r="L428" i="32"/>
  <c r="L427" i="32"/>
  <c r="L426" i="32"/>
  <c r="G425" i="32"/>
  <c r="L424" i="32"/>
  <c r="L423" i="32"/>
  <c r="L422" i="32"/>
  <c r="L421" i="32"/>
  <c r="L420" i="32"/>
  <c r="L419" i="32"/>
  <c r="L418" i="32"/>
  <c r="L417" i="32"/>
  <c r="L416" i="32"/>
  <c r="L415" i="32"/>
  <c r="L414" i="32"/>
  <c r="F414" i="32"/>
  <c r="M414" i="32" s="1"/>
  <c r="L413" i="32"/>
  <c r="L412" i="32"/>
  <c r="L411" i="32"/>
  <c r="L410" i="32"/>
  <c r="L409" i="32"/>
  <c r="L408" i="32"/>
  <c r="L407" i="32"/>
  <c r="O406" i="32"/>
  <c r="G406" i="32"/>
  <c r="L405" i="32"/>
  <c r="K405" i="32"/>
  <c r="L404" i="32"/>
  <c r="K404" i="32"/>
  <c r="L403" i="32"/>
  <c r="G402" i="32"/>
  <c r="L401" i="32"/>
  <c r="L400" i="32"/>
  <c r="L399" i="32"/>
  <c r="L398" i="32"/>
  <c r="L397" i="32"/>
  <c r="L396" i="32"/>
  <c r="L395" i="32"/>
  <c r="L394" i="32"/>
  <c r="L393" i="32"/>
  <c r="L392" i="32"/>
  <c r="L391" i="32"/>
  <c r="L390" i="32"/>
  <c r="L389" i="32"/>
  <c r="L388" i="32"/>
  <c r="L387" i="32"/>
  <c r="L386" i="32"/>
  <c r="L385" i="32"/>
  <c r="L384" i="32"/>
  <c r="L383" i="32"/>
  <c r="L382" i="32"/>
  <c r="L381" i="32"/>
  <c r="L380" i="32"/>
  <c r="L379" i="32"/>
  <c r="L378" i="32"/>
  <c r="L377" i="32"/>
  <c r="L376" i="32"/>
  <c r="L375" i="32"/>
  <c r="L374" i="32"/>
  <c r="L373" i="32"/>
  <c r="L372" i="32"/>
  <c r="L371" i="32"/>
  <c r="L370" i="32"/>
  <c r="L369" i="32"/>
  <c r="L368" i="32"/>
  <c r="L367" i="32"/>
  <c r="L366" i="32"/>
  <c r="L365" i="32"/>
  <c r="L364" i="32"/>
  <c r="L363" i="32"/>
  <c r="O362" i="32"/>
  <c r="F362" i="32"/>
  <c r="G362" i="32" s="1"/>
  <c r="L361" i="32"/>
  <c r="K361" i="32"/>
  <c r="L360" i="32"/>
  <c r="L359" i="32"/>
  <c r="L358" i="32"/>
  <c r="L357" i="32"/>
  <c r="L356" i="32"/>
  <c r="L355" i="32"/>
  <c r="L354" i="32"/>
  <c r="L353" i="32"/>
  <c r="L352" i="32"/>
  <c r="O351" i="32"/>
  <c r="F351" i="32"/>
  <c r="G351" i="32" s="1"/>
  <c r="L350" i="32"/>
  <c r="L349" i="32"/>
  <c r="L348" i="32"/>
  <c r="E347" i="32"/>
  <c r="L347" i="32" s="1"/>
  <c r="E346" i="32"/>
  <c r="L346" i="32" s="1"/>
  <c r="E345" i="32"/>
  <c r="L345" i="32" s="1"/>
  <c r="E344" i="32"/>
  <c r="L344" i="32" s="1"/>
  <c r="E343" i="32"/>
  <c r="L343" i="32" s="1"/>
  <c r="E342" i="32"/>
  <c r="L342" i="32" s="1"/>
  <c r="O341" i="32"/>
  <c r="G341" i="32"/>
  <c r="L340" i="32"/>
  <c r="L339" i="32"/>
  <c r="L338" i="32"/>
  <c r="L337" i="32"/>
  <c r="L336" i="32"/>
  <c r="L335" i="32"/>
  <c r="L334" i="32"/>
  <c r="L333" i="32"/>
  <c r="L332" i="32"/>
  <c r="L331" i="32"/>
  <c r="L330" i="32"/>
  <c r="L329" i="32"/>
  <c r="L328" i="32"/>
  <c r="L327" i="32"/>
  <c r="L326" i="32"/>
  <c r="L325" i="32"/>
  <c r="L324" i="32"/>
  <c r="L323" i="32"/>
  <c r="L322" i="32"/>
  <c r="L321" i="32"/>
  <c r="L320" i="32"/>
  <c r="L319" i="32"/>
  <c r="L318" i="32"/>
  <c r="L317" i="32"/>
  <c r="L316" i="32"/>
  <c r="L315" i="32"/>
  <c r="L314" i="32"/>
  <c r="L313" i="32"/>
  <c r="L312" i="32"/>
  <c r="L311" i="32"/>
  <c r="L310" i="32"/>
  <c r="L309" i="32"/>
  <c r="L308" i="32"/>
  <c r="O307" i="32"/>
  <c r="K306" i="32"/>
  <c r="E306" i="32"/>
  <c r="L306" i="32" s="1"/>
  <c r="L305" i="32"/>
  <c r="L304" i="32"/>
  <c r="L303" i="32"/>
  <c r="L302" i="32"/>
  <c r="L301" i="32"/>
  <c r="L300" i="32"/>
  <c r="L299" i="32"/>
  <c r="L298" i="32"/>
  <c r="L297" i="32"/>
  <c r="L296" i="32"/>
  <c r="L295" i="32"/>
  <c r="L294" i="32"/>
  <c r="L293" i="32"/>
  <c r="L292" i="32"/>
  <c r="L291" i="32"/>
  <c r="L290" i="32"/>
  <c r="L289" i="32"/>
  <c r="L288" i="32"/>
  <c r="L287" i="32"/>
  <c r="L286" i="32"/>
  <c r="L285" i="32"/>
  <c r="L284" i="32"/>
  <c r="L283" i="32"/>
  <c r="L282" i="32"/>
  <c r="L281" i="32"/>
  <c r="L280" i="32"/>
  <c r="L279" i="32"/>
  <c r="L278" i="32"/>
  <c r="L277" i="32"/>
  <c r="L276" i="32"/>
  <c r="L275" i="32"/>
  <c r="L274" i="32"/>
  <c r="L273" i="32"/>
  <c r="L272" i="32"/>
  <c r="L271" i="32"/>
  <c r="L270" i="32"/>
  <c r="L269" i="32"/>
  <c r="L268" i="32"/>
  <c r="L267" i="32"/>
  <c r="L266" i="32"/>
  <c r="L265" i="32"/>
  <c r="L264" i="32"/>
  <c r="L263" i="32"/>
  <c r="L262" i="32"/>
  <c r="L261" i="32"/>
  <c r="L260" i="32"/>
  <c r="L259" i="32"/>
  <c r="L258" i="32"/>
  <c r="L257" i="32"/>
  <c r="L256" i="32"/>
  <c r="L255" i="32"/>
  <c r="L254" i="32"/>
  <c r="L253" i="32"/>
  <c r="L252" i="32"/>
  <c r="L251" i="32"/>
  <c r="L250" i="32"/>
  <c r="L249" i="32"/>
  <c r="L248" i="32"/>
  <c r="L247" i="32"/>
  <c r="L246" i="32"/>
  <c r="L245" i="32"/>
  <c r="L244" i="32"/>
  <c r="L243" i="32"/>
  <c r="F243" i="32"/>
  <c r="G243" i="32" s="1"/>
  <c r="L242" i="32"/>
  <c r="L241" i="32"/>
  <c r="L240" i="32"/>
  <c r="L239" i="32"/>
  <c r="L238" i="32"/>
  <c r="L237" i="32"/>
  <c r="L236" i="32"/>
  <c r="L235" i="32"/>
  <c r="L234" i="32"/>
  <c r="L233" i="32"/>
  <c r="L232" i="32"/>
  <c r="L231" i="32"/>
  <c r="L230" i="32"/>
  <c r="F230" i="32"/>
  <c r="M230" i="32" s="1"/>
  <c r="V229" i="32"/>
  <c r="U229" i="32"/>
  <c r="O229" i="32"/>
  <c r="G229" i="32"/>
  <c r="L228" i="32"/>
  <c r="K228" i="32"/>
  <c r="L227" i="32"/>
  <c r="K227" i="32"/>
  <c r="L226" i="32"/>
  <c r="L225" i="32"/>
  <c r="L224" i="32"/>
  <c r="L223" i="32"/>
  <c r="L222" i="32"/>
  <c r="L221" i="32"/>
  <c r="L220" i="32"/>
  <c r="L219" i="32"/>
  <c r="L218" i="32"/>
  <c r="L217" i="32"/>
  <c r="L216" i="32"/>
  <c r="L215" i="32"/>
  <c r="L214" i="32"/>
  <c r="L212" i="32" s="1"/>
  <c r="L213" i="32"/>
  <c r="O212" i="32"/>
  <c r="L211" i="32"/>
  <c r="L210" i="32"/>
  <c r="L209" i="32"/>
  <c r="L208" i="32"/>
  <c r="L207" i="32"/>
  <c r="L206" i="32"/>
  <c r="L205" i="32"/>
  <c r="L204" i="32"/>
  <c r="L203" i="32"/>
  <c r="L202" i="32"/>
  <c r="L201" i="32"/>
  <c r="L200" i="32"/>
  <c r="L199" i="32"/>
  <c r="L198" i="32"/>
  <c r="L197" i="32"/>
  <c r="L196" i="32"/>
  <c r="L195" i="32"/>
  <c r="L194" i="32"/>
  <c r="L193" i="32"/>
  <c r="F192" i="32"/>
  <c r="G192" i="32" s="1"/>
  <c r="L191" i="32"/>
  <c r="K191" i="32"/>
  <c r="L190" i="32"/>
  <c r="K190" i="32"/>
  <c r="V189" i="32"/>
  <c r="L189" i="32"/>
  <c r="K189" i="32"/>
  <c r="E188" i="32"/>
  <c r="L188" i="32" s="1"/>
  <c r="E187" i="32"/>
  <c r="L187" i="32" s="1"/>
  <c r="L186" i="32"/>
  <c r="K186" i="32"/>
  <c r="L185" i="32"/>
  <c r="L184" i="32"/>
  <c r="L183" i="32"/>
  <c r="L182" i="32"/>
  <c r="L181" i="32"/>
  <c r="L180" i="32"/>
  <c r="L179" i="32"/>
  <c r="L178" i="32"/>
  <c r="L177" i="32"/>
  <c r="L176" i="32"/>
  <c r="L175" i="32"/>
  <c r="L174" i="32"/>
  <c r="L173" i="32"/>
  <c r="L172" i="32"/>
  <c r="L171" i="32"/>
  <c r="L170" i="32"/>
  <c r="L169" i="32"/>
  <c r="L168" i="32"/>
  <c r="L167" i="32"/>
  <c r="L166" i="32"/>
  <c r="K166" i="32"/>
  <c r="L165" i="32"/>
  <c r="L164" i="32"/>
  <c r="F163" i="32"/>
  <c r="G163" i="32" s="1"/>
  <c r="L162" i="32"/>
  <c r="K162" i="32"/>
  <c r="L161" i="32"/>
  <c r="K161" i="32"/>
  <c r="L160" i="32"/>
  <c r="L159" i="32"/>
  <c r="L158" i="32"/>
  <c r="L157" i="32"/>
  <c r="L156" i="32"/>
  <c r="L155" i="32"/>
  <c r="L154" i="32"/>
  <c r="L153" i="32"/>
  <c r="L152" i="32"/>
  <c r="L151" i="32"/>
  <c r="L150" i="32"/>
  <c r="L149" i="32"/>
  <c r="L148" i="32"/>
  <c r="L147" i="32"/>
  <c r="L146" i="32"/>
  <c r="L145" i="32"/>
  <c r="L144" i="32"/>
  <c r="L143" i="32"/>
  <c r="L142" i="32"/>
  <c r="L141" i="32"/>
  <c r="L140" i="32"/>
  <c r="L139" i="32"/>
  <c r="L138" i="32"/>
  <c r="L137" i="32"/>
  <c r="L136" i="32"/>
  <c r="L135" i="32"/>
  <c r="L134" i="32"/>
  <c r="L133" i="32"/>
  <c r="L132" i="32"/>
  <c r="L131" i="32"/>
  <c r="L130" i="32"/>
  <c r="L129" i="32"/>
  <c r="L128" i="32"/>
  <c r="L127" i="32"/>
  <c r="L126" i="32"/>
  <c r="L125" i="32"/>
  <c r="L124" i="32"/>
  <c r="O123" i="32"/>
  <c r="F123" i="32"/>
  <c r="G123" i="32" s="1"/>
  <c r="L122" i="32"/>
  <c r="F122" i="32"/>
  <c r="M122" i="32" s="1"/>
  <c r="N122" i="32" s="1"/>
  <c r="L121" i="32"/>
  <c r="L120" i="32"/>
  <c r="L119" i="32"/>
  <c r="L118" i="32"/>
  <c r="L117" i="32"/>
  <c r="L116" i="32"/>
  <c r="L115" i="32"/>
  <c r="L114" i="32"/>
  <c r="L113" i="32"/>
  <c r="L112" i="32"/>
  <c r="L111" i="32"/>
  <c r="L110" i="32"/>
  <c r="L109" i="32"/>
  <c r="L108" i="32"/>
  <c r="L107" i="32"/>
  <c r="L106" i="32"/>
  <c r="L105" i="32"/>
  <c r="L104" i="32"/>
  <c r="L103" i="32"/>
  <c r="L102" i="32"/>
  <c r="L101" i="32"/>
  <c r="L100" i="32"/>
  <c r="L99" i="32"/>
  <c r="L98" i="32"/>
  <c r="L97" i="32"/>
  <c r="L96" i="32"/>
  <c r="L95" i="32"/>
  <c r="L94" i="32"/>
  <c r="L93" i="32"/>
  <c r="L92" i="32"/>
  <c r="L91" i="32"/>
  <c r="L90" i="32"/>
  <c r="L89" i="32"/>
  <c r="L88" i="32"/>
  <c r="L87" i="32"/>
  <c r="L86" i="32"/>
  <c r="L85" i="32"/>
  <c r="L84" i="32"/>
  <c r="L83" i="32"/>
  <c r="L82" i="32"/>
  <c r="L81" i="32"/>
  <c r="L80" i="32"/>
  <c r="L79" i="32"/>
  <c r="L78" i="32"/>
  <c r="L77" i="32"/>
  <c r="L76" i="32"/>
  <c r="L75" i="32"/>
  <c r="L74" i="32"/>
  <c r="L73" i="32"/>
  <c r="L72" i="32"/>
  <c r="L71" i="32"/>
  <c r="L70" i="32"/>
  <c r="L69" i="32"/>
  <c r="L68" i="32"/>
  <c r="L67" i="32"/>
  <c r="L66" i="32"/>
  <c r="L65" i="32"/>
  <c r="L64" i="32"/>
  <c r="L63" i="32"/>
  <c r="L62" i="32"/>
  <c r="L61" i="32"/>
  <c r="L60" i="32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O37" i="32"/>
  <c r="F37" i="32"/>
  <c r="G37" i="32" s="1"/>
  <c r="L36" i="32"/>
  <c r="F36" i="32"/>
  <c r="M36" i="32" s="1"/>
  <c r="L35" i="32"/>
  <c r="F35" i="32"/>
  <c r="M35" i="32" s="1"/>
  <c r="L34" i="32"/>
  <c r="F34" i="32"/>
  <c r="M34" i="32" s="1"/>
  <c r="L33" i="32"/>
  <c r="F33" i="32"/>
  <c r="M33" i="32" s="1"/>
  <c r="L32" i="32"/>
  <c r="F32" i="32"/>
  <c r="M32" i="32" s="1"/>
  <c r="N32" i="32" s="1"/>
  <c r="L31" i="32"/>
  <c r="F31" i="32"/>
  <c r="M31" i="32" s="1"/>
  <c r="L30" i="32"/>
  <c r="F30" i="32"/>
  <c r="M30" i="32" s="1"/>
  <c r="L29" i="32"/>
  <c r="F29" i="32"/>
  <c r="M29" i="32" s="1"/>
  <c r="L28" i="32"/>
  <c r="F28" i="32"/>
  <c r="M28" i="32" s="1"/>
  <c r="L27" i="32"/>
  <c r="F27" i="32"/>
  <c r="M27" i="32" s="1"/>
  <c r="N27" i="32" s="1"/>
  <c r="L26" i="32"/>
  <c r="L25" i="32"/>
  <c r="F25" i="32"/>
  <c r="M25" i="32" s="1"/>
  <c r="L24" i="32"/>
  <c r="F24" i="32"/>
  <c r="M24" i="32" s="1"/>
  <c r="L23" i="32"/>
  <c r="F23" i="32"/>
  <c r="M23" i="32" s="1"/>
  <c r="L22" i="32"/>
  <c r="F22" i="32"/>
  <c r="M22" i="32" s="1"/>
  <c r="L21" i="32"/>
  <c r="F21" i="32"/>
  <c r="M21" i="32" s="1"/>
  <c r="L20" i="32"/>
  <c r="F20" i="32"/>
  <c r="M20" i="32" s="1"/>
  <c r="N20" i="32" s="1"/>
  <c r="L19" i="32"/>
  <c r="F19" i="32"/>
  <c r="M19" i="32" s="1"/>
  <c r="L18" i="32"/>
  <c r="F18" i="32"/>
  <c r="M18" i="32" s="1"/>
  <c r="L17" i="32"/>
  <c r="F17" i="32"/>
  <c r="M17" i="32" s="1"/>
  <c r="L16" i="32"/>
  <c r="F16" i="32"/>
  <c r="M16" i="32" s="1"/>
  <c r="L15" i="32"/>
  <c r="F15" i="32"/>
  <c r="M15" i="32" s="1"/>
  <c r="L14" i="32"/>
  <c r="F14" i="32"/>
  <c r="M14" i="32" s="1"/>
  <c r="L13" i="32"/>
  <c r="F13" i="32"/>
  <c r="M13" i="32" s="1"/>
  <c r="L12" i="32"/>
  <c r="F12" i="32"/>
  <c r="M12" i="32" s="1"/>
  <c r="N12" i="32" s="1"/>
  <c r="O11" i="32"/>
  <c r="N23" i="32" l="1"/>
  <c r="G35" i="32"/>
  <c r="N35" i="32"/>
  <c r="M243" i="32"/>
  <c r="N243" i="32" s="1"/>
  <c r="G414" i="32"/>
  <c r="N414" i="32"/>
  <c r="N31" i="32"/>
  <c r="N29" i="32"/>
  <c r="N432" i="32"/>
  <c r="N14" i="32"/>
  <c r="N15" i="32"/>
  <c r="N33" i="32"/>
  <c r="N230" i="32"/>
  <c r="L192" i="32"/>
  <c r="L307" i="32"/>
  <c r="N28" i="32"/>
  <c r="L425" i="32"/>
  <c r="N21" i="32"/>
  <c r="L341" i="32"/>
  <c r="O432" i="32"/>
  <c r="O425" i="32" s="1"/>
  <c r="N13" i="32"/>
  <c r="G36" i="32"/>
  <c r="L123" i="32"/>
  <c r="N36" i="32"/>
  <c r="N22" i="32"/>
  <c r="N30" i="32"/>
  <c r="K163" i="32"/>
  <c r="L37" i="32"/>
  <c r="L362" i="32"/>
  <c r="N24" i="32"/>
  <c r="N16" i="32"/>
  <c r="L402" i="32"/>
  <c r="N17" i="32"/>
  <c r="N18" i="32"/>
  <c r="L163" i="32"/>
  <c r="N19" i="32"/>
  <c r="G34" i="32"/>
  <c r="N34" i="32"/>
  <c r="G230" i="32"/>
  <c r="L229" i="32"/>
  <c r="L11" i="32"/>
  <c r="L351" i="32"/>
  <c r="G122" i="32"/>
  <c r="N25" i="32"/>
  <c r="L406" i="32"/>
  <c r="L10" i="32" l="1"/>
  <c r="L448" i="32" l="1"/>
  <c r="R448" i="32"/>
  <c r="L9" i="32" l="1"/>
  <c r="D41" i="29" l="1"/>
  <c r="I41" i="29"/>
  <c r="H616" i="25" l="1"/>
  <c r="E428" i="30"/>
  <c r="E429" i="30"/>
  <c r="E430" i="30"/>
  <c r="E431" i="30"/>
  <c r="E432" i="30"/>
  <c r="E424" i="30"/>
  <c r="E425" i="30"/>
  <c r="E426" i="30"/>
  <c r="E427" i="30"/>
  <c r="E419" i="30"/>
  <c r="E420" i="30"/>
  <c r="E421" i="30"/>
  <c r="E422" i="30"/>
  <c r="E423" i="30"/>
  <c r="E418" i="30"/>
  <c r="F184" i="30"/>
  <c r="F188" i="32" s="1"/>
  <c r="F183" i="30"/>
  <c r="F187" i="32" s="1"/>
  <c r="F300" i="30"/>
  <c r="F304" i="32" s="1"/>
  <c r="F297" i="30"/>
  <c r="F301" i="32" s="1"/>
  <c r="F298" i="30"/>
  <c r="F302" i="32" s="1"/>
  <c r="F299" i="30"/>
  <c r="F303" i="32" s="1"/>
  <c r="F252" i="30"/>
  <c r="F256" i="32" s="1"/>
  <c r="F253" i="30"/>
  <c r="F257" i="32" s="1"/>
  <c r="F254" i="30"/>
  <c r="F258" i="32" s="1"/>
  <c r="F255" i="30"/>
  <c r="F259" i="32" s="1"/>
  <c r="F256" i="30"/>
  <c r="F260" i="32" s="1"/>
  <c r="F257" i="30"/>
  <c r="F261" i="32" s="1"/>
  <c r="F258" i="30"/>
  <c r="F262" i="32" s="1"/>
  <c r="F259" i="30"/>
  <c r="F263" i="32" s="1"/>
  <c r="F260" i="30"/>
  <c r="F264" i="32" s="1"/>
  <c r="F261" i="30"/>
  <c r="F265" i="32" s="1"/>
  <c r="F262" i="30"/>
  <c r="F266" i="32" s="1"/>
  <c r="F263" i="30"/>
  <c r="F267" i="32" s="1"/>
  <c r="F264" i="30"/>
  <c r="F268" i="32" s="1"/>
  <c r="F265" i="30"/>
  <c r="F269" i="32" s="1"/>
  <c r="F266" i="30"/>
  <c r="F270" i="32" s="1"/>
  <c r="F267" i="30"/>
  <c r="F271" i="32" s="1"/>
  <c r="F268" i="30"/>
  <c r="F272" i="32" s="1"/>
  <c r="F269" i="30"/>
  <c r="F273" i="32" s="1"/>
  <c r="F270" i="30"/>
  <c r="F274" i="32" s="1"/>
  <c r="F271" i="30"/>
  <c r="F275" i="32" s="1"/>
  <c r="F272" i="30"/>
  <c r="F276" i="32" s="1"/>
  <c r="F273" i="30"/>
  <c r="F277" i="32" s="1"/>
  <c r="F274" i="30"/>
  <c r="F278" i="32" s="1"/>
  <c r="F275" i="30"/>
  <c r="F279" i="32" s="1"/>
  <c r="F276" i="30"/>
  <c r="F280" i="32" s="1"/>
  <c r="F277" i="30"/>
  <c r="F281" i="32" s="1"/>
  <c r="F278" i="30"/>
  <c r="F282" i="32" s="1"/>
  <c r="F279" i="30"/>
  <c r="F283" i="32" s="1"/>
  <c r="F280" i="30"/>
  <c r="F284" i="32" s="1"/>
  <c r="F281" i="30"/>
  <c r="F285" i="32" s="1"/>
  <c r="F282" i="30"/>
  <c r="F286" i="32" s="1"/>
  <c r="F283" i="30"/>
  <c r="F287" i="32" s="1"/>
  <c r="F284" i="30"/>
  <c r="F288" i="32" s="1"/>
  <c r="F285" i="30"/>
  <c r="F289" i="32" s="1"/>
  <c r="F286" i="30"/>
  <c r="F290" i="32" s="1"/>
  <c r="F287" i="30"/>
  <c r="F291" i="32" s="1"/>
  <c r="F288" i="30"/>
  <c r="F292" i="32" s="1"/>
  <c r="F289" i="30"/>
  <c r="F293" i="32" s="1"/>
  <c r="F290" i="30"/>
  <c r="F294" i="32" s="1"/>
  <c r="F291" i="30"/>
  <c r="F295" i="32" s="1"/>
  <c r="F292" i="30"/>
  <c r="F296" i="32" s="1"/>
  <c r="F293" i="30"/>
  <c r="F297" i="32" s="1"/>
  <c r="F294" i="30"/>
  <c r="F298" i="32" s="1"/>
  <c r="F295" i="30"/>
  <c r="F299" i="32" s="1"/>
  <c r="F296" i="30"/>
  <c r="F300" i="32" s="1"/>
  <c r="F251" i="30"/>
  <c r="F255" i="32" s="1"/>
  <c r="F406" i="30"/>
  <c r="F395" i="32" s="1"/>
  <c r="F46" i="30"/>
  <c r="F50" i="32" s="1"/>
  <c r="H106" i="25"/>
  <c r="J106" i="25" s="1"/>
  <c r="M27" i="29"/>
  <c r="H11" i="15"/>
  <c r="H12" i="15"/>
  <c r="H13" i="15"/>
  <c r="H14" i="15"/>
  <c r="H15" i="15"/>
  <c r="H16" i="15"/>
  <c r="H17" i="15"/>
  <c r="H10" i="15"/>
  <c r="I10" i="15" s="1"/>
  <c r="E17" i="15"/>
  <c r="E16" i="15"/>
  <c r="G17" i="15" s="1"/>
  <c r="E15" i="15"/>
  <c r="G16" i="15" s="1"/>
  <c r="I16" i="15" s="1"/>
  <c r="E14" i="15"/>
  <c r="G15" i="15" s="1"/>
  <c r="I15" i="15" s="1"/>
  <c r="E13" i="15"/>
  <c r="G14" i="15" s="1"/>
  <c r="I14" i="15" s="1"/>
  <c r="E12" i="15"/>
  <c r="G13" i="15" s="1"/>
  <c r="I13" i="15" s="1"/>
  <c r="E11" i="15"/>
  <c r="G12" i="15" s="1"/>
  <c r="I12" i="15" s="1"/>
  <c r="E10" i="15"/>
  <c r="G11" i="15" s="1"/>
  <c r="I11" i="15" s="1"/>
  <c r="C5" i="15"/>
  <c r="D5" i="15"/>
  <c r="E5" i="15"/>
  <c r="F5" i="15"/>
  <c r="G5" i="15"/>
  <c r="H5" i="15"/>
  <c r="I5" i="15"/>
  <c r="B5" i="15"/>
  <c r="C18" i="20"/>
  <c r="E413" i="31" l="1"/>
  <c r="J413" i="31" s="1"/>
  <c r="K413" i="31" s="1"/>
  <c r="M279" i="32"/>
  <c r="N279" i="32" s="1"/>
  <c r="G279" i="32"/>
  <c r="M303" i="32"/>
  <c r="N303" i="32" s="1"/>
  <c r="G303" i="32"/>
  <c r="M278" i="32"/>
  <c r="N278" i="32" s="1"/>
  <c r="G278" i="32"/>
  <c r="M304" i="32"/>
  <c r="N304" i="32" s="1"/>
  <c r="G304" i="32"/>
  <c r="G295" i="32"/>
  <c r="M295" i="32"/>
  <c r="N295" i="32" s="1"/>
  <c r="M269" i="32"/>
  <c r="N269" i="32" s="1"/>
  <c r="G269" i="32"/>
  <c r="G267" i="32"/>
  <c r="M267" i="32"/>
  <c r="N267" i="32" s="1"/>
  <c r="M290" i="32"/>
  <c r="N290" i="32" s="1"/>
  <c r="G290" i="32"/>
  <c r="G287" i="32"/>
  <c r="M287" i="32"/>
  <c r="N287" i="32" s="1"/>
  <c r="M286" i="32"/>
  <c r="N286" i="32" s="1"/>
  <c r="G286" i="32"/>
  <c r="M262" i="32"/>
  <c r="N262" i="32" s="1"/>
  <c r="G262" i="32"/>
  <c r="M281" i="32"/>
  <c r="N281" i="32" s="1"/>
  <c r="G281" i="32"/>
  <c r="M280" i="32"/>
  <c r="N280" i="32" s="1"/>
  <c r="G280" i="32"/>
  <c r="M255" i="32"/>
  <c r="N255" i="32" s="1"/>
  <c r="G255" i="32"/>
  <c r="M277" i="32"/>
  <c r="N277" i="32" s="1"/>
  <c r="G277" i="32"/>
  <c r="M301" i="32"/>
  <c r="N301" i="32" s="1"/>
  <c r="G301" i="32"/>
  <c r="M300" i="32"/>
  <c r="N300" i="32" s="1"/>
  <c r="G300" i="32"/>
  <c r="G272" i="32"/>
  <c r="M272" i="32"/>
  <c r="N272" i="32" s="1"/>
  <c r="M293" i="32"/>
  <c r="N293" i="32" s="1"/>
  <c r="G293" i="32"/>
  <c r="M285" i="32"/>
  <c r="N285" i="32" s="1"/>
  <c r="G285" i="32"/>
  <c r="M261" i="32"/>
  <c r="N261" i="32" s="1"/>
  <c r="G261" i="32"/>
  <c r="M257" i="32"/>
  <c r="N257" i="32" s="1"/>
  <c r="G257" i="32"/>
  <c r="G302" i="32"/>
  <c r="M302" i="32"/>
  <c r="N302" i="32" s="1"/>
  <c r="M299" i="32"/>
  <c r="N299" i="32" s="1"/>
  <c r="G299" i="32"/>
  <c r="M275" i="32"/>
  <c r="N275" i="32" s="1"/>
  <c r="G275" i="32"/>
  <c r="M274" i="32"/>
  <c r="N274" i="32" s="1"/>
  <c r="G274" i="32"/>
  <c r="M188" i="32"/>
  <c r="N188" i="32" s="1"/>
  <c r="G188" i="32"/>
  <c r="G297" i="32"/>
  <c r="M297" i="32"/>
  <c r="N297" i="32" s="1"/>
  <c r="M271" i="32"/>
  <c r="N271" i="32" s="1"/>
  <c r="G271" i="32"/>
  <c r="G294" i="32"/>
  <c r="M294" i="32"/>
  <c r="N294" i="32" s="1"/>
  <c r="M270" i="32"/>
  <c r="N270" i="32" s="1"/>
  <c r="G270" i="32"/>
  <c r="M266" i="32"/>
  <c r="N266" i="32" s="1"/>
  <c r="G266" i="32"/>
  <c r="M289" i="32"/>
  <c r="N289" i="32" s="1"/>
  <c r="G289" i="32"/>
  <c r="G264" i="32"/>
  <c r="M264" i="32"/>
  <c r="N264" i="32" s="1"/>
  <c r="M284" i="32"/>
  <c r="N284" i="32" s="1"/>
  <c r="G284" i="32"/>
  <c r="M260" i="32"/>
  <c r="N260" i="32" s="1"/>
  <c r="G260" i="32"/>
  <c r="M288" i="32"/>
  <c r="N288" i="32" s="1"/>
  <c r="G288" i="32"/>
  <c r="M263" i="32"/>
  <c r="N263" i="32" s="1"/>
  <c r="G263" i="32"/>
  <c r="M259" i="32"/>
  <c r="N259" i="32" s="1"/>
  <c r="G259" i="32"/>
  <c r="G256" i="32"/>
  <c r="M256" i="32"/>
  <c r="N256" i="32" s="1"/>
  <c r="M395" i="32"/>
  <c r="N395" i="32" s="1"/>
  <c r="G395" i="32"/>
  <c r="M276" i="32"/>
  <c r="N276" i="32" s="1"/>
  <c r="G276" i="32"/>
  <c r="M187" i="32"/>
  <c r="N187" i="32" s="1"/>
  <c r="G187" i="32"/>
  <c r="M298" i="32"/>
  <c r="N298" i="32" s="1"/>
  <c r="G298" i="32"/>
  <c r="M273" i="32"/>
  <c r="N273" i="32" s="1"/>
  <c r="G273" i="32"/>
  <c r="G296" i="32"/>
  <c r="M296" i="32"/>
  <c r="N296" i="32" s="1"/>
  <c r="G292" i="32"/>
  <c r="M292" i="32"/>
  <c r="N292" i="32" s="1"/>
  <c r="M268" i="32"/>
  <c r="N268" i="32" s="1"/>
  <c r="G268" i="32"/>
  <c r="G291" i="32"/>
  <c r="M291" i="32"/>
  <c r="N291" i="32" s="1"/>
  <c r="M265" i="32"/>
  <c r="N265" i="32" s="1"/>
  <c r="G265" i="32"/>
  <c r="G283" i="32"/>
  <c r="M283" i="32"/>
  <c r="N283" i="32" s="1"/>
  <c r="G282" i="32"/>
  <c r="M282" i="32"/>
  <c r="N282" i="32" s="1"/>
  <c r="M258" i="32"/>
  <c r="N258" i="32" s="1"/>
  <c r="G258" i="32"/>
  <c r="I17" i="15"/>
  <c r="I18" i="15"/>
  <c r="H46" i="30"/>
  <c r="M50" i="32"/>
  <c r="G50" i="32"/>
  <c r="S4" i="28"/>
  <c r="S5" i="28"/>
  <c r="S3" i="28"/>
  <c r="G4" i="28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3" i="28"/>
  <c r="N50" i="32" l="1"/>
  <c r="H309" i="25"/>
  <c r="H308" i="25"/>
  <c r="J122" i="29"/>
  <c r="F228" i="32"/>
  <c r="F218" i="30"/>
  <c r="F222" i="32" s="1"/>
  <c r="F214" i="30"/>
  <c r="F218" i="32" s="1"/>
  <c r="F302" i="30"/>
  <c r="F306" i="32" s="1"/>
  <c r="H190" i="25"/>
  <c r="H188" i="25"/>
  <c r="M218" i="32" l="1"/>
  <c r="N218" i="32" s="1"/>
  <c r="G218" i="32"/>
  <c r="M306" i="32"/>
  <c r="N306" i="32" s="1"/>
  <c r="G306" i="32"/>
  <c r="M222" i="32"/>
  <c r="N222" i="32" s="1"/>
  <c r="G222" i="32"/>
  <c r="M228" i="32"/>
  <c r="N228" i="32" s="1"/>
  <c r="G228" i="32"/>
  <c r="H187" i="25"/>
  <c r="H186" i="25"/>
  <c r="J123" i="29"/>
  <c r="I122" i="29"/>
  <c r="I81" i="29"/>
  <c r="J81" i="29" s="1"/>
  <c r="I40" i="29"/>
  <c r="J40" i="29" s="1"/>
  <c r="V4" i="28"/>
  <c r="V5" i="28"/>
  <c r="V3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3" i="28"/>
  <c r="H192" i="25" l="1"/>
  <c r="E439" i="30"/>
  <c r="E440" i="30"/>
  <c r="E441" i="30"/>
  <c r="E442" i="30"/>
  <c r="E443" i="30"/>
  <c r="E444" i="30"/>
  <c r="E445" i="30"/>
  <c r="E446" i="30"/>
  <c r="E447" i="30"/>
  <c r="E448" i="30"/>
  <c r="E449" i="30"/>
  <c r="E450" i="30"/>
  <c r="E451" i="30"/>
  <c r="E452" i="30"/>
  <c r="E453" i="30"/>
  <c r="E454" i="30"/>
  <c r="E455" i="30"/>
  <c r="E456" i="30"/>
  <c r="E457" i="30"/>
  <c r="E458" i="30"/>
  <c r="E459" i="30"/>
  <c r="E460" i="30"/>
  <c r="E461" i="30"/>
  <c r="E462" i="30"/>
  <c r="E463" i="30"/>
  <c r="E438" i="30"/>
  <c r="L464" i="31"/>
  <c r="E451" i="31"/>
  <c r="J451" i="31" s="1"/>
  <c r="K451" i="31" s="1"/>
  <c r="F240" i="30"/>
  <c r="F244" i="32" s="1"/>
  <c r="F241" i="30"/>
  <c r="F245" i="32" s="1"/>
  <c r="F238" i="30"/>
  <c r="F242" i="32" s="1"/>
  <c r="E432" i="31"/>
  <c r="J432" i="31" s="1"/>
  <c r="L354" i="31"/>
  <c r="E380" i="31"/>
  <c r="E354" i="31"/>
  <c r="D346" i="31"/>
  <c r="I346" i="31" s="1"/>
  <c r="D347" i="31"/>
  <c r="I347" i="31" s="1"/>
  <c r="D348" i="31"/>
  <c r="I348" i="31" s="1"/>
  <c r="D349" i="31"/>
  <c r="I349" i="31" s="1"/>
  <c r="D350" i="31"/>
  <c r="I350" i="31" s="1"/>
  <c r="D345" i="31"/>
  <c r="I345" i="31" s="1"/>
  <c r="E309" i="31"/>
  <c r="J309" i="31" s="1"/>
  <c r="H386" i="25"/>
  <c r="I344" i="31" l="1"/>
  <c r="G344" i="31" s="1"/>
  <c r="G245" i="32"/>
  <c r="M245" i="32"/>
  <c r="N245" i="32" s="1"/>
  <c r="M242" i="32"/>
  <c r="G242" i="32"/>
  <c r="M244" i="32"/>
  <c r="N244" i="32" s="1"/>
  <c r="G244" i="32"/>
  <c r="E246" i="31"/>
  <c r="J246" i="31" s="1"/>
  <c r="K246" i="31" s="1"/>
  <c r="E245" i="31"/>
  <c r="J245" i="31" s="1"/>
  <c r="K245" i="31" s="1"/>
  <c r="E248" i="31"/>
  <c r="J248" i="31" s="1"/>
  <c r="K248" i="31" s="1"/>
  <c r="E247" i="31"/>
  <c r="J247" i="31" s="1"/>
  <c r="K247" i="31" s="1"/>
  <c r="L444" i="31"/>
  <c r="L344" i="31"/>
  <c r="N242" i="32" l="1"/>
  <c r="L380" i="31"/>
  <c r="F464" i="30" l="1"/>
  <c r="F439" i="30"/>
  <c r="F440" i="30"/>
  <c r="F441" i="30"/>
  <c r="F442" i="30"/>
  <c r="F443" i="30"/>
  <c r="F445" i="30"/>
  <c r="F446" i="30"/>
  <c r="F447" i="30"/>
  <c r="F448" i="30"/>
  <c r="F449" i="30"/>
  <c r="F450" i="30"/>
  <c r="F451" i="30"/>
  <c r="F452" i="30"/>
  <c r="F453" i="30"/>
  <c r="F454" i="30"/>
  <c r="F455" i="30"/>
  <c r="F456" i="30"/>
  <c r="F457" i="30"/>
  <c r="F458" i="30"/>
  <c r="F459" i="30"/>
  <c r="F460" i="30"/>
  <c r="F461" i="30"/>
  <c r="F462" i="30"/>
  <c r="F438" i="30"/>
  <c r="F434" i="30"/>
  <c r="F433" i="30"/>
  <c r="F419" i="30"/>
  <c r="F420" i="30"/>
  <c r="F421" i="30"/>
  <c r="F422" i="30"/>
  <c r="F423" i="30"/>
  <c r="F424" i="30"/>
  <c r="F426" i="30"/>
  <c r="F427" i="30"/>
  <c r="F428" i="30"/>
  <c r="F429" i="30"/>
  <c r="F430" i="30"/>
  <c r="F431" i="30"/>
  <c r="F432" i="30"/>
  <c r="F418" i="30"/>
  <c r="F416" i="30"/>
  <c r="F415" i="30"/>
  <c r="F414" i="30"/>
  <c r="F409" i="30"/>
  <c r="F410" i="30"/>
  <c r="F411" i="30"/>
  <c r="F412" i="30"/>
  <c r="F408" i="30"/>
  <c r="F375" i="30"/>
  <c r="F376" i="30"/>
  <c r="F377" i="30"/>
  <c r="F378" i="30"/>
  <c r="F379" i="30"/>
  <c r="F380" i="30"/>
  <c r="F381" i="30"/>
  <c r="F382" i="30"/>
  <c r="F383" i="30"/>
  <c r="F384" i="30"/>
  <c r="F385" i="30"/>
  <c r="F386" i="30"/>
  <c r="F387" i="30"/>
  <c r="F388" i="30"/>
  <c r="F389" i="30"/>
  <c r="F390" i="30"/>
  <c r="F391" i="30"/>
  <c r="F392" i="30"/>
  <c r="F393" i="30"/>
  <c r="F394" i="30"/>
  <c r="F395" i="30"/>
  <c r="F396" i="30"/>
  <c r="F397" i="30"/>
  <c r="F398" i="30"/>
  <c r="F399" i="30"/>
  <c r="F400" i="30"/>
  <c r="F401" i="30"/>
  <c r="F402" i="30"/>
  <c r="F403" i="30"/>
  <c r="F404" i="30"/>
  <c r="F405" i="30"/>
  <c r="F407" i="30"/>
  <c r="F374" i="30"/>
  <c r="F357" i="30"/>
  <c r="F356" i="30"/>
  <c r="F354" i="30"/>
  <c r="F355" i="30"/>
  <c r="F353" i="30"/>
  <c r="E17" i="31"/>
  <c r="J17" i="31" s="1"/>
  <c r="E18" i="31"/>
  <c r="J18" i="31" s="1"/>
  <c r="E19" i="31"/>
  <c r="J19" i="31" s="1"/>
  <c r="E20" i="31"/>
  <c r="J20" i="31" s="1"/>
  <c r="E21" i="31"/>
  <c r="J21" i="31" s="1"/>
  <c r="E22" i="31"/>
  <c r="J22" i="31" s="1"/>
  <c r="E23" i="31"/>
  <c r="J23" i="31" s="1"/>
  <c r="E24" i="31"/>
  <c r="J24" i="31" s="1"/>
  <c r="E25" i="31"/>
  <c r="J25" i="31" s="1"/>
  <c r="E27" i="31"/>
  <c r="J27" i="31" s="1"/>
  <c r="E28" i="31"/>
  <c r="J28" i="31" s="1"/>
  <c r="E29" i="31"/>
  <c r="J29" i="31" s="1"/>
  <c r="E30" i="31"/>
  <c r="J30" i="31" s="1"/>
  <c r="E31" i="31"/>
  <c r="J31" i="31" s="1"/>
  <c r="E32" i="31"/>
  <c r="J32" i="31" s="1"/>
  <c r="E33" i="31"/>
  <c r="J33" i="31" s="1"/>
  <c r="E34" i="31"/>
  <c r="E35" i="31"/>
  <c r="E36" i="31"/>
  <c r="E37" i="31"/>
  <c r="F37" i="31" s="1"/>
  <c r="E126" i="31"/>
  <c r="F126" i="31" s="1"/>
  <c r="E166" i="31"/>
  <c r="F166" i="31" s="1"/>
  <c r="E195" i="31"/>
  <c r="F195" i="31" s="1"/>
  <c r="F354" i="31"/>
  <c r="F413" i="31"/>
  <c r="F432" i="31"/>
  <c r="F464" i="31"/>
  <c r="E13" i="31"/>
  <c r="J13" i="31" s="1"/>
  <c r="E14" i="31"/>
  <c r="J14" i="31" s="1"/>
  <c r="E15" i="31"/>
  <c r="J15" i="31" s="1"/>
  <c r="E16" i="31"/>
  <c r="J16" i="31" s="1"/>
  <c r="E12" i="31"/>
  <c r="J12" i="31" s="1"/>
  <c r="H352" i="30"/>
  <c r="I352" i="30" s="1"/>
  <c r="F352" i="30"/>
  <c r="F351" i="30"/>
  <c r="F350" i="30"/>
  <c r="F349" i="30"/>
  <c r="F348" i="30"/>
  <c r="F344" i="30"/>
  <c r="F345" i="30"/>
  <c r="F346" i="30"/>
  <c r="F341" i="30"/>
  <c r="F339" i="30"/>
  <c r="F340" i="30"/>
  <c r="F338" i="30"/>
  <c r="F304" i="30"/>
  <c r="F305" i="30"/>
  <c r="F306" i="30"/>
  <c r="F307" i="30"/>
  <c r="F308" i="30"/>
  <c r="F309" i="30"/>
  <c r="F310" i="30"/>
  <c r="F311" i="30"/>
  <c r="F312" i="30"/>
  <c r="F313" i="30"/>
  <c r="F314" i="30"/>
  <c r="F315" i="30"/>
  <c r="F316" i="30"/>
  <c r="F317" i="30"/>
  <c r="F318" i="30"/>
  <c r="F319" i="30"/>
  <c r="F320" i="30"/>
  <c r="F321" i="30"/>
  <c r="F322" i="30"/>
  <c r="F323" i="30"/>
  <c r="F324" i="30"/>
  <c r="F328" i="32" s="1"/>
  <c r="F325" i="30"/>
  <c r="F329" i="32" s="1"/>
  <c r="F326" i="30"/>
  <c r="F330" i="32" s="1"/>
  <c r="F327" i="30"/>
  <c r="F331" i="32" s="1"/>
  <c r="F328" i="30"/>
  <c r="F332" i="32" s="1"/>
  <c r="F329" i="30"/>
  <c r="F330" i="30"/>
  <c r="F331" i="30"/>
  <c r="F332" i="30"/>
  <c r="F333" i="30"/>
  <c r="F334" i="30"/>
  <c r="F335" i="30"/>
  <c r="F336" i="30"/>
  <c r="F303" i="30"/>
  <c r="F301" i="30"/>
  <c r="F250" i="30"/>
  <c r="F249" i="30"/>
  <c r="F248" i="30"/>
  <c r="F247" i="30"/>
  <c r="F246" i="30"/>
  <c r="F245" i="30"/>
  <c r="F244" i="30"/>
  <c r="F243" i="30"/>
  <c r="F242" i="30"/>
  <c r="F245" i="31"/>
  <c r="F246" i="31"/>
  <c r="F247" i="31"/>
  <c r="F237" i="30"/>
  <c r="F236" i="30"/>
  <c r="F235" i="30"/>
  <c r="F229" i="30"/>
  <c r="F230" i="30"/>
  <c r="F231" i="30"/>
  <c r="F232" i="30"/>
  <c r="F233" i="30"/>
  <c r="F234" i="30"/>
  <c r="F228" i="30"/>
  <c r="F227" i="30"/>
  <c r="H404" i="25"/>
  <c r="H403" i="25"/>
  <c r="F223" i="30"/>
  <c r="F221" i="30"/>
  <c r="F222" i="30"/>
  <c r="F220" i="30"/>
  <c r="F213" i="30"/>
  <c r="F212" i="30"/>
  <c r="K32" i="31" l="1"/>
  <c r="L32" i="31"/>
  <c r="K31" i="31"/>
  <c r="L31" i="31"/>
  <c r="K30" i="31"/>
  <c r="L30" i="31"/>
  <c r="K29" i="31"/>
  <c r="L29" i="31"/>
  <c r="K28" i="31"/>
  <c r="L28" i="31"/>
  <c r="K33" i="31"/>
  <c r="L33" i="31"/>
  <c r="K27" i="31"/>
  <c r="L27" i="31"/>
  <c r="K20" i="31"/>
  <c r="L20" i="31"/>
  <c r="K13" i="31"/>
  <c r="L13" i="31"/>
  <c r="K22" i="31"/>
  <c r="L22" i="31"/>
  <c r="K12" i="31"/>
  <c r="L12" i="31"/>
  <c r="K16" i="31"/>
  <c r="L16" i="31"/>
  <c r="K18" i="31"/>
  <c r="L18" i="31"/>
  <c r="K25" i="31"/>
  <c r="L25" i="31"/>
  <c r="K24" i="31"/>
  <c r="L24" i="31"/>
  <c r="K17" i="31"/>
  <c r="L17" i="31"/>
  <c r="K23" i="31"/>
  <c r="L23" i="31"/>
  <c r="K19" i="31"/>
  <c r="L19" i="31"/>
  <c r="K21" i="31"/>
  <c r="L21" i="31"/>
  <c r="K14" i="31"/>
  <c r="L14" i="31"/>
  <c r="K15" i="31"/>
  <c r="L15" i="31"/>
  <c r="F35" i="31"/>
  <c r="J35" i="31"/>
  <c r="F34" i="31"/>
  <c r="J34" i="31"/>
  <c r="F36" i="31"/>
  <c r="J36" i="31"/>
  <c r="F253" i="32"/>
  <c r="E256" i="31"/>
  <c r="J256" i="31" s="1"/>
  <c r="K256" i="31" s="1"/>
  <c r="F418" i="32"/>
  <c r="E436" i="31"/>
  <c r="J436" i="31" s="1"/>
  <c r="K436" i="31" s="1"/>
  <c r="F311" i="32"/>
  <c r="E314" i="31"/>
  <c r="J314" i="31" s="1"/>
  <c r="K314" i="31" s="1"/>
  <c r="F361" i="32"/>
  <c r="E364" i="31"/>
  <c r="J364" i="31" s="1"/>
  <c r="K364" i="31" s="1"/>
  <c r="F374" i="32"/>
  <c r="E392" i="31"/>
  <c r="J392" i="31" s="1"/>
  <c r="K392" i="31" s="1"/>
  <c r="F417" i="32"/>
  <c r="E435" i="31"/>
  <c r="J435" i="31" s="1"/>
  <c r="K435" i="31" s="1"/>
  <c r="F439" i="32"/>
  <c r="E458" i="31"/>
  <c r="J458" i="31" s="1"/>
  <c r="K458" i="31" s="1"/>
  <c r="F239" i="32"/>
  <c r="E242" i="31"/>
  <c r="J242" i="31" s="1"/>
  <c r="K242" i="31" s="1"/>
  <c r="F334" i="32"/>
  <c r="E337" i="31"/>
  <c r="J337" i="31" s="1"/>
  <c r="K337" i="31" s="1"/>
  <c r="F310" i="32"/>
  <c r="E313" i="31"/>
  <c r="J313" i="31" s="1"/>
  <c r="K313" i="31" s="1"/>
  <c r="F380" i="31"/>
  <c r="F363" i="32"/>
  <c r="E381" i="31"/>
  <c r="J381" i="31" s="1"/>
  <c r="K381" i="31" s="1"/>
  <c r="F373" i="32"/>
  <c r="E391" i="31"/>
  <c r="J391" i="31" s="1"/>
  <c r="K391" i="31" s="1"/>
  <c r="F416" i="32"/>
  <c r="E434" i="31"/>
  <c r="J434" i="31" s="1"/>
  <c r="K434" i="31" s="1"/>
  <c r="F438" i="32"/>
  <c r="E457" i="31"/>
  <c r="J457" i="31" s="1"/>
  <c r="K457" i="31" s="1"/>
  <c r="F240" i="32"/>
  <c r="E243" i="31"/>
  <c r="J243" i="31" s="1"/>
  <c r="K243" i="31" s="1"/>
  <c r="E336" i="31"/>
  <c r="J336" i="31" s="1"/>
  <c r="K336" i="31" s="1"/>
  <c r="F333" i="32"/>
  <c r="F309" i="32"/>
  <c r="E312" i="31"/>
  <c r="J312" i="31" s="1"/>
  <c r="K312" i="31" s="1"/>
  <c r="F396" i="32"/>
  <c r="E414" i="31"/>
  <c r="J414" i="31" s="1"/>
  <c r="K414" i="31" s="1"/>
  <c r="F372" i="32"/>
  <c r="E390" i="31"/>
  <c r="J390" i="31" s="1"/>
  <c r="K390" i="31" s="1"/>
  <c r="F415" i="32"/>
  <c r="E433" i="31"/>
  <c r="J433" i="31" s="1"/>
  <c r="K433" i="31" s="1"/>
  <c r="F437" i="32"/>
  <c r="E456" i="31"/>
  <c r="J456" i="31" s="1"/>
  <c r="K456" i="31" s="1"/>
  <c r="F307" i="32"/>
  <c r="G307" i="32" s="1"/>
  <c r="E310" i="31"/>
  <c r="F238" i="32"/>
  <c r="E241" i="31"/>
  <c r="J241" i="31" s="1"/>
  <c r="K241" i="31" s="1"/>
  <c r="F316" i="32"/>
  <c r="E319" i="31"/>
  <c r="J319" i="31" s="1"/>
  <c r="K319" i="31" s="1"/>
  <c r="G332" i="32"/>
  <c r="M332" i="32"/>
  <c r="N332" i="32" s="1"/>
  <c r="M331" i="32"/>
  <c r="N331" i="32" s="1"/>
  <c r="G331" i="32"/>
  <c r="F370" i="32"/>
  <c r="E388" i="31"/>
  <c r="J388" i="31" s="1"/>
  <c r="K388" i="31" s="1"/>
  <c r="G329" i="32"/>
  <c r="M329" i="32"/>
  <c r="N329" i="32" s="1"/>
  <c r="F343" i="32"/>
  <c r="M343" i="32" s="1"/>
  <c r="N343" i="32" s="1"/>
  <c r="E346" i="31"/>
  <c r="F391" i="32"/>
  <c r="E409" i="31"/>
  <c r="J409" i="31" s="1"/>
  <c r="K409" i="31" s="1"/>
  <c r="F426" i="31"/>
  <c r="F409" i="32"/>
  <c r="E427" i="31"/>
  <c r="J427" i="31" s="1"/>
  <c r="K427" i="31" s="1"/>
  <c r="F247" i="32"/>
  <c r="E250" i="31"/>
  <c r="J250" i="31" s="1"/>
  <c r="K250" i="31" s="1"/>
  <c r="F326" i="32"/>
  <c r="E329" i="31"/>
  <c r="J329" i="31" s="1"/>
  <c r="K329" i="31" s="1"/>
  <c r="F389" i="32"/>
  <c r="E407" i="31"/>
  <c r="J407" i="31" s="1"/>
  <c r="K407" i="31" s="1"/>
  <c r="F365" i="32"/>
  <c r="E383" i="31"/>
  <c r="J383" i="31" s="1"/>
  <c r="K383" i="31" s="1"/>
  <c r="F408" i="32"/>
  <c r="E426" i="31"/>
  <c r="J426" i="31" s="1"/>
  <c r="K426" i="31" s="1"/>
  <c r="F430" i="32"/>
  <c r="E449" i="31"/>
  <c r="J449" i="31" s="1"/>
  <c r="K449" i="31" s="1"/>
  <c r="F320" i="32"/>
  <c r="E323" i="31"/>
  <c r="J323" i="31" s="1"/>
  <c r="K323" i="31" s="1"/>
  <c r="F381" i="32"/>
  <c r="E399" i="31"/>
  <c r="J399" i="31" s="1"/>
  <c r="K399" i="31" s="1"/>
  <c r="F232" i="32"/>
  <c r="E235" i="31"/>
  <c r="J235" i="31" s="1"/>
  <c r="K235" i="31" s="1"/>
  <c r="F405" i="32"/>
  <c r="E423" i="31"/>
  <c r="J423" i="31" s="1"/>
  <c r="K423" i="31" s="1"/>
  <c r="F340" i="32"/>
  <c r="E343" i="31"/>
  <c r="J343" i="31" s="1"/>
  <c r="K343" i="31" s="1"/>
  <c r="F444" i="32"/>
  <c r="E463" i="31"/>
  <c r="J463" i="31" s="1"/>
  <c r="K463" i="31" s="1"/>
  <c r="F237" i="32"/>
  <c r="E240" i="31"/>
  <c r="J240" i="31" s="1"/>
  <c r="K240" i="31" s="1"/>
  <c r="F315" i="32"/>
  <c r="E318" i="31"/>
  <c r="J318" i="31" s="1"/>
  <c r="K318" i="31" s="1"/>
  <c r="F420" i="32"/>
  <c r="E438" i="31"/>
  <c r="J438" i="31" s="1"/>
  <c r="K438" i="31" s="1"/>
  <c r="F358" i="32"/>
  <c r="E361" i="31"/>
  <c r="J361" i="31" s="1"/>
  <c r="K361" i="31" s="1"/>
  <c r="F440" i="32"/>
  <c r="E459" i="31"/>
  <c r="J459" i="31" s="1"/>
  <c r="K459" i="31" s="1"/>
  <c r="F335" i="32"/>
  <c r="E338" i="31"/>
  <c r="J338" i="31" s="1"/>
  <c r="K338" i="31" s="1"/>
  <c r="F344" i="32"/>
  <c r="E347" i="31"/>
  <c r="J347" i="31" s="1"/>
  <c r="K347" i="31" s="1"/>
  <c r="F368" i="32"/>
  <c r="E386" i="31"/>
  <c r="J386" i="31" s="1"/>
  <c r="K386" i="31" s="1"/>
  <c r="F327" i="32"/>
  <c r="E330" i="31"/>
  <c r="J330" i="31" s="1"/>
  <c r="K330" i="31" s="1"/>
  <c r="F325" i="32"/>
  <c r="E328" i="31"/>
  <c r="J328" i="31" s="1"/>
  <c r="K328" i="31" s="1"/>
  <c r="F388" i="32"/>
  <c r="E406" i="31"/>
  <c r="J406" i="31" s="1"/>
  <c r="K406" i="31" s="1"/>
  <c r="F364" i="32"/>
  <c r="E382" i="31"/>
  <c r="J382" i="31" s="1"/>
  <c r="K382" i="31" s="1"/>
  <c r="F422" i="32"/>
  <c r="E440" i="31"/>
  <c r="J440" i="31" s="1"/>
  <c r="K440" i="31" s="1"/>
  <c r="F429" i="32"/>
  <c r="E448" i="31"/>
  <c r="J448" i="31" s="1"/>
  <c r="K448" i="31" s="1"/>
  <c r="F399" i="32"/>
  <c r="E417" i="31"/>
  <c r="J417" i="31" s="1"/>
  <c r="K417" i="31" s="1"/>
  <c r="F382" i="32"/>
  <c r="E400" i="31"/>
  <c r="J400" i="31" s="1"/>
  <c r="K400" i="31" s="1"/>
  <c r="F379" i="32"/>
  <c r="E397" i="31"/>
  <c r="J397" i="31" s="1"/>
  <c r="K397" i="31" s="1"/>
  <c r="F436" i="31"/>
  <c r="F419" i="32"/>
  <c r="E437" i="31"/>
  <c r="J437" i="31" s="1"/>
  <c r="K437" i="31" s="1"/>
  <c r="F436" i="32"/>
  <c r="E455" i="31"/>
  <c r="J455" i="31" s="1"/>
  <c r="K455" i="31" s="1"/>
  <c r="F394" i="32"/>
  <c r="E412" i="31"/>
  <c r="J412" i="31" s="1"/>
  <c r="K412" i="31" s="1"/>
  <c r="M330" i="32"/>
  <c r="N330" i="32" s="1"/>
  <c r="G330" i="32"/>
  <c r="F434" i="32"/>
  <c r="E453" i="31"/>
  <c r="J453" i="31" s="1"/>
  <c r="K453" i="31" s="1"/>
  <c r="M328" i="32"/>
  <c r="N328" i="32" s="1"/>
  <c r="G328" i="32"/>
  <c r="F345" i="32"/>
  <c r="E348" i="31"/>
  <c r="J348" i="31" s="1"/>
  <c r="K348" i="31" s="1"/>
  <c r="F431" i="32"/>
  <c r="E450" i="31"/>
  <c r="J450" i="31" s="1"/>
  <c r="K450" i="31" s="1"/>
  <c r="F216" i="32"/>
  <c r="E219" i="31"/>
  <c r="J219" i="31" s="1"/>
  <c r="K219" i="31" s="1"/>
  <c r="F217" i="32"/>
  <c r="E220" i="31"/>
  <c r="J220" i="31" s="1"/>
  <c r="K220" i="31" s="1"/>
  <c r="F224" i="32"/>
  <c r="E227" i="31"/>
  <c r="J227" i="31" s="1"/>
  <c r="K227" i="31" s="1"/>
  <c r="F249" i="32"/>
  <c r="E252" i="31"/>
  <c r="J252" i="31" s="1"/>
  <c r="K252" i="31" s="1"/>
  <c r="F324" i="32"/>
  <c r="E327" i="31"/>
  <c r="J327" i="31" s="1"/>
  <c r="K327" i="31" s="1"/>
  <c r="F349" i="32"/>
  <c r="E352" i="31"/>
  <c r="J352" i="31" s="1"/>
  <c r="K352" i="31" s="1"/>
  <c r="F387" i="32"/>
  <c r="E405" i="31"/>
  <c r="J405" i="31" s="1"/>
  <c r="K405" i="31" s="1"/>
  <c r="F397" i="32"/>
  <c r="E415" i="31"/>
  <c r="J415" i="31" s="1"/>
  <c r="K415" i="31" s="1"/>
  <c r="F423" i="32"/>
  <c r="E441" i="31"/>
  <c r="J441" i="31" s="1"/>
  <c r="K441" i="31" s="1"/>
  <c r="F428" i="32"/>
  <c r="E447" i="31"/>
  <c r="J447" i="31" s="1"/>
  <c r="K447" i="31" s="1"/>
  <c r="F227" i="32"/>
  <c r="E230" i="31"/>
  <c r="J230" i="31" s="1"/>
  <c r="K230" i="31" s="1"/>
  <c r="F252" i="32"/>
  <c r="E255" i="31"/>
  <c r="J255" i="31" s="1"/>
  <c r="K255" i="31" s="1"/>
  <c r="F353" i="32"/>
  <c r="E356" i="31"/>
  <c r="J356" i="31" s="1"/>
  <c r="K356" i="31" s="1"/>
  <c r="F384" i="32"/>
  <c r="E402" i="31"/>
  <c r="J402" i="31" s="1"/>
  <c r="K402" i="31" s="1"/>
  <c r="F319" i="32"/>
  <c r="E322" i="31"/>
  <c r="J322" i="31" s="1"/>
  <c r="K322" i="31" s="1"/>
  <c r="F447" i="32"/>
  <c r="E466" i="31"/>
  <c r="J466" i="31" s="1"/>
  <c r="K466" i="31" s="1"/>
  <c r="F231" i="32"/>
  <c r="E234" i="31"/>
  <c r="J234" i="31" s="1"/>
  <c r="K234" i="31" s="1"/>
  <c r="F305" i="32"/>
  <c r="E308" i="31"/>
  <c r="J308" i="31" s="1"/>
  <c r="K308" i="31" s="1"/>
  <c r="F356" i="32"/>
  <c r="E359" i="31"/>
  <c r="J359" i="31" s="1"/>
  <c r="F404" i="32"/>
  <c r="E422" i="31"/>
  <c r="J422" i="31" s="1"/>
  <c r="K422" i="31" s="1"/>
  <c r="F380" i="32"/>
  <c r="E398" i="31"/>
  <c r="J398" i="31" s="1"/>
  <c r="K398" i="31" s="1"/>
  <c r="F339" i="32"/>
  <c r="E342" i="31"/>
  <c r="J342" i="31" s="1"/>
  <c r="K342" i="31" s="1"/>
  <c r="F443" i="32"/>
  <c r="E462" i="31"/>
  <c r="J462" i="31" s="1"/>
  <c r="K462" i="31" s="1"/>
  <c r="F236" i="32"/>
  <c r="E239" i="31"/>
  <c r="J239" i="31" s="1"/>
  <c r="K239" i="31" s="1"/>
  <c r="F314" i="32"/>
  <c r="E317" i="31"/>
  <c r="J317" i="31" s="1"/>
  <c r="K317" i="31" s="1"/>
  <c r="F441" i="32"/>
  <c r="E460" i="31"/>
  <c r="J460" i="31" s="1"/>
  <c r="K460" i="31" s="1"/>
  <c r="F336" i="32"/>
  <c r="E339" i="31"/>
  <c r="J339" i="31" s="1"/>
  <c r="K339" i="31" s="1"/>
  <c r="F312" i="32"/>
  <c r="E315" i="31"/>
  <c r="J315" i="31" s="1"/>
  <c r="K315" i="31" s="1"/>
  <c r="F360" i="32"/>
  <c r="E363" i="31"/>
  <c r="J363" i="31" s="1"/>
  <c r="K363" i="31" s="1"/>
  <c r="F241" i="32"/>
  <c r="E244" i="31"/>
  <c r="J244" i="31" s="1"/>
  <c r="K244" i="31" s="1"/>
  <c r="F435" i="32"/>
  <c r="E454" i="31"/>
  <c r="J454" i="31" s="1"/>
  <c r="K454" i="31" s="1"/>
  <c r="F369" i="32"/>
  <c r="E387" i="31"/>
  <c r="J387" i="31" s="1"/>
  <c r="K387" i="31" s="1"/>
  <c r="F451" i="31"/>
  <c r="F433" i="32"/>
  <c r="E452" i="31"/>
  <c r="J452" i="31" s="1"/>
  <c r="K452" i="31" s="1"/>
  <c r="F367" i="32"/>
  <c r="E385" i="31"/>
  <c r="J385" i="31" s="1"/>
  <c r="K385" i="31" s="1"/>
  <c r="F366" i="32"/>
  <c r="E384" i="31"/>
  <c r="J384" i="31" s="1"/>
  <c r="K384" i="31" s="1"/>
  <c r="F248" i="32"/>
  <c r="E251" i="31"/>
  <c r="J251" i="31" s="1"/>
  <c r="K251" i="31" s="1"/>
  <c r="F226" i="32"/>
  <c r="E229" i="31"/>
  <c r="J229" i="31" s="1"/>
  <c r="K229" i="31" s="1"/>
  <c r="F250" i="32"/>
  <c r="E253" i="31"/>
  <c r="J253" i="31" s="1"/>
  <c r="K253" i="31" s="1"/>
  <c r="F323" i="32"/>
  <c r="E326" i="31"/>
  <c r="J326" i="31" s="1"/>
  <c r="K326" i="31" s="1"/>
  <c r="F348" i="32"/>
  <c r="E351" i="31"/>
  <c r="J351" i="31" s="1"/>
  <c r="K351" i="31" s="1"/>
  <c r="F386" i="32"/>
  <c r="E404" i="31"/>
  <c r="J404" i="31" s="1"/>
  <c r="K404" i="31" s="1"/>
  <c r="F401" i="32"/>
  <c r="E419" i="31"/>
  <c r="J419" i="31" s="1"/>
  <c r="K419" i="31" s="1"/>
  <c r="F444" i="31"/>
  <c r="F426" i="32"/>
  <c r="E445" i="31"/>
  <c r="J445" i="31" s="1"/>
  <c r="K445" i="31" s="1"/>
  <c r="F427" i="32"/>
  <c r="E446" i="31"/>
  <c r="J446" i="31" s="1"/>
  <c r="K446" i="31" s="1"/>
  <c r="F321" i="32"/>
  <c r="E324" i="31"/>
  <c r="J324" i="31" s="1"/>
  <c r="K324" i="31" s="1"/>
  <c r="F449" i="32"/>
  <c r="G449" i="32" s="1"/>
  <c r="E468" i="31"/>
  <c r="F354" i="32"/>
  <c r="E357" i="31"/>
  <c r="J357" i="31" s="1"/>
  <c r="K357" i="31" s="1"/>
  <c r="F383" i="32"/>
  <c r="E401" i="31"/>
  <c r="J401" i="31" s="1"/>
  <c r="K401" i="31" s="1"/>
  <c r="F398" i="32"/>
  <c r="E416" i="31"/>
  <c r="J416" i="31" s="1"/>
  <c r="K416" i="31" s="1"/>
  <c r="F448" i="32"/>
  <c r="G448" i="32" s="1"/>
  <c r="E467" i="31"/>
  <c r="F467" i="31" s="1"/>
  <c r="F254" i="32"/>
  <c r="E257" i="31"/>
  <c r="J257" i="31" s="1"/>
  <c r="K257" i="31" s="1"/>
  <c r="F355" i="32"/>
  <c r="E358" i="31"/>
  <c r="J358" i="31" s="1"/>
  <c r="K358" i="31" s="1"/>
  <c r="F420" i="31"/>
  <c r="F403" i="32"/>
  <c r="E421" i="31"/>
  <c r="J421" i="31" s="1"/>
  <c r="K421" i="31" s="1"/>
  <c r="F318" i="32"/>
  <c r="E321" i="31"/>
  <c r="J321" i="31" s="1"/>
  <c r="K321" i="31" s="1"/>
  <c r="F446" i="32"/>
  <c r="E465" i="31"/>
  <c r="J465" i="31" s="1"/>
  <c r="K465" i="31" s="1"/>
  <c r="F319" i="31"/>
  <c r="F317" i="32"/>
  <c r="E320" i="31"/>
  <c r="J320" i="31" s="1"/>
  <c r="K320" i="31" s="1"/>
  <c r="F424" i="31"/>
  <c r="F407" i="32"/>
  <c r="E425" i="31"/>
  <c r="J425" i="31" s="1"/>
  <c r="K425" i="31" s="1"/>
  <c r="F357" i="32"/>
  <c r="E360" i="31"/>
  <c r="J360" i="31" s="1"/>
  <c r="K360" i="31" s="1"/>
  <c r="F378" i="32"/>
  <c r="E396" i="31"/>
  <c r="J396" i="31" s="1"/>
  <c r="K396" i="31" s="1"/>
  <c r="F421" i="32"/>
  <c r="E439" i="31"/>
  <c r="J439" i="31" s="1"/>
  <c r="K439" i="31" s="1"/>
  <c r="F338" i="32"/>
  <c r="E341" i="31"/>
  <c r="J341" i="31" s="1"/>
  <c r="K341" i="31" s="1"/>
  <c r="F359" i="32"/>
  <c r="E362" i="31"/>
  <c r="J362" i="31" s="1"/>
  <c r="K362" i="31" s="1"/>
  <c r="F377" i="32"/>
  <c r="E395" i="31"/>
  <c r="J395" i="31" s="1"/>
  <c r="K395" i="31" s="1"/>
  <c r="F442" i="32"/>
  <c r="E461" i="31"/>
  <c r="J461" i="31" s="1"/>
  <c r="K461" i="31" s="1"/>
  <c r="F235" i="32"/>
  <c r="E238" i="31"/>
  <c r="J238" i="31" s="1"/>
  <c r="K238" i="31" s="1"/>
  <c r="F337" i="32"/>
  <c r="E340" i="31"/>
  <c r="J340" i="31" s="1"/>
  <c r="K340" i="31" s="1"/>
  <c r="F313" i="32"/>
  <c r="E316" i="31"/>
  <c r="J316" i="31" s="1"/>
  <c r="K316" i="31" s="1"/>
  <c r="F376" i="32"/>
  <c r="E394" i="31"/>
  <c r="J394" i="31" s="1"/>
  <c r="K394" i="31" s="1"/>
  <c r="F234" i="32"/>
  <c r="E237" i="31"/>
  <c r="J237" i="31" s="1"/>
  <c r="K237" i="31" s="1"/>
  <c r="F375" i="32"/>
  <c r="E393" i="31"/>
  <c r="J393" i="31" s="1"/>
  <c r="K393" i="31" s="1"/>
  <c r="F233" i="32"/>
  <c r="E236" i="31"/>
  <c r="J236" i="31" s="1"/>
  <c r="K236" i="31" s="1"/>
  <c r="F308" i="32"/>
  <c r="E311" i="31"/>
  <c r="J311" i="31" s="1"/>
  <c r="K311" i="31" s="1"/>
  <c r="F371" i="32"/>
  <c r="E389" i="31"/>
  <c r="J389" i="31" s="1"/>
  <c r="K389" i="31" s="1"/>
  <c r="F344" i="31"/>
  <c r="F342" i="32"/>
  <c r="M342" i="32" s="1"/>
  <c r="E345" i="31"/>
  <c r="F413" i="32"/>
  <c r="E431" i="31"/>
  <c r="J431" i="31" s="1"/>
  <c r="K431" i="31" s="1"/>
  <c r="F393" i="32"/>
  <c r="E411" i="31"/>
  <c r="J411" i="31" s="1"/>
  <c r="K411" i="31" s="1"/>
  <c r="F412" i="32"/>
  <c r="E430" i="31"/>
  <c r="J430" i="31" s="1"/>
  <c r="K430" i="31" s="1"/>
  <c r="F392" i="32"/>
  <c r="E410" i="31"/>
  <c r="J410" i="31" s="1"/>
  <c r="K410" i="31" s="1"/>
  <c r="F411" i="32"/>
  <c r="E429" i="31"/>
  <c r="J429" i="31" s="1"/>
  <c r="K429" i="31" s="1"/>
  <c r="F410" i="32"/>
  <c r="E428" i="31"/>
  <c r="J428" i="31" s="1"/>
  <c r="K428" i="31" s="1"/>
  <c r="F248" i="31"/>
  <c r="F246" i="32"/>
  <c r="E249" i="31"/>
  <c r="J249" i="31" s="1"/>
  <c r="K249" i="31" s="1"/>
  <c r="F346" i="32"/>
  <c r="E349" i="31"/>
  <c r="J349" i="31" s="1"/>
  <c r="K349" i="31" s="1"/>
  <c r="F407" i="31"/>
  <c r="F390" i="32"/>
  <c r="E408" i="31"/>
  <c r="J408" i="31" s="1"/>
  <c r="K408" i="31" s="1"/>
  <c r="F350" i="32"/>
  <c r="E353" i="31"/>
  <c r="J353" i="31" s="1"/>
  <c r="K353" i="31" s="1"/>
  <c r="F225" i="32"/>
  <c r="E228" i="31"/>
  <c r="J228" i="31" s="1"/>
  <c r="K228" i="31" s="1"/>
  <c r="F251" i="32"/>
  <c r="E254" i="31"/>
  <c r="J254" i="31" s="1"/>
  <c r="K254" i="31" s="1"/>
  <c r="F322" i="32"/>
  <c r="E325" i="31"/>
  <c r="J325" i="31" s="1"/>
  <c r="K325" i="31" s="1"/>
  <c r="F352" i="32"/>
  <c r="E355" i="31"/>
  <c r="J355" i="31" s="1"/>
  <c r="K355" i="31" s="1"/>
  <c r="F385" i="32"/>
  <c r="E403" i="31"/>
  <c r="J403" i="31" s="1"/>
  <c r="K403" i="31" s="1"/>
  <c r="F417" i="31"/>
  <c r="F400" i="32"/>
  <c r="E418" i="31"/>
  <c r="J418" i="31" s="1"/>
  <c r="K418" i="31" s="1"/>
  <c r="F450" i="32"/>
  <c r="M450" i="32" s="1"/>
  <c r="E469" i="31"/>
  <c r="F452" i="32"/>
  <c r="M452" i="32" s="1"/>
  <c r="E471" i="31"/>
  <c r="E331" i="31"/>
  <c r="J331" i="31" s="1"/>
  <c r="K331" i="31" s="1"/>
  <c r="E332" i="31"/>
  <c r="J332" i="31" s="1"/>
  <c r="K332" i="31" s="1"/>
  <c r="E334" i="31"/>
  <c r="J334" i="31" s="1"/>
  <c r="K334" i="31" s="1"/>
  <c r="E335" i="31"/>
  <c r="J335" i="31" s="1"/>
  <c r="K335" i="31" s="1"/>
  <c r="E333" i="31"/>
  <c r="J333" i="31" s="1"/>
  <c r="K333" i="31" s="1"/>
  <c r="F206" i="30"/>
  <c r="F207" i="30"/>
  <c r="F208" i="30"/>
  <c r="F209" i="30"/>
  <c r="F210" i="30"/>
  <c r="F205" i="30"/>
  <c r="F201" i="30"/>
  <c r="F202" i="30"/>
  <c r="F200" i="30"/>
  <c r="F199" i="30"/>
  <c r="F191" i="30"/>
  <c r="F185" i="30"/>
  <c r="F181" i="30"/>
  <c r="F180" i="30"/>
  <c r="F179" i="30"/>
  <c r="F178" i="30"/>
  <c r="F177" i="30"/>
  <c r="F172" i="30"/>
  <c r="F168" i="30"/>
  <c r="F162" i="30"/>
  <c r="F158" i="30"/>
  <c r="F156" i="30"/>
  <c r="F140" i="30"/>
  <c r="F141" i="30"/>
  <c r="F142" i="30"/>
  <c r="F143" i="30"/>
  <c r="F144" i="30"/>
  <c r="F145" i="30"/>
  <c r="F146" i="30"/>
  <c r="F147" i="30"/>
  <c r="F148" i="30"/>
  <c r="F149" i="30"/>
  <c r="F150" i="30"/>
  <c r="F151" i="30"/>
  <c r="F152" i="30"/>
  <c r="F153" i="30"/>
  <c r="F154" i="30"/>
  <c r="F155" i="30"/>
  <c r="F139" i="30"/>
  <c r="F138" i="30"/>
  <c r="F136" i="30"/>
  <c r="F137" i="30"/>
  <c r="F130" i="30"/>
  <c r="F131" i="30"/>
  <c r="F132" i="30"/>
  <c r="F133" i="30"/>
  <c r="F129" i="30"/>
  <c r="F122" i="30"/>
  <c r="F123" i="30"/>
  <c r="F124" i="30"/>
  <c r="F125" i="30"/>
  <c r="F126" i="30"/>
  <c r="F121" i="30"/>
  <c r="F120" i="30"/>
  <c r="F106" i="30"/>
  <c r="F107" i="30"/>
  <c r="F108" i="30"/>
  <c r="F109" i="30"/>
  <c r="F110" i="30"/>
  <c r="F111" i="30"/>
  <c r="F112" i="30"/>
  <c r="F113" i="30"/>
  <c r="F114" i="30"/>
  <c r="F115" i="30"/>
  <c r="F116" i="30"/>
  <c r="F117" i="30"/>
  <c r="F105" i="30"/>
  <c r="F73" i="30"/>
  <c r="F74" i="30"/>
  <c r="F75" i="30"/>
  <c r="F76" i="30"/>
  <c r="F77" i="30"/>
  <c r="F78" i="30"/>
  <c r="F79" i="30"/>
  <c r="F80" i="30"/>
  <c r="F81" i="30"/>
  <c r="F82" i="30"/>
  <c r="F83" i="30"/>
  <c r="F84" i="30"/>
  <c r="F85" i="30"/>
  <c r="F86" i="30"/>
  <c r="F87" i="30"/>
  <c r="F88" i="30"/>
  <c r="F89" i="30"/>
  <c r="F90" i="30"/>
  <c r="F91" i="30"/>
  <c r="F92" i="30"/>
  <c r="F93" i="30"/>
  <c r="F94" i="30"/>
  <c r="F95" i="30"/>
  <c r="F96" i="30"/>
  <c r="F97" i="30"/>
  <c r="F98" i="30"/>
  <c r="F99" i="30"/>
  <c r="F100" i="30"/>
  <c r="F101" i="30"/>
  <c r="F102" i="30"/>
  <c r="F103" i="30"/>
  <c r="F72" i="30"/>
  <c r="F35" i="30"/>
  <c r="F36" i="30"/>
  <c r="F37" i="30"/>
  <c r="F38" i="30"/>
  <c r="F39" i="30"/>
  <c r="F40" i="30"/>
  <c r="F43" i="30"/>
  <c r="F44" i="30"/>
  <c r="F45" i="30"/>
  <c r="E50" i="31"/>
  <c r="J50" i="31" s="1"/>
  <c r="K50" i="31" s="1"/>
  <c r="F47" i="30"/>
  <c r="F48" i="30"/>
  <c r="F49" i="30"/>
  <c r="F50" i="30"/>
  <c r="F51" i="30"/>
  <c r="F52" i="30"/>
  <c r="F53" i="30"/>
  <c r="F54" i="30"/>
  <c r="F55" i="30"/>
  <c r="F56" i="30"/>
  <c r="F57" i="30"/>
  <c r="F58" i="30"/>
  <c r="F59" i="30"/>
  <c r="F60" i="30"/>
  <c r="F61" i="30"/>
  <c r="F62" i="30"/>
  <c r="F63" i="30"/>
  <c r="F64" i="30"/>
  <c r="F65" i="30"/>
  <c r="F66" i="30"/>
  <c r="F67" i="30"/>
  <c r="F68" i="30"/>
  <c r="F69" i="30"/>
  <c r="F34" i="30"/>
  <c r="I430" i="25"/>
  <c r="G252" i="30" s="1"/>
  <c r="I431" i="25"/>
  <c r="G253" i="30" s="1"/>
  <c r="I432" i="25"/>
  <c r="G254" i="30" s="1"/>
  <c r="I433" i="25"/>
  <c r="G255" i="30" s="1"/>
  <c r="I434" i="25"/>
  <c r="G256" i="30" s="1"/>
  <c r="I435" i="25"/>
  <c r="G257" i="30" s="1"/>
  <c r="I436" i="25"/>
  <c r="G258" i="30" s="1"/>
  <c r="I437" i="25"/>
  <c r="G259" i="30" s="1"/>
  <c r="I438" i="25"/>
  <c r="G260" i="30" s="1"/>
  <c r="I439" i="25"/>
  <c r="G261" i="30" s="1"/>
  <c r="I440" i="25"/>
  <c r="G262" i="30" s="1"/>
  <c r="I441" i="25"/>
  <c r="G263" i="30" s="1"/>
  <c r="I442" i="25"/>
  <c r="G264" i="30" s="1"/>
  <c r="I443" i="25"/>
  <c r="G265" i="30" s="1"/>
  <c r="I444" i="25"/>
  <c r="G266" i="30" s="1"/>
  <c r="I445" i="25"/>
  <c r="G267" i="30" s="1"/>
  <c r="I446" i="25"/>
  <c r="G268" i="30" s="1"/>
  <c r="I447" i="25"/>
  <c r="G269" i="30" s="1"/>
  <c r="I448" i="25"/>
  <c r="G270" i="30" s="1"/>
  <c r="I449" i="25"/>
  <c r="G271" i="30" s="1"/>
  <c r="I450" i="25"/>
  <c r="G272" i="30" s="1"/>
  <c r="I451" i="25"/>
  <c r="G273" i="30" s="1"/>
  <c r="I452" i="25"/>
  <c r="G274" i="30" s="1"/>
  <c r="I453" i="25"/>
  <c r="G275" i="30" s="1"/>
  <c r="I454" i="25"/>
  <c r="G276" i="30" s="1"/>
  <c r="I455" i="25"/>
  <c r="G277" i="30" s="1"/>
  <c r="I456" i="25"/>
  <c r="G278" i="30" s="1"/>
  <c r="I457" i="25"/>
  <c r="G279" i="30" s="1"/>
  <c r="I458" i="25"/>
  <c r="G280" i="30" s="1"/>
  <c r="I459" i="25"/>
  <c r="G281" i="30" s="1"/>
  <c r="I460" i="25"/>
  <c r="G282" i="30" s="1"/>
  <c r="I461" i="25"/>
  <c r="G283" i="30" s="1"/>
  <c r="I462" i="25"/>
  <c r="G284" i="30" s="1"/>
  <c r="I463" i="25"/>
  <c r="G285" i="30" s="1"/>
  <c r="I464" i="25"/>
  <c r="G286" i="30" s="1"/>
  <c r="I465" i="25"/>
  <c r="G287" i="30" s="1"/>
  <c r="I466" i="25"/>
  <c r="G288" i="30" s="1"/>
  <c r="I467" i="25"/>
  <c r="G289" i="30" s="1"/>
  <c r="I468" i="25"/>
  <c r="G290" i="30" s="1"/>
  <c r="I469" i="25"/>
  <c r="G291" i="30" s="1"/>
  <c r="I470" i="25"/>
  <c r="G292" i="30" s="1"/>
  <c r="I471" i="25"/>
  <c r="G293" i="30" s="1"/>
  <c r="I472" i="25"/>
  <c r="G294" i="30" s="1"/>
  <c r="I473" i="25"/>
  <c r="G295" i="30" s="1"/>
  <c r="I474" i="25"/>
  <c r="G296" i="30" s="1"/>
  <c r="I475" i="25"/>
  <c r="G297" i="30" s="1"/>
  <c r="I476" i="25"/>
  <c r="G298" i="30" s="1"/>
  <c r="I477" i="25"/>
  <c r="G299" i="30" s="1"/>
  <c r="I478" i="25"/>
  <c r="G300" i="30" s="1"/>
  <c r="I429" i="25"/>
  <c r="G251" i="30" s="1"/>
  <c r="J430" i="25"/>
  <c r="J431" i="25"/>
  <c r="J432" i="25"/>
  <c r="J433" i="25"/>
  <c r="J434" i="25"/>
  <c r="J435" i="25"/>
  <c r="J436" i="25"/>
  <c r="J437" i="25"/>
  <c r="J438" i="25"/>
  <c r="J439" i="25"/>
  <c r="J440" i="25"/>
  <c r="J441" i="25"/>
  <c r="J442" i="25"/>
  <c r="J443" i="25"/>
  <c r="J444" i="25"/>
  <c r="J445" i="25"/>
  <c r="J446" i="25"/>
  <c r="J447" i="25"/>
  <c r="J448" i="25"/>
  <c r="J449" i="25"/>
  <c r="J450" i="25"/>
  <c r="J451" i="25"/>
  <c r="J452" i="25"/>
  <c r="J453" i="25"/>
  <c r="J454" i="25"/>
  <c r="J455" i="25"/>
  <c r="J456" i="25"/>
  <c r="J457" i="25"/>
  <c r="J458" i="25"/>
  <c r="J459" i="25"/>
  <c r="J460" i="25"/>
  <c r="J461" i="25"/>
  <c r="J462" i="25"/>
  <c r="J463" i="25"/>
  <c r="J464" i="25"/>
  <c r="J465" i="25"/>
  <c r="J466" i="25"/>
  <c r="J467" i="25"/>
  <c r="J468" i="25"/>
  <c r="J469" i="25"/>
  <c r="J470" i="25"/>
  <c r="J471" i="25"/>
  <c r="J472" i="25"/>
  <c r="J473" i="25"/>
  <c r="J474" i="25"/>
  <c r="J475" i="25"/>
  <c r="J476" i="25"/>
  <c r="J477" i="25"/>
  <c r="J478" i="25"/>
  <c r="J429" i="25"/>
  <c r="D309" i="31"/>
  <c r="I309" i="31" s="1"/>
  <c r="K309" i="31" s="1"/>
  <c r="S232" i="31"/>
  <c r="R232" i="31"/>
  <c r="S192" i="31"/>
  <c r="D191" i="31"/>
  <c r="I191" i="31" s="1"/>
  <c r="D190" i="31"/>
  <c r="I190" i="31" s="1"/>
  <c r="J199" i="30"/>
  <c r="K199" i="30" s="1"/>
  <c r="H364" i="25"/>
  <c r="H210" i="25"/>
  <c r="H333" i="25"/>
  <c r="I333" i="25" s="1"/>
  <c r="I118" i="30"/>
  <c r="H164" i="25"/>
  <c r="I164" i="25" s="1"/>
  <c r="J178" i="25"/>
  <c r="G118" i="30"/>
  <c r="H118" i="30" s="1"/>
  <c r="H221" i="25"/>
  <c r="H197" i="25"/>
  <c r="M124" i="18" s="1"/>
  <c r="N125" i="18" s="1"/>
  <c r="T163" i="30"/>
  <c r="K35" i="31" l="1"/>
  <c r="L35" i="31"/>
  <c r="K36" i="31"/>
  <c r="L36" i="31"/>
  <c r="K34" i="31"/>
  <c r="L34" i="31"/>
  <c r="F345" i="31"/>
  <c r="J345" i="31"/>
  <c r="K345" i="31" s="1"/>
  <c r="J354" i="31"/>
  <c r="K354" i="31"/>
  <c r="J444" i="31"/>
  <c r="I232" i="31"/>
  <c r="J420" i="31"/>
  <c r="I166" i="31"/>
  <c r="F471" i="31"/>
  <c r="J471" i="31"/>
  <c r="J464" i="31"/>
  <c r="F469" i="31"/>
  <c r="J469" i="31"/>
  <c r="J310" i="31"/>
  <c r="F468" i="31"/>
  <c r="J468" i="31"/>
  <c r="F346" i="31"/>
  <c r="J346" i="31"/>
  <c r="K346" i="31" s="1"/>
  <c r="J380" i="31"/>
  <c r="F312" i="31"/>
  <c r="F314" i="31"/>
  <c r="F466" i="31"/>
  <c r="F334" i="31"/>
  <c r="F243" i="31"/>
  <c r="F332" i="31"/>
  <c r="F446" i="31"/>
  <c r="F395" i="31"/>
  <c r="F427" i="31"/>
  <c r="F401" i="31"/>
  <c r="F355" i="31"/>
  <c r="F219" i="31"/>
  <c r="F405" i="31"/>
  <c r="F415" i="31"/>
  <c r="F359" i="31"/>
  <c r="F411" i="31"/>
  <c r="F339" i="31"/>
  <c r="F254" i="31"/>
  <c r="F251" i="31"/>
  <c r="F460" i="31"/>
  <c r="F326" i="31"/>
  <c r="F229" i="31"/>
  <c r="F315" i="31"/>
  <c r="F322" i="31"/>
  <c r="F397" i="31"/>
  <c r="F400" i="31"/>
  <c r="F399" i="31"/>
  <c r="F311" i="31"/>
  <c r="F329" i="31"/>
  <c r="F430" i="31"/>
  <c r="F363" i="31"/>
  <c r="F336" i="31"/>
  <c r="F228" i="31"/>
  <c r="F439" i="31"/>
  <c r="F437" i="31"/>
  <c r="F418" i="31"/>
  <c r="F428" i="31"/>
  <c r="F396" i="31"/>
  <c r="F323" i="31"/>
  <c r="F410" i="31"/>
  <c r="F448" i="31"/>
  <c r="F348" i="31"/>
  <c r="F338" i="31"/>
  <c r="F394" i="31"/>
  <c r="F250" i="31"/>
  <c r="F317" i="31"/>
  <c r="F403" i="31"/>
  <c r="F386" i="31"/>
  <c r="F341" i="31"/>
  <c r="F385" i="31"/>
  <c r="F325" i="31"/>
  <c r="F445" i="31"/>
  <c r="F351" i="31"/>
  <c r="E115" i="31"/>
  <c r="F115" i="32"/>
  <c r="M236" i="32"/>
  <c r="N236" i="32" s="1"/>
  <c r="G236" i="32"/>
  <c r="M358" i="32"/>
  <c r="N358" i="32" s="1"/>
  <c r="G358" i="32"/>
  <c r="M451" i="32"/>
  <c r="N452" i="32"/>
  <c r="N451" i="32" s="1"/>
  <c r="E157" i="31"/>
  <c r="F154" i="32"/>
  <c r="E67" i="31"/>
  <c r="J67" i="31" s="1"/>
  <c r="K67" i="31" s="1"/>
  <c r="F67" i="32"/>
  <c r="E111" i="31"/>
  <c r="F111" i="32"/>
  <c r="F412" i="31"/>
  <c r="M364" i="32"/>
  <c r="N364" i="32" s="1"/>
  <c r="G364" i="32"/>
  <c r="M372" i="32"/>
  <c r="N372" i="32" s="1"/>
  <c r="G372" i="32"/>
  <c r="E88" i="31"/>
  <c r="J88" i="31" s="1"/>
  <c r="K88" i="31" s="1"/>
  <c r="F88" i="32"/>
  <c r="N342" i="32"/>
  <c r="M407" i="32"/>
  <c r="N407" i="32" s="1"/>
  <c r="G407" i="32"/>
  <c r="M383" i="32"/>
  <c r="N383" i="32" s="1"/>
  <c r="G383" i="32"/>
  <c r="F454" i="31"/>
  <c r="M239" i="32"/>
  <c r="N239" i="32" s="1"/>
  <c r="G239" i="32"/>
  <c r="E40" i="31"/>
  <c r="F40" i="32"/>
  <c r="M235" i="32"/>
  <c r="N235" i="32" s="1"/>
  <c r="G235" i="32"/>
  <c r="F398" i="31"/>
  <c r="E133" i="31"/>
  <c r="F130" i="32"/>
  <c r="E208" i="31"/>
  <c r="J208" i="31" s="1"/>
  <c r="K208" i="31" s="1"/>
  <c r="F205" i="32"/>
  <c r="F461" i="31"/>
  <c r="M323" i="32"/>
  <c r="N323" i="32" s="1"/>
  <c r="G323" i="32"/>
  <c r="F244" i="31"/>
  <c r="M309" i="32"/>
  <c r="N309" i="32" s="1"/>
  <c r="G309" i="32"/>
  <c r="E84" i="31"/>
  <c r="F84" i="32"/>
  <c r="M246" i="32"/>
  <c r="N246" i="32" s="1"/>
  <c r="G246" i="32"/>
  <c r="M442" i="32"/>
  <c r="N442" i="32" s="1"/>
  <c r="G442" i="32"/>
  <c r="M317" i="32"/>
  <c r="N317" i="32" s="1"/>
  <c r="G317" i="32"/>
  <c r="G325" i="32"/>
  <c r="M325" i="32"/>
  <c r="N325" i="32" s="1"/>
  <c r="M237" i="32"/>
  <c r="N237" i="32" s="1"/>
  <c r="G237" i="32"/>
  <c r="M365" i="32"/>
  <c r="N365" i="32" s="1"/>
  <c r="G365" i="32"/>
  <c r="M370" i="32"/>
  <c r="N370" i="32" s="1"/>
  <c r="G370" i="32"/>
  <c r="F435" i="31"/>
  <c r="E61" i="31"/>
  <c r="F61" i="32"/>
  <c r="E107" i="31"/>
  <c r="F107" i="32"/>
  <c r="E83" i="31"/>
  <c r="J83" i="31" s="1"/>
  <c r="K83" i="31" s="1"/>
  <c r="F83" i="32"/>
  <c r="E131" i="31"/>
  <c r="J131" i="31" s="1"/>
  <c r="K131" i="31" s="1"/>
  <c r="F128" i="32"/>
  <c r="E150" i="31"/>
  <c r="F147" i="32"/>
  <c r="F214" i="32"/>
  <c r="E217" i="31"/>
  <c r="J217" i="31" s="1"/>
  <c r="K217" i="31" s="1"/>
  <c r="G385" i="32"/>
  <c r="M385" i="32"/>
  <c r="N385" i="32" s="1"/>
  <c r="F388" i="31"/>
  <c r="M227" i="32"/>
  <c r="N227" i="32" s="1"/>
  <c r="G227" i="32"/>
  <c r="M224" i="32"/>
  <c r="N224" i="32" s="1"/>
  <c r="G224" i="32"/>
  <c r="G419" i="32"/>
  <c r="M419" i="32"/>
  <c r="N419" i="32" s="1"/>
  <c r="F327" i="31"/>
  <c r="F463" i="31"/>
  <c r="F387" i="31"/>
  <c r="M333" i="32"/>
  <c r="N333" i="32" s="1"/>
  <c r="G333" i="32"/>
  <c r="M417" i="32"/>
  <c r="N417" i="32" s="1"/>
  <c r="G417" i="32"/>
  <c r="E60" i="31"/>
  <c r="F60" i="32"/>
  <c r="E106" i="31"/>
  <c r="F106" i="32"/>
  <c r="E82" i="31"/>
  <c r="J82" i="31" s="1"/>
  <c r="K82" i="31" s="1"/>
  <c r="F82" i="32"/>
  <c r="E130" i="31"/>
  <c r="F127" i="32"/>
  <c r="E149" i="31"/>
  <c r="F146" i="32"/>
  <c r="F213" i="32"/>
  <c r="E216" i="31"/>
  <c r="J216" i="31" s="1"/>
  <c r="K216" i="31" s="1"/>
  <c r="F402" i="31"/>
  <c r="M250" i="32"/>
  <c r="N250" i="32" s="1"/>
  <c r="G250" i="32"/>
  <c r="M404" i="32"/>
  <c r="N404" i="32" s="1"/>
  <c r="G404" i="32"/>
  <c r="M444" i="32"/>
  <c r="N444" i="32" s="1"/>
  <c r="G444" i="32"/>
  <c r="M389" i="32"/>
  <c r="N389" i="32" s="1"/>
  <c r="G389" i="32"/>
  <c r="E59" i="31"/>
  <c r="J59" i="31" s="1"/>
  <c r="K59" i="31" s="1"/>
  <c r="F59" i="32"/>
  <c r="E105" i="31"/>
  <c r="F105" i="32"/>
  <c r="E81" i="31"/>
  <c r="F81" i="32"/>
  <c r="E129" i="31"/>
  <c r="F126" i="32"/>
  <c r="E148" i="31"/>
  <c r="F145" i="32"/>
  <c r="M410" i="32"/>
  <c r="N410" i="32" s="1"/>
  <c r="G410" i="32"/>
  <c r="M308" i="32"/>
  <c r="N308" i="32" s="1"/>
  <c r="G308" i="32"/>
  <c r="M377" i="32"/>
  <c r="N377" i="32" s="1"/>
  <c r="G377" i="32"/>
  <c r="G446" i="32"/>
  <c r="M446" i="32"/>
  <c r="G360" i="32"/>
  <c r="M360" i="32"/>
  <c r="N360" i="32" s="1"/>
  <c r="M217" i="32"/>
  <c r="N217" i="32" s="1"/>
  <c r="G217" i="32"/>
  <c r="M327" i="32"/>
  <c r="N327" i="32" s="1"/>
  <c r="G327" i="32"/>
  <c r="F343" i="31"/>
  <c r="F406" i="31"/>
  <c r="G374" i="32"/>
  <c r="M374" i="32"/>
  <c r="N374" i="32" s="1"/>
  <c r="E47" i="31"/>
  <c r="F47" i="32"/>
  <c r="M350" i="32"/>
  <c r="N350" i="32" s="1"/>
  <c r="G350" i="32"/>
  <c r="M320" i="32"/>
  <c r="N320" i="32" s="1"/>
  <c r="G320" i="32"/>
  <c r="F352" i="31"/>
  <c r="M313" i="32"/>
  <c r="N313" i="32" s="1"/>
  <c r="G313" i="32"/>
  <c r="M433" i="32"/>
  <c r="N433" i="32" s="1"/>
  <c r="G433" i="32"/>
  <c r="M349" i="32"/>
  <c r="N349" i="32" s="1"/>
  <c r="G349" i="32"/>
  <c r="M422" i="32"/>
  <c r="N422" i="32" s="1"/>
  <c r="G422" i="32"/>
  <c r="F433" i="31"/>
  <c r="E45" i="31"/>
  <c r="J45" i="31" s="1"/>
  <c r="K45" i="31" s="1"/>
  <c r="F45" i="32"/>
  <c r="E158" i="31"/>
  <c r="F155" i="32"/>
  <c r="M391" i="32"/>
  <c r="N391" i="32" s="1"/>
  <c r="G391" i="32"/>
  <c r="E44" i="31"/>
  <c r="F44" i="32"/>
  <c r="M413" i="32"/>
  <c r="N413" i="32" s="1"/>
  <c r="G413" i="32"/>
  <c r="M443" i="32"/>
  <c r="N443" i="32" s="1"/>
  <c r="G443" i="32"/>
  <c r="M337" i="32"/>
  <c r="N337" i="32" s="1"/>
  <c r="G337" i="32"/>
  <c r="G324" i="32"/>
  <c r="M324" i="32"/>
  <c r="N324" i="32" s="1"/>
  <c r="M334" i="32"/>
  <c r="N334" i="32" s="1"/>
  <c r="G334" i="32"/>
  <c r="E42" i="31"/>
  <c r="F42" i="32"/>
  <c r="E206" i="31"/>
  <c r="F203" i="32"/>
  <c r="M408" i="32"/>
  <c r="N408" i="32" s="1"/>
  <c r="G408" i="32"/>
  <c r="E128" i="31"/>
  <c r="J128" i="31" s="1"/>
  <c r="K128" i="31" s="1"/>
  <c r="F125" i="32"/>
  <c r="M400" i="32"/>
  <c r="N400" i="32" s="1"/>
  <c r="G400" i="32"/>
  <c r="M436" i="32"/>
  <c r="N436" i="32" s="1"/>
  <c r="G436" i="32"/>
  <c r="G371" i="32"/>
  <c r="M371" i="32"/>
  <c r="N371" i="32" s="1"/>
  <c r="E58" i="31"/>
  <c r="F58" i="32"/>
  <c r="E104" i="31"/>
  <c r="F104" i="32"/>
  <c r="E80" i="31"/>
  <c r="F80" i="32"/>
  <c r="G352" i="32"/>
  <c r="M352" i="32"/>
  <c r="M356" i="32"/>
  <c r="N356" i="32" s="1"/>
  <c r="G356" i="32"/>
  <c r="M379" i="32"/>
  <c r="N379" i="32" s="1"/>
  <c r="G379" i="32"/>
  <c r="F364" i="31"/>
  <c r="E103" i="31"/>
  <c r="F103" i="32"/>
  <c r="F236" i="31"/>
  <c r="E56" i="31"/>
  <c r="F56" i="32"/>
  <c r="E78" i="31"/>
  <c r="F78" i="32"/>
  <c r="E138" i="31"/>
  <c r="F135" i="32"/>
  <c r="F450" i="31"/>
  <c r="M405" i="32"/>
  <c r="N405" i="32" s="1"/>
  <c r="G405" i="32"/>
  <c r="G316" i="32"/>
  <c r="M316" i="32"/>
  <c r="M336" i="32"/>
  <c r="N336" i="32" s="1"/>
  <c r="G336" i="32"/>
  <c r="F318" i="31"/>
  <c r="E179" i="31"/>
  <c r="J179" i="31" s="1"/>
  <c r="K179" i="31" s="1"/>
  <c r="F176" i="32"/>
  <c r="M338" i="32"/>
  <c r="N338" i="32" s="1"/>
  <c r="G338" i="32"/>
  <c r="F235" i="31"/>
  <c r="E98" i="31"/>
  <c r="F98" i="32"/>
  <c r="F177" i="32"/>
  <c r="F253" i="31"/>
  <c r="F409" i="31"/>
  <c r="F237" i="31"/>
  <c r="F340" i="31"/>
  <c r="F358" i="31"/>
  <c r="G366" i="32"/>
  <c r="M366" i="32"/>
  <c r="N366" i="32" s="1"/>
  <c r="G447" i="32"/>
  <c r="M447" i="32"/>
  <c r="N447" i="32" s="1"/>
  <c r="M397" i="32"/>
  <c r="N397" i="32" s="1"/>
  <c r="G397" i="32"/>
  <c r="M399" i="32"/>
  <c r="N399" i="32" s="1"/>
  <c r="G399" i="32"/>
  <c r="G232" i="32"/>
  <c r="M232" i="32"/>
  <c r="N232" i="32" s="1"/>
  <c r="M238" i="32"/>
  <c r="N238" i="32" s="1"/>
  <c r="G238" i="32"/>
  <c r="F391" i="31"/>
  <c r="E160" i="31"/>
  <c r="J160" i="31" s="1"/>
  <c r="K160" i="31" s="1"/>
  <c r="F157" i="32"/>
  <c r="F452" i="31"/>
  <c r="E70" i="31"/>
  <c r="J70" i="31" s="1"/>
  <c r="K70" i="31" s="1"/>
  <c r="F70" i="32"/>
  <c r="E114" i="31"/>
  <c r="J114" i="31" s="1"/>
  <c r="K114" i="31" s="1"/>
  <c r="F114" i="32"/>
  <c r="E188" i="31"/>
  <c r="F185" i="32"/>
  <c r="E112" i="31"/>
  <c r="J112" i="31" s="1"/>
  <c r="K112" i="31" s="1"/>
  <c r="F112" i="32"/>
  <c r="M420" i="32"/>
  <c r="N420" i="32" s="1"/>
  <c r="G420" i="32"/>
  <c r="E43" i="31"/>
  <c r="F43" i="32"/>
  <c r="M449" i="32"/>
  <c r="N450" i="32"/>
  <c r="N449" i="32" s="1"/>
  <c r="G348" i="32"/>
  <c r="M348" i="32"/>
  <c r="N348" i="32" s="1"/>
  <c r="M339" i="32"/>
  <c r="N339" i="32" s="1"/>
  <c r="G339" i="32"/>
  <c r="M394" i="32"/>
  <c r="N394" i="32" s="1"/>
  <c r="G394" i="32"/>
  <c r="E65" i="31"/>
  <c r="F65" i="32"/>
  <c r="E87" i="31"/>
  <c r="J87" i="31" s="1"/>
  <c r="K87" i="31" s="1"/>
  <c r="F87" i="32"/>
  <c r="G346" i="32"/>
  <c r="M346" i="32"/>
  <c r="N346" i="32" s="1"/>
  <c r="M388" i="32"/>
  <c r="N388" i="32" s="1"/>
  <c r="G388" i="32"/>
  <c r="E209" i="31"/>
  <c r="F206" i="32"/>
  <c r="F455" i="31"/>
  <c r="F458" i="31"/>
  <c r="E63" i="31"/>
  <c r="F63" i="32"/>
  <c r="E152" i="31"/>
  <c r="F149" i="32"/>
  <c r="F389" i="31"/>
  <c r="M380" i="32"/>
  <c r="N380" i="32" s="1"/>
  <c r="G380" i="32"/>
  <c r="E214" i="31"/>
  <c r="F211" i="32"/>
  <c r="G428" i="32"/>
  <c r="M428" i="32"/>
  <c r="N428" i="32" s="1"/>
  <c r="M318" i="32"/>
  <c r="N318" i="32" s="1"/>
  <c r="G318" i="32"/>
  <c r="F308" i="31"/>
  <c r="F342" i="31"/>
  <c r="M216" i="32"/>
  <c r="N216" i="32" s="1"/>
  <c r="G216" i="32"/>
  <c r="M368" i="32"/>
  <c r="N368" i="32" s="1"/>
  <c r="G368" i="32"/>
  <c r="F423" i="31"/>
  <c r="F457" i="31"/>
  <c r="E55" i="31"/>
  <c r="F55" i="32"/>
  <c r="F361" i="31"/>
  <c r="G248" i="32"/>
  <c r="M248" i="32"/>
  <c r="N248" i="32" s="1"/>
  <c r="M423" i="32"/>
  <c r="N423" i="32" s="1"/>
  <c r="G423" i="32"/>
  <c r="E109" i="31"/>
  <c r="F109" i="32"/>
  <c r="E175" i="31"/>
  <c r="F172" i="32"/>
  <c r="M431" i="32"/>
  <c r="N431" i="32" s="1"/>
  <c r="G431" i="32"/>
  <c r="M311" i="32"/>
  <c r="N311" i="32" s="1"/>
  <c r="G311" i="32"/>
  <c r="E53" i="31"/>
  <c r="J53" i="31" s="1"/>
  <c r="K53" i="31" s="1"/>
  <c r="F53" i="32"/>
  <c r="E99" i="31"/>
  <c r="F99" i="32"/>
  <c r="E121" i="31"/>
  <c r="J121" i="31" s="1"/>
  <c r="K121" i="31" s="1"/>
  <c r="F121" i="32"/>
  <c r="M344" i="32"/>
  <c r="N344" i="32" s="1"/>
  <c r="G344" i="32"/>
  <c r="F328" i="31"/>
  <c r="E52" i="31"/>
  <c r="F52" i="32"/>
  <c r="M234" i="32"/>
  <c r="N234" i="32" s="1"/>
  <c r="G234" i="32"/>
  <c r="M355" i="32"/>
  <c r="N355" i="32" s="1"/>
  <c r="G355" i="32"/>
  <c r="M426" i="32"/>
  <c r="G426" i="32"/>
  <c r="F383" i="31"/>
  <c r="M441" i="32"/>
  <c r="N441" i="32" s="1"/>
  <c r="G441" i="32"/>
  <c r="F465" i="31"/>
  <c r="F414" i="31"/>
  <c r="M345" i="32"/>
  <c r="N345" i="32" s="1"/>
  <c r="G345" i="32"/>
  <c r="F416" i="31"/>
  <c r="M335" i="32"/>
  <c r="N335" i="32" s="1"/>
  <c r="G335" i="32"/>
  <c r="F234" i="31"/>
  <c r="M247" i="32"/>
  <c r="N247" i="32" s="1"/>
  <c r="G247" i="32"/>
  <c r="F240" i="31"/>
  <c r="M373" i="32"/>
  <c r="N373" i="32" s="1"/>
  <c r="G373" i="32"/>
  <c r="M418" i="32"/>
  <c r="N418" i="32" s="1"/>
  <c r="G418" i="32"/>
  <c r="M393" i="32"/>
  <c r="N393" i="32" s="1"/>
  <c r="G393" i="32"/>
  <c r="F453" i="31"/>
  <c r="M437" i="32"/>
  <c r="N437" i="32" s="1"/>
  <c r="G437" i="32"/>
  <c r="E92" i="31"/>
  <c r="F92" i="32"/>
  <c r="E159" i="31"/>
  <c r="F156" i="32"/>
  <c r="M434" i="32"/>
  <c r="N434" i="32" s="1"/>
  <c r="G434" i="32"/>
  <c r="M310" i="32"/>
  <c r="N310" i="32" s="1"/>
  <c r="G310" i="32"/>
  <c r="E69" i="31"/>
  <c r="F69" i="32"/>
  <c r="E91" i="31"/>
  <c r="F91" i="32"/>
  <c r="E192" i="31"/>
  <c r="J192" i="31" s="1"/>
  <c r="K192" i="31" s="1"/>
  <c r="F189" i="32"/>
  <c r="F431" i="31"/>
  <c r="M386" i="32"/>
  <c r="N386" i="32" s="1"/>
  <c r="G386" i="32"/>
  <c r="F462" i="31"/>
  <c r="E68" i="31"/>
  <c r="J68" i="31" s="1"/>
  <c r="K68" i="31" s="1"/>
  <c r="F68" i="32"/>
  <c r="E90" i="31"/>
  <c r="J90" i="31" s="1"/>
  <c r="K90" i="31" s="1"/>
  <c r="F90" i="32"/>
  <c r="E198" i="31"/>
  <c r="F195" i="32"/>
  <c r="G390" i="32"/>
  <c r="M390" i="32"/>
  <c r="N390" i="32" s="1"/>
  <c r="G398" i="32"/>
  <c r="M398" i="32"/>
  <c r="N398" i="32" s="1"/>
  <c r="F382" i="31"/>
  <c r="F390" i="31"/>
  <c r="E89" i="31"/>
  <c r="F89" i="32"/>
  <c r="G369" i="32"/>
  <c r="M369" i="32"/>
  <c r="N369" i="32" s="1"/>
  <c r="E66" i="31"/>
  <c r="J66" i="31" s="1"/>
  <c r="K66" i="31" s="1"/>
  <c r="F66" i="32"/>
  <c r="E155" i="31"/>
  <c r="F152" i="32"/>
  <c r="E154" i="31"/>
  <c r="F151" i="32"/>
  <c r="M315" i="32"/>
  <c r="N315" i="32" s="1"/>
  <c r="G315" i="32"/>
  <c r="E64" i="31"/>
  <c r="F64" i="32"/>
  <c r="E39" i="31"/>
  <c r="J39" i="31" s="1"/>
  <c r="K39" i="31" s="1"/>
  <c r="F39" i="32"/>
  <c r="F357" i="31"/>
  <c r="M439" i="32"/>
  <c r="N439" i="32" s="1"/>
  <c r="G439" i="32"/>
  <c r="E62" i="31"/>
  <c r="J62" i="31" s="1"/>
  <c r="K62" i="31" s="1"/>
  <c r="F62" i="32"/>
  <c r="E76" i="31"/>
  <c r="J76" i="31" s="1"/>
  <c r="K76" i="31" s="1"/>
  <c r="F76" i="32"/>
  <c r="E132" i="31"/>
  <c r="F129" i="32"/>
  <c r="E151" i="31"/>
  <c r="F148" i="32"/>
  <c r="E212" i="31"/>
  <c r="F209" i="32"/>
  <c r="M354" i="32"/>
  <c r="N354" i="32" s="1"/>
  <c r="G354" i="32"/>
  <c r="E136" i="31"/>
  <c r="F133" i="32"/>
  <c r="G240" i="32"/>
  <c r="M240" i="32"/>
  <c r="N240" i="32" s="1"/>
  <c r="E57" i="31"/>
  <c r="F57" i="32"/>
  <c r="E79" i="31"/>
  <c r="F79" i="32"/>
  <c r="E140" i="31"/>
  <c r="J140" i="31" s="1"/>
  <c r="K140" i="31" s="1"/>
  <c r="F137" i="32"/>
  <c r="E163" i="31"/>
  <c r="F160" i="32"/>
  <c r="M321" i="32"/>
  <c r="N321" i="32" s="1"/>
  <c r="G321" i="32"/>
  <c r="M312" i="32"/>
  <c r="N312" i="32" s="1"/>
  <c r="G312" i="32"/>
  <c r="G361" i="32"/>
  <c r="M361" i="32"/>
  <c r="N361" i="32" s="1"/>
  <c r="E102" i="31"/>
  <c r="J102" i="31" s="1"/>
  <c r="K102" i="31" s="1"/>
  <c r="F102" i="32"/>
  <c r="E139" i="31"/>
  <c r="F136" i="32"/>
  <c r="E165" i="31"/>
  <c r="J165" i="31" s="1"/>
  <c r="K165" i="31" s="1"/>
  <c r="F162" i="32"/>
  <c r="G411" i="32"/>
  <c r="M411" i="32"/>
  <c r="N411" i="32" s="1"/>
  <c r="E101" i="31"/>
  <c r="F101" i="32"/>
  <c r="E169" i="31"/>
  <c r="J169" i="31" s="1"/>
  <c r="K169" i="31" s="1"/>
  <c r="F166" i="32"/>
  <c r="M326" i="32"/>
  <c r="N326" i="32" s="1"/>
  <c r="G326" i="32"/>
  <c r="E144" i="31"/>
  <c r="F141" i="32"/>
  <c r="F392" i="31"/>
  <c r="F449" i="31"/>
  <c r="F313" i="31"/>
  <c r="E38" i="31"/>
  <c r="J38" i="31" s="1"/>
  <c r="K38" i="31" s="1"/>
  <c r="F38" i="32"/>
  <c r="E118" i="31"/>
  <c r="J118" i="31" s="1"/>
  <c r="K118" i="31" s="1"/>
  <c r="F118" i="32"/>
  <c r="E184" i="31"/>
  <c r="J184" i="31" s="1"/>
  <c r="K184" i="31" s="1"/>
  <c r="F181" i="32"/>
  <c r="G225" i="32"/>
  <c r="M225" i="32"/>
  <c r="N225" i="32" s="1"/>
  <c r="M412" i="32"/>
  <c r="N412" i="32" s="1"/>
  <c r="G412" i="32"/>
  <c r="M421" i="32"/>
  <c r="N421" i="32" s="1"/>
  <c r="G421" i="32"/>
  <c r="F347" i="31"/>
  <c r="F337" i="31"/>
  <c r="F249" i="31"/>
  <c r="F381" i="31"/>
  <c r="F256" i="31"/>
  <c r="E71" i="31"/>
  <c r="J71" i="31" s="1"/>
  <c r="K71" i="31" s="1"/>
  <c r="F71" i="32"/>
  <c r="E187" i="31"/>
  <c r="F184" i="32"/>
  <c r="M378" i="32"/>
  <c r="N378" i="32" s="1"/>
  <c r="G378" i="32"/>
  <c r="M384" i="32"/>
  <c r="N384" i="32" s="1"/>
  <c r="G384" i="32"/>
  <c r="E113" i="31"/>
  <c r="F113" i="32"/>
  <c r="G357" i="32"/>
  <c r="M357" i="32"/>
  <c r="N357" i="32" s="1"/>
  <c r="F356" i="31"/>
  <c r="M430" i="32"/>
  <c r="N430" i="32" s="1"/>
  <c r="G430" i="32"/>
  <c r="M353" i="32"/>
  <c r="N353" i="32" s="1"/>
  <c r="G353" i="32"/>
  <c r="E110" i="31"/>
  <c r="F110" i="32"/>
  <c r="E41" i="31"/>
  <c r="F41" i="32"/>
  <c r="E207" i="31"/>
  <c r="F204" i="32"/>
  <c r="F238" i="31"/>
  <c r="E153" i="31"/>
  <c r="F150" i="32"/>
  <c r="M435" i="32"/>
  <c r="N435" i="32" s="1"/>
  <c r="G435" i="32"/>
  <c r="M252" i="32"/>
  <c r="N252" i="32" s="1"/>
  <c r="G252" i="32"/>
  <c r="M249" i="32"/>
  <c r="N249" i="32" s="1"/>
  <c r="G249" i="32"/>
  <c r="F425" i="31"/>
  <c r="E85" i="31"/>
  <c r="F85" i="32"/>
  <c r="M241" i="32"/>
  <c r="N241" i="32" s="1"/>
  <c r="G241" i="32"/>
  <c r="E147" i="31"/>
  <c r="F144" i="32"/>
  <c r="M226" i="32"/>
  <c r="N226" i="32" s="1"/>
  <c r="G226" i="32"/>
  <c r="M340" i="32"/>
  <c r="N340" i="32" s="1"/>
  <c r="G340" i="32"/>
  <c r="E213" i="31"/>
  <c r="J213" i="31" s="1"/>
  <c r="K213" i="31" s="1"/>
  <c r="F210" i="32"/>
  <c r="F362" i="31"/>
  <c r="F242" i="31"/>
  <c r="M233" i="32"/>
  <c r="N233" i="32" s="1"/>
  <c r="G233" i="32"/>
  <c r="F320" i="31"/>
  <c r="M305" i="32"/>
  <c r="N305" i="32" s="1"/>
  <c r="G305" i="32"/>
  <c r="F349" i="31"/>
  <c r="M382" i="32"/>
  <c r="N382" i="32" s="1"/>
  <c r="G382" i="32"/>
  <c r="E100" i="31"/>
  <c r="F100" i="32"/>
  <c r="M392" i="32"/>
  <c r="N392" i="32" s="1"/>
  <c r="G392" i="32"/>
  <c r="G416" i="32"/>
  <c r="M416" i="32"/>
  <c r="N416" i="32" s="1"/>
  <c r="E120" i="31"/>
  <c r="J120" i="31" s="1"/>
  <c r="K120" i="31" s="1"/>
  <c r="F120" i="32"/>
  <c r="E73" i="31"/>
  <c r="F73" i="32"/>
  <c r="E49" i="31"/>
  <c r="F49" i="32"/>
  <c r="E95" i="31"/>
  <c r="J95" i="31" s="1"/>
  <c r="K95" i="31" s="1"/>
  <c r="F95" i="32"/>
  <c r="E117" i="31"/>
  <c r="J117" i="31" s="1"/>
  <c r="K117" i="31" s="1"/>
  <c r="F117" i="32"/>
  <c r="E185" i="31"/>
  <c r="J185" i="31" s="1"/>
  <c r="K185" i="31" s="1"/>
  <c r="F182" i="32"/>
  <c r="F330" i="31"/>
  <c r="F227" i="31"/>
  <c r="F429" i="31"/>
  <c r="M376" i="32"/>
  <c r="N376" i="32" s="1"/>
  <c r="G376" i="32"/>
  <c r="F438" i="31"/>
  <c r="M254" i="32"/>
  <c r="N254" i="32" s="1"/>
  <c r="G254" i="32"/>
  <c r="F419" i="31"/>
  <c r="M367" i="32"/>
  <c r="N367" i="32" s="1"/>
  <c r="G367" i="32"/>
  <c r="M314" i="32"/>
  <c r="N314" i="32" s="1"/>
  <c r="G314" i="32"/>
  <c r="M319" i="32"/>
  <c r="N319" i="32" s="1"/>
  <c r="G319" i="32"/>
  <c r="M387" i="32"/>
  <c r="N387" i="32" s="1"/>
  <c r="G387" i="32"/>
  <c r="M429" i="32"/>
  <c r="N429" i="32" s="1"/>
  <c r="G429" i="32"/>
  <c r="F459" i="31"/>
  <c r="M381" i="32"/>
  <c r="N381" i="32" s="1"/>
  <c r="G381" i="32"/>
  <c r="M363" i="32"/>
  <c r="G363" i="32"/>
  <c r="M253" i="32"/>
  <c r="N253" i="32" s="1"/>
  <c r="G253" i="32"/>
  <c r="E93" i="31"/>
  <c r="F93" i="32"/>
  <c r="F239" i="31"/>
  <c r="E46" i="31"/>
  <c r="J46" i="31" s="1"/>
  <c r="K46" i="31" s="1"/>
  <c r="F46" i="32"/>
  <c r="F360" i="31"/>
  <c r="M415" i="32"/>
  <c r="N415" i="32" s="1"/>
  <c r="G415" i="32"/>
  <c r="F408" i="31"/>
  <c r="E156" i="31"/>
  <c r="F153" i="32"/>
  <c r="E127" i="31"/>
  <c r="J127" i="31" s="1"/>
  <c r="K127" i="31" s="1"/>
  <c r="F124" i="32"/>
  <c r="F252" i="31"/>
  <c r="G396" i="32"/>
  <c r="M396" i="32"/>
  <c r="N396" i="32" s="1"/>
  <c r="E86" i="31"/>
  <c r="J86" i="31" s="1"/>
  <c r="K86" i="31" s="1"/>
  <c r="F86" i="32"/>
  <c r="M322" i="32"/>
  <c r="N322" i="32" s="1"/>
  <c r="G322" i="32"/>
  <c r="G359" i="32"/>
  <c r="M359" i="32"/>
  <c r="N359" i="32" s="1"/>
  <c r="E77" i="31"/>
  <c r="F77" i="32"/>
  <c r="F324" i="31"/>
  <c r="F421" i="31"/>
  <c r="G438" i="32"/>
  <c r="M438" i="32"/>
  <c r="N438" i="32" s="1"/>
  <c r="E54" i="31"/>
  <c r="F54" i="32"/>
  <c r="E137" i="31"/>
  <c r="F134" i="32"/>
  <c r="M375" i="32"/>
  <c r="N375" i="32" s="1"/>
  <c r="G375" i="32"/>
  <c r="M403" i="32"/>
  <c r="G403" i="32"/>
  <c r="M427" i="32"/>
  <c r="N427" i="32" s="1"/>
  <c r="G427" i="32"/>
  <c r="M231" i="32"/>
  <c r="G231" i="32"/>
  <c r="F440" i="31"/>
  <c r="F422" i="31"/>
  <c r="F434" i="31"/>
  <c r="M251" i="32"/>
  <c r="N251" i="32" s="1"/>
  <c r="G251" i="32"/>
  <c r="F241" i="31"/>
  <c r="E143" i="31"/>
  <c r="J143" i="31" s="1"/>
  <c r="K143" i="31" s="1"/>
  <c r="F140" i="32"/>
  <c r="E51" i="31"/>
  <c r="J51" i="31" s="1"/>
  <c r="K51" i="31" s="1"/>
  <c r="F51" i="32"/>
  <c r="E97" i="31"/>
  <c r="F97" i="32"/>
  <c r="E119" i="31"/>
  <c r="F119" i="32"/>
  <c r="E145" i="31"/>
  <c r="J145" i="31" s="1"/>
  <c r="K145" i="31" s="1"/>
  <c r="F142" i="32"/>
  <c r="E96" i="31"/>
  <c r="F96" i="32"/>
  <c r="E146" i="31"/>
  <c r="F143" i="32"/>
  <c r="E162" i="31"/>
  <c r="F159" i="32"/>
  <c r="E72" i="31"/>
  <c r="F72" i="32"/>
  <c r="E48" i="31"/>
  <c r="J48" i="31" s="1"/>
  <c r="K48" i="31" s="1"/>
  <c r="F48" i="32"/>
  <c r="E94" i="31"/>
  <c r="F94" i="32"/>
  <c r="E116" i="31"/>
  <c r="J116" i="31" s="1"/>
  <c r="K116" i="31" s="1"/>
  <c r="F116" i="32"/>
  <c r="E161" i="31"/>
  <c r="J161" i="31" s="1"/>
  <c r="K161" i="31" s="1"/>
  <c r="F158" i="32"/>
  <c r="E186" i="31"/>
  <c r="F183" i="32"/>
  <c r="F353" i="31"/>
  <c r="F393" i="31"/>
  <c r="M401" i="32"/>
  <c r="N401" i="32" s="1"/>
  <c r="G401" i="32"/>
  <c r="F384" i="31"/>
  <c r="F316" i="31"/>
  <c r="F321" i="31"/>
  <c r="F404" i="31"/>
  <c r="F447" i="31"/>
  <c r="G440" i="32"/>
  <c r="M440" i="32"/>
  <c r="N440" i="32" s="1"/>
  <c r="G409" i="32"/>
  <c r="M409" i="32"/>
  <c r="N409" i="32" s="1"/>
  <c r="F456" i="31"/>
  <c r="F255" i="31"/>
  <c r="F331" i="31"/>
  <c r="F333" i="31"/>
  <c r="F335" i="31"/>
  <c r="H295" i="30"/>
  <c r="I295" i="30" s="1"/>
  <c r="H271" i="30"/>
  <c r="I271" i="30" s="1"/>
  <c r="H290" i="30"/>
  <c r="I290" i="30" s="1"/>
  <c r="H283" i="30"/>
  <c r="I283" i="30" s="1"/>
  <c r="H259" i="30"/>
  <c r="I259" i="30" s="1"/>
  <c r="F83" i="31"/>
  <c r="F131" i="31"/>
  <c r="H287" i="30"/>
  <c r="I287" i="30" s="1"/>
  <c r="H286" i="30"/>
  <c r="I286" i="30" s="1"/>
  <c r="H261" i="30"/>
  <c r="I261" i="30" s="1"/>
  <c r="H279" i="30"/>
  <c r="I279" i="30" s="1"/>
  <c r="H255" i="30"/>
  <c r="I255" i="30" s="1"/>
  <c r="H253" i="30"/>
  <c r="I253" i="30" s="1"/>
  <c r="H264" i="30"/>
  <c r="I264" i="30" s="1"/>
  <c r="H262" i="30"/>
  <c r="I262" i="30" s="1"/>
  <c r="H260" i="30"/>
  <c r="I260" i="30" s="1"/>
  <c r="H251" i="30"/>
  <c r="I251" i="30" s="1"/>
  <c r="H277" i="30"/>
  <c r="I277" i="30" s="1"/>
  <c r="H300" i="30"/>
  <c r="I300" i="30" s="1"/>
  <c r="H276" i="30"/>
  <c r="I276" i="30" s="1"/>
  <c r="H252" i="30"/>
  <c r="I252" i="30" s="1"/>
  <c r="H288" i="30"/>
  <c r="I288" i="30" s="1"/>
  <c r="H263" i="30"/>
  <c r="I263" i="30" s="1"/>
  <c r="H278" i="30"/>
  <c r="I278" i="30" s="1"/>
  <c r="H265" i="30"/>
  <c r="I265" i="30" s="1"/>
  <c r="H285" i="30"/>
  <c r="I285" i="30" s="1"/>
  <c r="H257" i="30"/>
  <c r="I257" i="30" s="1"/>
  <c r="H280" i="30"/>
  <c r="I280" i="30" s="1"/>
  <c r="H256" i="30"/>
  <c r="I256" i="30" s="1"/>
  <c r="H299" i="30"/>
  <c r="I299" i="30" s="1"/>
  <c r="H275" i="30"/>
  <c r="I275" i="30" s="1"/>
  <c r="H282" i="30"/>
  <c r="I282" i="30" s="1"/>
  <c r="H298" i="30"/>
  <c r="I298" i="30" s="1"/>
  <c r="H274" i="30"/>
  <c r="I274" i="30" s="1"/>
  <c r="H258" i="30"/>
  <c r="I258" i="30" s="1"/>
  <c r="H294" i="30"/>
  <c r="I294" i="30" s="1"/>
  <c r="H270" i="30"/>
  <c r="I270" i="30" s="1"/>
  <c r="H266" i="30"/>
  <c r="I266" i="30" s="1"/>
  <c r="H281" i="30"/>
  <c r="I281" i="30" s="1"/>
  <c r="H273" i="30"/>
  <c r="I273" i="30" s="1"/>
  <c r="F143" i="31"/>
  <c r="H293" i="30"/>
  <c r="I293" i="30" s="1"/>
  <c r="H269" i="30"/>
  <c r="I269" i="30" s="1"/>
  <c r="H292" i="30"/>
  <c r="I292" i="30" s="1"/>
  <c r="H268" i="30"/>
  <c r="I268" i="30" s="1"/>
  <c r="H291" i="30"/>
  <c r="I291" i="30" s="1"/>
  <c r="H267" i="30"/>
  <c r="I267" i="30" s="1"/>
  <c r="H289" i="30"/>
  <c r="I289" i="30" s="1"/>
  <c r="H284" i="30"/>
  <c r="I284" i="30" s="1"/>
  <c r="H297" i="30"/>
  <c r="I297" i="30" s="1"/>
  <c r="H254" i="30"/>
  <c r="I254" i="30" s="1"/>
  <c r="H296" i="30"/>
  <c r="I296" i="30" s="1"/>
  <c r="H272" i="30"/>
  <c r="I272" i="30" s="1"/>
  <c r="F50" i="31"/>
  <c r="F309" i="31"/>
  <c r="H285" i="25"/>
  <c r="H292" i="25"/>
  <c r="G104" i="30"/>
  <c r="J164" i="25"/>
  <c r="H220" i="25"/>
  <c r="F95" i="31" l="1"/>
  <c r="F155" i="31"/>
  <c r="J155" i="31"/>
  <c r="K155" i="31" s="1"/>
  <c r="F42" i="31"/>
  <c r="J42" i="31"/>
  <c r="K42" i="31" s="1"/>
  <c r="F132" i="31"/>
  <c r="J132" i="31"/>
  <c r="K132" i="31" s="1"/>
  <c r="F119" i="31"/>
  <c r="J119" i="31"/>
  <c r="K119" i="31" s="1"/>
  <c r="F54" i="31"/>
  <c r="J54" i="31"/>
  <c r="K54" i="31" s="1"/>
  <c r="F100" i="31"/>
  <c r="J100" i="31"/>
  <c r="K100" i="31" s="1"/>
  <c r="F149" i="31"/>
  <c r="J149" i="31"/>
  <c r="K149" i="31" s="1"/>
  <c r="F154" i="31"/>
  <c r="J154" i="31"/>
  <c r="K154" i="31" s="1"/>
  <c r="F133" i="31"/>
  <c r="J133" i="31"/>
  <c r="K133" i="31" s="1"/>
  <c r="F157" i="31"/>
  <c r="J157" i="31"/>
  <c r="K157" i="31" s="1"/>
  <c r="F147" i="31"/>
  <c r="J147" i="31"/>
  <c r="K147" i="31" s="1"/>
  <c r="F96" i="31"/>
  <c r="J96" i="31"/>
  <c r="K96" i="31" s="1"/>
  <c r="F40" i="31"/>
  <c r="J40" i="31"/>
  <c r="K40" i="31" s="1"/>
  <c r="F89" i="31"/>
  <c r="J89" i="31"/>
  <c r="K89" i="31" s="1"/>
  <c r="F113" i="31"/>
  <c r="J113" i="31"/>
  <c r="K113" i="31" s="1"/>
  <c r="F115" i="31"/>
  <c r="J115" i="31"/>
  <c r="K115" i="31" s="1"/>
  <c r="F165" i="31"/>
  <c r="F159" i="31"/>
  <c r="J159" i="31"/>
  <c r="K159" i="31" s="1"/>
  <c r="F130" i="31"/>
  <c r="J130" i="31"/>
  <c r="K130" i="31" s="1"/>
  <c r="G166" i="31"/>
  <c r="I10" i="31"/>
  <c r="F103" i="31"/>
  <c r="J103" i="31"/>
  <c r="K103" i="31" s="1"/>
  <c r="F214" i="31"/>
  <c r="J214" i="31"/>
  <c r="K214" i="31" s="1"/>
  <c r="F80" i="31"/>
  <c r="J80" i="31"/>
  <c r="K80" i="31" s="1"/>
  <c r="F148" i="31"/>
  <c r="J148" i="31"/>
  <c r="K148" i="31" s="1"/>
  <c r="F186" i="31"/>
  <c r="J186" i="31"/>
  <c r="K186" i="31" s="1"/>
  <c r="F92" i="31"/>
  <c r="J92" i="31"/>
  <c r="K92" i="31" s="1"/>
  <c r="F175" i="31"/>
  <c r="J175" i="31"/>
  <c r="K175" i="31" s="1"/>
  <c r="F150" i="31"/>
  <c r="J150" i="31"/>
  <c r="K150" i="31" s="1"/>
  <c r="F104" i="31"/>
  <c r="J104" i="31"/>
  <c r="K104" i="31" s="1"/>
  <c r="F129" i="31"/>
  <c r="J129" i="31"/>
  <c r="K129" i="31" s="1"/>
  <c r="F84" i="31"/>
  <c r="J84" i="31"/>
  <c r="K84" i="31" s="1"/>
  <c r="F98" i="31"/>
  <c r="J98" i="31"/>
  <c r="K98" i="31" s="1"/>
  <c r="F106" i="31"/>
  <c r="J106" i="31"/>
  <c r="K106" i="31" s="1"/>
  <c r="F72" i="31"/>
  <c r="J72" i="31"/>
  <c r="K72" i="31" s="1"/>
  <c r="F136" i="31"/>
  <c r="J136" i="31"/>
  <c r="K136" i="31" s="1"/>
  <c r="F212" i="31"/>
  <c r="J212" i="31"/>
  <c r="K212" i="31" s="1"/>
  <c r="F137" i="31"/>
  <c r="J137" i="31"/>
  <c r="K137" i="31" s="1"/>
  <c r="F77" i="31"/>
  <c r="J77" i="31"/>
  <c r="K77" i="31" s="1"/>
  <c r="F198" i="31"/>
  <c r="J198" i="31"/>
  <c r="K198" i="31" s="1"/>
  <c r="F153" i="31"/>
  <c r="J153" i="31"/>
  <c r="K153" i="31" s="1"/>
  <c r="F187" i="31"/>
  <c r="J187" i="31"/>
  <c r="K187" i="31" s="1"/>
  <c r="F144" i="31"/>
  <c r="J144" i="31"/>
  <c r="K144" i="31" s="1"/>
  <c r="F58" i="31"/>
  <c r="J58" i="31"/>
  <c r="K58" i="31" s="1"/>
  <c r="F47" i="31"/>
  <c r="J47" i="31"/>
  <c r="K47" i="31" s="1"/>
  <c r="F81" i="31"/>
  <c r="J81" i="31"/>
  <c r="K81" i="31" s="1"/>
  <c r="F110" i="31"/>
  <c r="J110" i="31"/>
  <c r="K110" i="31" s="1"/>
  <c r="F97" i="31"/>
  <c r="J97" i="31"/>
  <c r="K97" i="31" s="1"/>
  <c r="F152" i="31"/>
  <c r="J152" i="31"/>
  <c r="K152" i="31" s="1"/>
  <c r="F43" i="31"/>
  <c r="J43" i="31"/>
  <c r="K43" i="31" s="1"/>
  <c r="F60" i="31"/>
  <c r="J60" i="31"/>
  <c r="K60" i="31" s="1"/>
  <c r="F146" i="31"/>
  <c r="J146" i="31"/>
  <c r="K146" i="31" s="1"/>
  <c r="F206" i="31"/>
  <c r="J206" i="31"/>
  <c r="F151" i="31"/>
  <c r="J151" i="31"/>
  <c r="K151" i="31" s="1"/>
  <c r="F93" i="31"/>
  <c r="J93" i="31"/>
  <c r="K93" i="31" s="1"/>
  <c r="F163" i="31"/>
  <c r="J163" i="31"/>
  <c r="K163" i="31" s="1"/>
  <c r="F79" i="31"/>
  <c r="J79" i="31"/>
  <c r="K79" i="31" s="1"/>
  <c r="F138" i="31"/>
  <c r="J138" i="31"/>
  <c r="K138" i="31" s="1"/>
  <c r="F44" i="31"/>
  <c r="J44" i="31"/>
  <c r="K44" i="31" s="1"/>
  <c r="F105" i="31"/>
  <c r="J105" i="31"/>
  <c r="K105" i="31" s="1"/>
  <c r="F188" i="31"/>
  <c r="J188" i="31"/>
  <c r="K188" i="31" s="1"/>
  <c r="F139" i="31"/>
  <c r="J139" i="31"/>
  <c r="K139" i="31" s="1"/>
  <c r="F65" i="31"/>
  <c r="J65" i="31"/>
  <c r="K65" i="31" s="1"/>
  <c r="F94" i="31"/>
  <c r="J94" i="31"/>
  <c r="K94" i="31" s="1"/>
  <c r="F207" i="31"/>
  <c r="J207" i="31"/>
  <c r="K207" i="31" s="1"/>
  <c r="F64" i="31"/>
  <c r="J64" i="31"/>
  <c r="K64" i="31" s="1"/>
  <c r="F63" i="31"/>
  <c r="J63" i="31"/>
  <c r="K63" i="31" s="1"/>
  <c r="F107" i="31"/>
  <c r="J107" i="31"/>
  <c r="K107" i="31" s="1"/>
  <c r="F73" i="31"/>
  <c r="J73" i="31"/>
  <c r="K73" i="31" s="1"/>
  <c r="F156" i="31"/>
  <c r="J156" i="31"/>
  <c r="K156" i="31" s="1"/>
  <c r="F69" i="31"/>
  <c r="J69" i="31"/>
  <c r="K69" i="31" s="1"/>
  <c r="F109" i="31"/>
  <c r="J109" i="31"/>
  <c r="K109" i="31" s="1"/>
  <c r="F57" i="31"/>
  <c r="J57" i="31"/>
  <c r="K57" i="31" s="1"/>
  <c r="F78" i="31"/>
  <c r="J78" i="31"/>
  <c r="K78" i="31" s="1"/>
  <c r="F49" i="31"/>
  <c r="J49" i="31"/>
  <c r="K49" i="31" s="1"/>
  <c r="F209" i="31"/>
  <c r="J209" i="31"/>
  <c r="K209" i="31" s="1"/>
  <c r="F85" i="31"/>
  <c r="J85" i="31"/>
  <c r="K85" i="31" s="1"/>
  <c r="F41" i="31"/>
  <c r="J41" i="31"/>
  <c r="K41" i="31" s="1"/>
  <c r="F61" i="31"/>
  <c r="J61" i="31"/>
  <c r="K61" i="31" s="1"/>
  <c r="F162" i="31"/>
  <c r="J162" i="31"/>
  <c r="K162" i="31" s="1"/>
  <c r="F91" i="31"/>
  <c r="J91" i="31"/>
  <c r="K91" i="31" s="1"/>
  <c r="F99" i="31"/>
  <c r="J99" i="31"/>
  <c r="K99" i="31" s="1"/>
  <c r="F101" i="31"/>
  <c r="J101" i="31"/>
  <c r="K101" i="31" s="1"/>
  <c r="F52" i="31"/>
  <c r="J52" i="31"/>
  <c r="K52" i="31" s="1"/>
  <c r="F55" i="31"/>
  <c r="J55" i="31"/>
  <c r="K55" i="31" s="1"/>
  <c r="F56" i="31"/>
  <c r="J56" i="31"/>
  <c r="K56" i="31" s="1"/>
  <c r="F158" i="31"/>
  <c r="J158" i="31"/>
  <c r="K158" i="31" s="1"/>
  <c r="F111" i="31"/>
  <c r="J111" i="31"/>
  <c r="K111" i="31" s="1"/>
  <c r="K464" i="31"/>
  <c r="F160" i="31"/>
  <c r="F114" i="31"/>
  <c r="F213" i="31"/>
  <c r="F71" i="31"/>
  <c r="F185" i="31"/>
  <c r="F70" i="31"/>
  <c r="F140" i="31"/>
  <c r="F116" i="31"/>
  <c r="F46" i="31"/>
  <c r="F127" i="31"/>
  <c r="F161" i="31"/>
  <c r="F128" i="31"/>
  <c r="F88" i="31"/>
  <c r="F45" i="31"/>
  <c r="F39" i="31"/>
  <c r="F59" i="31"/>
  <c r="F120" i="31"/>
  <c r="F169" i="31"/>
  <c r="F48" i="31"/>
  <c r="F67" i="31"/>
  <c r="F51" i="31"/>
  <c r="F90" i="31"/>
  <c r="F117" i="31"/>
  <c r="F38" i="31"/>
  <c r="F53" i="31"/>
  <c r="F68" i="31"/>
  <c r="F62" i="31"/>
  <c r="F145" i="31"/>
  <c r="G176" i="32"/>
  <c r="M176" i="32"/>
  <c r="N176" i="32" s="1"/>
  <c r="F102" i="31"/>
  <c r="F66" i="31"/>
  <c r="M143" i="32"/>
  <c r="N143" i="32" s="1"/>
  <c r="G143" i="32"/>
  <c r="M182" i="32"/>
  <c r="N182" i="32" s="1"/>
  <c r="G182" i="32"/>
  <c r="M150" i="32"/>
  <c r="N150" i="32" s="1"/>
  <c r="G150" i="32"/>
  <c r="M205" i="32"/>
  <c r="N205" i="32" s="1"/>
  <c r="G205" i="32"/>
  <c r="M124" i="32"/>
  <c r="N124" i="32" s="1"/>
  <c r="G124" i="32"/>
  <c r="M53" i="32"/>
  <c r="N53" i="32" s="1"/>
  <c r="G53" i="32"/>
  <c r="M114" i="32"/>
  <c r="N114" i="32" s="1"/>
  <c r="G114" i="32"/>
  <c r="G104" i="32"/>
  <c r="M104" i="32"/>
  <c r="N104" i="32" s="1"/>
  <c r="F76" i="31"/>
  <c r="F208" i="31"/>
  <c r="M142" i="32"/>
  <c r="N142" i="32" s="1"/>
  <c r="G142" i="32"/>
  <c r="M95" i="32"/>
  <c r="N95" i="32" s="1"/>
  <c r="G95" i="32"/>
  <c r="G204" i="32"/>
  <c r="M204" i="32"/>
  <c r="N204" i="32" s="1"/>
  <c r="M71" i="32"/>
  <c r="N71" i="32" s="1"/>
  <c r="G71" i="32"/>
  <c r="G141" i="32"/>
  <c r="M141" i="32"/>
  <c r="N141" i="32" s="1"/>
  <c r="G137" i="32"/>
  <c r="M137" i="32"/>
  <c r="N137" i="32" s="1"/>
  <c r="M111" i="32"/>
  <c r="N111" i="32" s="1"/>
  <c r="G111" i="32"/>
  <c r="F192" i="31"/>
  <c r="G153" i="32"/>
  <c r="M153" i="32"/>
  <c r="N153" i="32" s="1"/>
  <c r="M210" i="32"/>
  <c r="N210" i="32" s="1"/>
  <c r="G210" i="32"/>
  <c r="G70" i="32"/>
  <c r="M70" i="32"/>
  <c r="N70" i="32" s="1"/>
  <c r="G135" i="32"/>
  <c r="M135" i="32"/>
  <c r="N135" i="32" s="1"/>
  <c r="M58" i="32"/>
  <c r="N58" i="32" s="1"/>
  <c r="G58" i="32"/>
  <c r="G213" i="32"/>
  <c r="M213" i="32"/>
  <c r="N213" i="32" s="1"/>
  <c r="M119" i="32"/>
  <c r="N119" i="32" s="1"/>
  <c r="G119" i="32"/>
  <c r="M134" i="32"/>
  <c r="N134" i="32" s="1"/>
  <c r="G134" i="32"/>
  <c r="M49" i="32"/>
  <c r="N49" i="32" s="1"/>
  <c r="G49" i="32"/>
  <c r="G41" i="32"/>
  <c r="M41" i="32"/>
  <c r="N41" i="32" s="1"/>
  <c r="M79" i="32"/>
  <c r="N79" i="32" s="1"/>
  <c r="G79" i="32"/>
  <c r="M39" i="32"/>
  <c r="N39" i="32" s="1"/>
  <c r="G39" i="32"/>
  <c r="M156" i="32"/>
  <c r="N156" i="32" s="1"/>
  <c r="G156" i="32"/>
  <c r="G146" i="32"/>
  <c r="M146" i="32"/>
  <c r="N146" i="32" s="1"/>
  <c r="M67" i="32"/>
  <c r="N67" i="32" s="1"/>
  <c r="G67" i="32"/>
  <c r="M93" i="32"/>
  <c r="N93" i="32" s="1"/>
  <c r="G93" i="32"/>
  <c r="M55" i="32"/>
  <c r="N55" i="32" s="1"/>
  <c r="G55" i="32"/>
  <c r="M72" i="32"/>
  <c r="N72" i="32" s="1"/>
  <c r="G72" i="32"/>
  <c r="M38" i="32"/>
  <c r="N38" i="32" s="1"/>
  <c r="G38" i="32"/>
  <c r="M185" i="32"/>
  <c r="N185" i="32" s="1"/>
  <c r="G185" i="32"/>
  <c r="G80" i="32"/>
  <c r="M80" i="32"/>
  <c r="N80" i="32" s="1"/>
  <c r="K444" i="31"/>
  <c r="G130" i="32"/>
  <c r="M130" i="32"/>
  <c r="N130" i="32" s="1"/>
  <c r="F121" i="31"/>
  <c r="M87" i="32"/>
  <c r="N87" i="32" s="1"/>
  <c r="G87" i="32"/>
  <c r="M78" i="32"/>
  <c r="N78" i="32" s="1"/>
  <c r="G78" i="32"/>
  <c r="M97" i="32"/>
  <c r="N97" i="32" s="1"/>
  <c r="G97" i="32"/>
  <c r="G44" i="32"/>
  <c r="M44" i="32"/>
  <c r="N44" i="32" s="1"/>
  <c r="F87" i="31"/>
  <c r="F184" i="31"/>
  <c r="M144" i="32"/>
  <c r="N144" i="32" s="1"/>
  <c r="G144" i="32"/>
  <c r="N426" i="32"/>
  <c r="N425" i="32" s="1"/>
  <c r="M425" i="32"/>
  <c r="F216" i="31"/>
  <c r="M106" i="32"/>
  <c r="N106" i="32" s="1"/>
  <c r="G106" i="32"/>
  <c r="K420" i="31"/>
  <c r="M125" i="32"/>
  <c r="N125" i="32" s="1"/>
  <c r="G125" i="32"/>
  <c r="M155" i="32"/>
  <c r="N155" i="32" s="1"/>
  <c r="G155" i="32"/>
  <c r="M105" i="32"/>
  <c r="N105" i="32" s="1"/>
  <c r="G105" i="32"/>
  <c r="M42" i="32"/>
  <c r="N42" i="32" s="1"/>
  <c r="G42" i="32"/>
  <c r="G118" i="32"/>
  <c r="M118" i="32"/>
  <c r="N118" i="32" s="1"/>
  <c r="M159" i="32"/>
  <c r="N159" i="32" s="1"/>
  <c r="G159" i="32"/>
  <c r="N363" i="32"/>
  <c r="N362" i="32" s="1"/>
  <c r="M362" i="32"/>
  <c r="M121" i="32"/>
  <c r="N121" i="32" s="1"/>
  <c r="G121" i="32"/>
  <c r="G69" i="32"/>
  <c r="M69" i="32"/>
  <c r="N69" i="32" s="1"/>
  <c r="M160" i="32"/>
  <c r="N160" i="32" s="1"/>
  <c r="G160" i="32"/>
  <c r="M145" i="32"/>
  <c r="N145" i="32" s="1"/>
  <c r="G145" i="32"/>
  <c r="G47" i="32"/>
  <c r="M47" i="32"/>
  <c r="N47" i="32" s="1"/>
  <c r="M40" i="32"/>
  <c r="N40" i="32" s="1"/>
  <c r="G40" i="32"/>
  <c r="K380" i="31"/>
  <c r="G172" i="32"/>
  <c r="M172" i="32"/>
  <c r="N172" i="32" s="1"/>
  <c r="M157" i="32"/>
  <c r="N157" i="32" s="1"/>
  <c r="G157" i="32"/>
  <c r="M56" i="32"/>
  <c r="N56" i="32" s="1"/>
  <c r="G56" i="32"/>
  <c r="G101" i="32"/>
  <c r="M101" i="32"/>
  <c r="N101" i="32" s="1"/>
  <c r="M81" i="32"/>
  <c r="N81" i="32" s="1"/>
  <c r="G81" i="32"/>
  <c r="M158" i="32"/>
  <c r="N158" i="32" s="1"/>
  <c r="G158" i="32"/>
  <c r="F82" i="31"/>
  <c r="M116" i="32"/>
  <c r="N116" i="32" s="1"/>
  <c r="G116" i="32"/>
  <c r="G46" i="32"/>
  <c r="M46" i="32"/>
  <c r="N46" i="32" s="1"/>
  <c r="G162" i="32"/>
  <c r="M162" i="32"/>
  <c r="N162" i="32" s="1"/>
  <c r="M60" i="32"/>
  <c r="N60" i="32" s="1"/>
  <c r="G60" i="32"/>
  <c r="G128" i="32"/>
  <c r="M128" i="32"/>
  <c r="N128" i="32" s="1"/>
  <c r="M84" i="32"/>
  <c r="N84" i="32" s="1"/>
  <c r="G84" i="32"/>
  <c r="M107" i="32"/>
  <c r="N107" i="32" s="1"/>
  <c r="G107" i="32"/>
  <c r="M129" i="32"/>
  <c r="N129" i="32" s="1"/>
  <c r="G129" i="32"/>
  <c r="M88" i="32"/>
  <c r="N88" i="32" s="1"/>
  <c r="G88" i="32"/>
  <c r="M307" i="32"/>
  <c r="N316" i="32"/>
  <c r="N307" i="32" s="1"/>
  <c r="G117" i="32"/>
  <c r="M117" i="32"/>
  <c r="N117" i="32" s="1"/>
  <c r="F179" i="31"/>
  <c r="M402" i="32"/>
  <c r="N403" i="32"/>
  <c r="N402" i="32" s="1"/>
  <c r="G54" i="32"/>
  <c r="M54" i="32"/>
  <c r="N54" i="32" s="1"/>
  <c r="M73" i="32"/>
  <c r="N73" i="32" s="1"/>
  <c r="G73" i="32"/>
  <c r="M110" i="32"/>
  <c r="N110" i="32" s="1"/>
  <c r="G110" i="32"/>
  <c r="F112" i="31"/>
  <c r="F118" i="31"/>
  <c r="M183" i="32"/>
  <c r="N183" i="32" s="1"/>
  <c r="G183" i="32"/>
  <c r="M120" i="32"/>
  <c r="N120" i="32" s="1"/>
  <c r="G120" i="32"/>
  <c r="M90" i="32"/>
  <c r="N90" i="32" s="1"/>
  <c r="G90" i="32"/>
  <c r="M177" i="32"/>
  <c r="N177" i="32" s="1"/>
  <c r="G177" i="32"/>
  <c r="M82" i="32"/>
  <c r="N82" i="32" s="1"/>
  <c r="G82" i="32"/>
  <c r="G214" i="32"/>
  <c r="M214" i="32"/>
  <c r="N214" i="32" s="1"/>
  <c r="M109" i="32"/>
  <c r="N109" i="32" s="1"/>
  <c r="G109" i="32"/>
  <c r="M140" i="32"/>
  <c r="N140" i="32" s="1"/>
  <c r="G140" i="32"/>
  <c r="M77" i="32"/>
  <c r="N77" i="32" s="1"/>
  <c r="G77" i="32"/>
  <c r="M85" i="32"/>
  <c r="N85" i="32" s="1"/>
  <c r="G85" i="32"/>
  <c r="M103" i="32"/>
  <c r="N103" i="32" s="1"/>
  <c r="G103" i="32"/>
  <c r="M45" i="32"/>
  <c r="N45" i="32" s="1"/>
  <c r="G45" i="32"/>
  <c r="G59" i="32"/>
  <c r="M59" i="32"/>
  <c r="N59" i="32" s="1"/>
  <c r="G48" i="32"/>
  <c r="M48" i="32"/>
  <c r="N48" i="32" s="1"/>
  <c r="M52" i="32"/>
  <c r="N52" i="32" s="1"/>
  <c r="G52" i="32"/>
  <c r="M63" i="32"/>
  <c r="N63" i="32" s="1"/>
  <c r="G63" i="32"/>
  <c r="G86" i="32"/>
  <c r="M86" i="32"/>
  <c r="N86" i="32" s="1"/>
  <c r="M445" i="32"/>
  <c r="N446" i="32"/>
  <c r="N445" i="32" s="1"/>
  <c r="M89" i="32"/>
  <c r="N89" i="32" s="1"/>
  <c r="G89" i="32"/>
  <c r="N231" i="32"/>
  <c r="N229" i="32" s="1"/>
  <c r="M229" i="32"/>
  <c r="G96" i="32"/>
  <c r="M96" i="32"/>
  <c r="N96" i="32" s="1"/>
  <c r="M184" i="32"/>
  <c r="N184" i="32" s="1"/>
  <c r="G184" i="32"/>
  <c r="M127" i="32"/>
  <c r="N127" i="32" s="1"/>
  <c r="G127" i="32"/>
  <c r="M126" i="32"/>
  <c r="N126" i="32" s="1"/>
  <c r="G126" i="32"/>
  <c r="F86" i="31"/>
  <c r="G51" i="32"/>
  <c r="M51" i="32"/>
  <c r="N51" i="32" s="1"/>
  <c r="G94" i="32"/>
  <c r="M94" i="32"/>
  <c r="N94" i="32" s="1"/>
  <c r="G100" i="32"/>
  <c r="M100" i="32"/>
  <c r="N100" i="32" s="1"/>
  <c r="M136" i="32"/>
  <c r="N136" i="32" s="1"/>
  <c r="G136" i="32"/>
  <c r="G209" i="32"/>
  <c r="M209" i="32"/>
  <c r="N209" i="32" s="1"/>
  <c r="M152" i="32"/>
  <c r="N152" i="32" s="1"/>
  <c r="G152" i="32"/>
  <c r="M83" i="32"/>
  <c r="N83" i="32" s="1"/>
  <c r="G83" i="32"/>
  <c r="M115" i="32"/>
  <c r="N115" i="32" s="1"/>
  <c r="G115" i="32"/>
  <c r="M102" i="32"/>
  <c r="N102" i="32" s="1"/>
  <c r="G102" i="32"/>
  <c r="M148" i="32"/>
  <c r="N148" i="32" s="1"/>
  <c r="G148" i="32"/>
  <c r="M66" i="32"/>
  <c r="N66" i="32" s="1"/>
  <c r="G66" i="32"/>
  <c r="G181" i="32"/>
  <c r="M181" i="32"/>
  <c r="N181" i="32" s="1"/>
  <c r="G43" i="32"/>
  <c r="M43" i="32"/>
  <c r="N43" i="32" s="1"/>
  <c r="M113" i="32"/>
  <c r="N113" i="32" s="1"/>
  <c r="G113" i="32"/>
  <c r="G189" i="32"/>
  <c r="M189" i="32"/>
  <c r="N189" i="32" s="1"/>
  <c r="M61" i="32"/>
  <c r="N61" i="32" s="1"/>
  <c r="G61" i="32"/>
  <c r="M76" i="32"/>
  <c r="N76" i="32" s="1"/>
  <c r="G76" i="32"/>
  <c r="G91" i="32"/>
  <c r="M91" i="32"/>
  <c r="N91" i="32" s="1"/>
  <c r="G112" i="32"/>
  <c r="M112" i="32"/>
  <c r="N112" i="32" s="1"/>
  <c r="N352" i="32"/>
  <c r="N351" i="32" s="1"/>
  <c r="M351" i="32"/>
  <c r="M62" i="32"/>
  <c r="N62" i="32" s="1"/>
  <c r="G62" i="32"/>
  <c r="G99" i="32"/>
  <c r="M99" i="32"/>
  <c r="N99" i="32" s="1"/>
  <c r="M206" i="32"/>
  <c r="N206" i="32" s="1"/>
  <c r="G206" i="32"/>
  <c r="G166" i="32"/>
  <c r="M166" i="32"/>
  <c r="N166" i="32" s="1"/>
  <c r="M57" i="32"/>
  <c r="N57" i="32" s="1"/>
  <c r="G57" i="32"/>
  <c r="G64" i="32"/>
  <c r="M64" i="32"/>
  <c r="N64" i="32" s="1"/>
  <c r="M195" i="32"/>
  <c r="N195" i="32" s="1"/>
  <c r="G195" i="32"/>
  <c r="G92" i="32"/>
  <c r="M92" i="32"/>
  <c r="N92" i="32" s="1"/>
  <c r="G154" i="32"/>
  <c r="M154" i="32"/>
  <c r="N154" i="32" s="1"/>
  <c r="M65" i="32"/>
  <c r="N65" i="32" s="1"/>
  <c r="G65" i="32"/>
  <c r="M211" i="32"/>
  <c r="N211" i="32" s="1"/>
  <c r="G211" i="32"/>
  <c r="M133" i="32"/>
  <c r="N133" i="32" s="1"/>
  <c r="G133" i="32"/>
  <c r="M151" i="32"/>
  <c r="N151" i="32" s="1"/>
  <c r="G151" i="32"/>
  <c r="M68" i="32"/>
  <c r="N68" i="32" s="1"/>
  <c r="G68" i="32"/>
  <c r="M98" i="32"/>
  <c r="N98" i="32" s="1"/>
  <c r="G98" i="32"/>
  <c r="G147" i="32"/>
  <c r="M147" i="32"/>
  <c r="N147" i="32" s="1"/>
  <c r="M149" i="32"/>
  <c r="N149" i="32" s="1"/>
  <c r="G149" i="32"/>
  <c r="M203" i="32"/>
  <c r="G203" i="32"/>
  <c r="E275" i="31"/>
  <c r="J275" i="31" s="1"/>
  <c r="K275" i="31" s="1"/>
  <c r="E265" i="31"/>
  <c r="J265" i="31" s="1"/>
  <c r="K265" i="31" s="1"/>
  <c r="E263" i="31"/>
  <c r="J263" i="31" s="1"/>
  <c r="K263" i="31" s="1"/>
  <c r="E287" i="31"/>
  <c r="J287" i="31" s="1"/>
  <c r="K287" i="31" s="1"/>
  <c r="E272" i="31"/>
  <c r="J272" i="31" s="1"/>
  <c r="K272" i="31" s="1"/>
  <c r="E267" i="31"/>
  <c r="J267" i="31" s="1"/>
  <c r="K267" i="31" s="1"/>
  <c r="E303" i="31"/>
  <c r="J303" i="31" s="1"/>
  <c r="K303" i="31" s="1"/>
  <c r="E289" i="31"/>
  <c r="J289" i="31" s="1"/>
  <c r="K289" i="31" s="1"/>
  <c r="E259" i="31"/>
  <c r="J259" i="31" s="1"/>
  <c r="K259" i="31" s="1"/>
  <c r="E300" i="31"/>
  <c r="J300" i="31" s="1"/>
  <c r="K300" i="31" s="1"/>
  <c r="E288" i="31"/>
  <c r="J288" i="31" s="1"/>
  <c r="K288" i="31" s="1"/>
  <c r="E301" i="31"/>
  <c r="J301" i="31" s="1"/>
  <c r="K301" i="31" s="1"/>
  <c r="E283" i="31"/>
  <c r="J283" i="31" s="1"/>
  <c r="K283" i="31" s="1"/>
  <c r="E307" i="31"/>
  <c r="J307" i="31" s="1"/>
  <c r="K307" i="31" s="1"/>
  <c r="E296" i="31"/>
  <c r="J296" i="31" s="1"/>
  <c r="K296" i="31" s="1"/>
  <c r="E268" i="31"/>
  <c r="J268" i="31" s="1"/>
  <c r="K268" i="31" s="1"/>
  <c r="E297" i="31"/>
  <c r="J297" i="31" s="1"/>
  <c r="K297" i="31" s="1"/>
  <c r="E284" i="31"/>
  <c r="J284" i="31" s="1"/>
  <c r="K284" i="31" s="1"/>
  <c r="E274" i="31"/>
  <c r="J274" i="31" s="1"/>
  <c r="K274" i="31" s="1"/>
  <c r="E285" i="31"/>
  <c r="J285" i="31" s="1"/>
  <c r="K285" i="31" s="1"/>
  <c r="E262" i="31"/>
  <c r="J262" i="31" s="1"/>
  <c r="K262" i="31" s="1"/>
  <c r="E293" i="31"/>
  <c r="J293" i="31" s="1"/>
  <c r="K293" i="31" s="1"/>
  <c r="E298" i="31"/>
  <c r="J298" i="31" s="1"/>
  <c r="K298" i="31" s="1"/>
  <c r="E273" i="31"/>
  <c r="J273" i="31" s="1"/>
  <c r="K273" i="31" s="1"/>
  <c r="E290" i="31"/>
  <c r="J290" i="31" s="1"/>
  <c r="K290" i="31" s="1"/>
  <c r="E299" i="31"/>
  <c r="J299" i="31" s="1"/>
  <c r="K299" i="31" s="1"/>
  <c r="E280" i="31"/>
  <c r="J280" i="31" s="1"/>
  <c r="K280" i="31" s="1"/>
  <c r="E281" i="31"/>
  <c r="J281" i="31" s="1"/>
  <c r="K281" i="31" s="1"/>
  <c r="E278" i="31"/>
  <c r="J278" i="31" s="1"/>
  <c r="K278" i="31" s="1"/>
  <c r="E305" i="31"/>
  <c r="J305" i="31" s="1"/>
  <c r="K305" i="31" s="1"/>
  <c r="E279" i="31"/>
  <c r="J279" i="31" s="1"/>
  <c r="K279" i="31" s="1"/>
  <c r="E302" i="31"/>
  <c r="J302" i="31" s="1"/>
  <c r="K302" i="31" s="1"/>
  <c r="E291" i="31"/>
  <c r="J291" i="31" s="1"/>
  <c r="K291" i="31" s="1"/>
  <c r="E276" i="31"/>
  <c r="J276" i="31" s="1"/>
  <c r="K276" i="31" s="1"/>
  <c r="E277" i="31"/>
  <c r="J277" i="31" s="1"/>
  <c r="K277" i="31" s="1"/>
  <c r="E270" i="31"/>
  <c r="J270" i="31" s="1"/>
  <c r="K270" i="31" s="1"/>
  <c r="E282" i="31"/>
  <c r="J282" i="31" s="1"/>
  <c r="K282" i="31" s="1"/>
  <c r="E264" i="31"/>
  <c r="J264" i="31" s="1"/>
  <c r="K264" i="31" s="1"/>
  <c r="E269" i="31"/>
  <c r="J269" i="31" s="1"/>
  <c r="K269" i="31" s="1"/>
  <c r="E261" i="31"/>
  <c r="J261" i="31" s="1"/>
  <c r="K261" i="31" s="1"/>
  <c r="E306" i="31"/>
  <c r="J306" i="31" s="1"/>
  <c r="K306" i="31" s="1"/>
  <c r="E304" i="31"/>
  <c r="J304" i="31" s="1"/>
  <c r="K304" i="31" s="1"/>
  <c r="E295" i="31"/>
  <c r="J295" i="31" s="1"/>
  <c r="K295" i="31" s="1"/>
  <c r="E260" i="31"/>
  <c r="J260" i="31" s="1"/>
  <c r="K260" i="31" s="1"/>
  <c r="E271" i="31"/>
  <c r="J271" i="31" s="1"/>
  <c r="K271" i="31" s="1"/>
  <c r="F257" i="31"/>
  <c r="E258" i="31"/>
  <c r="J258" i="31" s="1"/>
  <c r="K258" i="31" s="1"/>
  <c r="E286" i="31"/>
  <c r="J286" i="31" s="1"/>
  <c r="K286" i="31" s="1"/>
  <c r="E266" i="31"/>
  <c r="J266" i="31" s="1"/>
  <c r="K266" i="31" s="1"/>
  <c r="E294" i="31"/>
  <c r="J294" i="31" s="1"/>
  <c r="K294" i="31" s="1"/>
  <c r="E292" i="31"/>
  <c r="J292" i="31" s="1"/>
  <c r="K292" i="31" s="1"/>
  <c r="K310" i="31"/>
  <c r="L310" i="31"/>
  <c r="L126" i="31"/>
  <c r="F104" i="30"/>
  <c r="F108" i="32" s="1"/>
  <c r="I9" i="31" l="1"/>
  <c r="G9" i="31" s="1"/>
  <c r="G10" i="31"/>
  <c r="L206" i="31"/>
  <c r="F296" i="31"/>
  <c r="F278" i="31"/>
  <c r="F287" i="31"/>
  <c r="F280" i="31"/>
  <c r="F290" i="31"/>
  <c r="O203" i="32"/>
  <c r="N203" i="32"/>
  <c r="F276" i="31"/>
  <c r="M108" i="32"/>
  <c r="N108" i="32" s="1"/>
  <c r="G108" i="32"/>
  <c r="F300" i="31"/>
  <c r="F301" i="31"/>
  <c r="F270" i="31"/>
  <c r="F283" i="31"/>
  <c r="F275" i="31"/>
  <c r="E108" i="31"/>
  <c r="F285" i="31"/>
  <c r="F272" i="31"/>
  <c r="F299" i="31"/>
  <c r="F297" i="31"/>
  <c r="F292" i="31"/>
  <c r="F266" i="31"/>
  <c r="F284" i="31"/>
  <c r="F294" i="31"/>
  <c r="F261" i="31"/>
  <c r="F273" i="31"/>
  <c r="F288" i="31"/>
  <c r="F303" i="31"/>
  <c r="F305" i="31"/>
  <c r="F267" i="31"/>
  <c r="F279" i="31"/>
  <c r="F295" i="31"/>
  <c r="F307" i="31"/>
  <c r="F258" i="31"/>
  <c r="F259" i="31"/>
  <c r="F302" i="31"/>
  <c r="F304" i="31"/>
  <c r="F277" i="31"/>
  <c r="F271" i="31"/>
  <c r="F260" i="31"/>
  <c r="F268" i="31"/>
  <c r="F286" i="31"/>
  <c r="F291" i="31"/>
  <c r="F263" i="31"/>
  <c r="F262" i="31"/>
  <c r="F298" i="31"/>
  <c r="F306" i="31"/>
  <c r="F293" i="31"/>
  <c r="F281" i="31"/>
  <c r="F264" i="31"/>
  <c r="F289" i="31"/>
  <c r="F282" i="31"/>
  <c r="F265" i="31"/>
  <c r="F269" i="31"/>
  <c r="F274" i="31"/>
  <c r="H104" i="30"/>
  <c r="I104" i="30" s="1"/>
  <c r="F108" i="31" l="1"/>
  <c r="J108" i="31"/>
  <c r="K108" i="31" s="1"/>
  <c r="H98" i="29"/>
  <c r="I104" i="29"/>
  <c r="J104" i="29" s="1"/>
  <c r="H341" i="25" l="1"/>
  <c r="H103" i="29"/>
  <c r="H102" i="29"/>
  <c r="H101" i="29"/>
  <c r="H100" i="29"/>
  <c r="H97" i="29"/>
  <c r="H96" i="29"/>
  <c r="H95" i="29"/>
  <c r="H90" i="29"/>
  <c r="I90" i="29" s="1"/>
  <c r="H89" i="29"/>
  <c r="I89" i="29" s="1"/>
  <c r="J89" i="29" s="1"/>
  <c r="I92" i="29" s="1"/>
  <c r="J92" i="29" s="1"/>
  <c r="H86" i="29"/>
  <c r="H85" i="29"/>
  <c r="H84" i="29"/>
  <c r="J10" i="29"/>
  <c r="H71" i="29"/>
  <c r="H70" i="29"/>
  <c r="H68" i="29"/>
  <c r="H67" i="29"/>
  <c r="H66" i="29"/>
  <c r="H65" i="29"/>
  <c r="H59" i="29"/>
  <c r="I59" i="29" s="1"/>
  <c r="J59" i="29" s="1"/>
  <c r="I62" i="29" s="1"/>
  <c r="J62" i="29" s="1"/>
  <c r="H57" i="29"/>
  <c r="H56" i="29"/>
  <c r="H55" i="29"/>
  <c r="H52" i="29"/>
  <c r="H51" i="29"/>
  <c r="H50" i="29"/>
  <c r="H49" i="29"/>
  <c r="H48" i="29"/>
  <c r="H24" i="29"/>
  <c r="I100" i="29" l="1"/>
  <c r="I95" i="29"/>
  <c r="J95" i="29" s="1"/>
  <c r="I106" i="29" s="1"/>
  <c r="J106" i="29" s="1"/>
  <c r="J100" i="29"/>
  <c r="I65" i="29"/>
  <c r="J65" i="29" s="1"/>
  <c r="J63" i="29"/>
  <c r="I73" i="29" s="1"/>
  <c r="J73" i="29" s="1"/>
  <c r="I55" i="29"/>
  <c r="J55" i="29" s="1"/>
  <c r="I48" i="29"/>
  <c r="J48" i="29" s="1"/>
  <c r="J21" i="29"/>
  <c r="I27" i="29" s="1"/>
  <c r="J27" i="29" s="1"/>
  <c r="J41" i="29" s="1"/>
  <c r="I130" i="29"/>
  <c r="H112" i="29"/>
  <c r="H111" i="29"/>
  <c r="H110" i="29"/>
  <c r="H109" i="29"/>
  <c r="H108" i="29"/>
  <c r="H107" i="29"/>
  <c r="H93" i="29"/>
  <c r="I93" i="29" s="1"/>
  <c r="H83" i="29"/>
  <c r="H8" i="29"/>
  <c r="H381" i="25"/>
  <c r="M399" i="25" s="1"/>
  <c r="H373" i="25"/>
  <c r="M373" i="25"/>
  <c r="H372" i="25"/>
  <c r="I370" i="25"/>
  <c r="J370" i="25" s="1"/>
  <c r="I616" i="25"/>
  <c r="I58" i="29" l="1"/>
  <c r="J58" i="29" s="1"/>
  <c r="J82" i="29" s="1"/>
  <c r="G435" i="30"/>
  <c r="J616" i="25"/>
  <c r="I83" i="29"/>
  <c r="H399" i="25"/>
  <c r="I107" i="29"/>
  <c r="J130" i="29"/>
  <c r="I132" i="29" s="1"/>
  <c r="J132" i="29" s="1"/>
  <c r="H435" i="30" l="1"/>
  <c r="I435" i="30" s="1"/>
  <c r="F435" i="30"/>
  <c r="F424" i="32" s="1"/>
  <c r="G424" i="32" l="1"/>
  <c r="M424" i="32"/>
  <c r="F230" i="31"/>
  <c r="F441" i="31"/>
  <c r="E442" i="31"/>
  <c r="J442" i="31" s="1"/>
  <c r="K442" i="31" s="1"/>
  <c r="H392" i="25"/>
  <c r="H390" i="25"/>
  <c r="H387" i="25"/>
  <c r="D93" i="28" s="1"/>
  <c r="W4" i="28"/>
  <c r="W5" i="28"/>
  <c r="W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3" i="28"/>
  <c r="K24" i="28"/>
  <c r="H3" i="28"/>
  <c r="H4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I386" i="25"/>
  <c r="D90" i="28"/>
  <c r="G90" i="28"/>
  <c r="C90" i="28"/>
  <c r="K42" i="28"/>
  <c r="K43" i="28"/>
  <c r="K44" i="28"/>
  <c r="K45" i="28"/>
  <c r="K46" i="28"/>
  <c r="K47" i="28"/>
  <c r="K48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61" i="28"/>
  <c r="K62" i="28"/>
  <c r="K63" i="28"/>
  <c r="K64" i="28"/>
  <c r="K65" i="28"/>
  <c r="K66" i="28"/>
  <c r="K67" i="28"/>
  <c r="K68" i="28"/>
  <c r="K69" i="28"/>
  <c r="K70" i="28"/>
  <c r="K71" i="28"/>
  <c r="K72" i="28"/>
  <c r="K73" i="28"/>
  <c r="K74" i="28"/>
  <c r="K75" i="28"/>
  <c r="K76" i="28"/>
  <c r="K77" i="28"/>
  <c r="K78" i="28"/>
  <c r="K79" i="28"/>
  <c r="K80" i="28"/>
  <c r="K81" i="28"/>
  <c r="K82" i="28"/>
  <c r="K41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41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24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5" i="28"/>
  <c r="H66" i="28"/>
  <c r="H67" i="28"/>
  <c r="H68" i="28"/>
  <c r="H69" i="28"/>
  <c r="H70" i="28"/>
  <c r="H71" i="28"/>
  <c r="H72" i="28"/>
  <c r="H73" i="28"/>
  <c r="H74" i="28"/>
  <c r="H75" i="28"/>
  <c r="H76" i="28"/>
  <c r="H77" i="28"/>
  <c r="H78" i="28"/>
  <c r="H79" i="28"/>
  <c r="H80" i="28"/>
  <c r="H81" i="28"/>
  <c r="H82" i="28"/>
  <c r="H41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24" i="28"/>
  <c r="K424" i="31" l="1"/>
  <c r="J424" i="31"/>
  <c r="H83" i="28"/>
  <c r="F91" i="28" s="1"/>
  <c r="H391" i="25" s="1"/>
  <c r="I390" i="25" s="1"/>
  <c r="N424" i="32"/>
  <c r="N406" i="32" s="1"/>
  <c r="M406" i="32"/>
  <c r="F442" i="31"/>
  <c r="I83" i="28"/>
  <c r="G91" i="28" s="1"/>
  <c r="G92" i="28" l="1"/>
  <c r="H393" i="25"/>
  <c r="I392" i="25" s="1"/>
  <c r="L424" i="31"/>
  <c r="J390" i="25"/>
  <c r="G217" i="30"/>
  <c r="G218" i="30"/>
  <c r="F220" i="31" l="1"/>
  <c r="E221" i="31"/>
  <c r="J221" i="31" s="1"/>
  <c r="K221" i="31" s="1"/>
  <c r="H217" i="30"/>
  <c r="I217" i="30" s="1"/>
  <c r="F217" i="30"/>
  <c r="F221" i="32" s="1"/>
  <c r="M221" i="32" l="1"/>
  <c r="N221" i="32" s="1"/>
  <c r="G221" i="32"/>
  <c r="F221" i="31"/>
  <c r="E224" i="31"/>
  <c r="J224" i="31" s="1"/>
  <c r="K224" i="31" s="1"/>
  <c r="E225" i="31"/>
  <c r="K161" i="18"/>
  <c r="L162" i="18"/>
  <c r="L161" i="18"/>
  <c r="K156" i="18"/>
  <c r="K157" i="18"/>
  <c r="H361" i="25"/>
  <c r="F225" i="31" l="1"/>
  <c r="J225" i="31"/>
  <c r="K225" i="31" s="1"/>
  <c r="F224" i="31"/>
  <c r="K83" i="28"/>
  <c r="H295" i="25"/>
  <c r="N4" i="18"/>
  <c r="O4" i="18" s="1"/>
  <c r="L5" i="18"/>
  <c r="L17" i="18" s="1"/>
  <c r="N5" i="18"/>
  <c r="O5" i="18" s="1"/>
  <c r="E6" i="18"/>
  <c r="E14" i="18" s="1"/>
  <c r="N6" i="18"/>
  <c r="O6" i="18" s="1"/>
  <c r="N7" i="18"/>
  <c r="O7" i="18"/>
  <c r="N8" i="18"/>
  <c r="O8" i="18" s="1"/>
  <c r="K9" i="18"/>
  <c r="K14" i="18" s="1"/>
  <c r="L9" i="18"/>
  <c r="L14" i="18" s="1"/>
  <c r="N9" i="18"/>
  <c r="O9" i="18"/>
  <c r="N10" i="18"/>
  <c r="H27" i="18" s="1"/>
  <c r="I27" i="18" s="1"/>
  <c r="O10" i="18"/>
  <c r="M11" i="18"/>
  <c r="M14" i="18" s="1"/>
  <c r="N11" i="18"/>
  <c r="O12" i="18"/>
  <c r="C14" i="18"/>
  <c r="F14" i="18"/>
  <c r="G14" i="18"/>
  <c r="H14" i="18"/>
  <c r="I14" i="18"/>
  <c r="J14" i="18"/>
  <c r="E16" i="18"/>
  <c r="F16" i="18"/>
  <c r="G16" i="18"/>
  <c r="H16" i="18"/>
  <c r="I16" i="18"/>
  <c r="J16" i="18"/>
  <c r="E17" i="18"/>
  <c r="F17" i="18"/>
  <c r="G17" i="18"/>
  <c r="H17" i="18"/>
  <c r="I17" i="18"/>
  <c r="J17" i="18"/>
  <c r="K17" i="18"/>
  <c r="M17" i="18"/>
  <c r="C20" i="18"/>
  <c r="E20" i="18"/>
  <c r="C21" i="18"/>
  <c r="E21" i="18"/>
  <c r="C22" i="18"/>
  <c r="F25" i="18"/>
  <c r="G25" i="18"/>
  <c r="E26" i="18"/>
  <c r="F26" i="18"/>
  <c r="G26" i="18"/>
  <c r="E27" i="18"/>
  <c r="F27" i="18"/>
  <c r="G28" i="18" s="1"/>
  <c r="F28" i="18"/>
  <c r="E29" i="18"/>
  <c r="G29" i="18"/>
  <c r="E30" i="18"/>
  <c r="G30" i="18"/>
  <c r="E31" i="18"/>
  <c r="G31" i="18"/>
  <c r="H357" i="25"/>
  <c r="H351" i="25"/>
  <c r="H314" i="25"/>
  <c r="H313" i="25"/>
  <c r="H332" i="25"/>
  <c r="N16" i="18" l="1"/>
  <c r="H388" i="25"/>
  <c r="I91" i="28"/>
  <c r="N14" i="18"/>
  <c r="L16" i="18"/>
  <c r="K16" i="18"/>
  <c r="G27" i="18"/>
  <c r="H26" i="18"/>
  <c r="N17" i="18"/>
  <c r="O17" i="18" s="1"/>
  <c r="O11" i="18"/>
  <c r="N20" i="18"/>
  <c r="O16" i="18"/>
  <c r="M16" i="18"/>
  <c r="M23" i="18"/>
  <c r="M22" i="18"/>
  <c r="H322" i="25"/>
  <c r="I387" i="25" l="1"/>
  <c r="D94" i="28"/>
  <c r="J387" i="25"/>
  <c r="I26" i="18"/>
  <c r="H321" i="25"/>
  <c r="I321" i="25" s="1"/>
  <c r="G215" i="30" l="1"/>
  <c r="H389" i="25"/>
  <c r="I389" i="25" s="1"/>
  <c r="J389" i="25" s="1"/>
  <c r="J321" i="25"/>
  <c r="G182" i="30"/>
  <c r="H215" i="30"/>
  <c r="I215" i="30" s="1"/>
  <c r="F215" i="30"/>
  <c r="F219" i="32" s="1"/>
  <c r="O35" i="28"/>
  <c r="O36" i="28"/>
  <c r="O34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16" i="28"/>
  <c r="R4" i="28"/>
  <c r="R5" i="28"/>
  <c r="R3" i="28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3" i="28"/>
  <c r="G216" i="30" l="1"/>
  <c r="G219" i="32"/>
  <c r="M219" i="32"/>
  <c r="N219" i="32" s="1"/>
  <c r="E222" i="31"/>
  <c r="J222" i="31" s="1"/>
  <c r="K222" i="31" s="1"/>
  <c r="F182" i="30"/>
  <c r="F186" i="32" s="1"/>
  <c r="H182" i="30"/>
  <c r="I182" i="30" s="1"/>
  <c r="H216" i="30"/>
  <c r="I216" i="30" s="1"/>
  <c r="F216" i="30"/>
  <c r="F220" i="32" s="1"/>
  <c r="H299" i="25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39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41" i="28"/>
  <c r="N37" i="28"/>
  <c r="N97" i="28"/>
  <c r="N85" i="28"/>
  <c r="N86" i="28"/>
  <c r="N87" i="28"/>
  <c r="N88" i="28"/>
  <c r="N89" i="28"/>
  <c r="N90" i="28"/>
  <c r="N91" i="28"/>
  <c r="N92" i="28"/>
  <c r="N93" i="28"/>
  <c r="N94" i="28"/>
  <c r="N95" i="28"/>
  <c r="N96" i="28"/>
  <c r="N40" i="28"/>
  <c r="N41" i="28"/>
  <c r="N42" i="28"/>
  <c r="N43" i="28"/>
  <c r="N44" i="28"/>
  <c r="N45" i="28"/>
  <c r="N46" i="28"/>
  <c r="N47" i="28"/>
  <c r="N48" i="28"/>
  <c r="N49" i="28"/>
  <c r="N50" i="28"/>
  <c r="N51" i="28"/>
  <c r="N52" i="28"/>
  <c r="N53" i="28"/>
  <c r="N56" i="28"/>
  <c r="N57" i="28"/>
  <c r="N58" i="28"/>
  <c r="N59" i="28"/>
  <c r="N60" i="28"/>
  <c r="N61" i="28"/>
  <c r="N62" i="28"/>
  <c r="N63" i="28"/>
  <c r="N64" i="28"/>
  <c r="N65" i="28"/>
  <c r="N66" i="28"/>
  <c r="N67" i="28"/>
  <c r="N68" i="28"/>
  <c r="N69" i="28"/>
  <c r="N70" i="28"/>
  <c r="N71" i="28"/>
  <c r="N72" i="28"/>
  <c r="N73" i="28"/>
  <c r="N74" i="28"/>
  <c r="N75" i="28"/>
  <c r="N76" i="28"/>
  <c r="N77" i="28"/>
  <c r="N78" i="28"/>
  <c r="N79" i="28"/>
  <c r="N80" i="28"/>
  <c r="N81" i="28"/>
  <c r="N82" i="28"/>
  <c r="N83" i="28"/>
  <c r="N84" i="28"/>
  <c r="N39" i="28"/>
  <c r="N35" i="28"/>
  <c r="N36" i="28"/>
  <c r="N34" i="28"/>
  <c r="N17" i="28"/>
  <c r="N18" i="28"/>
  <c r="N19" i="28"/>
  <c r="N20" i="28"/>
  <c r="N21" i="28"/>
  <c r="N22" i="28"/>
  <c r="N23" i="28"/>
  <c r="N24" i="28"/>
  <c r="N25" i="28"/>
  <c r="N26" i="28"/>
  <c r="N27" i="28"/>
  <c r="N28" i="28"/>
  <c r="N29" i="28"/>
  <c r="N30" i="28"/>
  <c r="N31" i="28"/>
  <c r="N32" i="28"/>
  <c r="N16" i="28"/>
  <c r="M186" i="32" l="1"/>
  <c r="N186" i="32" s="1"/>
  <c r="G186" i="32"/>
  <c r="G220" i="32"/>
  <c r="M220" i="32"/>
  <c r="E189" i="31"/>
  <c r="J189" i="31" s="1"/>
  <c r="K189" i="31" s="1"/>
  <c r="F222" i="31"/>
  <c r="E223" i="31"/>
  <c r="J223" i="31" s="1"/>
  <c r="K223" i="31" s="1"/>
  <c r="O98" i="28"/>
  <c r="N98" i="28"/>
  <c r="N99" i="28" s="1"/>
  <c r="F189" i="31" l="1"/>
  <c r="N220" i="32"/>
  <c r="F223" i="31"/>
  <c r="G83" i="28"/>
  <c r="D91" i="28" s="1"/>
  <c r="H395" i="25" l="1"/>
  <c r="E94" i="28"/>
  <c r="S6" i="28"/>
  <c r="V6" i="28"/>
  <c r="G20" i="28" l="1"/>
  <c r="P12" i="28" l="1"/>
  <c r="E90" i="28" s="1"/>
  <c r="O37" i="28"/>
  <c r="O99" i="28" s="1"/>
  <c r="J20" i="28"/>
  <c r="S12" i="28" s="1"/>
  <c r="H90" i="28" s="1"/>
  <c r="H394" i="25" l="1"/>
  <c r="I394" i="25" s="1"/>
  <c r="E93" i="28"/>
  <c r="D92" i="28"/>
  <c r="H400" i="25"/>
  <c r="I400" i="25" s="1"/>
  <c r="H92" i="28"/>
  <c r="Q6" i="28"/>
  <c r="N4" i="28"/>
  <c r="N5" i="28"/>
  <c r="N3" i="28"/>
  <c r="B3" i="28"/>
  <c r="E20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H346" i="25"/>
  <c r="L154" i="18"/>
  <c r="L152" i="18"/>
  <c r="L151" i="18"/>
  <c r="H359" i="25" s="1"/>
  <c r="L149" i="18"/>
  <c r="L150" i="18"/>
  <c r="L153" i="18"/>
  <c r="L155" i="18"/>
  <c r="L156" i="18"/>
  <c r="L157" i="18"/>
  <c r="L158" i="18"/>
  <c r="L159" i="18"/>
  <c r="L160" i="18"/>
  <c r="L148" i="18"/>
  <c r="J394" i="25" l="1"/>
  <c r="G219" i="30"/>
  <c r="L163" i="18"/>
  <c r="H363" i="25" s="1"/>
  <c r="D1" i="28"/>
  <c r="N12" i="28"/>
  <c r="T3" i="28"/>
  <c r="U3" i="28"/>
  <c r="T5" i="28"/>
  <c r="U5" i="28"/>
  <c r="T4" i="28"/>
  <c r="U4" i="28"/>
  <c r="I15" i="28"/>
  <c r="I14" i="28"/>
  <c r="I3" i="28"/>
  <c r="F20" i="28"/>
  <c r="I19" i="28"/>
  <c r="I18" i="28"/>
  <c r="I17" i="28"/>
  <c r="I16" i="28"/>
  <c r="I13" i="28"/>
  <c r="I12" i="28"/>
  <c r="I11" i="28"/>
  <c r="I10" i="28"/>
  <c r="I9" i="28"/>
  <c r="I8" i="28"/>
  <c r="I7" i="28"/>
  <c r="I6" i="28"/>
  <c r="I5" i="28"/>
  <c r="I4" i="28"/>
  <c r="H219" i="30" l="1"/>
  <c r="I219" i="30" s="1"/>
  <c r="F219" i="30"/>
  <c r="R6" i="28"/>
  <c r="O12" i="28" s="1"/>
  <c r="O13" i="28" s="1"/>
  <c r="U6" i="28"/>
  <c r="W6" i="28"/>
  <c r="T6" i="28"/>
  <c r="I20" i="28"/>
  <c r="R12" i="28" s="1"/>
  <c r="K20" i="28"/>
  <c r="H20" i="28"/>
  <c r="Q12" i="28" s="1"/>
  <c r="F90" i="28" s="1"/>
  <c r="F92" i="28" s="1"/>
  <c r="E226" i="31" l="1"/>
  <c r="J226" i="31" s="1"/>
  <c r="K226" i="31" s="1"/>
  <c r="F223" i="32"/>
  <c r="F226" i="31"/>
  <c r="E231" i="31"/>
  <c r="J231" i="31" s="1"/>
  <c r="K231" i="31" s="1"/>
  <c r="T12" i="28"/>
  <c r="I90" i="28" s="1"/>
  <c r="I92" i="28" s="1"/>
  <c r="L142" i="18"/>
  <c r="L140" i="18"/>
  <c r="L138" i="18"/>
  <c r="L137" i="18"/>
  <c r="L134" i="18"/>
  <c r="L133" i="18"/>
  <c r="L131" i="18"/>
  <c r="L130" i="18"/>
  <c r="M223" i="32" l="1"/>
  <c r="N223" i="32" s="1"/>
  <c r="G223" i="32"/>
  <c r="F231" i="31"/>
  <c r="L141" i="18"/>
  <c r="L139" i="18"/>
  <c r="L136" i="18"/>
  <c r="L135" i="18"/>
  <c r="L132" i="18"/>
  <c r="L129" i="18"/>
  <c r="L143" i="18" s="1"/>
  <c r="E155" i="18" l="1"/>
  <c r="E153" i="18"/>
  <c r="E154" i="18"/>
  <c r="E152" i="18"/>
  <c r="E151" i="18"/>
  <c r="E150" i="18"/>
  <c r="E149" i="18"/>
  <c r="E148" i="18"/>
  <c r="E147" i="18"/>
  <c r="E141" i="18" l="1"/>
  <c r="E142" i="18"/>
  <c r="E145" i="18"/>
  <c r="E146" i="18"/>
  <c r="E144" i="18"/>
  <c r="E140" i="18"/>
  <c r="E143" i="18"/>
  <c r="E139" i="18"/>
  <c r="E137" i="18"/>
  <c r="E138" i="18"/>
  <c r="D136" i="18"/>
  <c r="E136" i="18" s="1"/>
  <c r="D135" i="18"/>
  <c r="E135" i="18" s="1"/>
  <c r="D134" i="18"/>
  <c r="E134" i="18" s="1"/>
  <c r="D133" i="18"/>
  <c r="E133" i="18" s="1"/>
  <c r="D132" i="18"/>
  <c r="E132" i="18" s="1"/>
  <c r="E157" i="18" s="1"/>
  <c r="D131" i="18"/>
  <c r="E131" i="18" s="1"/>
  <c r="D130" i="18"/>
  <c r="E130" i="18" s="1"/>
  <c r="D129" i="18"/>
  <c r="E129" i="18" s="1"/>
  <c r="E156" i="18" l="1"/>
  <c r="H330" i="25" l="1"/>
  <c r="H289" i="25"/>
  <c r="H281" i="25"/>
  <c r="H83" i="25"/>
  <c r="H261" i="25"/>
  <c r="H90" i="25"/>
  <c r="H130" i="25"/>
  <c r="H85" i="25"/>
  <c r="I85" i="25" s="1"/>
  <c r="H260" i="10"/>
  <c r="H261" i="10"/>
  <c r="I130" i="25" l="1"/>
  <c r="F70" i="30"/>
  <c r="F74" i="32" s="1"/>
  <c r="J130" i="25"/>
  <c r="G70" i="30"/>
  <c r="I90" i="25"/>
  <c r="H87" i="25"/>
  <c r="I87" i="25" s="1"/>
  <c r="G74" i="32" l="1"/>
  <c r="M74" i="32"/>
  <c r="E74" i="31"/>
  <c r="H70" i="30"/>
  <c r="I70" i="30" s="1"/>
  <c r="H77" i="25"/>
  <c r="F74" i="31" l="1"/>
  <c r="J74" i="31"/>
  <c r="K74" i="31" s="1"/>
  <c r="N74" i="32"/>
  <c r="H74" i="25"/>
  <c r="H64" i="25" l="1"/>
  <c r="H50" i="25"/>
  <c r="H48" i="25"/>
  <c r="S57" i="27" l="1"/>
  <c r="S56" i="27"/>
  <c r="D56" i="27"/>
  <c r="S55" i="27"/>
  <c r="D55" i="27"/>
  <c r="S54" i="27"/>
  <c r="D54" i="27"/>
  <c r="S53" i="27"/>
  <c r="D53" i="27"/>
  <c r="S52" i="27"/>
  <c r="D52" i="27"/>
  <c r="S51" i="27"/>
  <c r="D51" i="27"/>
  <c r="S50" i="27"/>
  <c r="D50" i="27"/>
  <c r="S49" i="27"/>
  <c r="D49" i="27"/>
  <c r="S48" i="27"/>
  <c r="D48" i="27"/>
  <c r="S47" i="27"/>
  <c r="D47" i="27"/>
  <c r="S46" i="27"/>
  <c r="D46" i="27"/>
  <c r="S45" i="27"/>
  <c r="D45" i="27"/>
  <c r="S44" i="27"/>
  <c r="D44" i="27"/>
  <c r="S43" i="27"/>
  <c r="D43" i="27"/>
  <c r="S42" i="27"/>
  <c r="D42" i="27"/>
  <c r="V19" i="27"/>
  <c r="R19" i="27"/>
  <c r="G19" i="27"/>
  <c r="C19" i="27"/>
  <c r="N18" i="27"/>
  <c r="M18" i="27"/>
  <c r="F18" i="27"/>
  <c r="N17" i="27"/>
  <c r="M17" i="27"/>
  <c r="K17" i="27"/>
  <c r="J17" i="27"/>
  <c r="D17" i="27"/>
  <c r="F17" i="27" s="1"/>
  <c r="N16" i="27"/>
  <c r="M16" i="27"/>
  <c r="K16" i="27"/>
  <c r="J16" i="27"/>
  <c r="D16" i="27"/>
  <c r="E16" i="27" s="1"/>
  <c r="N15" i="27"/>
  <c r="M15" i="27"/>
  <c r="J15" i="27"/>
  <c r="L15" i="27" s="1"/>
  <c r="D15" i="27"/>
  <c r="F16" i="27" s="1"/>
  <c r="N14" i="27"/>
  <c r="M14" i="27"/>
  <c r="J14" i="27"/>
  <c r="L14" i="27" s="1"/>
  <c r="D14" i="27"/>
  <c r="F15" i="27" s="1"/>
  <c r="N13" i="27"/>
  <c r="M13" i="27"/>
  <c r="J13" i="27"/>
  <c r="D13" i="27"/>
  <c r="E13" i="27" s="1"/>
  <c r="N12" i="27"/>
  <c r="M12" i="27"/>
  <c r="J12" i="27"/>
  <c r="L12" i="27" s="1"/>
  <c r="D12" i="27"/>
  <c r="F13" i="27" s="1"/>
  <c r="R11" i="27"/>
  <c r="N11" i="27"/>
  <c r="M11" i="27"/>
  <c r="J11" i="27"/>
  <c r="L11" i="27" s="1"/>
  <c r="D11" i="27"/>
  <c r="F12" i="27" s="1"/>
  <c r="S10" i="27"/>
  <c r="T10" i="27" s="1"/>
  <c r="R10" i="27"/>
  <c r="N10" i="27"/>
  <c r="M10" i="27"/>
  <c r="J10" i="27"/>
  <c r="L10" i="27" s="1"/>
  <c r="D10" i="27"/>
  <c r="E10" i="27" s="1"/>
  <c r="Y9" i="27"/>
  <c r="S9" i="27"/>
  <c r="R9" i="27"/>
  <c r="T9" i="27" s="1"/>
  <c r="N9" i="27"/>
  <c r="M9" i="27"/>
  <c r="J9" i="27"/>
  <c r="L9" i="27" s="1"/>
  <c r="D9" i="27"/>
  <c r="F10" i="27" s="1"/>
  <c r="S8" i="27"/>
  <c r="T8" i="27" s="1"/>
  <c r="M8" i="27"/>
  <c r="J8" i="27"/>
  <c r="D8" i="27"/>
  <c r="E8" i="27" s="1"/>
  <c r="N7" i="27"/>
  <c r="M7" i="27"/>
  <c r="K7" i="27"/>
  <c r="J7" i="27"/>
  <c r="D7" i="27"/>
  <c r="F8" i="27" s="1"/>
  <c r="W6" i="27"/>
  <c r="X6" i="27" s="1"/>
  <c r="S6" i="27"/>
  <c r="S11" i="27" s="1"/>
  <c r="N6" i="27"/>
  <c r="K6" i="27"/>
  <c r="L6" i="27" s="1"/>
  <c r="J6" i="27"/>
  <c r="H6" i="27"/>
  <c r="D6" i="27"/>
  <c r="F6" i="27" s="1"/>
  <c r="W5" i="27"/>
  <c r="X5" i="27" s="1"/>
  <c r="S5" i="27"/>
  <c r="T5" i="27" s="1"/>
  <c r="N5" i="27"/>
  <c r="K5" i="27"/>
  <c r="J5" i="27"/>
  <c r="H5" i="27"/>
  <c r="I6" i="27" s="1"/>
  <c r="F5" i="27"/>
  <c r="E5" i="27"/>
  <c r="W4" i="27"/>
  <c r="X4" i="27" s="1"/>
  <c r="S4" i="27"/>
  <c r="T4" i="27" s="1"/>
  <c r="N4" i="27"/>
  <c r="K4" i="27"/>
  <c r="J4" i="27"/>
  <c r="H4" i="27"/>
  <c r="F4" i="27"/>
  <c r="E4" i="27"/>
  <c r="T3" i="27"/>
  <c r="N3" i="27"/>
  <c r="K3" i="27"/>
  <c r="H3" i="27"/>
  <c r="I4" i="27" s="1"/>
  <c r="E3" i="27"/>
  <c r="L16" i="27" l="1"/>
  <c r="O4" i="27"/>
  <c r="O16" i="27"/>
  <c r="O6" i="27"/>
  <c r="O7" i="27"/>
  <c r="O12" i="27"/>
  <c r="L8" i="27"/>
  <c r="O18" i="27"/>
  <c r="L7" i="27"/>
  <c r="L5" i="27"/>
  <c r="O14" i="27"/>
  <c r="L4" i="27"/>
  <c r="J19" i="27"/>
  <c r="O5" i="27"/>
  <c r="M19" i="27"/>
  <c r="O15" i="27"/>
  <c r="O11" i="27"/>
  <c r="L17" i="27"/>
  <c r="O17" i="27"/>
  <c r="Y4" i="27"/>
  <c r="Z4" i="27" s="1"/>
  <c r="AA4" i="27" s="1"/>
  <c r="O10" i="27"/>
  <c r="X19" i="27"/>
  <c r="T11" i="27"/>
  <c r="Y18" i="27"/>
  <c r="L13" i="27"/>
  <c r="E11" i="27"/>
  <c r="E9" i="27"/>
  <c r="F11" i="27"/>
  <c r="O13" i="27"/>
  <c r="T6" i="27"/>
  <c r="T19" i="27" s="1"/>
  <c r="F9" i="27"/>
  <c r="E14" i="27"/>
  <c r="F14" i="27"/>
  <c r="E17" i="27"/>
  <c r="I5" i="27"/>
  <c r="I19" i="27" s="1"/>
  <c r="E7" i="27"/>
  <c r="F7" i="27"/>
  <c r="F19" i="27" s="1"/>
  <c r="E12" i="27"/>
  <c r="E15" i="27"/>
  <c r="E6" i="27"/>
  <c r="L19" i="27" l="1"/>
  <c r="AA18" i="27"/>
  <c r="Z18" i="27"/>
  <c r="N8" i="27" l="1"/>
  <c r="O8" i="27" l="1"/>
  <c r="O9" i="27"/>
  <c r="O19" i="27" l="1"/>
  <c r="H47" i="25"/>
  <c r="H402" i="25"/>
  <c r="I402" i="25" s="1"/>
  <c r="H301" i="25"/>
  <c r="J38" i="26"/>
  <c r="G226" i="30" l="1"/>
  <c r="F20" i="27"/>
  <c r="Y19" i="27"/>
  <c r="H226" i="30" l="1"/>
  <c r="I226" i="30" s="1"/>
  <c r="Y21" i="27"/>
  <c r="Y22" i="27" s="1"/>
  <c r="Z19" i="27"/>
  <c r="Z21" i="27" s="1"/>
  <c r="Z22" i="27" s="1"/>
  <c r="F232" i="31" l="1"/>
  <c r="E233" i="31"/>
  <c r="J233" i="31" s="1"/>
  <c r="K233" i="31" s="1"/>
  <c r="H533" i="25"/>
  <c r="H531" i="25"/>
  <c r="G530" i="25"/>
  <c r="J232" i="31" l="1"/>
  <c r="F233" i="31"/>
  <c r="H24" i="20"/>
  <c r="H25" i="20"/>
  <c r="H26" i="20"/>
  <c r="H23" i="20"/>
  <c r="H11" i="20"/>
  <c r="H12" i="20"/>
  <c r="H13" i="20"/>
  <c r="H14" i="20"/>
  <c r="H15" i="20"/>
  <c r="H17" i="20"/>
  <c r="H19" i="20"/>
  <c r="H20" i="20"/>
  <c r="H21" i="20"/>
  <c r="H22" i="20"/>
  <c r="H10" i="20"/>
  <c r="K232" i="31" l="1"/>
  <c r="L232" i="31"/>
  <c r="G5" i="22"/>
  <c r="G6" i="22"/>
  <c r="G7" i="22"/>
  <c r="G8" i="22"/>
  <c r="G9" i="22"/>
  <c r="G10" i="22"/>
  <c r="G11" i="22"/>
  <c r="G12" i="22"/>
  <c r="G13" i="22"/>
  <c r="G14" i="22"/>
  <c r="G15" i="22"/>
  <c r="G16" i="22"/>
  <c r="G4" i="22"/>
  <c r="G3" i="22"/>
  <c r="H280" i="25"/>
  <c r="H290" i="25"/>
  <c r="H19" i="22"/>
  <c r="H16" i="22"/>
  <c r="H15" i="22"/>
  <c r="H14" i="22"/>
  <c r="H10" i="22"/>
  <c r="H11" i="22"/>
  <c r="H12" i="22"/>
  <c r="H13" i="22"/>
  <c r="H9" i="22"/>
  <c r="H8" i="22"/>
  <c r="H5" i="22"/>
  <c r="H6" i="22"/>
  <c r="H7" i="22"/>
  <c r="H4" i="22"/>
  <c r="H263" i="25"/>
  <c r="F7" i="22"/>
  <c r="F8" i="22"/>
  <c r="F9" i="22"/>
  <c r="F10" i="22"/>
  <c r="F11" i="22"/>
  <c r="F12" i="22"/>
  <c r="F13" i="22"/>
  <c r="F3" i="22"/>
  <c r="D19" i="22"/>
  <c r="C5" i="22"/>
  <c r="C6" i="22"/>
  <c r="F6" i="22" s="1"/>
  <c r="C7" i="22"/>
  <c r="C8" i="22"/>
  <c r="C9" i="22"/>
  <c r="C10" i="22"/>
  <c r="C11" i="22"/>
  <c r="C12" i="22"/>
  <c r="C13" i="22"/>
  <c r="C14" i="22"/>
  <c r="F14" i="22" s="1"/>
  <c r="C15" i="22"/>
  <c r="F15" i="22" s="1"/>
  <c r="C16" i="22"/>
  <c r="F16" i="22" s="1"/>
  <c r="C4" i="22"/>
  <c r="H480" i="25"/>
  <c r="F5" i="22" l="1"/>
  <c r="C19" i="22"/>
  <c r="G19" i="22"/>
  <c r="F4" i="22"/>
  <c r="F19" i="22" l="1"/>
  <c r="I302" i="25" l="1"/>
  <c r="J302" i="25" l="1"/>
  <c r="G171" i="30"/>
  <c r="H287" i="25"/>
  <c r="H171" i="30" l="1"/>
  <c r="I171" i="30" s="1"/>
  <c r="F171" i="30"/>
  <c r="F175" i="32" s="1"/>
  <c r="H200" i="25"/>
  <c r="H211" i="25" s="1"/>
  <c r="H199" i="25"/>
  <c r="Q64" i="18"/>
  <c r="K70" i="18"/>
  <c r="K65" i="18"/>
  <c r="K64" i="18"/>
  <c r="E65" i="18"/>
  <c r="E64" i="18"/>
  <c r="K44" i="18"/>
  <c r="K41" i="18"/>
  <c r="E47" i="18"/>
  <c r="E46" i="18"/>
  <c r="E44" i="18"/>
  <c r="E41" i="18"/>
  <c r="I73" i="18"/>
  <c r="K73" i="18" s="1"/>
  <c r="I72" i="18"/>
  <c r="K72" i="18" s="1"/>
  <c r="I71" i="18"/>
  <c r="K71" i="18" s="1"/>
  <c r="C71" i="18"/>
  <c r="E71" i="18" s="1"/>
  <c r="C70" i="18"/>
  <c r="E70" i="18" s="1"/>
  <c r="I69" i="18"/>
  <c r="K69" i="18" s="1"/>
  <c r="C69" i="18"/>
  <c r="E69" i="18" s="1"/>
  <c r="I68" i="18"/>
  <c r="K68" i="18" s="1"/>
  <c r="C68" i="18"/>
  <c r="E68" i="18" s="1"/>
  <c r="I67" i="18"/>
  <c r="K67" i="18" s="1"/>
  <c r="C67" i="18"/>
  <c r="E67" i="18" s="1"/>
  <c r="I66" i="18"/>
  <c r="K66" i="18" s="1"/>
  <c r="C66" i="18"/>
  <c r="E66" i="18" s="1"/>
  <c r="O63" i="18"/>
  <c r="Q63" i="18" s="1"/>
  <c r="I63" i="18"/>
  <c r="K63" i="18" s="1"/>
  <c r="C63" i="18"/>
  <c r="E63" i="18" s="1"/>
  <c r="O62" i="18"/>
  <c r="Q62" i="18" s="1"/>
  <c r="I62" i="18"/>
  <c r="K62" i="18" s="1"/>
  <c r="C62" i="18"/>
  <c r="E62" i="18" s="1"/>
  <c r="O61" i="18"/>
  <c r="Q61" i="18" s="1"/>
  <c r="I61" i="18"/>
  <c r="K61" i="18" s="1"/>
  <c r="C61" i="18"/>
  <c r="E61" i="18" s="1"/>
  <c r="P60" i="18"/>
  <c r="O60" i="18"/>
  <c r="Q60" i="18" s="1"/>
  <c r="I60" i="18"/>
  <c r="K60" i="18" s="1"/>
  <c r="C60" i="18"/>
  <c r="E60" i="18" s="1"/>
  <c r="I53" i="18"/>
  <c r="K53" i="18" s="1"/>
  <c r="C53" i="18"/>
  <c r="E53" i="18" s="1"/>
  <c r="I52" i="18"/>
  <c r="K52" i="18" s="1"/>
  <c r="C52" i="18"/>
  <c r="E52" i="18" s="1"/>
  <c r="I51" i="18"/>
  <c r="K51" i="18" s="1"/>
  <c r="C51" i="18"/>
  <c r="E51" i="18" s="1"/>
  <c r="I50" i="18"/>
  <c r="K50" i="18" s="1"/>
  <c r="C50" i="18"/>
  <c r="E50" i="18" s="1"/>
  <c r="I49" i="18"/>
  <c r="K49" i="18" s="1"/>
  <c r="C49" i="18"/>
  <c r="E49" i="18" s="1"/>
  <c r="I48" i="18"/>
  <c r="K48" i="18" s="1"/>
  <c r="C48" i="18"/>
  <c r="E48" i="18" s="1"/>
  <c r="I47" i="18"/>
  <c r="K47" i="18" s="1"/>
  <c r="C47" i="18"/>
  <c r="I46" i="18"/>
  <c r="K46" i="18" s="1"/>
  <c r="C46" i="18"/>
  <c r="P45" i="18"/>
  <c r="O45" i="18"/>
  <c r="Q45" i="18" s="1"/>
  <c r="I45" i="18"/>
  <c r="K45" i="18" s="1"/>
  <c r="C45" i="18"/>
  <c r="E45" i="18" s="1"/>
  <c r="P44" i="18"/>
  <c r="O44" i="18"/>
  <c r="Q44" i="18" s="1"/>
  <c r="P43" i="18"/>
  <c r="Q43" i="18" s="1"/>
  <c r="I43" i="18"/>
  <c r="K43" i="18" s="1"/>
  <c r="C43" i="18"/>
  <c r="E43" i="18" s="1"/>
  <c r="P42" i="18"/>
  <c r="Q42" i="18" s="1"/>
  <c r="I42" i="18"/>
  <c r="K42" i="18" s="1"/>
  <c r="C42" i="18"/>
  <c r="E42" i="18" s="1"/>
  <c r="P41" i="18"/>
  <c r="O41" i="18"/>
  <c r="Q41" i="18" s="1"/>
  <c r="P40" i="18"/>
  <c r="O40" i="18"/>
  <c r="Q40" i="18" s="1"/>
  <c r="I40" i="18"/>
  <c r="K40" i="18" s="1"/>
  <c r="C40" i="18"/>
  <c r="E40" i="18" s="1"/>
  <c r="P39" i="18"/>
  <c r="O39" i="18"/>
  <c r="Q39" i="18" s="1"/>
  <c r="I39" i="18"/>
  <c r="K39" i="18" s="1"/>
  <c r="C39" i="18"/>
  <c r="E39" i="18" s="1"/>
  <c r="P38" i="18"/>
  <c r="O38" i="18"/>
  <c r="Q38" i="18" s="1"/>
  <c r="I38" i="18"/>
  <c r="K38" i="18" s="1"/>
  <c r="C38" i="18"/>
  <c r="E38" i="18" s="1"/>
  <c r="P37" i="18"/>
  <c r="O37" i="18"/>
  <c r="Q37" i="18" s="1"/>
  <c r="I37" i="18"/>
  <c r="K37" i="18" s="1"/>
  <c r="C37" i="18"/>
  <c r="E37" i="18" s="1"/>
  <c r="M175" i="32" l="1"/>
  <c r="N175" i="32" s="1"/>
  <c r="G175" i="32"/>
  <c r="E178" i="31"/>
  <c r="J178" i="31" s="1"/>
  <c r="K178" i="31" s="1"/>
  <c r="Q46" i="18"/>
  <c r="E54" i="18"/>
  <c r="K54" i="18"/>
  <c r="E74" i="18"/>
  <c r="K74" i="18"/>
  <c r="Q66" i="18"/>
  <c r="F178" i="31" l="1"/>
  <c r="M75" i="18"/>
  <c r="K55" i="18"/>
  <c r="H212" i="25" l="1"/>
  <c r="H131" i="25" l="1"/>
  <c r="I131" i="25" l="1"/>
  <c r="F71" i="30"/>
  <c r="F75" i="32" s="1"/>
  <c r="J131" i="25"/>
  <c r="G71" i="30"/>
  <c r="H353" i="25"/>
  <c r="H331" i="25"/>
  <c r="I645" i="25"/>
  <c r="H643" i="25"/>
  <c r="I643" i="25" s="1"/>
  <c r="I640" i="25"/>
  <c r="I639" i="25"/>
  <c r="I637" i="25"/>
  <c r="I636" i="25"/>
  <c r="I635" i="25"/>
  <c r="I634" i="25"/>
  <c r="I633" i="25"/>
  <c r="I632" i="25"/>
  <c r="I631" i="25"/>
  <c r="I630" i="25"/>
  <c r="I629" i="25"/>
  <c r="I628" i="25"/>
  <c r="I627" i="25"/>
  <c r="I626" i="25"/>
  <c r="I625" i="25"/>
  <c r="I624" i="25"/>
  <c r="I623" i="25"/>
  <c r="I622" i="25"/>
  <c r="I621" i="25"/>
  <c r="I620" i="25"/>
  <c r="I619" i="25"/>
  <c r="H615" i="25"/>
  <c r="I615" i="25" s="1"/>
  <c r="H614" i="25"/>
  <c r="I614" i="25" s="1"/>
  <c r="I613" i="25"/>
  <c r="H612" i="25"/>
  <c r="I612" i="25" s="1"/>
  <c r="H611" i="25"/>
  <c r="I611" i="25" s="1"/>
  <c r="H610" i="25"/>
  <c r="I610" i="25" s="1"/>
  <c r="I609" i="25"/>
  <c r="I608" i="25"/>
  <c r="I607" i="25"/>
  <c r="I606" i="25"/>
  <c r="I605" i="25"/>
  <c r="I604" i="25"/>
  <c r="I603" i="25"/>
  <c r="I602" i="25"/>
  <c r="I601" i="25"/>
  <c r="H600" i="25"/>
  <c r="I600" i="25" s="1"/>
  <c r="H599" i="25"/>
  <c r="I599" i="25" s="1"/>
  <c r="I597" i="25"/>
  <c r="I596" i="25"/>
  <c r="I595" i="25"/>
  <c r="I593" i="25"/>
  <c r="I592" i="25"/>
  <c r="I591" i="25"/>
  <c r="I590" i="25"/>
  <c r="I589" i="25"/>
  <c r="I588" i="25"/>
  <c r="I587" i="25"/>
  <c r="I586" i="25"/>
  <c r="I585" i="25"/>
  <c r="I584" i="25"/>
  <c r="I583" i="25"/>
  <c r="I582" i="25"/>
  <c r="I581" i="25"/>
  <c r="I580" i="25"/>
  <c r="I579" i="25"/>
  <c r="I578" i="25"/>
  <c r="I577" i="25"/>
  <c r="I576" i="25"/>
  <c r="I575" i="25"/>
  <c r="I574" i="25"/>
  <c r="I573" i="25"/>
  <c r="I572" i="25"/>
  <c r="I571" i="25"/>
  <c r="I570" i="25"/>
  <c r="I569" i="25"/>
  <c r="I568" i="25"/>
  <c r="I567" i="25"/>
  <c r="I566" i="25"/>
  <c r="I565" i="25"/>
  <c r="I564" i="25"/>
  <c r="I563" i="25"/>
  <c r="I562" i="25"/>
  <c r="I561" i="25"/>
  <c r="I560" i="25"/>
  <c r="I559" i="25"/>
  <c r="I558" i="25"/>
  <c r="I557" i="25"/>
  <c r="I556" i="25"/>
  <c r="I555" i="25"/>
  <c r="I538" i="25"/>
  <c r="H537" i="25"/>
  <c r="I537" i="25" s="1"/>
  <c r="I536" i="25"/>
  <c r="I535" i="25"/>
  <c r="I534" i="25"/>
  <c r="I533" i="25"/>
  <c r="J533" i="25" s="1"/>
  <c r="I532" i="25"/>
  <c r="I531" i="25"/>
  <c r="I527" i="25"/>
  <c r="I526" i="25"/>
  <c r="I525" i="25"/>
  <c r="I524" i="25"/>
  <c r="H518" i="25"/>
  <c r="I518" i="25" s="1"/>
  <c r="H516" i="25"/>
  <c r="I516" i="25" s="1"/>
  <c r="I480" i="25"/>
  <c r="H479" i="25"/>
  <c r="I479" i="25" s="1"/>
  <c r="I427" i="25"/>
  <c r="I426" i="25"/>
  <c r="I425" i="25"/>
  <c r="I424" i="25"/>
  <c r="I423" i="25"/>
  <c r="I422" i="25"/>
  <c r="I421" i="25"/>
  <c r="I420" i="25"/>
  <c r="I419" i="25"/>
  <c r="I418" i="25"/>
  <c r="I417" i="25"/>
  <c r="J417" i="25" s="1"/>
  <c r="I416" i="25"/>
  <c r="I415" i="25"/>
  <c r="I414" i="25"/>
  <c r="I413" i="25"/>
  <c r="I412" i="25"/>
  <c r="I411" i="25"/>
  <c r="I410" i="25"/>
  <c r="I409" i="25"/>
  <c r="I408" i="25"/>
  <c r="I407" i="25"/>
  <c r="I406" i="25"/>
  <c r="H384" i="25"/>
  <c r="I384" i="25" s="1"/>
  <c r="H382" i="25"/>
  <c r="I382" i="25" s="1"/>
  <c r="I381" i="25"/>
  <c r="H379" i="25"/>
  <c r="I379" i="25" s="1"/>
  <c r="H377" i="25"/>
  <c r="I377" i="25" s="1"/>
  <c r="I373" i="25"/>
  <c r="I372" i="25"/>
  <c r="H371" i="25"/>
  <c r="I371" i="25" s="1"/>
  <c r="I358" i="25"/>
  <c r="H356" i="25"/>
  <c r="H355" i="25"/>
  <c r="I353" i="25"/>
  <c r="G195" i="30" s="1"/>
  <c r="H352" i="25"/>
  <c r="I352" i="25" s="1"/>
  <c r="G194" i="30" s="1"/>
  <c r="H350" i="25"/>
  <c r="H349" i="25"/>
  <c r="H345" i="25"/>
  <c r="H344" i="25"/>
  <c r="H343" i="25"/>
  <c r="H340" i="25"/>
  <c r="E158" i="18" s="1"/>
  <c r="F156" i="18" s="1"/>
  <c r="H339" i="25"/>
  <c r="L164" i="18" s="1"/>
  <c r="M162" i="18" s="1"/>
  <c r="H338" i="25"/>
  <c r="L144" i="18" s="1"/>
  <c r="L145" i="18" s="1"/>
  <c r="H337" i="25"/>
  <c r="I337" i="25" s="1"/>
  <c r="G187" i="30"/>
  <c r="H329" i="25"/>
  <c r="H328" i="25"/>
  <c r="E102" i="18" s="1"/>
  <c r="F103" i="18" s="1"/>
  <c r="H327" i="25"/>
  <c r="M93" i="18" s="1"/>
  <c r="N93" i="18" s="1"/>
  <c r="H326" i="25"/>
  <c r="E86" i="18" s="1"/>
  <c r="E87" i="18" s="1"/>
  <c r="H325" i="25"/>
  <c r="I325" i="25" s="1"/>
  <c r="H324" i="25"/>
  <c r="I324" i="25" s="1"/>
  <c r="G184" i="30" s="1"/>
  <c r="H323" i="25"/>
  <c r="I323" i="25" s="1"/>
  <c r="G183" i="30" s="1"/>
  <c r="I319" i="25"/>
  <c r="I318" i="25"/>
  <c r="H317" i="25"/>
  <c r="I317" i="25" s="1"/>
  <c r="I316" i="25"/>
  <c r="I315" i="25"/>
  <c r="G176" i="30" s="1"/>
  <c r="F176" i="30" s="1"/>
  <c r="I314" i="25"/>
  <c r="I313" i="25"/>
  <c r="G174" i="30" s="1"/>
  <c r="I312" i="25"/>
  <c r="H307" i="25"/>
  <c r="I307" i="25" s="1"/>
  <c r="J307" i="25" s="1"/>
  <c r="I301" i="25"/>
  <c r="G170" i="30" s="1"/>
  <c r="I300" i="25"/>
  <c r="G169" i="30" s="1"/>
  <c r="I299" i="25"/>
  <c r="H296" i="25"/>
  <c r="H286" i="25"/>
  <c r="H284" i="25"/>
  <c r="H278" i="25"/>
  <c r="H277" i="25"/>
  <c r="H276" i="25"/>
  <c r="H275" i="25"/>
  <c r="H272" i="25"/>
  <c r="H271" i="25"/>
  <c r="H270" i="25"/>
  <c r="H269" i="25"/>
  <c r="H268" i="25"/>
  <c r="H262" i="25"/>
  <c r="I261" i="25" s="1"/>
  <c r="H258" i="25"/>
  <c r="I258" i="25" s="1"/>
  <c r="G160" i="30" s="1"/>
  <c r="F160" i="30" s="1"/>
  <c r="F164" i="32" s="1"/>
  <c r="I256" i="25"/>
  <c r="I254" i="25"/>
  <c r="I253" i="25"/>
  <c r="I252" i="25"/>
  <c r="I251" i="25"/>
  <c r="I250" i="25"/>
  <c r="H237" i="25"/>
  <c r="I237" i="25" s="1"/>
  <c r="I235" i="25"/>
  <c r="H233" i="25"/>
  <c r="I233" i="25" s="1"/>
  <c r="J233" i="25" s="1"/>
  <c r="I230" i="25"/>
  <c r="I228" i="25"/>
  <c r="I220" i="25"/>
  <c r="G128" i="30" s="1"/>
  <c r="H217" i="25"/>
  <c r="H216" i="25"/>
  <c r="H215" i="25"/>
  <c r="I214" i="25"/>
  <c r="I202" i="25"/>
  <c r="H198" i="25"/>
  <c r="H209" i="25" s="1"/>
  <c r="H196" i="25"/>
  <c r="H195" i="25"/>
  <c r="M76" i="18" s="1"/>
  <c r="M77" i="18" s="1"/>
  <c r="H207" i="25" s="1"/>
  <c r="H194" i="25"/>
  <c r="J55" i="18" s="1"/>
  <c r="K56" i="18" s="1"/>
  <c r="H206" i="25" s="1"/>
  <c r="H185" i="25"/>
  <c r="H184" i="25"/>
  <c r="H183" i="25"/>
  <c r="H181" i="25"/>
  <c r="H180" i="25"/>
  <c r="H70" i="25"/>
  <c r="H66" i="25"/>
  <c r="I66" i="25" s="1"/>
  <c r="G22" i="30" s="1"/>
  <c r="F22" i="30" s="1"/>
  <c r="F26" i="32" s="1"/>
  <c r="H60" i="25"/>
  <c r="H58" i="25"/>
  <c r="H46" i="25"/>
  <c r="H45" i="25"/>
  <c r="H42" i="25"/>
  <c r="H39" i="25"/>
  <c r="I38" i="25" s="1"/>
  <c r="H36" i="25"/>
  <c r="H35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3" i="25"/>
  <c r="H12" i="25"/>
  <c r="H11" i="25"/>
  <c r="H10" i="25"/>
  <c r="H9" i="25"/>
  <c r="F180" i="32" l="1"/>
  <c r="E183" i="31"/>
  <c r="J524" i="25"/>
  <c r="F343" i="30"/>
  <c r="G173" i="30"/>
  <c r="J312" i="25"/>
  <c r="G135" i="30"/>
  <c r="J230" i="25"/>
  <c r="M26" i="32"/>
  <c r="G26" i="32"/>
  <c r="I183" i="25"/>
  <c r="M164" i="32"/>
  <c r="G164" i="32"/>
  <c r="M75" i="32"/>
  <c r="G75" i="32"/>
  <c r="E26" i="31"/>
  <c r="E167" i="31"/>
  <c r="E75" i="31"/>
  <c r="J75" i="31" s="1"/>
  <c r="K75" i="31" s="1"/>
  <c r="H283" i="25"/>
  <c r="J314" i="25"/>
  <c r="G175" i="30"/>
  <c r="J372" i="25"/>
  <c r="G204" i="30"/>
  <c r="H170" i="30"/>
  <c r="I170" i="30" s="1"/>
  <c r="F170" i="30"/>
  <c r="F174" i="32" s="1"/>
  <c r="H174" i="30"/>
  <c r="I174" i="30" s="1"/>
  <c r="F174" i="30"/>
  <c r="F178" i="32" s="1"/>
  <c r="H208" i="25"/>
  <c r="I206" i="25" s="1"/>
  <c r="Q67" i="18"/>
  <c r="Q68" i="18" s="1"/>
  <c r="H291" i="25" s="1"/>
  <c r="H187" i="30"/>
  <c r="I187" i="30" s="1"/>
  <c r="F187" i="30"/>
  <c r="F191" i="32" s="1"/>
  <c r="H195" i="30"/>
  <c r="I195" i="30" s="1"/>
  <c r="F195" i="30"/>
  <c r="F199" i="32" s="1"/>
  <c r="J337" i="25"/>
  <c r="G189" i="30"/>
  <c r="H169" i="30"/>
  <c r="I169" i="30" s="1"/>
  <c r="F169" i="30"/>
  <c r="F173" i="32" s="1"/>
  <c r="H183" i="30"/>
  <c r="I183" i="30" s="1"/>
  <c r="J381" i="25"/>
  <c r="G211" i="30"/>
  <c r="H184" i="30"/>
  <c r="I184" i="30" s="1"/>
  <c r="F128" i="30"/>
  <c r="F132" i="32" s="1"/>
  <c r="H128" i="30"/>
  <c r="I128" i="30" s="1"/>
  <c r="H194" i="30"/>
  <c r="I194" i="30" s="1"/>
  <c r="F194" i="30"/>
  <c r="F198" i="32" s="1"/>
  <c r="J358" i="25"/>
  <c r="G197" i="30"/>
  <c r="J371" i="25"/>
  <c r="G203" i="30"/>
  <c r="J228" i="25"/>
  <c r="G134" i="30"/>
  <c r="H160" i="30"/>
  <c r="I160" i="30" s="1"/>
  <c r="H71" i="30"/>
  <c r="I71" i="30" s="1"/>
  <c r="H22" i="30"/>
  <c r="I22" i="30" s="1"/>
  <c r="J261" i="25"/>
  <c r="G161" i="30"/>
  <c r="F161" i="30" s="1"/>
  <c r="I338" i="25"/>
  <c r="G190" i="30" s="1"/>
  <c r="I275" i="25"/>
  <c r="J313" i="25"/>
  <c r="J315" i="25"/>
  <c r="J319" i="25"/>
  <c r="J323" i="25"/>
  <c r="J333" i="25"/>
  <c r="J352" i="25"/>
  <c r="J353" i="25"/>
  <c r="J317" i="25"/>
  <c r="J324" i="25"/>
  <c r="J325" i="25"/>
  <c r="J300" i="25"/>
  <c r="J301" i="25"/>
  <c r="I343" i="25"/>
  <c r="I349" i="25"/>
  <c r="G193" i="30" s="1"/>
  <c r="J220" i="25"/>
  <c r="J66" i="25"/>
  <c r="I295" i="25"/>
  <c r="I35" i="25"/>
  <c r="I9" i="25"/>
  <c r="I42" i="25"/>
  <c r="I45" i="25"/>
  <c r="I15" i="25"/>
  <c r="I268" i="25"/>
  <c r="I355" i="25"/>
  <c r="G196" i="30" s="1"/>
  <c r="I194" i="25"/>
  <c r="I255" i="25"/>
  <c r="H517" i="25"/>
  <c r="I517" i="25" s="1"/>
  <c r="I363" i="25"/>
  <c r="I326" i="25"/>
  <c r="I215" i="25"/>
  <c r="G127" i="30" s="1"/>
  <c r="F347" i="32" l="1"/>
  <c r="E350" i="31"/>
  <c r="J183" i="31"/>
  <c r="K183" i="31" s="1"/>
  <c r="F183" i="31"/>
  <c r="M180" i="32"/>
  <c r="N180" i="32" s="1"/>
  <c r="G180" i="32"/>
  <c r="J173" i="30"/>
  <c r="K173" i="30" s="1"/>
  <c r="E180" i="31"/>
  <c r="F167" i="31"/>
  <c r="J167" i="31"/>
  <c r="K167" i="31" s="1"/>
  <c r="K37" i="31"/>
  <c r="J37" i="31"/>
  <c r="F26" i="31"/>
  <c r="J26" i="31"/>
  <c r="K26" i="31" s="1"/>
  <c r="F75" i="31"/>
  <c r="H135" i="30"/>
  <c r="I135" i="30" s="1"/>
  <c r="F135" i="30"/>
  <c r="M178" i="32"/>
  <c r="N178" i="32" s="1"/>
  <c r="G178" i="32"/>
  <c r="M174" i="32"/>
  <c r="N174" i="32" s="1"/>
  <c r="G174" i="32"/>
  <c r="M198" i="32"/>
  <c r="N198" i="32" s="1"/>
  <c r="G198" i="32"/>
  <c r="M132" i="32"/>
  <c r="N132" i="32" s="1"/>
  <c r="G132" i="32"/>
  <c r="N75" i="32"/>
  <c r="N37" i="32" s="1"/>
  <c r="M37" i="32"/>
  <c r="E168" i="31"/>
  <c r="J168" i="31" s="1"/>
  <c r="F165" i="32"/>
  <c r="M173" i="32"/>
  <c r="N173" i="32" s="1"/>
  <c r="G173" i="32"/>
  <c r="G199" i="32"/>
  <c r="M199" i="32"/>
  <c r="N199" i="32" s="1"/>
  <c r="N164" i="32"/>
  <c r="M191" i="32"/>
  <c r="N191" i="32" s="1"/>
  <c r="G191" i="32"/>
  <c r="N26" i="32"/>
  <c r="N11" i="32" s="1"/>
  <c r="M11" i="32"/>
  <c r="I283" i="25"/>
  <c r="J283" i="25" s="1"/>
  <c r="E190" i="31"/>
  <c r="E181" i="31"/>
  <c r="J181" i="31" s="1"/>
  <c r="K181" i="31" s="1"/>
  <c r="E176" i="31"/>
  <c r="E194" i="31"/>
  <c r="J194" i="31" s="1"/>
  <c r="K194" i="31" s="1"/>
  <c r="E177" i="31"/>
  <c r="E135" i="31"/>
  <c r="J135" i="31" s="1"/>
  <c r="K135" i="31" s="1"/>
  <c r="E191" i="31"/>
  <c r="J191" i="31" s="1"/>
  <c r="K191" i="31" s="1"/>
  <c r="E201" i="31"/>
  <c r="E202" i="31"/>
  <c r="H197" i="30"/>
  <c r="I197" i="30" s="1"/>
  <c r="F197" i="30"/>
  <c r="F201" i="32" s="1"/>
  <c r="J204" i="30"/>
  <c r="K204" i="30" s="1"/>
  <c r="F204" i="30"/>
  <c r="F208" i="32" s="1"/>
  <c r="H190" i="30"/>
  <c r="I190" i="30" s="1"/>
  <c r="F190" i="30"/>
  <c r="F194" i="32" s="1"/>
  <c r="J203" i="30"/>
  <c r="K203" i="30" s="1"/>
  <c r="F203" i="30"/>
  <c r="F207" i="32" s="1"/>
  <c r="J189" i="30"/>
  <c r="K189" i="30" s="1"/>
  <c r="F189" i="30"/>
  <c r="F193" i="32" s="1"/>
  <c r="J295" i="25"/>
  <c r="G167" i="30"/>
  <c r="F127" i="30"/>
  <c r="F131" i="32" s="1"/>
  <c r="H127" i="30"/>
  <c r="I127" i="30" s="1"/>
  <c r="H267" i="25"/>
  <c r="I267" i="25" s="1"/>
  <c r="G186" i="30"/>
  <c r="J338" i="25"/>
  <c r="H175" i="30"/>
  <c r="I175" i="30" s="1"/>
  <c r="F175" i="30"/>
  <c r="F179" i="32" s="1"/>
  <c r="H211" i="30"/>
  <c r="I211" i="30" s="1"/>
  <c r="F211" i="30"/>
  <c r="F215" i="32" s="1"/>
  <c r="F193" i="30"/>
  <c r="F197" i="32" s="1"/>
  <c r="H193" i="30"/>
  <c r="I193" i="30" s="1"/>
  <c r="F134" i="30"/>
  <c r="F138" i="32" s="1"/>
  <c r="H134" i="30"/>
  <c r="I134" i="30" s="1"/>
  <c r="H196" i="30"/>
  <c r="I196" i="30" s="1"/>
  <c r="F196" i="30"/>
  <c r="F200" i="32" s="1"/>
  <c r="J268" i="25"/>
  <c r="G164" i="30"/>
  <c r="J275" i="25"/>
  <c r="G165" i="30"/>
  <c r="J161" i="30"/>
  <c r="K161" i="30" s="1"/>
  <c r="J363" i="25"/>
  <c r="G198" i="30"/>
  <c r="J255" i="25"/>
  <c r="G157" i="30"/>
  <c r="F157" i="30" s="1"/>
  <c r="F161" i="32" s="1"/>
  <c r="J355" i="25"/>
  <c r="J349" i="25"/>
  <c r="J326" i="25"/>
  <c r="H348" i="25"/>
  <c r="I348" i="25" s="1"/>
  <c r="F192" i="30" s="1"/>
  <c r="J215" i="25"/>
  <c r="J35" i="25"/>
  <c r="H47" i="10"/>
  <c r="G19" i="24"/>
  <c r="E19" i="24"/>
  <c r="C19" i="24"/>
  <c r="H18" i="24"/>
  <c r="F18" i="24"/>
  <c r="D18" i="24"/>
  <c r="H17" i="24"/>
  <c r="F17" i="24"/>
  <c r="D17" i="24"/>
  <c r="H16" i="24"/>
  <c r="F16" i="24"/>
  <c r="D16" i="24"/>
  <c r="H15" i="24"/>
  <c r="F15" i="24"/>
  <c r="D15" i="24"/>
  <c r="H14" i="24"/>
  <c r="F14" i="24"/>
  <c r="D14" i="24"/>
  <c r="H13" i="24"/>
  <c r="F13" i="24"/>
  <c r="D13" i="24"/>
  <c r="H12" i="24"/>
  <c r="F12" i="24"/>
  <c r="D12" i="24"/>
  <c r="H11" i="24"/>
  <c r="F11" i="24"/>
  <c r="D11" i="24"/>
  <c r="H10" i="24"/>
  <c r="F10" i="24"/>
  <c r="D10" i="24"/>
  <c r="H9" i="24"/>
  <c r="F9" i="24"/>
  <c r="D9" i="24"/>
  <c r="H8" i="24"/>
  <c r="F8" i="24"/>
  <c r="D8" i="24"/>
  <c r="H7" i="24"/>
  <c r="F7" i="24"/>
  <c r="D7" i="24"/>
  <c r="H6" i="24"/>
  <c r="F6" i="24"/>
  <c r="D6" i="24"/>
  <c r="H5" i="24"/>
  <c r="F5" i="24"/>
  <c r="F19" i="24" s="1"/>
  <c r="D5" i="24"/>
  <c r="D19" i="24" s="1"/>
  <c r="H4" i="24"/>
  <c r="H19" i="24" s="1"/>
  <c r="F4" i="24"/>
  <c r="D4" i="24"/>
  <c r="F196" i="32" l="1"/>
  <c r="E199" i="31"/>
  <c r="J350" i="31"/>
  <c r="F350" i="31"/>
  <c r="F191" i="31"/>
  <c r="F194" i="31"/>
  <c r="M347" i="32"/>
  <c r="G347" i="32"/>
  <c r="J180" i="31"/>
  <c r="L180" i="31" s="1"/>
  <c r="F180" i="31"/>
  <c r="J11" i="31"/>
  <c r="L168" i="31"/>
  <c r="F201" i="31"/>
  <c r="J201" i="31"/>
  <c r="K201" i="31" s="1"/>
  <c r="F176" i="31"/>
  <c r="J176" i="31"/>
  <c r="K176" i="31" s="1"/>
  <c r="F202" i="31"/>
  <c r="J202" i="31"/>
  <c r="K202" i="31" s="1"/>
  <c r="F177" i="31"/>
  <c r="J177" i="31"/>
  <c r="K177" i="31" s="1"/>
  <c r="F190" i="31"/>
  <c r="J190" i="31"/>
  <c r="K190" i="31" s="1"/>
  <c r="F181" i="31"/>
  <c r="F139" i="32"/>
  <c r="E142" i="31"/>
  <c r="J142" i="31" s="1"/>
  <c r="K142" i="31" s="1"/>
  <c r="G201" i="32"/>
  <c r="M201" i="32"/>
  <c r="N201" i="32" s="1"/>
  <c r="M197" i="32"/>
  <c r="N197" i="32" s="1"/>
  <c r="G197" i="32"/>
  <c r="M215" i="32"/>
  <c r="G215" i="32"/>
  <c r="G179" i="32"/>
  <c r="M179" i="32"/>
  <c r="N179" i="32" s="1"/>
  <c r="G161" i="32"/>
  <c r="M161" i="32"/>
  <c r="N161" i="32" s="1"/>
  <c r="M193" i="32"/>
  <c r="G193" i="32"/>
  <c r="G138" i="32"/>
  <c r="M138" i="32"/>
  <c r="N138" i="32" s="1"/>
  <c r="G165" i="32"/>
  <c r="M165" i="32"/>
  <c r="G166" i="30"/>
  <c r="F166" i="30" s="1"/>
  <c r="F170" i="32" s="1"/>
  <c r="M131" i="32"/>
  <c r="G131" i="32"/>
  <c r="F168" i="31"/>
  <c r="G207" i="32"/>
  <c r="M207" i="32"/>
  <c r="G194" i="32"/>
  <c r="M194" i="32"/>
  <c r="N194" i="32" s="1"/>
  <c r="G208" i="32"/>
  <c r="M208" i="32"/>
  <c r="M200" i="32"/>
  <c r="N200" i="32" s="1"/>
  <c r="G200" i="32"/>
  <c r="F135" i="31"/>
  <c r="E200" i="31"/>
  <c r="E182" i="31"/>
  <c r="J182" i="31" s="1"/>
  <c r="K182" i="31" s="1"/>
  <c r="E196" i="31"/>
  <c r="J196" i="31" s="1"/>
  <c r="E164" i="31"/>
  <c r="E210" i="31"/>
  <c r="E211" i="31"/>
  <c r="E197" i="31"/>
  <c r="E134" i="31"/>
  <c r="E203" i="31"/>
  <c r="E204" i="31"/>
  <c r="E141" i="31"/>
  <c r="F217" i="31"/>
  <c r="E218" i="31"/>
  <c r="J218" i="31" s="1"/>
  <c r="K218" i="31" s="1"/>
  <c r="L11" i="31"/>
  <c r="K472" i="30"/>
  <c r="H198" i="30"/>
  <c r="I198" i="30" s="1"/>
  <c r="F198" i="30"/>
  <c r="F202" i="32" s="1"/>
  <c r="J267" i="25"/>
  <c r="G163" i="30"/>
  <c r="H165" i="30"/>
  <c r="I165" i="30" s="1"/>
  <c r="F165" i="30"/>
  <c r="F169" i="32" s="1"/>
  <c r="H164" i="30"/>
  <c r="I164" i="30" s="1"/>
  <c r="F164" i="30"/>
  <c r="F168" i="32" s="1"/>
  <c r="H167" i="30"/>
  <c r="I167" i="30" s="1"/>
  <c r="F167" i="30"/>
  <c r="F171" i="32" s="1"/>
  <c r="H186" i="30"/>
  <c r="I186" i="30" s="1"/>
  <c r="F186" i="30"/>
  <c r="F190" i="32" s="1"/>
  <c r="H157" i="30"/>
  <c r="I157" i="30" s="1"/>
  <c r="K11" i="31"/>
  <c r="D3" i="21"/>
  <c r="E3" i="21" s="1"/>
  <c r="N347" i="32" l="1"/>
  <c r="N341" i="32" s="1"/>
  <c r="M341" i="32"/>
  <c r="K350" i="31"/>
  <c r="K344" i="31" s="1"/>
  <c r="J344" i="31"/>
  <c r="F199" i="31"/>
  <c r="J199" i="31"/>
  <c r="L199" i="31" s="1"/>
  <c r="G196" i="32"/>
  <c r="M196" i="32"/>
  <c r="N196" i="32" s="1"/>
  <c r="F200" i="31"/>
  <c r="J200" i="31"/>
  <c r="K200" i="31" s="1"/>
  <c r="J215" i="31"/>
  <c r="F204" i="31"/>
  <c r="J204" i="31"/>
  <c r="K204" i="31" s="1"/>
  <c r="F141" i="31"/>
  <c r="J141" i="31"/>
  <c r="K141" i="31" s="1"/>
  <c r="F203" i="31"/>
  <c r="J203" i="31"/>
  <c r="K203" i="31" s="1"/>
  <c r="F134" i="31"/>
  <c r="J134" i="31"/>
  <c r="K134" i="31" s="1"/>
  <c r="F197" i="31"/>
  <c r="J197" i="31"/>
  <c r="K197" i="31" s="1"/>
  <c r="F211" i="31"/>
  <c r="J211" i="31"/>
  <c r="F210" i="31"/>
  <c r="J210" i="31"/>
  <c r="L196" i="31"/>
  <c r="F164" i="31"/>
  <c r="J164" i="31"/>
  <c r="K164" i="31" s="1"/>
  <c r="E173" i="31"/>
  <c r="J173" i="31" s="1"/>
  <c r="K173" i="31" s="1"/>
  <c r="F182" i="31"/>
  <c r="F142" i="31"/>
  <c r="M139" i="32"/>
  <c r="N139" i="32" s="1"/>
  <c r="G139" i="32"/>
  <c r="N131" i="32"/>
  <c r="M170" i="32"/>
  <c r="N170" i="32" s="1"/>
  <c r="G170" i="32"/>
  <c r="O165" i="32"/>
  <c r="O163" i="32" s="1"/>
  <c r="N165" i="32"/>
  <c r="M169" i="32"/>
  <c r="N169" i="32" s="1"/>
  <c r="G169" i="32"/>
  <c r="M202" i="32"/>
  <c r="N202" i="32" s="1"/>
  <c r="G202" i="32"/>
  <c r="O193" i="32"/>
  <c r="N193" i="32"/>
  <c r="G171" i="32"/>
  <c r="M171" i="32"/>
  <c r="N171" i="32" s="1"/>
  <c r="F196" i="31"/>
  <c r="H166" i="30"/>
  <c r="I166" i="30" s="1"/>
  <c r="M190" i="32"/>
  <c r="N190" i="32" s="1"/>
  <c r="G190" i="32"/>
  <c r="O208" i="32"/>
  <c r="N208" i="32"/>
  <c r="N215" i="32"/>
  <c r="N212" i="32" s="1"/>
  <c r="M212" i="32"/>
  <c r="M168" i="32"/>
  <c r="N168" i="32" s="1"/>
  <c r="G168" i="32"/>
  <c r="O207" i="32"/>
  <c r="N207" i="32"/>
  <c r="E174" i="31"/>
  <c r="E171" i="31"/>
  <c r="E205" i="31"/>
  <c r="J205" i="31" s="1"/>
  <c r="K205" i="31" s="1"/>
  <c r="E193" i="31"/>
  <c r="J193" i="31" s="1"/>
  <c r="K193" i="31" s="1"/>
  <c r="E172" i="31"/>
  <c r="J172" i="31" s="1"/>
  <c r="K172" i="31" s="1"/>
  <c r="F218" i="31"/>
  <c r="H163" i="30"/>
  <c r="I163" i="30" s="1"/>
  <c r="F163" i="30"/>
  <c r="F167" i="32" s="1"/>
  <c r="C9" i="21"/>
  <c r="E13" i="21" s="1"/>
  <c r="E14" i="21" s="1"/>
  <c r="E9" i="21"/>
  <c r="K195" i="31" l="1"/>
  <c r="J195" i="31"/>
  <c r="L211" i="31"/>
  <c r="L210" i="31"/>
  <c r="F174" i="31"/>
  <c r="J174" i="31"/>
  <c r="K174" i="31" s="1"/>
  <c r="F171" i="31"/>
  <c r="J171" i="31"/>
  <c r="K171" i="31" s="1"/>
  <c r="F173" i="31"/>
  <c r="J126" i="31"/>
  <c r="M192" i="32"/>
  <c r="M123" i="32"/>
  <c r="N123" i="32"/>
  <c r="N192" i="32"/>
  <c r="I472" i="30"/>
  <c r="Q472" i="30" s="1"/>
  <c r="I475" i="30" s="1"/>
  <c r="J475" i="30" s="1"/>
  <c r="F172" i="31"/>
  <c r="O192" i="32"/>
  <c r="O10" i="32" s="1"/>
  <c r="O9" i="32" s="1"/>
  <c r="M167" i="32"/>
  <c r="G167" i="32"/>
  <c r="F193" i="31"/>
  <c r="F205" i="31"/>
  <c r="E170" i="31"/>
  <c r="K126" i="31"/>
  <c r="K215" i="31"/>
  <c r="L215" i="31"/>
  <c r="E3" i="20"/>
  <c r="C29" i="20"/>
  <c r="C28" i="20"/>
  <c r="C27" i="20"/>
  <c r="C8" i="20"/>
  <c r="C7" i="20"/>
  <c r="C6" i="20"/>
  <c r="C5" i="20"/>
  <c r="C4" i="20"/>
  <c r="C3" i="20"/>
  <c r="B18" i="20"/>
  <c r="H18" i="20" s="1"/>
  <c r="B16" i="20"/>
  <c r="H16" i="20" s="1"/>
  <c r="L195" i="31" l="1"/>
  <c r="F170" i="31"/>
  <c r="J170" i="31"/>
  <c r="K170" i="31" s="1"/>
  <c r="N167" i="32"/>
  <c r="N163" i="32" s="1"/>
  <c r="N10" i="32" s="1"/>
  <c r="M163" i="32"/>
  <c r="M10" i="32" s="1"/>
  <c r="M448" i="32" s="1"/>
  <c r="I474" i="30"/>
  <c r="L166" i="31"/>
  <c r="L10" i="31" s="1"/>
  <c r="L9" i="31" s="1"/>
  <c r="I582" i="10"/>
  <c r="N582" i="10" s="1"/>
  <c r="H580" i="10"/>
  <c r="I580" i="10" s="1"/>
  <c r="N580" i="10" s="1"/>
  <c r="I577" i="10"/>
  <c r="N577" i="10" s="1"/>
  <c r="I576" i="10"/>
  <c r="N576" i="10" s="1"/>
  <c r="I574" i="10"/>
  <c r="N574" i="10" s="1"/>
  <c r="I573" i="10"/>
  <c r="N573" i="10" s="1"/>
  <c r="I572" i="10"/>
  <c r="N572" i="10" s="1"/>
  <c r="I571" i="10"/>
  <c r="N571" i="10" s="1"/>
  <c r="I570" i="10"/>
  <c r="N570" i="10" s="1"/>
  <c r="I569" i="10"/>
  <c r="N569" i="10" s="1"/>
  <c r="I568" i="10"/>
  <c r="N568" i="10" s="1"/>
  <c r="N567" i="10"/>
  <c r="I567" i="10"/>
  <c r="I566" i="10"/>
  <c r="N566" i="10" s="1"/>
  <c r="I565" i="10"/>
  <c r="N565" i="10" s="1"/>
  <c r="I564" i="10"/>
  <c r="N564" i="10" s="1"/>
  <c r="I563" i="10"/>
  <c r="N563" i="10" s="1"/>
  <c r="I562" i="10"/>
  <c r="N562" i="10" s="1"/>
  <c r="I561" i="10"/>
  <c r="N561" i="10" s="1"/>
  <c r="I560" i="10"/>
  <c r="N560" i="10" s="1"/>
  <c r="I559" i="10"/>
  <c r="N559" i="10" s="1"/>
  <c r="I558" i="10"/>
  <c r="N558" i="10" s="1"/>
  <c r="I557" i="10"/>
  <c r="N557" i="10" s="1"/>
  <c r="I556" i="10"/>
  <c r="N556" i="10" s="1"/>
  <c r="H554" i="10"/>
  <c r="H553" i="10"/>
  <c r="I553" i="10" s="1"/>
  <c r="N553" i="10" s="1"/>
  <c r="H552" i="10"/>
  <c r="I552" i="10" s="1"/>
  <c r="N552" i="10" s="1"/>
  <c r="H551" i="10"/>
  <c r="I551" i="10" s="1"/>
  <c r="N551" i="10" s="1"/>
  <c r="I550" i="10"/>
  <c r="N550" i="10" s="1"/>
  <c r="H549" i="10"/>
  <c r="I549" i="10" s="1"/>
  <c r="N549" i="10" s="1"/>
  <c r="H548" i="10"/>
  <c r="I548" i="10" s="1"/>
  <c r="N548" i="10" s="1"/>
  <c r="H547" i="10"/>
  <c r="I547" i="10" s="1"/>
  <c r="N547" i="10" s="1"/>
  <c r="I546" i="10"/>
  <c r="N546" i="10" s="1"/>
  <c r="I545" i="10"/>
  <c r="N545" i="10" s="1"/>
  <c r="I544" i="10"/>
  <c r="N544" i="10" s="1"/>
  <c r="I543" i="10"/>
  <c r="N543" i="10" s="1"/>
  <c r="I542" i="10"/>
  <c r="N542" i="10" s="1"/>
  <c r="I541" i="10"/>
  <c r="N541" i="10" s="1"/>
  <c r="I540" i="10"/>
  <c r="N540" i="10" s="1"/>
  <c r="I539" i="10"/>
  <c r="N539" i="10" s="1"/>
  <c r="I538" i="10"/>
  <c r="N538" i="10" s="1"/>
  <c r="I537" i="10"/>
  <c r="N537" i="10" s="1"/>
  <c r="H537" i="10"/>
  <c r="H536" i="10"/>
  <c r="I536" i="10" s="1"/>
  <c r="N536" i="10" s="1"/>
  <c r="I534" i="10"/>
  <c r="N534" i="10" s="1"/>
  <c r="I533" i="10"/>
  <c r="N533" i="10" s="1"/>
  <c r="I532" i="10"/>
  <c r="N532" i="10" s="1"/>
  <c r="I530" i="10"/>
  <c r="N530" i="10" s="1"/>
  <c r="I529" i="10"/>
  <c r="N529" i="10" s="1"/>
  <c r="I528" i="10"/>
  <c r="N528" i="10" s="1"/>
  <c r="I527" i="10"/>
  <c r="N527" i="10" s="1"/>
  <c r="I526" i="10"/>
  <c r="N526" i="10" s="1"/>
  <c r="I525" i="10"/>
  <c r="N525" i="10" s="1"/>
  <c r="I524" i="10"/>
  <c r="N524" i="10" s="1"/>
  <c r="I523" i="10"/>
  <c r="N523" i="10" s="1"/>
  <c r="I522" i="10"/>
  <c r="N522" i="10" s="1"/>
  <c r="I521" i="10"/>
  <c r="N521" i="10" s="1"/>
  <c r="I520" i="10"/>
  <c r="N520" i="10" s="1"/>
  <c r="I519" i="10"/>
  <c r="N519" i="10" s="1"/>
  <c r="I518" i="10"/>
  <c r="N518" i="10" s="1"/>
  <c r="I517" i="10"/>
  <c r="N517" i="10" s="1"/>
  <c r="I516" i="10"/>
  <c r="N516" i="10" s="1"/>
  <c r="I515" i="10"/>
  <c r="N515" i="10" s="1"/>
  <c r="I514" i="10"/>
  <c r="N514" i="10" s="1"/>
  <c r="I513" i="10"/>
  <c r="N513" i="10" s="1"/>
  <c r="I512" i="10"/>
  <c r="N512" i="10" s="1"/>
  <c r="I511" i="10"/>
  <c r="N511" i="10" s="1"/>
  <c r="I510" i="10"/>
  <c r="N510" i="10" s="1"/>
  <c r="I509" i="10"/>
  <c r="N509" i="10" s="1"/>
  <c r="I508" i="10"/>
  <c r="N508" i="10" s="1"/>
  <c r="I507" i="10"/>
  <c r="N507" i="10" s="1"/>
  <c r="I506" i="10"/>
  <c r="N506" i="10" s="1"/>
  <c r="I505" i="10"/>
  <c r="N505" i="10" s="1"/>
  <c r="I504" i="10"/>
  <c r="N504" i="10" s="1"/>
  <c r="I503" i="10"/>
  <c r="N503" i="10" s="1"/>
  <c r="I502" i="10"/>
  <c r="N502" i="10" s="1"/>
  <c r="I501" i="10"/>
  <c r="N501" i="10" s="1"/>
  <c r="I500" i="10"/>
  <c r="N500" i="10" s="1"/>
  <c r="I499" i="10"/>
  <c r="N499" i="10" s="1"/>
  <c r="I498" i="10"/>
  <c r="N498" i="10" s="1"/>
  <c r="I497" i="10"/>
  <c r="N497" i="10" s="1"/>
  <c r="I496" i="10"/>
  <c r="N496" i="10" s="1"/>
  <c r="I495" i="10"/>
  <c r="N495" i="10" s="1"/>
  <c r="I494" i="10"/>
  <c r="N494" i="10" s="1"/>
  <c r="I493" i="10"/>
  <c r="N493" i="10" s="1"/>
  <c r="I492" i="10"/>
  <c r="N492" i="10" s="1"/>
  <c r="I490" i="10"/>
  <c r="N490" i="10" s="1"/>
  <c r="H489" i="10"/>
  <c r="I489" i="10" s="1"/>
  <c r="N489" i="10" s="1"/>
  <c r="I488" i="10"/>
  <c r="N488" i="10" s="1"/>
  <c r="I487" i="10"/>
  <c r="N487" i="10" s="1"/>
  <c r="I486" i="10"/>
  <c r="N486" i="10" s="1"/>
  <c r="I485" i="10"/>
  <c r="N485" i="10" s="1"/>
  <c r="I484" i="10"/>
  <c r="N484" i="10" s="1"/>
  <c r="H483" i="10"/>
  <c r="I483" i="10" s="1"/>
  <c r="N483" i="10" s="1"/>
  <c r="I479" i="10"/>
  <c r="N479" i="10" s="1"/>
  <c r="I478" i="10"/>
  <c r="N478" i="10" s="1"/>
  <c r="I477" i="10"/>
  <c r="N477" i="10" s="1"/>
  <c r="H476" i="10"/>
  <c r="I476" i="10" s="1"/>
  <c r="N476" i="10" s="1"/>
  <c r="N475" i="10"/>
  <c r="I475" i="10"/>
  <c r="I474" i="10"/>
  <c r="N474" i="10" s="1"/>
  <c r="H473" i="10"/>
  <c r="I473" i="10" s="1"/>
  <c r="N473" i="10" s="1"/>
  <c r="H471" i="10"/>
  <c r="H472" i="10" s="1"/>
  <c r="I472" i="10" s="1"/>
  <c r="N472" i="10" s="1"/>
  <c r="H435" i="10"/>
  <c r="I435" i="10" s="1"/>
  <c r="N435" i="10" s="1"/>
  <c r="H434" i="10"/>
  <c r="I434" i="10" s="1"/>
  <c r="N434" i="10" s="1"/>
  <c r="I382" i="10"/>
  <c r="N382" i="10" s="1"/>
  <c r="I381" i="10"/>
  <c r="N381" i="10" s="1"/>
  <c r="I380" i="10"/>
  <c r="N380" i="10" s="1"/>
  <c r="I379" i="10"/>
  <c r="N379" i="10" s="1"/>
  <c r="N378" i="10"/>
  <c r="I378" i="10"/>
  <c r="N377" i="10"/>
  <c r="I377" i="10"/>
  <c r="I376" i="10"/>
  <c r="N376" i="10" s="1"/>
  <c r="I375" i="10"/>
  <c r="N375" i="10" s="1"/>
  <c r="I374" i="10"/>
  <c r="N374" i="10" s="1"/>
  <c r="I373" i="10"/>
  <c r="N373" i="10" s="1"/>
  <c r="I372" i="10"/>
  <c r="N372" i="10" s="1"/>
  <c r="I371" i="10"/>
  <c r="N371" i="10" s="1"/>
  <c r="I370" i="10"/>
  <c r="N370" i="10" s="1"/>
  <c r="I369" i="10"/>
  <c r="N369" i="10" s="1"/>
  <c r="I368" i="10"/>
  <c r="N368" i="10" s="1"/>
  <c r="I367" i="10"/>
  <c r="N367" i="10" s="1"/>
  <c r="I366" i="10"/>
  <c r="N366" i="10" s="1"/>
  <c r="I365" i="10"/>
  <c r="N365" i="10" s="1"/>
  <c r="I364" i="10"/>
  <c r="N364" i="10" s="1"/>
  <c r="N363" i="10"/>
  <c r="I363" i="10"/>
  <c r="I362" i="10"/>
  <c r="N362" i="10" s="1"/>
  <c r="I361" i="10"/>
  <c r="N361" i="10" s="1"/>
  <c r="H345" i="10"/>
  <c r="I345" i="10" s="1"/>
  <c r="N345" i="10" s="1"/>
  <c r="H343" i="10"/>
  <c r="I343" i="10" s="1"/>
  <c r="N343" i="10" s="1"/>
  <c r="I342" i="10"/>
  <c r="N342" i="10" s="1"/>
  <c r="H340" i="10"/>
  <c r="I340" i="10" s="1"/>
  <c r="N340" i="10" s="1"/>
  <c r="H338" i="10"/>
  <c r="I338" i="10" s="1"/>
  <c r="N338" i="10" s="1"/>
  <c r="H334" i="10"/>
  <c r="I334" i="10" s="1"/>
  <c r="N334" i="10" s="1"/>
  <c r="H333" i="10"/>
  <c r="I333" i="10" s="1"/>
  <c r="N333" i="10" s="1"/>
  <c r="I332" i="10"/>
  <c r="N332" i="10" s="1"/>
  <c r="H332" i="10"/>
  <c r="H325" i="10"/>
  <c r="H324" i="10"/>
  <c r="H322" i="10"/>
  <c r="H321" i="10"/>
  <c r="H320" i="10"/>
  <c r="H318" i="10"/>
  <c r="H317" i="10"/>
  <c r="I317" i="10" s="1"/>
  <c r="N317" i="10" s="1"/>
  <c r="H315" i="10"/>
  <c r="I315" i="10" s="1"/>
  <c r="N315" i="10" s="1"/>
  <c r="H314" i="10"/>
  <c r="I314" i="10" s="1"/>
  <c r="N314" i="10" s="1"/>
  <c r="H312" i="10"/>
  <c r="H311" i="10"/>
  <c r="I311" i="10" s="1"/>
  <c r="N311" i="10" s="1"/>
  <c r="H308" i="10"/>
  <c r="H307" i="10"/>
  <c r="H306" i="10"/>
  <c r="I306" i="10" s="1"/>
  <c r="N306" i="10" s="1"/>
  <c r="H304" i="10"/>
  <c r="H303" i="10"/>
  <c r="H302" i="10"/>
  <c r="I302" i="10" s="1"/>
  <c r="N302" i="10" s="1"/>
  <c r="H301" i="10"/>
  <c r="I301" i="10" s="1"/>
  <c r="H297" i="10"/>
  <c r="I297" i="10" s="1"/>
  <c r="N297" i="10" s="1"/>
  <c r="H294" i="10"/>
  <c r="H293" i="10"/>
  <c r="H292" i="10"/>
  <c r="H291" i="10"/>
  <c r="H290" i="10"/>
  <c r="I290" i="10" s="1"/>
  <c r="H289" i="10"/>
  <c r="I289" i="10" s="1"/>
  <c r="N289" i="10" s="1"/>
  <c r="H288" i="10"/>
  <c r="I288" i="10" s="1"/>
  <c r="N288" i="10" s="1"/>
  <c r="H287" i="10"/>
  <c r="I287" i="10" s="1"/>
  <c r="N287" i="10" s="1"/>
  <c r="H286" i="10"/>
  <c r="I286" i="10" s="1"/>
  <c r="N286" i="10" s="1"/>
  <c r="N285" i="10"/>
  <c r="I284" i="10"/>
  <c r="N284" i="10" s="1"/>
  <c r="I283" i="10"/>
  <c r="N283" i="10" s="1"/>
  <c r="H282" i="10"/>
  <c r="I282" i="10" s="1"/>
  <c r="N282" i="10" s="1"/>
  <c r="I281" i="10"/>
  <c r="N281" i="10" s="1"/>
  <c r="H280" i="10"/>
  <c r="I280" i="10" s="1"/>
  <c r="N280" i="10" s="1"/>
  <c r="H279" i="10"/>
  <c r="I279" i="10" s="1"/>
  <c r="N279" i="10" s="1"/>
  <c r="G279" i="10"/>
  <c r="H278" i="10"/>
  <c r="I278" i="10" s="1"/>
  <c r="N278" i="10" s="1"/>
  <c r="H277" i="10"/>
  <c r="I277" i="10" s="1"/>
  <c r="N277" i="10" s="1"/>
  <c r="H276" i="10"/>
  <c r="I276" i="10" s="1"/>
  <c r="N276" i="10" s="1"/>
  <c r="I275" i="10"/>
  <c r="N275" i="10" s="1"/>
  <c r="H274" i="10"/>
  <c r="I274" i="10" s="1"/>
  <c r="N274" i="10" s="1"/>
  <c r="I273" i="10"/>
  <c r="N273" i="10" s="1"/>
  <c r="H272" i="10"/>
  <c r="I272" i="10" s="1"/>
  <c r="N272" i="10" s="1"/>
  <c r="H270" i="10"/>
  <c r="H269" i="10"/>
  <c r="I269" i="10" s="1"/>
  <c r="N269" i="10" s="1"/>
  <c r="H267" i="10"/>
  <c r="H266" i="10"/>
  <c r="H264" i="10"/>
  <c r="H263" i="10"/>
  <c r="H259" i="10"/>
  <c r="H258" i="10"/>
  <c r="H257" i="10"/>
  <c r="I257" i="10" s="1"/>
  <c r="N257" i="10" s="1"/>
  <c r="H255" i="10"/>
  <c r="H254" i="10"/>
  <c r="H253" i="10"/>
  <c r="H252" i="10"/>
  <c r="H251" i="10"/>
  <c r="H250" i="10"/>
  <c r="I250" i="10" s="1"/>
  <c r="N250" i="10" s="1"/>
  <c r="N248" i="10"/>
  <c r="H245" i="10"/>
  <c r="H244" i="10"/>
  <c r="H243" i="10"/>
  <c r="I243" i="10" s="1"/>
  <c r="N243" i="10" s="1"/>
  <c r="H241" i="10"/>
  <c r="H240" i="10"/>
  <c r="I240" i="10" s="1"/>
  <c r="N240" i="10" s="1"/>
  <c r="I238" i="10"/>
  <c r="N238" i="10" s="1"/>
  <c r="H237" i="10"/>
  <c r="I237" i="10" s="1"/>
  <c r="N237" i="10" s="1"/>
  <c r="I236" i="10"/>
  <c r="N236" i="10" s="1"/>
  <c r="N235" i="10"/>
  <c r="I235" i="10"/>
  <c r="I234" i="10"/>
  <c r="N234" i="10" s="1"/>
  <c r="I233" i="10"/>
  <c r="N233" i="10" s="1"/>
  <c r="I232" i="10"/>
  <c r="N232" i="10" s="1"/>
  <c r="H219" i="10"/>
  <c r="I219" i="10" s="1"/>
  <c r="N219" i="10" s="1"/>
  <c r="I217" i="10"/>
  <c r="N217" i="10" s="1"/>
  <c r="H215" i="10"/>
  <c r="I215" i="10" s="1"/>
  <c r="N215" i="10" s="1"/>
  <c r="H212" i="10"/>
  <c r="I212" i="10" s="1"/>
  <c r="N212" i="10" s="1"/>
  <c r="I210" i="10"/>
  <c r="N210" i="10" s="1"/>
  <c r="H202" i="10"/>
  <c r="I202" i="10" s="1"/>
  <c r="N202" i="10" s="1"/>
  <c r="G199" i="10"/>
  <c r="H198" i="10"/>
  <c r="H197" i="10"/>
  <c r="H196" i="10"/>
  <c r="I196" i="10" s="1"/>
  <c r="N196" i="10" s="1"/>
  <c r="I195" i="10"/>
  <c r="N195" i="10" s="1"/>
  <c r="I187" i="10"/>
  <c r="N187" i="10" s="1"/>
  <c r="I183" i="10"/>
  <c r="N183" i="10" s="1"/>
  <c r="H180" i="10"/>
  <c r="H179" i="10"/>
  <c r="H178" i="10"/>
  <c r="H177" i="10"/>
  <c r="H176" i="10"/>
  <c r="H175" i="10"/>
  <c r="I175" i="10" s="1"/>
  <c r="N175" i="10" s="1"/>
  <c r="I174" i="10"/>
  <c r="N174" i="10" s="1"/>
  <c r="H170" i="10"/>
  <c r="H169" i="10"/>
  <c r="H168" i="10"/>
  <c r="I168" i="10" s="1"/>
  <c r="N168" i="10" s="1"/>
  <c r="H166" i="10"/>
  <c r="H165" i="10"/>
  <c r="I165" i="10" s="1"/>
  <c r="N165" i="10" s="1"/>
  <c r="I117" i="10"/>
  <c r="N117" i="10" s="1"/>
  <c r="N116" i="10"/>
  <c r="N115" i="10"/>
  <c r="I77" i="10"/>
  <c r="N77" i="10" s="1"/>
  <c r="I76" i="10"/>
  <c r="N76" i="10" s="1"/>
  <c r="H75" i="10"/>
  <c r="I75" i="10" s="1"/>
  <c r="N75" i="10" s="1"/>
  <c r="I74" i="10"/>
  <c r="N74" i="10" s="1"/>
  <c r="I72" i="10"/>
  <c r="N72" i="10" s="1"/>
  <c r="I71" i="10"/>
  <c r="N71" i="10" s="1"/>
  <c r="N70" i="10"/>
  <c r="I70" i="10"/>
  <c r="I69" i="10"/>
  <c r="N69" i="10" s="1"/>
  <c r="H68" i="10"/>
  <c r="I68" i="10" s="1"/>
  <c r="N68" i="10" s="1"/>
  <c r="H67" i="10"/>
  <c r="I67" i="10" s="1"/>
  <c r="N67" i="10" s="1"/>
  <c r="H64" i="10"/>
  <c r="I64" i="10" s="1"/>
  <c r="N64" i="10" s="1"/>
  <c r="I63" i="10"/>
  <c r="N63" i="10" s="1"/>
  <c r="H62" i="10"/>
  <c r="I62" i="10" s="1"/>
  <c r="N62" i="10" s="1"/>
  <c r="I60" i="10"/>
  <c r="N60" i="10" s="1"/>
  <c r="H58" i="10"/>
  <c r="I58" i="10" s="1"/>
  <c r="N58" i="10" s="1"/>
  <c r="I56" i="10"/>
  <c r="N56" i="10" s="1"/>
  <c r="H56" i="10"/>
  <c r="I52" i="10"/>
  <c r="N52" i="10" s="1"/>
  <c r="H50" i="10"/>
  <c r="H48" i="10"/>
  <c r="H46" i="10"/>
  <c r="H45" i="10"/>
  <c r="I45" i="10" s="1"/>
  <c r="N45" i="10" s="1"/>
  <c r="H42" i="10"/>
  <c r="I42" i="10" s="1"/>
  <c r="N42" i="10" s="1"/>
  <c r="H39" i="10"/>
  <c r="I38" i="10"/>
  <c r="N38" i="10" s="1"/>
  <c r="H36" i="10"/>
  <c r="H35" i="10"/>
  <c r="I35" i="10" s="1"/>
  <c r="N35" i="10" s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3" i="10"/>
  <c r="H12" i="10"/>
  <c r="H11" i="10"/>
  <c r="H10" i="10"/>
  <c r="H9" i="10"/>
  <c r="I9" i="10" s="1"/>
  <c r="N9" i="10" s="1"/>
  <c r="J166" i="31" l="1"/>
  <c r="J10" i="31" s="1"/>
  <c r="M9" i="32"/>
  <c r="N448" i="32"/>
  <c r="N9" i="32" s="1"/>
  <c r="P9" i="32" s="1"/>
  <c r="I263" i="10"/>
  <c r="N263" i="10" s="1"/>
  <c r="K166" i="31"/>
  <c r="K10" i="31" s="1"/>
  <c r="I320" i="10"/>
  <c r="N320" i="10" s="1"/>
  <c r="I324" i="10"/>
  <c r="N324" i="10" s="1"/>
  <c r="I15" i="10"/>
  <c r="N15" i="10" s="1"/>
  <c r="H310" i="10"/>
  <c r="I310" i="10" s="1"/>
  <c r="N310" i="10" s="1"/>
  <c r="N301" i="10"/>
  <c r="H249" i="10"/>
  <c r="I249" i="10" s="1"/>
  <c r="N249" i="10" s="1"/>
  <c r="N290" i="10"/>
  <c r="I471" i="10"/>
  <c r="N471" i="10" s="1"/>
  <c r="J467" i="31" l="1"/>
  <c r="J9" i="31" s="1"/>
  <c r="D13" i="17"/>
  <c r="D12" i="17"/>
  <c r="C11" i="17"/>
  <c r="D11" i="17" s="1"/>
  <c r="D10" i="17"/>
  <c r="C9" i="17"/>
  <c r="B9" i="17"/>
  <c r="D9" i="17" s="1"/>
  <c r="D8" i="17"/>
  <c r="D7" i="17"/>
  <c r="D6" i="17"/>
  <c r="C5" i="17"/>
  <c r="C20" i="17" s="1"/>
  <c r="B5" i="17"/>
  <c r="B20" i="17" s="1"/>
  <c r="D4" i="17"/>
  <c r="D3" i="17"/>
  <c r="K467" i="31" l="1"/>
  <c r="K9" i="31" s="1"/>
  <c r="O9" i="31" s="1"/>
  <c r="L6" i="31"/>
  <c r="D5" i="17"/>
  <c r="D20" i="17" s="1"/>
  <c r="D22" i="17" s="1"/>
  <c r="G3" i="17"/>
  <c r="G4" i="17" s="1"/>
  <c r="G5" i="17" s="1"/>
  <c r="G6" i="17" s="1"/>
  <c r="G7" i="17" s="1"/>
  <c r="G8" i="17" s="1"/>
  <c r="G9" i="17" s="1"/>
  <c r="G10" i="17" s="1"/>
  <c r="S57" i="16" l="1"/>
  <c r="S56" i="16"/>
  <c r="D56" i="16"/>
  <c r="S55" i="16"/>
  <c r="D55" i="16"/>
  <c r="S54" i="16"/>
  <c r="D54" i="16"/>
  <c r="S53" i="16"/>
  <c r="D53" i="16"/>
  <c r="S52" i="16"/>
  <c r="D52" i="16"/>
  <c r="S51" i="16"/>
  <c r="D51" i="16"/>
  <c r="S50" i="16"/>
  <c r="D50" i="16"/>
  <c r="S49" i="16"/>
  <c r="D49" i="16"/>
  <c r="S48" i="16"/>
  <c r="D48" i="16"/>
  <c r="S47" i="16"/>
  <c r="D47" i="16"/>
  <c r="S46" i="16"/>
  <c r="D46" i="16"/>
  <c r="S45" i="16"/>
  <c r="D45" i="16"/>
  <c r="S44" i="16"/>
  <c r="D44" i="16"/>
  <c r="S43" i="16"/>
  <c r="D43" i="16"/>
  <c r="S42" i="16"/>
  <c r="D42" i="16"/>
  <c r="V19" i="16"/>
  <c r="R19" i="16"/>
  <c r="G19" i="16"/>
  <c r="C19" i="16"/>
  <c r="N18" i="16"/>
  <c r="M18" i="16"/>
  <c r="F18" i="16"/>
  <c r="N17" i="16"/>
  <c r="M17" i="16"/>
  <c r="K17" i="16"/>
  <c r="J17" i="16"/>
  <c r="D17" i="16"/>
  <c r="F17" i="16" s="1"/>
  <c r="N16" i="16"/>
  <c r="M16" i="16"/>
  <c r="K16" i="16"/>
  <c r="J16" i="16"/>
  <c r="L16" i="16" s="1"/>
  <c r="D16" i="16"/>
  <c r="E16" i="16" s="1"/>
  <c r="N15" i="16"/>
  <c r="M15" i="16"/>
  <c r="J15" i="16"/>
  <c r="L15" i="16" s="1"/>
  <c r="D15" i="16"/>
  <c r="F16" i="16" s="1"/>
  <c r="N14" i="16"/>
  <c r="M14" i="16"/>
  <c r="J14" i="16"/>
  <c r="L14" i="16" s="1"/>
  <c r="D14" i="16"/>
  <c r="F15" i="16" s="1"/>
  <c r="N13" i="16"/>
  <c r="M13" i="16"/>
  <c r="J13" i="16"/>
  <c r="D13" i="16"/>
  <c r="E13" i="16" s="1"/>
  <c r="N12" i="16"/>
  <c r="M12" i="16"/>
  <c r="J12" i="16"/>
  <c r="L12" i="16" s="1"/>
  <c r="D12" i="16"/>
  <c r="F13" i="16" s="1"/>
  <c r="R11" i="16"/>
  <c r="N11" i="16"/>
  <c r="M11" i="16"/>
  <c r="J11" i="16"/>
  <c r="L11" i="16" s="1"/>
  <c r="D11" i="16"/>
  <c r="F12" i="16" s="1"/>
  <c r="S10" i="16"/>
  <c r="T10" i="16" s="1"/>
  <c r="R10" i="16"/>
  <c r="N10" i="16"/>
  <c r="M10" i="16"/>
  <c r="J10" i="16"/>
  <c r="L10" i="16" s="1"/>
  <c r="D10" i="16"/>
  <c r="E10" i="16" s="1"/>
  <c r="Y9" i="16"/>
  <c r="S9" i="16"/>
  <c r="R9" i="16"/>
  <c r="T9" i="16" s="1"/>
  <c r="N9" i="16"/>
  <c r="M9" i="16"/>
  <c r="J9" i="16"/>
  <c r="L9" i="16" s="1"/>
  <c r="D9" i="16"/>
  <c r="F10" i="16" s="1"/>
  <c r="S8" i="16"/>
  <c r="T8" i="16" s="1"/>
  <c r="N8" i="16"/>
  <c r="M8" i="16"/>
  <c r="J8" i="16"/>
  <c r="D8" i="16"/>
  <c r="E8" i="16" s="1"/>
  <c r="N7" i="16"/>
  <c r="O8" i="16" s="1"/>
  <c r="M7" i="16"/>
  <c r="K7" i="16"/>
  <c r="J7" i="16"/>
  <c r="D7" i="16"/>
  <c r="F8" i="16" s="1"/>
  <c r="W6" i="16"/>
  <c r="X6" i="16" s="1"/>
  <c r="S6" i="16"/>
  <c r="S11" i="16" s="1"/>
  <c r="N6" i="16"/>
  <c r="K6" i="16"/>
  <c r="J6" i="16"/>
  <c r="H6" i="16"/>
  <c r="D6" i="16"/>
  <c r="F6" i="16" s="1"/>
  <c r="W5" i="16"/>
  <c r="X5" i="16" s="1"/>
  <c r="S5" i="16"/>
  <c r="T5" i="16" s="1"/>
  <c r="N5" i="16"/>
  <c r="K5" i="16"/>
  <c r="J5" i="16"/>
  <c r="H5" i="16"/>
  <c r="F5" i="16"/>
  <c r="E5" i="16"/>
  <c r="W4" i="16"/>
  <c r="X4" i="16" s="1"/>
  <c r="X19" i="16" s="1"/>
  <c r="S4" i="16"/>
  <c r="T4" i="16" s="1"/>
  <c r="N4" i="16"/>
  <c r="K4" i="16"/>
  <c r="J4" i="16"/>
  <c r="H4" i="16"/>
  <c r="F4" i="16"/>
  <c r="E4" i="16"/>
  <c r="T3" i="16"/>
  <c r="N3" i="16"/>
  <c r="K3" i="16"/>
  <c r="H3" i="16"/>
  <c r="E3" i="16"/>
  <c r="O7" i="16" l="1"/>
  <c r="Y4" i="16"/>
  <c r="Z4" i="16" s="1"/>
  <c r="AA4" i="16" s="1"/>
  <c r="L4" i="16"/>
  <c r="O17" i="16"/>
  <c r="O11" i="16"/>
  <c r="M19" i="16"/>
  <c r="L17" i="16"/>
  <c r="L6" i="16"/>
  <c r="O6" i="16"/>
  <c r="O10" i="16"/>
  <c r="L8" i="16"/>
  <c r="O12" i="16"/>
  <c r="O18" i="16"/>
  <c r="I6" i="16"/>
  <c r="L5" i="16"/>
  <c r="O9" i="16"/>
  <c r="O5" i="16"/>
  <c r="O14" i="16"/>
  <c r="I4" i="16"/>
  <c r="O16" i="16"/>
  <c r="O15" i="16"/>
  <c r="O4" i="16"/>
  <c r="L7" i="16"/>
  <c r="T11" i="16"/>
  <c r="J19" i="16"/>
  <c r="L13" i="16"/>
  <c r="L19" i="16" s="1"/>
  <c r="E11" i="16"/>
  <c r="E9" i="16"/>
  <c r="F11" i="16"/>
  <c r="O13" i="16"/>
  <c r="T6" i="16"/>
  <c r="T19" i="16" s="1"/>
  <c r="F9" i="16"/>
  <c r="E14" i="16"/>
  <c r="F14" i="16"/>
  <c r="E17" i="16"/>
  <c r="I5" i="16"/>
  <c r="E7" i="16"/>
  <c r="F7" i="16"/>
  <c r="F19" i="16" s="1"/>
  <c r="E12" i="16"/>
  <c r="E15" i="16"/>
  <c r="E6" i="16"/>
  <c r="S21" i="16" l="1"/>
  <c r="O19" i="16"/>
  <c r="Y18" i="16"/>
  <c r="I19" i="16"/>
  <c r="F20" i="16"/>
  <c r="Y19" i="16"/>
  <c r="AA18" i="16"/>
  <c r="Z18" i="16"/>
  <c r="Y21" i="16" l="1"/>
  <c r="Y22" i="16" s="1"/>
  <c r="Z19" i="16"/>
  <c r="Z21" i="16" s="1"/>
  <c r="Z22" i="16" s="1"/>
  <c r="O467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tc={4BE8F794-9C65-4DD8-8FC2-E1E29A25B91C}</author>
  </authors>
  <commentList>
    <comment ref="F553" authorId="0" shapeId="0" xr:uid="{4BE8F794-9C65-4DD8-8FC2-E1E29A25B91C}">
      <text>
        <t>[對話串註解]
您的 Excel 版本可讓您讀取此對話串註解; 但若以較新的 Excel 版本開啟此檔案，將會移除對它進行的所有編輯。深入了解: https://go.microsoft.com/fwlink/?linkid=870924。
註解:
    112.11.13-113.5.31止每日5H*3人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tc={064C7B3E-620D-492F-AE77-2DDD2A42495B}</author>
  </authors>
  <commentList>
    <comment ref="F616" authorId="0" shapeId="0" xr:uid="{064C7B3E-620D-492F-AE77-2DDD2A42495B}">
      <text>
        <t>[對話串註解]
您的 Excel 版本可讓您讀取此對話串註解; 但若以較新的 Excel 版本開啟此檔案，將會移除對它進行的所有編輯。深入了解: https://go.microsoft.com/fwlink/?linkid=870924。
註解:
    112.11.13-113.5.31止每日5H*3人
112.11.23北市工水工字第1126063128號(三合橋-檢送1115第2次施工疑義會議紀錄)
112.09.01-北市工水工字第1126048706號-百齡抽水站暫置會勘紀錄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tc={86F3637F-E7E0-4D65-93A4-AAA516D62A97}</author>
    <author>User</author>
  </authors>
  <commentList>
    <comment ref="C10" authorId="0" shapeId="0" xr:uid="{86F3637F-E7E0-4D65-93A4-AAA516D62A97}">
      <text>
        <t>[對話串註解]
您的 Excel 版本可讓您讀取此對話串註解; 但若以較新的 Excel 版本開啟此檔案，將會移除對它進行的所有編輯。深入了解: https://go.microsoft.com/fwlink/?linkid=870924。
註解:
    113.11.11</t>
      </text>
    </comment>
    <comment ref="C12" authorId="1" shapeId="0" xr:uid="{4BF3942C-8C29-412C-9DC6-1DD27D8016E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10/16:3</t>
        </r>
        <r>
          <rPr>
            <sz val="11"/>
            <color indexed="81"/>
            <rFont val="細明體"/>
            <family val="3"/>
            <charset val="136"/>
          </rPr>
          <t>孔</t>
        </r>
      </text>
    </comment>
    <comment ref="C16" authorId="1" shapeId="0" xr:uid="{F9D927AC-3813-4544-B1D8-B41C14BE31B6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10/1:6</t>
        </r>
        <r>
          <rPr>
            <sz val="11"/>
            <color indexed="81"/>
            <rFont val="細明體"/>
            <family val="3"/>
            <charset val="136"/>
          </rPr>
          <t>支</t>
        </r>
      </text>
    </comment>
    <comment ref="C23" authorId="1" shapeId="0" xr:uid="{C6A7B89D-D877-4548-BA72-44637B64D54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10/16</t>
        </r>
        <r>
          <rPr>
            <sz val="11"/>
            <color indexed="81"/>
            <rFont val="細明體"/>
            <family val="3"/>
            <charset val="136"/>
          </rPr>
          <t>取</t>
        </r>
        <r>
          <rPr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細明體"/>
            <family val="3"/>
            <charset val="136"/>
          </rPr>
          <t>組(側溝、集水井)</t>
        </r>
      </text>
    </comment>
    <comment ref="C24" authorId="1" shapeId="0" xr:uid="{88705FE1-11F9-4472-9B18-B50908AF1C78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10/16 </t>
        </r>
        <r>
          <rPr>
            <sz val="11"/>
            <color indexed="81"/>
            <rFont val="細明體"/>
            <family val="3"/>
            <charset val="136"/>
          </rPr>
          <t>拉拔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細明體"/>
            <family val="3"/>
            <charset val="136"/>
          </rPr>
          <t>支</t>
        </r>
      </text>
    </comment>
  </commentList>
</comments>
</file>

<file path=xl/sharedStrings.xml><?xml version="1.0" encoding="utf-8"?>
<sst xmlns="http://schemas.openxmlformats.org/spreadsheetml/2006/main" count="14577" uniqueCount="2883">
  <si>
    <t>座</t>
  </si>
  <si>
    <t>頂</t>
  </si>
  <si>
    <t>工程費</t>
  </si>
  <si>
    <t>雙</t>
  </si>
  <si>
    <t>式</t>
  </si>
  <si>
    <t>支</t>
  </si>
  <si>
    <t>M3</t>
  </si>
  <si>
    <t>個</t>
  </si>
  <si>
    <t>M</t>
  </si>
  <si>
    <t>具</t>
  </si>
  <si>
    <t>壹</t>
  </si>
  <si>
    <t>雜項工程費</t>
  </si>
  <si>
    <t>發包工程費</t>
  </si>
  <si>
    <t>M2</t>
  </si>
  <si>
    <t>次</t>
  </si>
  <si>
    <t>組</t>
  </si>
  <si>
    <t>時</t>
  </si>
  <si>
    <t>KG</t>
  </si>
  <si>
    <t>套</t>
  </si>
  <si>
    <t>台</t>
  </si>
  <si>
    <t>處/月</t>
  </si>
  <si>
    <t>M2/月</t>
  </si>
  <si>
    <t>面</t>
  </si>
  <si>
    <t>B.M3</t>
  </si>
  <si>
    <t>結構用混凝土，預拌，210kgf/cm2</t>
  </si>
  <si>
    <t>材料試驗費</t>
  </si>
  <si>
    <t>環境保護，逕流污染防治，洗車沖洗費</t>
  </si>
  <si>
    <t>環境保護，工地清潔費</t>
  </si>
  <si>
    <t>工程告示牌及工地標誌，柔性告示牌</t>
  </si>
  <si>
    <t>型鋼護欄，含警示燈</t>
  </si>
  <si>
    <t>施工警告燈號</t>
  </si>
  <si>
    <t>交通維持，道路管制人員，日間(06-22時)，義交</t>
  </si>
  <si>
    <t>交通錐，高70cm，其他適當材料，PVC。2.5kg重</t>
  </si>
  <si>
    <t>交通錐，連桿</t>
  </si>
  <si>
    <t>職業安全衛生費</t>
  </si>
  <si>
    <t>職業安全衛生，保護器材，眼睛，護目鏡，遮光護目鏡</t>
  </si>
  <si>
    <t>職業安全衛生，保護器材，足部，安全鞋</t>
  </si>
  <si>
    <t>職業安全衛生，保護器材，身體，反光背心(印有「水利工程處施工廠商人員」字樣)</t>
  </si>
  <si>
    <t>職業安全衛生，保護器材，意外傷害救護設備，急救箱</t>
  </si>
  <si>
    <t>職業安全衛生，飲水及休息設備</t>
  </si>
  <si>
    <t>　　(一)</t>
  </si>
  <si>
    <t>1.1.1</t>
  </si>
  <si>
    <t>1.1.2</t>
  </si>
  <si>
    <t>1.1.3</t>
  </si>
  <si>
    <t>1.1.4</t>
  </si>
  <si>
    <t>1.1.5</t>
  </si>
  <si>
    <t>　　(二)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</si>
  <si>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</si>
  <si>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</si>
  <si>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</si>
  <si>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</si>
  <si>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</si>
  <si>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</si>
  <si>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</si>
  <si>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</si>
  <si>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</si>
  <si>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</si>
  <si>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</si>
  <si>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</si>
  <si>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</si>
  <si>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</si>
  <si>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</si>
  <si>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</si>
  <si>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</si>
  <si>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</si>
  <si>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</si>
  <si>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</si>
  <si>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</si>
  <si>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</si>
  <si>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</si>
  <si>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</si>
  <si>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1.2.25</t>
  </si>
  <si>
    <t>1.2.26</t>
  </si>
  <si>
    <t>1.2.27</t>
  </si>
  <si>
    <t>1.2.28</t>
  </si>
  <si>
    <t>1.2.29</t>
  </si>
  <si>
    <t>1.2.30</t>
  </si>
  <si>
    <t>　　(三)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</si>
  <si>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</si>
  <si>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</si>
  <si>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</si>
  <si>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</si>
  <si>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</si>
  <si>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</si>
  <si>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</si>
  <si>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</si>
  <si>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</si>
  <si>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</si>
  <si>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1.3.12</t>
  </si>
  <si>
    <t>1.3.13</t>
  </si>
  <si>
    <t>1.3.14</t>
  </si>
  <si>
    <t>1.3.15</t>
  </si>
  <si>
    <t>　　(四)</t>
  </si>
  <si>
    <t>1.4.1</t>
  </si>
  <si>
    <t>1.4.2</t>
  </si>
  <si>
    <t>1.4.3</t>
  </si>
  <si>
    <t>1.4.4</t>
  </si>
  <si>
    <t>　　(五)</t>
  </si>
  <si>
    <t>1.5.1</t>
  </si>
  <si>
    <t>1.5.2</t>
  </si>
  <si>
    <t>1.5.3</t>
  </si>
  <si>
    <t>1.5.4</t>
  </si>
  <si>
    <t>1.5.5</t>
  </si>
  <si>
    <t>　二</t>
  </si>
  <si>
    <t>2.1</t>
  </si>
  <si>
    <t>2.2</t>
  </si>
  <si>
    <t>2.3</t>
  </si>
  <si>
    <t>2.4</t>
  </si>
  <si>
    <t>2.5</t>
  </si>
  <si>
    <t>2.6</t>
  </si>
  <si>
    <t>　三</t>
  </si>
  <si>
    <t>3.1</t>
  </si>
  <si>
    <t>3.2</t>
  </si>
  <si>
    <t>3.3</t>
  </si>
  <si>
    <t>3.4</t>
  </si>
  <si>
    <t>　四</t>
  </si>
  <si>
    <t>4.1</t>
  </si>
  <si>
    <t>4.2</t>
  </si>
  <si>
    <t>　五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</si>
  <si>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</si>
  <si>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</si>
  <si>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</si>
  <si>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</si>
  <si>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</si>
  <si>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</si>
  <si>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</si>
  <si>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</si>
  <si>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</si>
  <si>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</si>
  <si>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</si>
  <si>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　六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</si>
  <si>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</si>
  <si>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</si>
  <si>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</si>
  <si>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</si>
  <si>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</si>
  <si>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</si>
  <si>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</si>
  <si>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</si>
  <si>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</si>
  <si>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</si>
  <si>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</si>
  <si>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合計</t>
    <phoneticPr fontId="1" type="noConversion"/>
  </si>
  <si>
    <t>職業安全衛生，保護器材，手部，特殊手套，防酸鹼用</t>
  </si>
  <si>
    <t>職業安全衛生，保護器材，臉部，安全面罩</t>
  </si>
  <si>
    <t>職業安全衛生，保護器材，頭部，安全帽(加反光條)</t>
  </si>
  <si>
    <t>職業安全衛生，一般器材，安全告示牌，1.5mm厚P.V.C</t>
  </si>
  <si>
    <t>施工圍籬，組合式活動，1.8m ≦高度＜ 2.1m</t>
  </si>
  <si>
    <t>3.9</t>
  </si>
  <si>
    <t>3.8</t>
  </si>
  <si>
    <t>3.7</t>
  </si>
  <si>
    <t>3.6</t>
  </si>
  <si>
    <t>3.5</t>
  </si>
  <si>
    <t>2.10</t>
  </si>
  <si>
    <t>2.9</t>
  </si>
  <si>
    <t>2.8</t>
  </si>
  <si>
    <t>2.7</t>
  </si>
  <si>
    <t>1.6.15</t>
  </si>
  <si>
    <t>1.6.14</t>
  </si>
  <si>
    <t>1.6.13</t>
  </si>
  <si>
    <t>1.6.12</t>
  </si>
  <si>
    <t>1.6.11</t>
  </si>
  <si>
    <t>1.6.10</t>
  </si>
  <si>
    <t>1.6.9</t>
  </si>
  <si>
    <t>1.6.8</t>
  </si>
  <si>
    <t>1.6.7</t>
  </si>
  <si>
    <t>1.6.6</t>
  </si>
  <si>
    <t>1.6.5</t>
  </si>
  <si>
    <t>1.6.4</t>
  </si>
  <si>
    <t>1.6.3</t>
  </si>
  <si>
    <t>1.6.2</t>
  </si>
  <si>
    <t>1.6.1</t>
  </si>
  <si>
    <t>　　(六)</t>
  </si>
  <si>
    <t>1.5.13</t>
  </si>
  <si>
    <t>1.5.12</t>
  </si>
  <si>
    <t>1.5.11</t>
  </si>
  <si>
    <t>1.5.10</t>
  </si>
  <si>
    <t>1.5.9</t>
  </si>
  <si>
    <t>1.5.8</t>
  </si>
  <si>
    <t>1.5.7</t>
  </si>
  <si>
    <t>1.5.6</t>
  </si>
  <si>
    <t>1.4.15</t>
  </si>
  <si>
    <t>1.4.14</t>
  </si>
  <si>
    <t>1.4.13</t>
  </si>
  <si>
    <t>1.4.12</t>
  </si>
  <si>
    <t>1.4.11</t>
  </si>
  <si>
    <t>1.4.10</t>
  </si>
  <si>
    <t>1.4.9</t>
  </si>
  <si>
    <t>1.4.8</t>
  </si>
  <si>
    <t>1.4.7</t>
  </si>
  <si>
    <t>1.4.6</t>
  </si>
  <si>
    <t>1.4.5</t>
  </si>
  <si>
    <t>鋼筋，SD280W</t>
  </si>
  <si>
    <t>普通模板，丙種</t>
  </si>
  <si>
    <t>基地及路幅開挖，未含運費，(機械挖，0.7～0.79m3開挖機)</t>
  </si>
  <si>
    <t>1.3.24</t>
  </si>
  <si>
    <t>1.3.23</t>
  </si>
  <si>
    <t>1.3.22</t>
  </si>
  <si>
    <t>1.3.21</t>
  </si>
  <si>
    <t>1.3.20</t>
  </si>
  <si>
    <t>1.3.19</t>
  </si>
  <si>
    <t>1.3.18</t>
  </si>
  <si>
    <t>1.3.17</t>
  </si>
  <si>
    <t>1.3.16</t>
  </si>
  <si>
    <t>瀝青黏層，快凝油溶瀝青，RC-70</t>
  </si>
  <si>
    <t>餘方自行處理(含水土保持)，總重15t傾卸貨車</t>
  </si>
  <si>
    <t>　一</t>
  </si>
  <si>
    <t>數量計算書</t>
    <phoneticPr fontId="1" type="noConversion"/>
  </si>
  <si>
    <t>1.2.34</t>
  </si>
  <si>
    <t>1.2.35</t>
  </si>
  <si>
    <t>1.2.36</t>
  </si>
  <si>
    <t>1.2.37</t>
  </si>
  <si>
    <t>1.3.25</t>
  </si>
  <si>
    <t>1.3.26</t>
  </si>
  <si>
    <t>1.6.16</t>
  </si>
  <si>
    <t>1.2.31</t>
  </si>
  <si>
    <t>1.2.32</t>
  </si>
  <si>
    <t>1.3.27</t>
  </si>
  <si>
    <t>1.5.14</t>
  </si>
  <si>
    <t>電線及電纜，600V交連聚乙烯絕緣聚氯乙烯被覆電力電纜(XLPE)，1/C，14mm2</t>
  </si>
  <si>
    <t>導線管，硬質聚氯乙烯塑膠管，E管，標稱41mm</t>
  </si>
  <si>
    <t>計算式</t>
    <phoneticPr fontId="1" type="noConversion"/>
  </si>
  <si>
    <t>施工輔助設施，施工架，鋼管，框式</t>
  </si>
  <si>
    <t>C.M3</t>
  </si>
  <si>
    <t>品質管理，材料設備檢驗費，土木工程及建築類檢驗，土壤分類試驗</t>
  </si>
  <si>
    <t>職安人員費用</t>
  </si>
  <si>
    <t>人月</t>
  </si>
  <si>
    <t>自主品管費</t>
  </si>
  <si>
    <t>品管人員費用</t>
  </si>
  <si>
    <t>基地及路幅開挖，未含運費，(機械挖，0.7～0.79m3開挖機)</t>
    <phoneticPr fontId="1" type="noConversion"/>
  </si>
  <si>
    <t>臺北市政府工務局水利工程處</t>
  </si>
  <si>
    <t>詳 細 價 目 表</t>
  </si>
  <si>
    <t>工程名稱：磺港溪再造C段護岸及步道整建工程(三合橋至奇岩抽水站)</t>
    <phoneticPr fontId="1" type="noConversion"/>
  </si>
  <si>
    <t>施工地點：北投磺港溪</t>
  </si>
  <si>
    <t>工程編號：111 070020302 038 02</t>
  </si>
  <si>
    <t>項次</t>
  </si>
  <si>
    <t>項  目  及  說  明</t>
  </si>
  <si>
    <t>單位</t>
  </si>
  <si>
    <t>數量</t>
  </si>
  <si>
    <t>單  價</t>
  </si>
  <si>
    <t>複  價</t>
  </si>
  <si>
    <t>備  註</t>
  </si>
  <si>
    <t/>
  </si>
  <si>
    <t xml:space="preserve">
</t>
  </si>
  <si>
    <t>整備工程</t>
  </si>
  <si>
    <t>機械拆除，瀝青混凝土，未含運費</t>
  </si>
  <si>
    <t xml:space="preserve">0222010123
分析表1_x000D_
</t>
  </si>
  <si>
    <t>機械拆除，鋼筋混凝土，未含運費</t>
  </si>
  <si>
    <t xml:space="preserve">0222010E23
分析表2_x000D_
</t>
  </si>
  <si>
    <t>盤踞切割</t>
  </si>
  <si>
    <t>0222011101
#磺港路橋(奇岩抽水站旁)1533.9m、希冀橋208.6m</t>
  </si>
  <si>
    <t xml:space="preserve">02321PWD05AB1
分析表3_x000D_
</t>
  </si>
  <si>
    <t>瀝青混凝土面層刨除，刨除料運費</t>
  </si>
  <si>
    <t xml:space="preserve">0296103003
分析表4_x000D_
</t>
  </si>
  <si>
    <t>1.1.6</t>
  </si>
  <si>
    <t>利用填方，含夯實</t>
  </si>
  <si>
    <t xml:space="preserve">02931BDD101
分析表5_x000D_
</t>
  </si>
  <si>
    <t>1.1.7</t>
  </si>
  <si>
    <t>餘方遠運處理(台北港)</t>
  </si>
  <si>
    <t>023235X46A
分析表6_x000D_
僅含運費(運距約&lt;20K)(土方管理費檢據核銷)</t>
  </si>
  <si>
    <t>1.1.8</t>
  </si>
  <si>
    <t>餘方自行處理(房屋廢方，含水土保持)</t>
  </si>
  <si>
    <t xml:space="preserve">0232340063a
分析表7_x000D_
</t>
  </si>
  <si>
    <t>1.1.9</t>
  </si>
  <si>
    <t>瀝青混凝土面層刨除，厚5cm，刨除機1.2m寬，含瀝青鋪面打毛(未含運費)</t>
  </si>
  <si>
    <t>02961403321
分析表8_x000D_
#含瀝青鋪面打毛</t>
  </si>
  <si>
    <t>1.1.10</t>
  </si>
  <si>
    <t>瀝青混凝土面層刨除，厚10cm，刨除機2.2m寬，未含運費</t>
  </si>
  <si>
    <t xml:space="preserve">0296190432
分析表9_x000D_
</t>
  </si>
  <si>
    <t>1.1.11</t>
  </si>
  <si>
    <t>切割瀝青混凝土或無筋混凝土，5cm≦切割深度＜10cm</t>
  </si>
  <si>
    <t xml:space="preserve">02220PWD00021
分析表10_x000D_
</t>
  </si>
  <si>
    <t>1.1.12</t>
  </si>
  <si>
    <t>清除及掘除，雜草雜木，含垃圾撿除，人工割</t>
  </si>
  <si>
    <t xml:space="preserve">0223109002
分析表11_x000D_
</t>
  </si>
  <si>
    <t>1.1.13</t>
  </si>
  <si>
    <t>垃圾及廢棄物(以體積計)清運</t>
  </si>
  <si>
    <t>02234A0003a
分析表12_x000D_
#</t>
  </si>
  <si>
    <t>1.1.14</t>
  </si>
  <si>
    <t>節塊吊放</t>
  </si>
  <si>
    <t>01271AB00A
分析表13_x000D_
#磺港路橋、共月橋、三合橋</t>
  </si>
  <si>
    <t>1.1.15</t>
  </si>
  <si>
    <t>機械拆除，工地雜項拆除清理，欄杆，含運費</t>
  </si>
  <si>
    <t xml:space="preserve">0222016711
分析表14_x000D_
</t>
  </si>
  <si>
    <t>1.1.16</t>
  </si>
  <si>
    <t>土方運送(百齡抽水站)</t>
  </si>
  <si>
    <t>趟</t>
  </si>
  <si>
    <t xml:space="preserve">01271A00EE
分析表15_x000D_
</t>
  </si>
  <si>
    <t>1.1.17</t>
  </si>
  <si>
    <t>既有路燈拆除繳回</t>
  </si>
  <si>
    <t>盞</t>
  </si>
  <si>
    <t>1652511031
分析表16_x000D_
#料繳回，含運費。</t>
  </si>
  <si>
    <t>1.1.18</t>
  </si>
  <si>
    <t>座椅拆除繳回</t>
  </si>
  <si>
    <t>022201701E
#料繳回，含運費。</t>
  </si>
  <si>
    <t>1.1.19</t>
  </si>
  <si>
    <t>解說牌拆除</t>
  </si>
  <si>
    <t>022201604E
#料繳回，含運費。</t>
  </si>
  <si>
    <t>1.1.20</t>
  </si>
  <si>
    <t>自行車架拆除</t>
  </si>
  <si>
    <t>022201604E2
#料繳回，含運費。</t>
  </si>
  <si>
    <t>1.1.21</t>
  </si>
  <si>
    <t>交通牌誌拆除</t>
  </si>
  <si>
    <t>022200601E0
#料繳回，含運費。</t>
  </si>
  <si>
    <t>1.1.22</t>
  </si>
  <si>
    <t>既有水利設施拆除及運送</t>
  </si>
  <si>
    <t>02231A1014
水閘門</t>
  </si>
  <si>
    <t>1.1.23</t>
  </si>
  <si>
    <t>L015566G01001
[人力工項不打折]</t>
  </si>
  <si>
    <t>土建景觀工程</t>
  </si>
  <si>
    <t>構造物回填，回填及夯實(實際)</t>
  </si>
  <si>
    <t xml:space="preserve">023174000A
分析表17_x000D_
</t>
  </si>
  <si>
    <t>構造物回填，回填及夯實，人工夯實</t>
  </si>
  <si>
    <t xml:space="preserve">0231740#M1
分析表18_x000D_
</t>
  </si>
  <si>
    <t>0321040009z
分析表19_x000D_
本項納入(鋼筋)物價指數調整</t>
  </si>
  <si>
    <t>結構用混凝土，預拌，140kgf/cm2</t>
  </si>
  <si>
    <t xml:space="preserve">0331023003
分析表20_x000D_
</t>
  </si>
  <si>
    <t xml:space="preserve">0331025003
分析表21_x000D_
</t>
  </si>
  <si>
    <t>0311011302z
分析表22_x000D_
U型構，集水井，排水箱涵等。本項納入(普通模板)物價指數調整</t>
  </si>
  <si>
    <t>清水模板，鋼模</t>
  </si>
  <si>
    <t>03110212A1a
分析表23_x000D_
本項納入「金屬製品類」物價指數調整</t>
  </si>
  <si>
    <t>鍍鋅鋼料</t>
  </si>
  <si>
    <t>05500R0009A
分析表24_x000D_
#本項納入「金屬製品類」物價指數調整</t>
  </si>
  <si>
    <t>金屬材料，鋼料，裁切加工銲製(工廠加工)</t>
  </si>
  <si>
    <t xml:space="preserve">050606B009
</t>
  </si>
  <si>
    <t>結構用鋼材，銲接結構用軋鋼料，SM400B鋼構工程及製作、組立工程(含加勁板、續接板、螺絲、螺栓、螺帽等)</t>
  </si>
  <si>
    <t>0512540009A2
分析表25_x000D_
#本項納入「金屬製品類」物價指數調整</t>
  </si>
  <si>
    <t>透水磚紙模地坪</t>
  </si>
  <si>
    <t xml:space="preserve">0279400002
分析表26_x000D_
</t>
  </si>
  <si>
    <t>梯形磚鋪面，149.5x(30,20)x8cmTH</t>
  </si>
  <si>
    <t xml:space="preserve">0278600342
分析表27_x000D_
</t>
  </si>
  <si>
    <t>石材鋪面</t>
  </si>
  <si>
    <t xml:space="preserve">0441000122
分析表28_x000D_
</t>
  </si>
  <si>
    <t>卵石鋪面</t>
  </si>
  <si>
    <t xml:space="preserve">0445530002
分析表29_x000D_
</t>
  </si>
  <si>
    <t>露骨材地坪</t>
  </si>
  <si>
    <t xml:space="preserve">0336000002
分析表30_x000D_
</t>
  </si>
  <si>
    <t>PC地坪</t>
  </si>
  <si>
    <t xml:space="preserve">0336070002
分析表31_x000D_
</t>
  </si>
  <si>
    <t>格柵鋪面B</t>
  </si>
  <si>
    <t xml:space="preserve">055306H15Bb
分析表32_x000D_
</t>
  </si>
  <si>
    <t>細石子鋪面</t>
  </si>
  <si>
    <t xml:space="preserve">027262000B
分析表33_x000D_
</t>
  </si>
  <si>
    <t>鋼板收邊A型</t>
  </si>
  <si>
    <t>05500P0011
分析表34_x000D_
#</t>
  </si>
  <si>
    <t>鋼板收邊B型</t>
  </si>
  <si>
    <t>05500P00C1
分析表35_x000D_
#</t>
  </si>
  <si>
    <t>界石收邊</t>
  </si>
  <si>
    <t xml:space="preserve">02770A3111
分析表36_x000D_
</t>
  </si>
  <si>
    <t>緣石收邊</t>
  </si>
  <si>
    <t>0277011001
分析表37_x000D_
#</t>
  </si>
  <si>
    <t>道路緣石收邊</t>
  </si>
  <si>
    <t>02770110012
分析表38_x000D_
#</t>
  </si>
  <si>
    <t>道路緣石斜坡式</t>
  </si>
  <si>
    <t>0277001001
分析表39_x000D_
#</t>
  </si>
  <si>
    <t>場鑄道路緣石</t>
  </si>
  <si>
    <t>0277012001
分析表40_x000D_
#</t>
  </si>
  <si>
    <t>伸縮縫</t>
  </si>
  <si>
    <t xml:space="preserve">0315030001
分析表41_x000D_
</t>
  </si>
  <si>
    <t>警示帶定位磚</t>
  </si>
  <si>
    <t>02786A0202
分析表42_x000D_
#</t>
  </si>
  <si>
    <t>座台A</t>
  </si>
  <si>
    <t xml:space="preserve">03054410011A
分析表43_x000D_
</t>
  </si>
  <si>
    <t>座台D</t>
  </si>
  <si>
    <t xml:space="preserve">03054410011D
分析表44_x000D_
</t>
  </si>
  <si>
    <t>座台E</t>
  </si>
  <si>
    <t xml:space="preserve">03054410011E
分析表45_x000D_
</t>
  </si>
  <si>
    <t>座椅A</t>
  </si>
  <si>
    <t xml:space="preserve">030544100B2A
分析表46_x000D_
</t>
  </si>
  <si>
    <t>座椅B</t>
  </si>
  <si>
    <t>03054410012B
分析表47_x000D_
#</t>
  </si>
  <si>
    <t>1.2.33</t>
  </si>
  <si>
    <t>座椅C</t>
  </si>
  <si>
    <t xml:space="preserve">030544100B2C
分析表48_x000D_
</t>
  </si>
  <si>
    <t>座椅D-1</t>
  </si>
  <si>
    <t>030544100B2D
分析表49_x000D_
#</t>
  </si>
  <si>
    <t>座椅D-2</t>
  </si>
  <si>
    <t xml:space="preserve">030544100B2D2
分析表50_x000D_
</t>
  </si>
  <si>
    <t>草地座階</t>
  </si>
  <si>
    <t>03054410013
分析表51_x000D_
#</t>
  </si>
  <si>
    <t>砌石擋牆A</t>
  </si>
  <si>
    <t xml:space="preserve">0238602101A
分析表52_x000D_
</t>
  </si>
  <si>
    <t>1.2.38</t>
  </si>
  <si>
    <t>砌石擋牆B</t>
  </si>
  <si>
    <t xml:space="preserve">0238602101B
分析表53_x000D_
</t>
  </si>
  <si>
    <t>1.2.39</t>
  </si>
  <si>
    <t>鋼板擋牆</t>
  </si>
  <si>
    <t xml:space="preserve">0512531001
分析表54_x000D_
</t>
  </si>
  <si>
    <t>1.2.40</t>
  </si>
  <si>
    <t>擋牆b’型</t>
  </si>
  <si>
    <t xml:space="preserve">0305441201b
分析表55_x000D_
</t>
  </si>
  <si>
    <t>1.2.41</t>
  </si>
  <si>
    <t>擋牆c’型</t>
  </si>
  <si>
    <t xml:space="preserve">0305441201c
分析表56_x000D_
</t>
  </si>
  <si>
    <t>1.2.42</t>
  </si>
  <si>
    <t>樓梯E</t>
  </si>
  <si>
    <t xml:space="preserve">03054B000BE
分析表57_x000D_
</t>
  </si>
  <si>
    <t>1.2.43</t>
  </si>
  <si>
    <t>樓梯G</t>
  </si>
  <si>
    <t xml:space="preserve">03054B000BG
分析表58_x000D_
</t>
  </si>
  <si>
    <t>1.2.44</t>
  </si>
  <si>
    <t>樓梯H</t>
  </si>
  <si>
    <t xml:space="preserve">03054B000BH
分析表59_x000D_
</t>
  </si>
  <si>
    <t>1.2.45</t>
  </si>
  <si>
    <t>樓梯J</t>
  </si>
  <si>
    <t xml:space="preserve">03054B000BJ
分析表60_x000D_
</t>
  </si>
  <si>
    <t>1.2.46</t>
  </si>
  <si>
    <t>樓梯K</t>
  </si>
  <si>
    <t xml:space="preserve">03054B000BK
分析表61_x000D_
</t>
  </si>
  <si>
    <t>1.2.47</t>
  </si>
  <si>
    <t>欄杆B</t>
  </si>
  <si>
    <t xml:space="preserve">05520B0001B
分析表62_x000D_
</t>
  </si>
  <si>
    <t>1.2.48</t>
  </si>
  <si>
    <t>欄杆C</t>
  </si>
  <si>
    <t xml:space="preserve">05520B0001C
分析表63_x000D_
</t>
  </si>
  <si>
    <t>1.2.49</t>
  </si>
  <si>
    <t>護欄b</t>
  </si>
  <si>
    <t xml:space="preserve">03054412014b
分析表64_x000D_
</t>
  </si>
  <si>
    <t>1.2.50</t>
  </si>
  <si>
    <t>地圖牌</t>
  </si>
  <si>
    <t>050606300D1
分析表65_x000D_
#</t>
  </si>
  <si>
    <t>1.2.51</t>
  </si>
  <si>
    <t>全區導覽牌</t>
  </si>
  <si>
    <t>050606300D2
分析表66_x000D_
#</t>
  </si>
  <si>
    <t>1.2.52</t>
  </si>
  <si>
    <t>公園自治條例</t>
  </si>
  <si>
    <t xml:space="preserve">050606300D3
分析表67_x000D_
</t>
  </si>
  <si>
    <t>1.2.53</t>
  </si>
  <si>
    <t>方向指示牌</t>
  </si>
  <si>
    <t xml:space="preserve">050606300D4
分析表68_x000D_
</t>
  </si>
  <si>
    <t>1.2.54</t>
  </si>
  <si>
    <t>水位警示設施</t>
  </si>
  <si>
    <t xml:space="preserve">050606300D5
分析表69_x000D_
</t>
  </si>
  <si>
    <t>1.2.55</t>
  </si>
  <si>
    <t>警示設施說明牌A</t>
  </si>
  <si>
    <t xml:space="preserve">050606300D6A
分析表70_x000D_
</t>
  </si>
  <si>
    <t>1.2.56</t>
  </si>
  <si>
    <t>警示設施說明牌B</t>
  </si>
  <si>
    <t xml:space="preserve">050606300D6B
分析表71_x000D_
</t>
  </si>
  <si>
    <t>1.2.57</t>
  </si>
  <si>
    <t>警示設施說明牌C</t>
  </si>
  <si>
    <t xml:space="preserve">050606300D6C
分析表72_x000D_
</t>
  </si>
  <si>
    <t>1.2.58</t>
  </si>
  <si>
    <t>警示設施說明牌D</t>
  </si>
  <si>
    <t xml:space="preserve">050606300D6D
分析表73_x000D_
</t>
  </si>
  <si>
    <t>1.2.59</t>
  </si>
  <si>
    <t>解說牌A</t>
  </si>
  <si>
    <t xml:space="preserve">050606300D7A
分析表74_x000D_
</t>
  </si>
  <si>
    <t>1.2.60</t>
  </si>
  <si>
    <t>解說牌B</t>
  </si>
  <si>
    <t xml:space="preserve">050606300D7B
分析表75_x000D_
</t>
  </si>
  <si>
    <t>1.2.61</t>
  </si>
  <si>
    <t>解說牌C</t>
  </si>
  <si>
    <t xml:space="preserve">050606300D7C
分析表76_x000D_
</t>
  </si>
  <si>
    <t>1.2.62</t>
  </si>
  <si>
    <t>解說牌E</t>
  </si>
  <si>
    <t xml:space="preserve">050606300D7E
分析表77_x000D_
</t>
  </si>
  <si>
    <t>1.2.63</t>
  </si>
  <si>
    <t>解說牌F</t>
  </si>
  <si>
    <t xml:space="preserve">050606300D7F
分析表78_x000D_
</t>
  </si>
  <si>
    <t>1.2.64</t>
  </si>
  <si>
    <t>解說牌G</t>
  </si>
  <si>
    <t xml:space="preserve">050606300D7G
分析表79_x000D_
</t>
  </si>
  <si>
    <t>1.2.65</t>
  </si>
  <si>
    <t>高程控制牌</t>
  </si>
  <si>
    <t xml:space="preserve">050606300D8
分析表80_x000D_
</t>
  </si>
  <si>
    <t>1.2.66</t>
  </si>
  <si>
    <t>高程控制樁B</t>
  </si>
  <si>
    <t xml:space="preserve">050606300D9B
分析表81_x000D_
</t>
  </si>
  <si>
    <t>1.2.67</t>
  </si>
  <si>
    <t>三合祠入口意象</t>
  </si>
  <si>
    <t xml:space="preserve">050606300D0
分析表82_x000D_
</t>
  </si>
  <si>
    <t>1.2.68</t>
  </si>
  <si>
    <t>標線，熱處理聚酯，反光，厚2mm，黏層劑(底漆)，第Ⅱ型</t>
  </si>
  <si>
    <t xml:space="preserve">0289821312
分析表83_x000D_
</t>
  </si>
  <si>
    <t>1.2.69</t>
  </si>
  <si>
    <t>垃圾筒</t>
  </si>
  <si>
    <t>05500F1008
分析表84_x000D_
#</t>
  </si>
  <si>
    <t>1.2.70</t>
  </si>
  <si>
    <t>巢箱</t>
  </si>
  <si>
    <t>06200Q1008
分析表85_x000D_
#含安裝</t>
  </si>
  <si>
    <t>1.2.71</t>
  </si>
  <si>
    <t>自然景石</t>
  </si>
  <si>
    <t>T</t>
  </si>
  <si>
    <t>0238100105
#含結構、吊運</t>
  </si>
  <si>
    <t>1.2.72</t>
  </si>
  <si>
    <t>陰井</t>
  </si>
  <si>
    <t xml:space="preserve">02631350BB
分析表86_x000D_
</t>
  </si>
  <si>
    <t>1.2.73</t>
  </si>
  <si>
    <t>PP陰井</t>
  </si>
  <si>
    <t xml:space="preserve">026313900B
分析表87_x000D_
</t>
  </si>
  <si>
    <t>1.2.74</t>
  </si>
  <si>
    <t>截水溝A型</t>
  </si>
  <si>
    <t xml:space="preserve">0260101101A
分析表88_x000D_
</t>
  </si>
  <si>
    <t>1.2.75</t>
  </si>
  <si>
    <t>截水溝B型</t>
  </si>
  <si>
    <t xml:space="preserve">0260101101B
分析表89_x000D_
</t>
  </si>
  <si>
    <t>1.2.76</t>
  </si>
  <si>
    <t>截水溝C型</t>
  </si>
  <si>
    <t xml:space="preserve">0260101101C
分析表90_x000D_
</t>
  </si>
  <si>
    <t>1.2.77</t>
  </si>
  <si>
    <t>草溝+∮4" HDPE透水管</t>
  </si>
  <si>
    <t>0292721402
分析表91_x000D_
#</t>
  </si>
  <si>
    <t>1.2.78</t>
  </si>
  <si>
    <t>∮3"HDPE透水管</t>
  </si>
  <si>
    <t xml:space="preserve">02620B02023
分析表92_x000D_
</t>
  </si>
  <si>
    <t>1.2.79</t>
  </si>
  <si>
    <t>∮4"HDPE透水管</t>
  </si>
  <si>
    <t xml:space="preserve">02620B02024
分析表93_x000D_
</t>
  </si>
  <si>
    <t>1.2.80</t>
  </si>
  <si>
    <t>∮2"PVC排水管埋設</t>
  </si>
  <si>
    <t xml:space="preserve">026108F021a
分析表94_x000D_
</t>
  </si>
  <si>
    <t>1.2.81</t>
  </si>
  <si>
    <t>∮4"PVC排水管埋設</t>
  </si>
  <si>
    <t>026108F021b
分析表95_x000D_
#</t>
  </si>
  <si>
    <t>1.2.82</t>
  </si>
  <si>
    <t>∮4B(厚管)"PVC排水管埋設</t>
  </si>
  <si>
    <t>151072B52A
分析表96_x000D_
#</t>
  </si>
  <si>
    <t>1.2.83</t>
  </si>
  <si>
    <t>∮6"PVC排水管埋設</t>
  </si>
  <si>
    <t>026108F043B
分析表97_x000D_
#</t>
  </si>
  <si>
    <t>1.2.84</t>
  </si>
  <si>
    <t>淺溝</t>
  </si>
  <si>
    <t>0260101101D
分析表98_x000D_
本項納入「金屬製品類」物價指數調整</t>
  </si>
  <si>
    <t>1.2.85</t>
  </si>
  <si>
    <t>雨水回收槽</t>
  </si>
  <si>
    <t>0263121DWA
分析表99_x000D_
#</t>
  </si>
  <si>
    <t>橋梁工程</t>
  </si>
  <si>
    <t>結構用混凝土，預拌，280kgf/cm2</t>
  </si>
  <si>
    <t xml:space="preserve">0331027003
分析表100_x000D_
</t>
  </si>
  <si>
    <t>鋼筋，SD420W</t>
  </si>
  <si>
    <t>0321060035z
分析表101_x000D_
本項納入(鋼筋)物價指數調整</t>
  </si>
  <si>
    <t>清水模板，甲種</t>
  </si>
  <si>
    <t>0311021102n
分析表102_x000D_
橋面。本項納入(清水模板)物價指數調整</t>
  </si>
  <si>
    <t>清水模板，乙種</t>
  </si>
  <si>
    <t>0311021202n
分析表103_x000D_
場鑄結構混凝土用模板，(乙種，擋土牆，橋台，車行箱涵等)。本項納入(清水模板)物價指數調整</t>
  </si>
  <si>
    <t>普通模板，乙種</t>
  </si>
  <si>
    <t>0311011202z
分析表104_x000D_
擋土牆，橋台，車行箱涵等。本項納入(普通模板)物價指數調整</t>
  </si>
  <si>
    <t>耐候鋼，A242</t>
  </si>
  <si>
    <t>kg</t>
  </si>
  <si>
    <t xml:space="preserve">0512531009
</t>
  </si>
  <si>
    <t>1.3.11</t>
  </si>
  <si>
    <t>不銹鋼料，SUS304，含加工安裝等</t>
  </si>
  <si>
    <t xml:space="preserve">05500Pc009
分析表105_x000D_
</t>
  </si>
  <si>
    <t>金屬製品，氟碳烤漆(一底二度，厚度50μM以上)</t>
  </si>
  <si>
    <t>055000b002
#</t>
  </si>
  <si>
    <t>0154011202
分析表106_x000D_
需符合中華民國國家標準4750</t>
  </si>
  <si>
    <t xml:space="preserve">023234004A
分析表107_x000D_
</t>
  </si>
  <si>
    <t>放樣</t>
  </si>
  <si>
    <t>0172544002a
#</t>
  </si>
  <si>
    <t>全套管式鑽掘混凝土基樁，D=1200mm</t>
    <phoneticPr fontId="1" type="noConversion"/>
  </si>
  <si>
    <t>0246980001a
分析表108_x000D_
本項納入(鋼筋)物價指數調整</t>
  </si>
  <si>
    <t>水泥混凝土鋪面，表面拉毛處理</t>
  </si>
  <si>
    <t xml:space="preserve">0336060002
分析表109_x000D_
</t>
  </si>
  <si>
    <t>混凝土表面處理，晶化地坪，含分割縫</t>
  </si>
  <si>
    <t xml:space="preserve">0275123262
分析表110_x000D_
</t>
  </si>
  <si>
    <t>希冀橋無障礙警示帶</t>
  </si>
  <si>
    <t xml:space="preserve">0978100002cg
分析表111_x000D_
</t>
  </si>
  <si>
    <t>希冀橋欄杆A，新設，H=110cm</t>
  </si>
  <si>
    <t>0509110011g
分析表112_x000D_
#</t>
  </si>
  <si>
    <t>希冀橋欄杆B，新設，H=110cm</t>
  </si>
  <si>
    <t>0509110011h
分析表113_x000D_
#</t>
  </si>
  <si>
    <t>希冀橋耐候鋼板雷切焊接吊運組裝(t=6mm)</t>
  </si>
  <si>
    <t>0509110011b
分析表114_x000D_
#</t>
  </si>
  <si>
    <t>希冀橋耐候鋼透空步道雷切焊接吊運組裝(t=8mm)</t>
  </si>
  <si>
    <t>050911a011c
分析表115_x000D_
#</t>
  </si>
  <si>
    <t>1.3.28</t>
  </si>
  <si>
    <t>希冀橋人行道引道</t>
  </si>
  <si>
    <t>050911001Bcg
分析表116_x000D_
#</t>
  </si>
  <si>
    <t>1.3.29</t>
  </si>
  <si>
    <t>希冀橋樓梯扶手</t>
  </si>
  <si>
    <t>05500KC001B
分析表117_x000D_
#</t>
  </si>
  <si>
    <t>1.3.30</t>
  </si>
  <si>
    <t>透空步道混凝土踏階</t>
  </si>
  <si>
    <t xml:space="preserve">030544100Bcg
分析表118_x000D_
</t>
  </si>
  <si>
    <t>1.3.31</t>
  </si>
  <si>
    <t>耐候鋼收邊(含封板)</t>
  </si>
  <si>
    <t>05500FC001
分析表119_x000D_
#</t>
  </si>
  <si>
    <t>1.3.32</t>
  </si>
  <si>
    <t>金屬製品，耐候鋼截水溝(t:8mm，w:17.2cm)</t>
  </si>
  <si>
    <t>0509110011d
分析表120_x000D_
#</t>
  </si>
  <si>
    <t>1.3.33</t>
  </si>
  <si>
    <t>落水頭，不銹鋼製，方型(無牙)，標稱口徑50mm(含拆換)</t>
  </si>
  <si>
    <t>只</t>
  </si>
  <si>
    <t xml:space="preserve">15410k1166
</t>
  </si>
  <si>
    <t>1.3.34</t>
  </si>
  <si>
    <t>產品，∮2"PVC排水管</t>
  </si>
  <si>
    <t>M02811A0009a
#</t>
  </si>
  <si>
    <t>1.3.35</t>
  </si>
  <si>
    <t>希冀橋</t>
  </si>
  <si>
    <t xml:space="preserve">051211AB0B2
分析表121_x000D_
</t>
  </si>
  <si>
    <t>1.3.36</t>
  </si>
  <si>
    <t>磺港路橋</t>
  </si>
  <si>
    <t xml:space="preserve">051211AB0B4
分析表122_x000D_
</t>
  </si>
  <si>
    <t>河川工程</t>
  </si>
  <si>
    <t>結構用混凝土，泵送及澆注費</t>
  </si>
  <si>
    <t xml:space="preserve">03310000Z5
</t>
  </si>
  <si>
    <t>砌排石工，混凝土砌石</t>
  </si>
  <si>
    <t>0238630502a
分析表123_x000D_
#卵石，厚30cm，含勾縫</t>
  </si>
  <si>
    <t>低水護岸，拋石，塊石，硬石</t>
  </si>
  <si>
    <t>02381A010Aa
分析表124_x000D_
#</t>
  </si>
  <si>
    <t>固床工，砌排石工，乾砌塊石</t>
  </si>
  <si>
    <t>0238630002
分析表125_x000D_
#</t>
  </si>
  <si>
    <t>抿石子</t>
  </si>
  <si>
    <t xml:space="preserve">0978200002
分析表126_x000D_
</t>
  </si>
  <si>
    <t>鋼筋，植筋，D25mm，鑽孔(含空氣槍清孔)及化學藥劑</t>
  </si>
  <si>
    <t>孔</t>
  </si>
  <si>
    <t xml:space="preserve">032100E7GB
</t>
  </si>
  <si>
    <t>蜂巢格網</t>
  </si>
  <si>
    <t>0237101003a
分析表127_x000D_
#</t>
  </si>
  <si>
    <t>1.4.16</t>
  </si>
  <si>
    <t>施工縫</t>
  </si>
  <si>
    <t xml:space="preserve">0315040001
分析表128_x000D_
</t>
  </si>
  <si>
    <t>1.4.17</t>
  </si>
  <si>
    <t>1.4.18</t>
  </si>
  <si>
    <t>預力混凝土基樁，D=400mm</t>
  </si>
  <si>
    <t>0245730011k
分析表129_x000D_
#(打樁，含空打)，本項零星工料包含鋼筋籠外側所需之間隔片費用</t>
  </si>
  <si>
    <t>1.4.19</t>
  </si>
  <si>
    <t>河道整理</t>
  </si>
  <si>
    <t xml:space="preserve">Z0910000001
</t>
  </si>
  <si>
    <t>1.4.20</t>
  </si>
  <si>
    <t>沉水式污物泵，SUS304不銹鋼，Q=0.3cms，D=300mm</t>
  </si>
  <si>
    <t xml:space="preserve">015105350I
</t>
  </si>
  <si>
    <t>下水道工程</t>
  </si>
  <si>
    <t>控制性低強度回填材料及澆置</t>
  </si>
  <si>
    <t xml:space="preserve">0337700003
分析表130_x000D_
</t>
  </si>
  <si>
    <t>清水模板，丙種</t>
  </si>
  <si>
    <t>0311021302n
分析表131_x000D_
本項納入(清水木模)物價指數調整</t>
  </si>
  <si>
    <t>鋼筋混凝土管(B型)，D=500mm，三級管，未含開挖回填</t>
  </si>
  <si>
    <t xml:space="preserve">026102C30A
分析表132_x000D_
</t>
  </si>
  <si>
    <t>預鑄鋼筋混凝土基座(埋管用)，D=1000mm管用</t>
  </si>
  <si>
    <t xml:space="preserve">026100BD0H
分析表133_x000D_
</t>
  </si>
  <si>
    <t>擠壓式彈性填縫帶，(寬55mm，厚20mm)，600～1000mm鋼筋混凝土管排水用</t>
  </si>
  <si>
    <t xml:space="preserve">02610PWD0A331
</t>
  </si>
  <si>
    <t>排水人孔，人孔蓋及蓋座，球狀石墨鑄鐵蓋，預鑄</t>
  </si>
  <si>
    <t xml:space="preserve">0263111208
分析表134_x000D_
</t>
  </si>
  <si>
    <t>1.5.15</t>
  </si>
  <si>
    <t>1.5.16</t>
  </si>
  <si>
    <t>1.5.17</t>
  </si>
  <si>
    <t>1.5.18</t>
  </si>
  <si>
    <t>舌閥，含止傾桿，球狀石墨鑄鐵，標稱口徑1200mm</t>
  </si>
  <si>
    <t xml:space="preserve">15110X150U08
分析表135_x000D_
</t>
  </si>
  <si>
    <t>1.5.19</t>
  </si>
  <si>
    <t>塑膠包覆不銹鋼踏步，直徑=19mm</t>
  </si>
  <si>
    <t xml:space="preserve">05500h0R0A
分析表136_x000D_
</t>
  </si>
  <si>
    <t>道路及附屬工程</t>
  </si>
  <si>
    <t>瀝青混凝土舖面，粗粒料9.5mm，黏度AC(1)-20</t>
  </si>
  <si>
    <t xml:space="preserve">0274205303
分析表137_x000D_
</t>
  </si>
  <si>
    <t>瀝青混凝土舖面，粗粒料19.0mm，黏度AC(1)-20</t>
  </si>
  <si>
    <t xml:space="preserve">0274203303
分析表138_x000D_
</t>
  </si>
  <si>
    <t>路基整理</t>
  </si>
  <si>
    <t xml:space="preserve">0233600002
分析表139_x000D_
</t>
  </si>
  <si>
    <t>瀝青透層，中凝油溶瀝青，MC-70</t>
  </si>
  <si>
    <t xml:space="preserve">0274512002
分析表140_x000D_
</t>
  </si>
  <si>
    <t xml:space="preserve">0274711002
分析表141_x000D_
</t>
  </si>
  <si>
    <t>鍍鋅格柵蓋板，(框53.6cm，蓋45cm)，細目型</t>
  </si>
  <si>
    <t>0553062008
分析表142_x000D_
#本項納入「金屬製品類」物價指數調整</t>
  </si>
  <si>
    <t>鍍鋅格柵板及框座，止滑花紋加工，含搬運安裝</t>
  </si>
  <si>
    <t>0553070009a
分析表143_x000D_
#本項納入「金屬製品類」物價指數調整</t>
  </si>
  <si>
    <t>　　(七)</t>
  </si>
  <si>
    <t>植栽工程</t>
  </si>
  <si>
    <t>1.7.1</t>
  </si>
  <si>
    <t>植栽，客土，砂質壤土</t>
  </si>
  <si>
    <t>02900B100C
分析表144_x000D_
穴孔：D=20CM， H=20CM</t>
  </si>
  <si>
    <t>1.7.2</t>
  </si>
  <si>
    <t>植栽，透氣管，HDPE</t>
  </si>
  <si>
    <t>02900U105A
#保護樹、移植喬木</t>
  </si>
  <si>
    <t>1.7.3</t>
  </si>
  <si>
    <t>移植，喬木類移植，5≦米高直徑&lt;10cm</t>
  </si>
  <si>
    <t>株</t>
  </si>
  <si>
    <t>029051300A
分析表145_x000D_
#保活一年</t>
  </si>
  <si>
    <t>1.7.4</t>
  </si>
  <si>
    <t>移植，喬木類移植，10cm≦米高直徑＜15cm</t>
  </si>
  <si>
    <t>029051400A
分析表146_x000D_
保活一年</t>
  </si>
  <si>
    <t>1.7.5</t>
  </si>
  <si>
    <t>移植，喬木類移植，15cm≦米高直徑＜20cm</t>
  </si>
  <si>
    <t>029051500A
分析表147_x000D_
保活一年</t>
  </si>
  <si>
    <t>1.7.6</t>
  </si>
  <si>
    <t>移植，喬木類移植，20cm≦米高直徑＜25cm</t>
  </si>
  <si>
    <t>029051600A
分析表148_x000D_
保活一年</t>
  </si>
  <si>
    <t>1.7.7</t>
  </si>
  <si>
    <t>移植，喬木類移植，25cm≦米高直徑＜30cm</t>
  </si>
  <si>
    <t>029051700A
分析表149_x000D_
#保活一年</t>
  </si>
  <si>
    <t>1.7.8</t>
  </si>
  <si>
    <t>移植，喬木類移植，30cm≦米高直徑＜35cm</t>
  </si>
  <si>
    <t>029051800A
分析表150_x000D_
保活一年</t>
  </si>
  <si>
    <t>1.7.9</t>
  </si>
  <si>
    <t>移植，喬木類移植，45cm≦米高直徑＜50cm</t>
  </si>
  <si>
    <t xml:space="preserve">029051B00A
分析表151_x000D_
</t>
  </si>
  <si>
    <t>1.7.10</t>
  </si>
  <si>
    <t>移植，喬木類移植，50cm≦米高直徑＜55cm</t>
  </si>
  <si>
    <t xml:space="preserve">029051C00A
分析表152_x000D_
</t>
  </si>
  <si>
    <t>1.7.11</t>
  </si>
  <si>
    <t>移植，喬木類移植，70cm≦米高直徑＜75cm</t>
  </si>
  <si>
    <t xml:space="preserve">029051G00A
分析表153_x000D_
</t>
  </si>
  <si>
    <t>1.7.12</t>
  </si>
  <si>
    <t>植栽維護，喬木類，樹木修剪，E級</t>
  </si>
  <si>
    <t>029351C00A1
分析表154_x000D_
受保護樹木6株，工程期間修剪2次，含枝葉運棄</t>
  </si>
  <si>
    <t>1.7.13</t>
  </si>
  <si>
    <t>植栽維護，喬木類，枯木移除，米高直徑＜10cm</t>
  </si>
  <si>
    <t>029351A01A
分析表155_x000D_
免保活</t>
  </si>
  <si>
    <t>1.7.14</t>
  </si>
  <si>
    <t>植栽維護，喬木類，枯木移除(喬木類)，10cm≦米高直徑＜20cm</t>
  </si>
  <si>
    <t xml:space="preserve">029351A02A
分析表156_x000D_
</t>
  </si>
  <si>
    <t>1.7.15</t>
  </si>
  <si>
    <t>植栽維護，喬木類，枯木移除(喬木類)，20cm≦米高直徑＜30cm</t>
  </si>
  <si>
    <t xml:space="preserve">029351A03A
分析表157_x000D_
</t>
  </si>
  <si>
    <t>1.7.16</t>
  </si>
  <si>
    <t>植栽維護，喬木類，枯木移除(喬木類)，40cm≦米高直徑＜50cm</t>
  </si>
  <si>
    <t xml:space="preserve">029351A05A
分析表158_x000D_
</t>
  </si>
  <si>
    <t>1.7.17</t>
  </si>
  <si>
    <t>01564C2001
分析表159_x000D_
保護樹菱形格網護樹圍籬</t>
  </si>
  <si>
    <t>1.7.18</t>
  </si>
  <si>
    <t>植栽保護，保護工作，喬木類，(受保護樹鋼材支架)</t>
  </si>
  <si>
    <t>0293621608
#含基礎及施作所需費用</t>
  </si>
  <si>
    <t>1.7.19</t>
  </si>
  <si>
    <t>產品，植栽，包覆材料，草繩及保護墊片，三支組</t>
  </si>
  <si>
    <t>M02900D5208
#受保護樹木及移植樹木</t>
  </si>
  <si>
    <t>1.7.20</t>
  </si>
  <si>
    <t>產品，植栽，包覆材料，麻布袋，L=90~120cm，W=60~90cm</t>
  </si>
  <si>
    <t>M02900D6017
#含受保護樹木及移植樹木</t>
  </si>
  <si>
    <t>1.7.21</t>
  </si>
  <si>
    <t>產品，平面式塑膠警示帶，聚氯乙烯(PVC)，寬度=200mm</t>
  </si>
  <si>
    <t xml:space="preserve">M0250611301
</t>
  </si>
  <si>
    <t>1.7.22</t>
  </si>
  <si>
    <t>產品，防水毯</t>
  </si>
  <si>
    <t>M0712030002
受保護樹木</t>
  </si>
  <si>
    <t>1.7.23</t>
  </si>
  <si>
    <t>圍水，砂包堆置</t>
  </si>
  <si>
    <t xml:space="preserve">0226210003
分析表160_x000D_
</t>
  </si>
  <si>
    <t>1.7.24</t>
  </si>
  <si>
    <t>樹木生長監控</t>
  </si>
  <si>
    <t>1652510K0112A
#受保護樹木生長監控</t>
  </si>
  <si>
    <t>1.7.25</t>
  </si>
  <si>
    <t>植栽，鬆土(空氣挖掘機)</t>
  </si>
  <si>
    <t>0290030042
#</t>
  </si>
  <si>
    <t>1.7.26</t>
  </si>
  <si>
    <t>烏心石，450 ≦ 樹高 &lt; 500㎝，220≦樹幅＜240cm，14 ≦ 米高直徑 &lt; 16㎝</t>
  </si>
  <si>
    <t>0293828EGB
分析表161_x000D_
#</t>
  </si>
  <si>
    <t>1.7.27</t>
  </si>
  <si>
    <t>香楠，300≦樹高&lt;350cm，200≦樹幅&lt;250cm，8≦米高直徑&lt;10cm</t>
  </si>
  <si>
    <t>0293834BF6
分析表162_x000D_
#</t>
  </si>
  <si>
    <t>1.7.28</t>
  </si>
  <si>
    <t>光蠟樹，450 ≦ 樹高 &lt; 500㎝，220≦樹幅＜240cm，14 ≦ 米高直徑 &lt; 16㎝</t>
  </si>
  <si>
    <t>02938J2EGB
分析表163_x000D_
#</t>
  </si>
  <si>
    <t>1.7.29</t>
  </si>
  <si>
    <t>青楓，400 ≦ 樹高 &lt; 450㎝，200≦樹幅＜220cm，8≦ 米高直徑 &lt; 10㎝</t>
  </si>
  <si>
    <t>02938HWDF6
分析表164_x000D_
#</t>
  </si>
  <si>
    <t>1.7.30</t>
  </si>
  <si>
    <t>大葉欖仁，300 ≦ 樹高 &lt; 350㎝，140≦樹幅＜160cm，8 ≦ 米高直徑 &lt; 9㎝</t>
  </si>
  <si>
    <t>02938CRBC6
分析表165_x000D_
#</t>
  </si>
  <si>
    <t>1.7.31</t>
  </si>
  <si>
    <t>台灣石楠，350 ≦ 樹高 &lt; 400㎝，160≦樹幅＜180cm，9 ≦ 米高直徑 &lt; 10㎝</t>
  </si>
  <si>
    <t>029382LCD7
分析表166_x000D_
#</t>
  </si>
  <si>
    <t>1.7.32</t>
  </si>
  <si>
    <t>九芎，300 ≦ 樹高 &lt; 350㎝，120≦樹幅＜140cm，8 ≦ 米高直徑 &lt; 10㎝</t>
  </si>
  <si>
    <t>02938CHBB6
分析表167_x000D_
#</t>
  </si>
  <si>
    <t>1.7.33</t>
  </si>
  <si>
    <t>水柳，400 ≦ 樹高 &lt; 450㎝，200≦樹幅＜220cm，12≦ 米高直徑 &lt; 14㎝</t>
  </si>
  <si>
    <t>0293876DFB
分析表168_x000D_
#</t>
  </si>
  <si>
    <t>1.7.34</t>
  </si>
  <si>
    <t>烏桕，300 ≦ 樹高 &lt; 350㎝，140≦樹幅＜180cm，8 ≦ 米高直徑 &lt; 9㎝</t>
  </si>
  <si>
    <t>02938BQBC6
分析表169_x000D_
#</t>
  </si>
  <si>
    <t>1.7.35</t>
  </si>
  <si>
    <t>楓香，450 ≦ 樹高 &lt; 500㎝，220≦樹幅＜240cm，14 ≦ 米高直徑 &lt; 16㎝</t>
  </si>
  <si>
    <t>029386JEGB
分析表170_x000D_
#</t>
  </si>
  <si>
    <t>1.7.36</t>
  </si>
  <si>
    <t>羽裂蔓綠絨，70≦高度＜80㎝，40≦寬度＜50cm</t>
  </si>
  <si>
    <t>02922BB777
分析表171_x000D_
#</t>
  </si>
  <si>
    <t>1.7.37</t>
  </si>
  <si>
    <t>八角金盤，50≦高度＜60㎝，30≦寬度＜40cm</t>
  </si>
  <si>
    <t>02932bJ9801A
分析表172_x000D_
#</t>
  </si>
  <si>
    <t>1.7.38</t>
  </si>
  <si>
    <t>南天竹，70≦高度＜80㎝，50≦寬度＜60cm</t>
  </si>
  <si>
    <t>02932R1222
分析表173_x000D_
#</t>
  </si>
  <si>
    <t>1.7.39</t>
  </si>
  <si>
    <t>金絲桃，35≦ 高度＜40㎝，30≦寬度＜35cm</t>
  </si>
  <si>
    <t xml:space="preserve">02932b57601
分析表174_x000D_
</t>
  </si>
  <si>
    <t>1.7.40</t>
  </si>
  <si>
    <t>日本衛矛，50≦ 高度＜60㎝，40≦寬度＜45cm</t>
  </si>
  <si>
    <t>02932bJ9801
分析表175_x000D_
#</t>
  </si>
  <si>
    <t>1.7.41</t>
  </si>
  <si>
    <t>冇骨消，40≦ 高度＜50㎝，35≦寬度＜40cm</t>
  </si>
  <si>
    <t xml:space="preserve">02932bA8701
分析表176_x000D_
</t>
  </si>
  <si>
    <t>1.7.42</t>
  </si>
  <si>
    <t>迷迭香，25≦ 高度＜30㎝，20≦寬度＜30cm</t>
  </si>
  <si>
    <t xml:space="preserve">029226G230
分析表177_x000D_
</t>
  </si>
  <si>
    <t>1.7.43</t>
  </si>
  <si>
    <t>銀紋沿階草，15≦高度＜20cm，10≦寬度＜15cm</t>
  </si>
  <si>
    <t>02933PWD11212
分析表178_x000D_
#</t>
  </si>
  <si>
    <t>1.7.44</t>
  </si>
  <si>
    <t>銀后粗肋草，25≦高度&lt;30cm，20≦寬度&lt;25cm</t>
  </si>
  <si>
    <t xml:space="preserve">02922B4230
分析表179_x000D_
</t>
  </si>
  <si>
    <t>1.7.45</t>
  </si>
  <si>
    <t>銀劍蔓綠絨，25≦高度&lt;30cm，20≦寬度&lt;25cm</t>
  </si>
  <si>
    <t xml:space="preserve">02922BL230
分析表180_x000D_
</t>
  </si>
  <si>
    <t>1.7.46</t>
  </si>
  <si>
    <t>射干，20≦高度＜30cm，13≦寬度＜16cm</t>
  </si>
  <si>
    <t>029231B40442
分析表181_x000D_
#</t>
  </si>
  <si>
    <t>1.7.47</t>
  </si>
  <si>
    <t>千屈菜，15≦高度＜20cm，10cm≦寬度&lt;15cm</t>
  </si>
  <si>
    <t>02922GD0031
分析表182_x000D_
#</t>
  </si>
  <si>
    <t>1.7.48</t>
  </si>
  <si>
    <t>紫嬌花，20≦高度＜25cm，15cm≦寬度＜20cm</t>
  </si>
  <si>
    <t>0292341F0342
分析表183_x000D_
#</t>
  </si>
  <si>
    <t>1.7.49</t>
  </si>
  <si>
    <t>百子蓮，25≦高度＜30cm，15cm≦寬度＜20cmm</t>
  </si>
  <si>
    <t>029234150042
分析表184_x000D_
#</t>
  </si>
  <si>
    <t>1.7.50</t>
  </si>
  <si>
    <t>腎蕨，20≦高度＜25cm，15≦寬度＜20cm</t>
  </si>
  <si>
    <t>029233170042
分析表185_x000D_
#</t>
  </si>
  <si>
    <t>1.7.51</t>
  </si>
  <si>
    <t>檸檬天竺葵，25≦高度＜30cm，20≦寬度＜25cm</t>
  </si>
  <si>
    <t>0292353G5342
分析表186_x000D_
#</t>
  </si>
  <si>
    <t>1.7.52</t>
  </si>
  <si>
    <t>蜂香薄荷，25≦高度(枝長)＜30cm，20≦寬度＜25cm</t>
  </si>
  <si>
    <t>029235175342
分析表187_x000D_
#</t>
  </si>
  <si>
    <t>1.7.53</t>
  </si>
  <si>
    <t>芳香萬壽菊，25≦高度＜30cm，20≦寬度＜25cm</t>
  </si>
  <si>
    <t>029235345342
分析表188_x000D_
#</t>
  </si>
  <si>
    <t>1.7.54</t>
  </si>
  <si>
    <t>大安水蓑衣，30≦高度&lt;40cm，20≦寬度&lt;25cm</t>
  </si>
  <si>
    <t>029283A332
分析表189_x000D_
#</t>
  </si>
  <si>
    <t>1.7.55</t>
  </si>
  <si>
    <t>過長沙，20≦高度&lt;30cm，10≦寬度&lt;20cm</t>
  </si>
  <si>
    <t>0292833220
分析表190_x000D_
#</t>
  </si>
  <si>
    <t>1.7.56</t>
  </si>
  <si>
    <t>黃扇鳶尾，25≦高度＜30cm，15cm≦寬度＜20cm</t>
  </si>
  <si>
    <t>0292341A0042
分析表191_x000D_
#</t>
  </si>
  <si>
    <t>1.7.57</t>
  </si>
  <si>
    <t>鴨舌草，10≦高度&lt;15cm，10≦寬度&lt;15cm</t>
  </si>
  <si>
    <t>029284B121
分析表192_x000D_
#</t>
  </si>
  <si>
    <t>1.7.58</t>
  </si>
  <si>
    <t>紙莎草，50≦高度&lt;60cm，30≦寬度&lt;40cm</t>
  </si>
  <si>
    <t>029285C0071
分析表193_x000D_
#</t>
  </si>
  <si>
    <t>1.7.59</t>
  </si>
  <si>
    <t>野慈姑，25≦高度&lt;30cm，15≦寬度&lt;20cm</t>
  </si>
  <si>
    <t>029287F0041
分析表194_x000D_
#</t>
  </si>
  <si>
    <t>1.7.60</t>
  </si>
  <si>
    <t>野薑花，50≦高度&lt;60cm，30≦寬度&lt;40cm</t>
  </si>
  <si>
    <t>0292341H0003
分析表195_x000D_
#</t>
  </si>
  <si>
    <t>1.7.61</t>
  </si>
  <si>
    <t>螢藺，15≦高度&lt;20cm，10≦寬度&lt;15cm</t>
  </si>
  <si>
    <t>02928RB122
分析表196_x000D_
#</t>
  </si>
  <si>
    <t>1.7.62</t>
  </si>
  <si>
    <t>香蒲，30≦高度&lt;35cm，15≦寬度&lt;20cm</t>
  </si>
  <si>
    <t>02928A20041
分析表197_x000D_
#</t>
  </si>
  <si>
    <t>1.7.63</t>
  </si>
  <si>
    <t>田蔥，30≦高度&lt;35cm，15≦寬度&lt;20cm</t>
  </si>
  <si>
    <t>029289A0041
分析表198_x000D_
#</t>
  </si>
  <si>
    <t>1.7.64</t>
  </si>
  <si>
    <t>小葉馬纓丹，40 ≦高度(枝長)＜50cm</t>
  </si>
  <si>
    <t>029231AW500
分析表199_x000D_
#</t>
  </si>
  <si>
    <t>1.7.65</t>
  </si>
  <si>
    <t>薜荔，20 ≦ 高度(枝長) &lt; 30㎝</t>
  </si>
  <si>
    <t>02934BC3051
分析表200_x000D_
#</t>
  </si>
  <si>
    <t>1.7.66</t>
  </si>
  <si>
    <t>鷗蔓，30≦高度(枝長)＜40cm</t>
  </si>
  <si>
    <t>029343Q400
分析表201_x000D_
#</t>
  </si>
  <si>
    <t>1.7.67</t>
  </si>
  <si>
    <t>忍冬，40≦高度(枝長)＜50cm</t>
  </si>
  <si>
    <t>029343100ZZZ
分析表202_x000D_
#</t>
  </si>
  <si>
    <t>1.7.68</t>
  </si>
  <si>
    <t>白茅，50≦高度＜60cm，30≦寬度&lt;40cm</t>
  </si>
  <si>
    <t xml:space="preserve">02922WC542
分析表203_x000D_
</t>
  </si>
  <si>
    <t>1.7.69</t>
  </si>
  <si>
    <t>鹽地鼠尾栗，30≦高度＜40cm，25≦寬度&lt;30cm</t>
  </si>
  <si>
    <t xml:space="preserve">02922SD332
分析表204_x000D_
</t>
  </si>
  <si>
    <t>1.7.70</t>
  </si>
  <si>
    <t>艷紅百合，50≦高度＜60cm，30≦寬度&lt;40cm</t>
  </si>
  <si>
    <t xml:space="preserve">02922LH542
分析表205_x000D_
</t>
  </si>
  <si>
    <t>1.7.71</t>
  </si>
  <si>
    <t>噴泉狼尾草，50≦高度＜60cm，30≦寬度&lt;40cm</t>
  </si>
  <si>
    <t xml:space="preserve">02922SV332
分析表206_x000D_
</t>
  </si>
  <si>
    <t>1.7.72</t>
  </si>
  <si>
    <t>蘆葦，50≦高度&lt;60，30≦寬度&lt;40</t>
  </si>
  <si>
    <t xml:space="preserve">029286B0041
分析表207_x000D_
</t>
  </si>
  <si>
    <t>1.7.73</t>
  </si>
  <si>
    <t>植草，草種噴植，混合草種，養護</t>
  </si>
  <si>
    <t xml:space="preserve">0292012C02
分析表208_x000D_
</t>
  </si>
  <si>
    <t>1.7.74</t>
  </si>
  <si>
    <t>一般地被類，玉龍草，穴盤苗</t>
  </si>
  <si>
    <t>叢</t>
  </si>
  <si>
    <t xml:space="preserve">029231AZ00B3
分析表209_x000D_
</t>
  </si>
  <si>
    <t>1.7.75</t>
  </si>
  <si>
    <t>植草，密舖</t>
  </si>
  <si>
    <t>0292000U02
分析表210_x000D_
#假儉草</t>
  </si>
  <si>
    <t>　　(八)</t>
  </si>
  <si>
    <t>電氣設備工程</t>
  </si>
  <si>
    <t>1.8.1</t>
  </si>
  <si>
    <t>低壓配電盤，錶箱 "KWH-WP" PANEL</t>
  </si>
  <si>
    <t xml:space="preserve">1640100004Z01a
分析表211_x000D_
</t>
  </si>
  <si>
    <t>1.8.2</t>
  </si>
  <si>
    <t>低壓配電盤，"WP" PANEL</t>
  </si>
  <si>
    <t xml:space="preserve">16401000049
分析表212_x000D_
</t>
  </si>
  <si>
    <t>1.8.3</t>
  </si>
  <si>
    <t>低壓配電盤，"MLN" PANEL</t>
  </si>
  <si>
    <t xml:space="preserve">1640100004Z04
分析表213_x000D_
</t>
  </si>
  <si>
    <t>1.8.4</t>
  </si>
  <si>
    <t>低壓配電盤，"PSN" PANEL</t>
  </si>
  <si>
    <t xml:space="preserve">1640100004Z10
分析表214_x000D_
</t>
  </si>
  <si>
    <t>1.8.5</t>
  </si>
  <si>
    <t>道路照明，路燈，單臂，LED90W 燈桿8M 含基礎座預埋桿件</t>
  </si>
  <si>
    <t>16525100E00C1
# H:8M，含基礎座預埋桿件</t>
  </si>
  <si>
    <t>1.8.6</t>
  </si>
  <si>
    <t>道路照明，路燈，子母， LED90W &amp; 30W 燈桿8M 含基礎座預埋桿件</t>
  </si>
  <si>
    <t>16525100E00C2
#</t>
  </si>
  <si>
    <t>1.8.7</t>
  </si>
  <si>
    <t>道路照明，燈具，景觀高燈，LED45W 燈桿4M 含基礎座預埋桿件</t>
  </si>
  <si>
    <t>165254300M0C
#</t>
  </si>
  <si>
    <t>1.8.8</t>
  </si>
  <si>
    <t>道路照明，燈具，矮柱燈， LED20W 含基礎座桿</t>
  </si>
  <si>
    <t>16525450000C
#</t>
  </si>
  <si>
    <t>1.8.9</t>
  </si>
  <si>
    <t>線燈 LED1W 300mm</t>
  </si>
  <si>
    <t xml:space="preserve">165254100008a
</t>
  </si>
  <si>
    <t>1.8.10</t>
  </si>
  <si>
    <t>線燈 LED4W 1000mm</t>
  </si>
  <si>
    <t xml:space="preserve">165254100008b
</t>
  </si>
  <si>
    <t>1.8.11</t>
  </si>
  <si>
    <t>軟帶燈 LED11W</t>
  </si>
  <si>
    <t xml:space="preserve">165254100008c
</t>
  </si>
  <si>
    <t>1.8.12</t>
  </si>
  <si>
    <t>防水型崁燈 LED 30W</t>
  </si>
  <si>
    <t xml:space="preserve">165254000008b
</t>
  </si>
  <si>
    <t>1.8.13</t>
  </si>
  <si>
    <t>圓形壁崁燈  LED 12W</t>
  </si>
  <si>
    <t xml:space="preserve">1652543000280a
</t>
  </si>
  <si>
    <t>1.8.14</t>
  </si>
  <si>
    <t>階梯燈 LED 3W</t>
  </si>
  <si>
    <t xml:space="preserve">1652543000280s
</t>
  </si>
  <si>
    <t>1.8.15</t>
  </si>
  <si>
    <t>水波紋高燈</t>
  </si>
  <si>
    <t>165297AB2BA
分析表215_x000D_
#(含基礎鎖固螺桿五金)</t>
  </si>
  <si>
    <t>1.8.16</t>
  </si>
  <si>
    <t>液位警報系統</t>
  </si>
  <si>
    <t>1041000004
含白鐵雙層防水控制箱*2、簡易防水面板*7</t>
  </si>
  <si>
    <t>1.8.17</t>
  </si>
  <si>
    <t>交通號誌</t>
  </si>
  <si>
    <t xml:space="preserve">1652900000Z
</t>
  </si>
  <si>
    <t>1.8.18</t>
  </si>
  <si>
    <t>戶外型照度感應器(含桿座)</t>
  </si>
  <si>
    <t>0157403508A
#</t>
  </si>
  <si>
    <t>1.8.19</t>
  </si>
  <si>
    <t>電源供應器60W</t>
  </si>
  <si>
    <t>16551C2638
#水波紋高燈</t>
  </si>
  <si>
    <t>1.8.20</t>
  </si>
  <si>
    <t>電源供應器 8W 含IP68防水外箱</t>
  </si>
  <si>
    <t xml:space="preserve">1653055005
</t>
  </si>
  <si>
    <t>1.8.21</t>
  </si>
  <si>
    <t>電源供應器 100W 含IP68防水外箱</t>
  </si>
  <si>
    <t xml:space="preserve">1653055005A
</t>
  </si>
  <si>
    <t>1.8.22</t>
  </si>
  <si>
    <t>電線及電纜，600V聚氯乙烯絕緣電線，1/C，125mm2</t>
  </si>
  <si>
    <t xml:space="preserve">1612013K0001
</t>
  </si>
  <si>
    <t>1.8.23</t>
  </si>
  <si>
    <t>電線及電纜，600V聚氯乙烯絕緣電線，1/C，14mm2</t>
  </si>
  <si>
    <t>161201290001
#</t>
  </si>
  <si>
    <t>1.8.24</t>
  </si>
  <si>
    <t>電線及電纜，600V聚氯乙烯絕緣電線，絞線，5.5mm2</t>
  </si>
  <si>
    <t xml:space="preserve">161201270001
</t>
  </si>
  <si>
    <t>1.8.25</t>
  </si>
  <si>
    <t>電線及電纜，600V聚氯乙烯絕緣電線，3/C，5.5mm2</t>
  </si>
  <si>
    <t xml:space="preserve">16120b150G01
</t>
  </si>
  <si>
    <t>1.8.26</t>
  </si>
  <si>
    <t xml:space="preserve">1612061A0001
</t>
  </si>
  <si>
    <t>1.8.27</t>
  </si>
  <si>
    <t>配線安全接頭(600V PVC電纜)</t>
  </si>
  <si>
    <t>01271D0004A
#</t>
  </si>
  <si>
    <t>1.8.28</t>
  </si>
  <si>
    <t>導線管，硬質聚氯乙烯塑膠管，E管，標稱28mm</t>
  </si>
  <si>
    <t xml:space="preserve">161323104001
</t>
  </si>
  <si>
    <t>1.8.29</t>
  </si>
  <si>
    <t>161323106301
#</t>
  </si>
  <si>
    <t>1.8.30</t>
  </si>
  <si>
    <t>導線管，硬質聚氯乙烯塑膠管，E管，標稱65mm</t>
  </si>
  <si>
    <t xml:space="preserve">16132310801
</t>
  </si>
  <si>
    <t>1.8.31</t>
  </si>
  <si>
    <t>導線管，硬質聚氯乙烯塑膠管，E管，標稱80mm</t>
  </si>
  <si>
    <t xml:space="preserve">161323109001
</t>
  </si>
  <si>
    <t>1.8.32</t>
  </si>
  <si>
    <t>配線安全接頭(XLPE電力電纜)</t>
  </si>
  <si>
    <t xml:space="preserve">01271D0004A2
</t>
  </si>
  <si>
    <t>1.8.33</t>
  </si>
  <si>
    <t>配管另件</t>
  </si>
  <si>
    <t xml:space="preserve">01271D0004B
</t>
  </si>
  <si>
    <t>　　(九)</t>
  </si>
  <si>
    <t>臨時動員及圍排水設施費</t>
  </si>
  <si>
    <t>1.9.1</t>
  </si>
  <si>
    <t>臨時擋土樁設施，鋼軌樁 50kg/m</t>
  </si>
  <si>
    <t>0225530001
分析表216_x000D_
租用(三合橋)</t>
  </si>
  <si>
    <t>1.9.2</t>
  </si>
  <si>
    <t>臨時擋土樁設施，鋼軌樁 50kg/m(含運費)，打拔</t>
  </si>
  <si>
    <t xml:space="preserve">0225530E31
分析表217_x000D_
</t>
  </si>
  <si>
    <t>1.9.3</t>
  </si>
  <si>
    <t>臨時通道用鋼板，厚15mm</t>
  </si>
  <si>
    <t xml:space="preserve">01532AB002m
</t>
  </si>
  <si>
    <t>1.9.4</t>
  </si>
  <si>
    <t>施工期間動復員費(含颱風、暴雨或機關指定之動員及設施設備費用)</t>
  </si>
  <si>
    <t>0150092024L
#(含所有設施撤離)</t>
  </si>
  <si>
    <t>1.9.5</t>
  </si>
  <si>
    <t>臨時設施，排水設備，引擎抽水機，D=10cm，租金</t>
  </si>
  <si>
    <t>01510522BD
分析表218_x000D_
(含油料及運費)</t>
  </si>
  <si>
    <t>1.9.6</t>
  </si>
  <si>
    <t>新舊工程銜接復舊</t>
  </si>
  <si>
    <t>0299130014
#</t>
  </si>
  <si>
    <t>新舊結構物介面處理</t>
  </si>
  <si>
    <t>處</t>
  </si>
  <si>
    <t xml:space="preserve">13801A0007a
</t>
  </si>
  <si>
    <t>施工照相及攝(錄)影，(4G行動門號，即時攝影無線傳輸)，施工動態即時影像傳輸費</t>
  </si>
  <si>
    <t>日/台</t>
  </si>
  <si>
    <t>013210100b
分析表219_x000D_
含路證申請、回報及配合道路挖掘之相關作業費用</t>
  </si>
  <si>
    <t>臨時設施，臨時監控系統</t>
  </si>
  <si>
    <t xml:space="preserve">015100000F
</t>
  </si>
  <si>
    <t>臨時設施，臨時電使用費及臨時水使用費</t>
  </si>
  <si>
    <t>月</t>
  </si>
  <si>
    <t xml:space="preserve">0151000000BA
</t>
  </si>
  <si>
    <t>工地攝影記錄及影片製作</t>
  </si>
  <si>
    <t>1652510K0112
分析表220_x000D_
#</t>
  </si>
  <si>
    <t>臨時工棚(含相關設施)</t>
  </si>
  <si>
    <t>13801100A2
#</t>
  </si>
  <si>
    <t>生態檢核</t>
  </si>
  <si>
    <t xml:space="preserve">01572J0004
</t>
  </si>
  <si>
    <t>品質管理，品質管理費，土木工程及建築類檢驗，A3045混凝土圓柱試體抗壓強度之檢驗法</t>
  </si>
  <si>
    <t xml:space="preserve">01450B11U7
</t>
  </si>
  <si>
    <t>品質管理，材料設備檢驗費，土木工程及建築類檢驗，混凝土氯離子試驗</t>
  </si>
  <si>
    <t>01450A11U6A
#</t>
  </si>
  <si>
    <t>品質管理，材料設備檢驗費，混凝土坍度試驗法</t>
  </si>
  <si>
    <t>01450D11Q7
#</t>
  </si>
  <si>
    <t>品質管理，材料設備檢驗費，土木工程及建築類檢驗，混凝土鑽心試體試驗</t>
  </si>
  <si>
    <t>顆</t>
  </si>
  <si>
    <t>01450A1003
#</t>
  </si>
  <si>
    <t>品質管理，材料設備檢驗費，土木工程及建築類檢驗，A2006鋼筋混凝土用鋼筋物性試驗</t>
  </si>
  <si>
    <t>01450D1D48
每組3支</t>
  </si>
  <si>
    <t>品質管理，材料設備檢驗費，土木工程及建築類檢驗，A2006鋼筋混凝土用鋼筋化性試驗</t>
  </si>
  <si>
    <t>01450D1D58
每組3支</t>
  </si>
  <si>
    <t>品質管理，材料設備檢驗費，土木工程及建築類檢驗，瀝青混合料含油量穩定值及級配分析</t>
  </si>
  <si>
    <t xml:space="preserve">01450D1CX8
</t>
  </si>
  <si>
    <t>品質管理，材料設備檢驗費，土木工程及建築類檢驗，瀝青混凝土壓實度試驗及厚度檢驗</t>
  </si>
  <si>
    <t xml:space="preserve">01450D1CY8
</t>
  </si>
  <si>
    <t>品質管理，材料設備檢驗費，土木工程及建築類檢驗，瀝青混凝土平整度試驗</t>
  </si>
  <si>
    <t xml:space="preserve">01450D1C2M
</t>
  </si>
  <si>
    <t>3.10</t>
  </si>
  <si>
    <t>品質管理，材料設備檢驗費，土木工程及建築類檢驗，瀝青混凝土黏滯度試驗</t>
  </si>
  <si>
    <t>01450A0038
#</t>
  </si>
  <si>
    <t>3.11</t>
  </si>
  <si>
    <t>品質管理，材料設備檢驗費，土木工程及建築類檢驗，地工織物試驗法【含拉力強度(伸長率、撕裂強度)、透水係數、耐紫外線性、起始模數、有效開孔性】</t>
  </si>
  <si>
    <t xml:space="preserve">01450D1D68
</t>
  </si>
  <si>
    <t>3.12</t>
  </si>
  <si>
    <t>品質管理，材料設備檢驗費，土木工程及建築類檢驗，鋼鐵件檢驗【含降伏、拉伸、彎曲、化性】</t>
  </si>
  <si>
    <t xml:space="preserve">01450D1D38
</t>
  </si>
  <si>
    <t>3.13</t>
  </si>
  <si>
    <t>品質管制，工廠內鋼熔接縫超音波探傷試驗</t>
  </si>
  <si>
    <t xml:space="preserve">014505000A
</t>
  </si>
  <si>
    <t>3.14</t>
  </si>
  <si>
    <t>品質管制，現場鋼熔接縫超音波探傷試驗</t>
  </si>
  <si>
    <t xml:space="preserve">014505100A
</t>
  </si>
  <si>
    <t>3.15</t>
  </si>
  <si>
    <t>品質管理，材料設備檢驗費，土木工程及建築類檢驗，標線抗滑試驗(現地試驗，1天，6個試驗點)</t>
  </si>
  <si>
    <t>01450D1Z18
#</t>
  </si>
  <si>
    <t>3.16</t>
  </si>
  <si>
    <t>品質管理，材料設備檢驗費，反光標線鑽心試體玻璃珠含量</t>
  </si>
  <si>
    <t xml:space="preserve">01450D1E68
</t>
  </si>
  <si>
    <t>3.17</t>
  </si>
  <si>
    <t>品質管理，材料設備檢驗費，土木工程及建築類檢驗，銲接鋼線網檢驗(含拉伸、彎曲、抗剪、外觀)</t>
  </si>
  <si>
    <t>01450D1DZ8#
#</t>
  </si>
  <si>
    <t>3.18</t>
  </si>
  <si>
    <t>品質管理，材料設備檢驗費，土木工程及建築類檢驗，碎石級配粒料篩分析試驗</t>
  </si>
  <si>
    <t>01450D1C3M
#</t>
  </si>
  <si>
    <t>3.19</t>
  </si>
  <si>
    <t>品質管理，材料設備檢驗費，木業類檢驗，原木檢驗(含樹種鑑定、含水率及ACQ吸收量檢測)</t>
  </si>
  <si>
    <t xml:space="preserve">01450DH28M#
</t>
  </si>
  <si>
    <t>3.20</t>
  </si>
  <si>
    <t>品質管理，材料設備檢驗費，土木工程及建築類檢驗，石材檢驗</t>
  </si>
  <si>
    <t xml:space="preserve">01450D1DX8#
</t>
  </si>
  <si>
    <t>3.21</t>
  </si>
  <si>
    <t>品質管理，材料設備檢驗費，土木工程及建築類檢驗，不鏽鋼料檢驗</t>
  </si>
  <si>
    <t xml:space="preserve">01450D1DY8#
</t>
  </si>
  <si>
    <t>3.22</t>
  </si>
  <si>
    <t>品質管理，材料設備檢驗費，土木工程及建築類檢驗，熱浸鍍鋅試驗</t>
  </si>
  <si>
    <t xml:space="preserve">01450E1BBM
</t>
  </si>
  <si>
    <t>3.23</t>
  </si>
  <si>
    <t>品質管理，材料設備檢驗費，土木工程及建築類檢驗，氟碳烤漆試驗</t>
  </si>
  <si>
    <t xml:space="preserve">01450F1BBM
</t>
  </si>
  <si>
    <t>3.24</t>
  </si>
  <si>
    <t>品質管理，材料設備檢驗費，土木工程及建築類檢驗，鍍鋅格柵蓋板試驗</t>
  </si>
  <si>
    <t xml:space="preserve">01450D1DR8
</t>
  </si>
  <si>
    <t>3.25</t>
  </si>
  <si>
    <t>品質管理，材料設備檢驗費，土木工程及建築類檢驗，HDPE鋼板加勁螺旋管檢驗【含抗拉強度、伸長率】</t>
  </si>
  <si>
    <t>01450A003A
#</t>
  </si>
  <si>
    <t>3.26</t>
  </si>
  <si>
    <t>品質管理，材料設備檢驗費，土木工程及建築類檢驗，A3003混凝土管檢驗法</t>
  </si>
  <si>
    <t xml:space="preserve">01450D116M
</t>
  </si>
  <si>
    <t>3.27</t>
  </si>
  <si>
    <t>品質管理，材料設備檢驗費，土木工程及建築類檢驗，化學螺栓拉拔力測試</t>
  </si>
  <si>
    <t>隻</t>
  </si>
  <si>
    <t xml:space="preserve">01450D1D1R
</t>
  </si>
  <si>
    <t>3.28</t>
  </si>
  <si>
    <t>品質管理，材料設備檢驗費，植筋拉拔試驗</t>
  </si>
  <si>
    <t xml:space="preserve">01450D1E6R
</t>
  </si>
  <si>
    <t>3.29</t>
  </si>
  <si>
    <t>品質管制，蜂巢格網試驗費</t>
  </si>
  <si>
    <t>01450B1CBM
#</t>
  </si>
  <si>
    <t>3.30</t>
  </si>
  <si>
    <t>品質管理，材料設備檢驗費，土木工程及建築類檢驗，土壤相對密度試驗</t>
  </si>
  <si>
    <t xml:space="preserve">01450D1C98
</t>
  </si>
  <si>
    <t>3.31</t>
  </si>
  <si>
    <t>品質管理，材料設備檢驗費，土木工程及建築類檢驗，工地密度試驗</t>
  </si>
  <si>
    <t xml:space="preserve">01450D1BBM
</t>
  </si>
  <si>
    <t>3.32</t>
  </si>
  <si>
    <t xml:space="preserve">01450D1CA8
</t>
  </si>
  <si>
    <t>3.33</t>
  </si>
  <si>
    <t>品質管理，材料設備檢驗費，基樁完整性試驗</t>
  </si>
  <si>
    <t xml:space="preserve">01450D18X8
</t>
  </si>
  <si>
    <t>3.34</t>
  </si>
  <si>
    <t>品質管理，材料設備檢驗費，土木工程及建築類檢驗，透水磚，透水試驗</t>
  </si>
  <si>
    <t>塊</t>
  </si>
  <si>
    <t>0145000034
#</t>
  </si>
  <si>
    <t>工地環境保護費</t>
  </si>
  <si>
    <t xml:space="preserve">01572H100F
分析表221_x000D_
</t>
  </si>
  <si>
    <t>01572F000E
分析表222_x000D_
280m2/月，共24個月</t>
  </si>
  <si>
    <t>安全設施與交通維持費</t>
  </si>
  <si>
    <t>施工圍籬，組合式固定，2.4m ≦高度</t>
  </si>
  <si>
    <t>01564L4001
分析表223_x000D_
高度2.4m</t>
  </si>
  <si>
    <t>施工圍籬，圍籬美化，掛防水帆布(含輸出、包繩及打洞)</t>
  </si>
  <si>
    <t>015640B002
需經審查後設置</t>
  </si>
  <si>
    <t xml:space="preserve">0155642707
分析表224_x000D_
</t>
  </si>
  <si>
    <t xml:space="preserve">015564080E
</t>
  </si>
  <si>
    <t>指示標誌</t>
  </si>
  <si>
    <t xml:space="preserve">01556L000A
分析表225_x000D_
</t>
  </si>
  <si>
    <t>活動型拒馬，長1.2m</t>
  </si>
  <si>
    <t xml:space="preserve">0155630A0A
分析表226_x000D_
</t>
  </si>
  <si>
    <t xml:space="preserve">015568000A
分析表227_x000D_
</t>
  </si>
  <si>
    <t>工程告示牌及工地標誌，工程告示牌，鋁質，長500x寬320cm</t>
  </si>
  <si>
    <t xml:space="preserve">015831130Bn
分析表228_x000D_
</t>
  </si>
  <si>
    <t>01583B000A
分析表229_x000D_
創意柔性告示牌之圖案須依機關提供之電子檔依比例放大製作</t>
  </si>
  <si>
    <t>牌面承座</t>
  </si>
  <si>
    <t xml:space="preserve">02891A5007
分析表230_x000D_
</t>
  </si>
  <si>
    <t>施工圍籬，大門(含拆裝1次)</t>
  </si>
  <si>
    <t>樘</t>
  </si>
  <si>
    <t xml:space="preserve">01564F000A
</t>
  </si>
  <si>
    <t>5.12</t>
  </si>
  <si>
    <t>輕型欄杆(連工帶料)</t>
  </si>
  <si>
    <t>0156031012a
含警示燈</t>
  </si>
  <si>
    <t>5.13</t>
  </si>
  <si>
    <t>施工圍籬二次拆裝</t>
  </si>
  <si>
    <t xml:space="preserve">01556000Z1a
</t>
  </si>
  <si>
    <t>5.14</t>
  </si>
  <si>
    <t>輕型欄杆二次拆裝</t>
  </si>
  <si>
    <t xml:space="preserve">01556000Z1b
</t>
  </si>
  <si>
    <t>5.15</t>
  </si>
  <si>
    <t>安全設施維護管理費</t>
  </si>
  <si>
    <t xml:space="preserve">01556000Z4
</t>
  </si>
  <si>
    <t xml:space="preserve">015741010J
</t>
  </si>
  <si>
    <t xml:space="preserve">015742110L
</t>
  </si>
  <si>
    <t xml:space="preserve">015742320C
</t>
  </si>
  <si>
    <t xml:space="preserve">0157424228
</t>
  </si>
  <si>
    <t xml:space="preserve">015742672M
</t>
  </si>
  <si>
    <t xml:space="preserve">015742710M
</t>
  </si>
  <si>
    <t>職業安全衛生，保護器材，身體，勞工衛生用防護衣</t>
  </si>
  <si>
    <t xml:space="preserve">015742870G
</t>
  </si>
  <si>
    <t xml:space="preserve">0157428A0G
</t>
  </si>
  <si>
    <t>職業安全衛生，保護器材，高處作業(含掛鉤等配件)</t>
  </si>
  <si>
    <t xml:space="preserve">0157429008
</t>
  </si>
  <si>
    <t xml:space="preserve">015742A107
</t>
  </si>
  <si>
    <t>職業安全衛生，保護器材，臨水作業救生設備（含救生船及救生圈）</t>
  </si>
  <si>
    <t xml:space="preserve">015742D008
</t>
  </si>
  <si>
    <t>6.12</t>
  </si>
  <si>
    <t>職業安全衛生，保護器材，臨水作業救生設備，救生衣</t>
  </si>
  <si>
    <t xml:space="preserve">015742D108
</t>
  </si>
  <si>
    <t>6.13</t>
  </si>
  <si>
    <t>職業安全衛生，保護器材，臨水作業救生設備，救生圈(含救生索)</t>
  </si>
  <si>
    <t xml:space="preserve">015742D408
</t>
  </si>
  <si>
    <t>6.14</t>
  </si>
  <si>
    <t>職業安全衛生，保護器材，安全扶梯(2M高度以上，45cm寬)</t>
  </si>
  <si>
    <t xml:space="preserve">0157429517
</t>
  </si>
  <si>
    <t>6.15</t>
  </si>
  <si>
    <t>臨時設施，照明設備，夜間(500W含伸縮腳架)</t>
  </si>
  <si>
    <t xml:space="preserve">0151030028
</t>
  </si>
  <si>
    <t>6.16</t>
  </si>
  <si>
    <t xml:space="preserve">01574E0004
</t>
  </si>
  <si>
    <t>6.17</t>
  </si>
  <si>
    <t>產品，平面式塑膠警示帶</t>
  </si>
  <si>
    <t xml:space="preserve">M0250610001
</t>
  </si>
  <si>
    <t>6.18</t>
  </si>
  <si>
    <t>01574000D4
[人力工項不打折]設置2人</t>
  </si>
  <si>
    <t>6.19</t>
  </si>
  <si>
    <t>職業安全衛生，安衛管理及其他安全衛生措施</t>
  </si>
  <si>
    <t>01574B0004
含教育訓練及防災演練</t>
  </si>
  <si>
    <t>　七</t>
  </si>
  <si>
    <t>7.1</t>
  </si>
  <si>
    <t>01574000D5
[人力工項不打折]設置2人</t>
  </si>
  <si>
    <t>7.2</t>
  </si>
  <si>
    <t>行政管理費</t>
  </si>
  <si>
    <t>01450000E4
含廠製圖及送審文件製作</t>
  </si>
  <si>
    <t>　八</t>
  </si>
  <si>
    <t>稅什費（含保險費）</t>
  </si>
  <si>
    <t>(一~七)*[約10.94944113%]</t>
    <phoneticPr fontId="1" type="noConversion"/>
  </si>
  <si>
    <t>　九</t>
  </si>
  <si>
    <t>台北港土方管理費</t>
  </si>
  <si>
    <t>本項單價為固定值(150元/M3)，訂約時不隨折數調整，依實際進場土方計價(費用不另計稅什費)</t>
  </si>
  <si>
    <t>9.1</t>
  </si>
  <si>
    <t xml:space="preserve">02323BX2A3
</t>
  </si>
  <si>
    <t>　一０</t>
  </si>
  <si>
    <t>鄰房現況鑑定（含稅）</t>
  </si>
  <si>
    <t>本項單價為固定值(56元/M2)，訂約時不隨折數調整，依實際鑑定戶數計架並檢據核銷(費用不另計稅什費)</t>
  </si>
  <si>
    <t>10.1</t>
  </si>
  <si>
    <t>鄰房現況鑑定(含稅)</t>
  </si>
  <si>
    <t xml:space="preserve">0225305002
</t>
  </si>
  <si>
    <t>【發包工程費小計】</t>
  </si>
  <si>
    <t>總價(總計)</t>
  </si>
  <si>
    <t>註記:</t>
  </si>
  <si>
    <t xml:space="preserve">一、人力項目單價依原列預算單價不予調低，「交通維持，道路管制人員，日間(06-22時)，義交」單價為280元/時、「職安人員費用」單價為47,468元/人月、「品管人員費用」單價為47,468元/人月。 _x000D_
二、本工程包含有價廢料變賣項，係將本工程所產生之有價廢料變賣予廠商，該款項得標廠商得以現金方式繳納或由工程估驗款內扣抵，各項單價不得因決標金額所做比例調整而變動，預估數量計算所得總售價不列入標單暨發包契約總價，變賣項目及預估數量條列如後：_x000D_
  1.「瀝青混凝土刨除料變賣」，單價：575.00元/M3，預估數量：1,767.29M3，複價：1,016,191.75元。_x000D_
  2.「工地拆除，拆除材料回收利用與儲存」，單價：20.00元/KG，預估數量：3,089.03KG，複價：61,780.60元。_x000D_
  3.「拆除鋼筋」，單價：8.00元/KG，預估數量：424,200.00KG，複價：3,393,600.00元。_x000D_
 預估變賣總價為：4,471,572.35元，惟發包後則由得標廠商依實做數量乘單價以結算總售價。 </t>
  </si>
  <si>
    <t>施工地點：北投磺港溪</t>
    <phoneticPr fontId="1" type="noConversion"/>
  </si>
  <si>
    <t>工程編號：111 070020302 038 02</t>
    <phoneticPr fontId="1" type="noConversion"/>
  </si>
  <si>
    <t>機械拆除，瀝青混凝土，未含運費</t>
    <phoneticPr fontId="1" type="noConversion"/>
  </si>
  <si>
    <t>受保護樹木編號:3430、3469、3470、3736共4株</t>
    <phoneticPr fontId="1" type="noConversion"/>
  </si>
  <si>
    <t>工棚1式</t>
    <phoneticPr fontId="1" type="noConversion"/>
  </si>
  <si>
    <t>交通錐59個</t>
    <phoneticPr fontId="1" type="noConversion"/>
  </si>
  <si>
    <t>連桿30支</t>
    <phoneticPr fontId="1" type="noConversion"/>
  </si>
  <si>
    <t>指示標誌19座</t>
    <phoneticPr fontId="1" type="noConversion"/>
  </si>
  <si>
    <t>活動型拒馬，長1.2m10座</t>
    <phoneticPr fontId="1" type="noConversion"/>
  </si>
  <si>
    <t>工程告示牌及工地標誌，柔性告示牌19面</t>
  </si>
  <si>
    <t>牌面承座19個</t>
  </si>
  <si>
    <t>職業安全衛生，飲水及休息設備1式</t>
  </si>
  <si>
    <t>意外傷害救護設備.急救箱4個</t>
  </si>
  <si>
    <t>施工大門2樘</t>
    <phoneticPr fontId="1" type="noConversion"/>
  </si>
  <si>
    <t>救生圈含救生索5組</t>
    <phoneticPr fontId="1" type="noConversion"/>
  </si>
  <si>
    <t>臨水作業救生設備含救生船及救生圈）5組</t>
    <phoneticPr fontId="1" type="noConversion"/>
  </si>
  <si>
    <t>臨水作業救生設備-救生衣5組</t>
    <phoneticPr fontId="1" type="noConversion"/>
  </si>
  <si>
    <t>自行車架拆除20座</t>
    <phoneticPr fontId="1" type="noConversion"/>
  </si>
  <si>
    <t>既有磺港橋南側</t>
    <phoneticPr fontId="1" type="noConversion"/>
  </si>
  <si>
    <t>=(1.2*0.5*8*39)+(1.2*0.5*8*7)</t>
    <phoneticPr fontId="1" type="noConversion"/>
  </si>
  <si>
    <t>既有磺港橋橋面</t>
    <phoneticPr fontId="1" type="noConversion"/>
  </si>
  <si>
    <t>磺港橋</t>
    <phoneticPr fontId="1" type="noConversion"/>
  </si>
  <si>
    <t>磺港橋(橋面及護欄+I梁+橫隔樑+帽梁+墩柱)</t>
    <phoneticPr fontId="1" type="noConversion"/>
  </si>
  <si>
    <t>=(27.2*16+10.5*6)+(1.25*6*12*5)+(2.3*6*7*2)+(3.8*6+5.2*8)+(2.5*3.14*6)</t>
    <phoneticPr fontId="1" type="noConversion"/>
  </si>
  <si>
    <t>=11.5*(7.5+4.5)/2*0.23</t>
    <phoneticPr fontId="1" type="noConversion"/>
  </si>
  <si>
    <t>=27.2*10.5*0.25</t>
    <phoneticPr fontId="1" type="noConversion"/>
  </si>
  <si>
    <t>=(290*2*0.15*0.2+12*5*0.15*0.2)+(53*2*0.14*0.2+3*4*0.15*0.2)</t>
    <phoneticPr fontId="1" type="noConversion"/>
  </si>
  <si>
    <t>抽水站旁</t>
    <phoneticPr fontId="1" type="noConversion"/>
  </si>
  <si>
    <t>=10.8*(7.5+9.5)/2*0.22</t>
    <phoneticPr fontId="1" type="noConversion"/>
  </si>
  <si>
    <t>人行橋+橋台+基礎+既有河道底+樓梯</t>
    <phoneticPr fontId="1" type="noConversion"/>
  </si>
  <si>
    <t>既有橋北側堤牆(含基礎)+既有河道底(含新舊河道銜接段)</t>
    <phoneticPr fontId="1" type="noConversion"/>
  </si>
  <si>
    <t>磺港橋(橋面及護欄+I梁+橫隔樑+帽梁+中墩柱)</t>
    <phoneticPr fontId="1" type="noConversion"/>
  </si>
  <si>
    <t>橋台+基礎+進橋台</t>
    <phoneticPr fontId="1" type="noConversion"/>
  </si>
  <si>
    <t>緣石邊及人孔處(河.LT000~290+RT000~060)</t>
    <phoneticPr fontId="1" type="noConversion"/>
  </si>
  <si>
    <t>((1.1*0.8-(0.04*0.04*3.14*6))*263+(1.15*5))</t>
    <phoneticPr fontId="1" type="noConversion"/>
  </si>
  <si>
    <t>既有人行道(路.S120~200+河.LT017~280+河.RT005~280含護欄柱)</t>
    <phoneticPr fontId="1" type="noConversion"/>
  </si>
  <si>
    <t>((0.9*0.25*80)+(1.25*0.25*263)+(1.15*0.2*263+0.5*0.5*1.05*31))</t>
    <phoneticPr fontId="1" type="noConversion"/>
  </si>
  <si>
    <t>新舊河道銜接段既有堤牆</t>
    <phoneticPr fontId="1" type="noConversion"/>
  </si>
  <si>
    <t>河.070處樓梯+既有牆</t>
    <phoneticPr fontId="1" type="noConversion"/>
  </si>
  <si>
    <t>既有管涵+集水井</t>
    <phoneticPr fontId="1" type="noConversion"/>
  </si>
  <si>
    <t>((3.75*(0.3+0.6)/2*6.7)+(2.1*0.6*18.7)+(0.35*1.5*18.7)+(0.35*3.75*3.2))</t>
    <phoneticPr fontId="1" type="noConversion"/>
  </si>
  <si>
    <t>(277.6*0.525)</t>
    <phoneticPr fontId="1" type="noConversion"/>
  </si>
  <si>
    <t>(77.5+169.3+170.9+49.4)*0.15</t>
    <phoneticPr fontId="1" type="noConversion"/>
  </si>
  <si>
    <t>自行車道AC打除(圖說面積尚未檢核)</t>
    <phoneticPr fontId="1" type="noConversion"/>
  </si>
  <si>
    <t>既有排水溝(含蓋板)(路.N130~420)</t>
    <phoneticPr fontId="1" type="noConversion"/>
  </si>
  <si>
    <r>
      <t>自行車道基礎</t>
    </r>
    <r>
      <rPr>
        <sz val="12"/>
        <color rgb="FFFF0000"/>
        <rFont val="標楷體"/>
        <family val="4"/>
        <charset val="136"/>
      </rPr>
      <t>(圖說面積尚未檢核)</t>
    </r>
    <phoneticPr fontId="1" type="noConversion"/>
  </si>
  <si>
    <t>(77.5+169.3+170.9+49.4)*0.25</t>
    <phoneticPr fontId="1" type="noConversion"/>
  </si>
  <si>
    <t>(401.1+1104.5+1276+169.3+767.7+52.1)*0.3</t>
    <phoneticPr fontId="1" type="noConversion"/>
  </si>
  <si>
    <r>
      <t>公園步道及鋪面</t>
    </r>
    <r>
      <rPr>
        <sz val="12"/>
        <color rgb="FFFF0000"/>
        <rFont val="標楷體"/>
        <family val="4"/>
        <charset val="136"/>
      </rPr>
      <t>(圖說面積尚未檢核)</t>
    </r>
    <phoneticPr fontId="1" type="noConversion"/>
  </si>
  <si>
    <t>((27.2*10.3*0.3+0.3*1.1*27.2*2)+(13.2*1.25*0.6*7*2)+(6.8*1.25*0.5*7)+(((1.9+0.8)/2*1.2*7.8)+1.9*2.5*1.2)+((1.25*1.25*3.14*3.6)))</t>
    <phoneticPr fontId="1" type="noConversion"/>
  </si>
  <si>
    <t>(10.3*1.8*4.2+10.3*1.8*2.8)*2+(10.3*2.8*1.8)*2+((60.65*(3.9+2.2)/2*0.55)+(10.3*3.9*0.6))</t>
    <phoneticPr fontId="1" type="noConversion"/>
  </si>
  <si>
    <t>(1.1*0.35*196.3)+((0.38*0.38*3.14-0.3*0.3*3.14)*196.3)+2.85*2</t>
    <phoneticPr fontId="1" type="noConversion"/>
  </si>
  <si>
    <t>((3.75*(0.3+0.6)/2*35.65)+(5.5*0.85*35.65))</t>
    <phoneticPr fontId="1" type="noConversion"/>
  </si>
  <si>
    <r>
      <t>((19.3*0.52*0.8*4)+(19.3*7.2*0.3)+(6.8*2.2*0.8*2)+(9.5*3*0.8+9.5*1.8*0.3)+</t>
    </r>
    <r>
      <rPr>
        <sz val="12"/>
        <color rgb="FFFF0000"/>
        <rFont val="標楷體"/>
        <family val="4"/>
        <charset val="136"/>
      </rPr>
      <t>(17.8*0.55*2.8*2))</t>
    </r>
    <phoneticPr fontId="1" type="noConversion"/>
  </si>
  <si>
    <r>
      <t>綠帶槽緣石+石椅</t>
    </r>
    <r>
      <rPr>
        <sz val="12"/>
        <color rgb="FFFF0000"/>
        <rFont val="標楷體"/>
        <family val="4"/>
        <charset val="136"/>
      </rPr>
      <t>(尚未檢核)</t>
    </r>
    <phoneticPr fontId="1" type="noConversion"/>
  </si>
  <si>
    <t>((112.1+241.1+229.5+0+60.8+0)*0.033)+((3+8+5.7+2.9)*0.5*0.75)</t>
    <phoneticPr fontId="1" type="noConversion"/>
  </si>
  <si>
    <t>單孔000~064(清江+2處過路堤牆+抽水井處)</t>
    <phoneticPr fontId="1" type="noConversion"/>
  </si>
  <si>
    <t>(0.25*1.65*39)+((3.5*(0.3+0.6)/2*5.6)+(2.1*0.6*2.3))+(6.2*5.3*0.35+2.1*2.2*0.6)</t>
    <phoneticPr fontId="1" type="noConversion"/>
  </si>
  <si>
    <t>河.260~280處既有基礎+路燈基礎</t>
    <phoneticPr fontId="1" type="noConversion"/>
  </si>
  <si>
    <t>(0.8*(0.75+0.35)/2*18.2)+(0.8*0.8*1.45*7)</t>
    <phoneticPr fontId="1" type="noConversion"/>
  </si>
  <si>
    <t>路側RC護欄(河.LT000~290+RT000~060)</t>
    <phoneticPr fontId="1" type="noConversion"/>
  </si>
  <si>
    <t>既有台電(路N.河.LT017~280含手孔)</t>
    <phoneticPr fontId="1" type="noConversion"/>
  </si>
  <si>
    <t>((2.1*2.4)-(1.5*1.75))*25.7+(2.1*1.25*0.6)</t>
    <phoneticPr fontId="1" type="noConversion"/>
  </si>
  <si>
    <t>既有箱涵+閘門平台</t>
    <phoneticPr fontId="1" type="noConversion"/>
  </si>
  <si>
    <t>((3.75*(0.3+0.6)/2*63.7)+(5.5*0.85*63.7))+(26.8*7*0.6+18.5*7*0.35)</t>
    <phoneticPr fontId="1" type="noConversion"/>
  </si>
  <si>
    <t>新設河道斷面計算</t>
    <phoneticPr fontId="1" type="noConversion"/>
  </si>
  <si>
    <r>
      <t>新設河道斷面計算</t>
    </r>
    <r>
      <rPr>
        <sz val="12"/>
        <color rgb="FFFF0000"/>
        <rFont val="標楷體"/>
        <family val="4"/>
        <charset val="136"/>
      </rPr>
      <t>(尚未檢核)</t>
    </r>
    <phoneticPr fontId="1" type="noConversion"/>
  </si>
  <si>
    <t>=18*12+8.5*4+(1.1*6*12*3+0.8)+(3*2)</t>
    <phoneticPr fontId="1" type="noConversion"/>
  </si>
  <si>
    <t>人行橋(希冀橋)含下方基礎</t>
    <phoneticPr fontId="1" type="noConversion"/>
  </si>
  <si>
    <t>統計聯單</t>
  </si>
  <si>
    <t>統計聯單</t>
    <phoneticPr fontId="1" type="noConversion"/>
  </si>
  <si>
    <t>既有道路(路.S145~200+路.N140~420)</t>
    <phoneticPr fontId="1" type="noConversion"/>
  </si>
  <si>
    <t>(7.5*55*0.24)+(9.6*37*0.25)+(7.1*243*0.24)</t>
    <phoneticPr fontId="1" type="noConversion"/>
  </si>
  <si>
    <t>磺港橋及希冀橋橋台清障開挖+單孔過路段及清江公園</t>
    <phoneticPr fontId="1" type="noConversion"/>
  </si>
  <si>
    <t>((5*6*6.5*2)+(13*3.5*6.8)+(3.2*8.5*1.6))+((747.2+149.44))</t>
    <phoneticPr fontId="1" type="noConversion"/>
  </si>
  <si>
    <t>新設LT堤牆(L=52.3M)回填</t>
    <phoneticPr fontId="1" type="noConversion"/>
  </si>
  <si>
    <t>(0.8*4.5*52.3)+(1.2*4.5*52.3)</t>
    <phoneticPr fontId="1" type="noConversion"/>
  </si>
  <si>
    <t>(16.5*9.2*4.6+21.2*4.7*4.2)+(11.2*3.2*4.6)+(9.5*3.5*2.9)</t>
    <phoneticPr fontId="1" type="noConversion"/>
  </si>
  <si>
    <t>381.5*0.8</t>
    <phoneticPr fontId="1" type="noConversion"/>
  </si>
  <si>
    <r>
      <t>砌石RT植栽槽回填</t>
    </r>
    <r>
      <rPr>
        <sz val="12"/>
        <color rgb="FFFF0000"/>
        <rFont val="標楷體"/>
        <family val="4"/>
        <charset val="136"/>
      </rPr>
      <t>(面積尚未檢核)</t>
    </r>
    <phoneticPr fontId="1" type="noConversion"/>
  </si>
  <si>
    <t>單孔箱涵過路段及清江公園</t>
    <phoneticPr fontId="1" type="noConversion"/>
  </si>
  <si>
    <t>單孔箱涵064~300</t>
    <phoneticPr fontId="1" type="noConversion"/>
  </si>
  <si>
    <t>雙孔箱涵000~280</t>
    <phoneticPr fontId="1" type="noConversion"/>
  </si>
  <si>
    <t>(0.8*1.9*2*23+3.4*2.7*23)+(0.8*2.1*2*41)</t>
    <phoneticPr fontId="1" type="noConversion"/>
  </si>
  <si>
    <t>(7.5*55*2.5)+(9.6*37*2.5)+(7.1*243*2.5)</t>
    <phoneticPr fontId="1" type="noConversion"/>
  </si>
  <si>
    <t>既有道路(路.S120.S200.N130.N420處)</t>
    <phoneticPr fontId="1" type="noConversion"/>
  </si>
  <si>
    <t>(27.9+9.6+7.5+7.1)</t>
    <phoneticPr fontId="1" type="noConversion"/>
  </si>
  <si>
    <t>環境清整公園面積</t>
  </si>
  <si>
    <t>既有磺港橋(橋面+I梁+橫隔樑+帽梁+墩柱)+既有人行橋(希冀橋)</t>
    <phoneticPr fontId="1" type="noConversion"/>
  </si>
  <si>
    <t>既有道路(路.S145~180LT+S145~180RT+路.N140~420LT)</t>
    <phoneticPr fontId="1" type="noConversion"/>
  </si>
  <si>
    <t>35+(55-0.5*7)+(27*8+6.5+5.3)</t>
    <phoneticPr fontId="1" type="noConversion"/>
  </si>
  <si>
    <r>
      <t>高柱單盞9</t>
    </r>
    <r>
      <rPr>
        <sz val="12"/>
        <color rgb="FF000000"/>
        <rFont val="標楷體"/>
        <family val="4"/>
        <charset val="136"/>
      </rPr>
      <t>盞、矮柱單盞12盞、
矮柱雙盞22盞</t>
    </r>
    <phoneticPr fontId="1" type="noConversion"/>
  </si>
  <si>
    <t>9+12+22*2</t>
    <phoneticPr fontId="1" type="noConversion"/>
  </si>
  <si>
    <t>(2+7+6+3)</t>
    <phoneticPr fontId="1" type="noConversion"/>
  </si>
  <si>
    <t>既有磺港橋</t>
    <phoneticPr fontId="1" type="noConversion"/>
  </si>
  <si>
    <t>既有水利設施拆除及運送</t>
    <phoneticPr fontId="1" type="noConversion"/>
  </si>
  <si>
    <t>閘門及既有水利設施</t>
    <phoneticPr fontId="1" type="noConversion"/>
  </si>
  <si>
    <t>統計單據</t>
    <phoneticPr fontId="1" type="noConversion"/>
  </si>
  <si>
    <t>1.1.24</t>
  </si>
  <si>
    <t>表土清除，堆置，及回填費，t=30cm</t>
  </si>
  <si>
    <t>1.1.25</t>
  </si>
  <si>
    <t>餘土分類處理</t>
  </si>
  <si>
    <t>日</t>
  </si>
  <si>
    <t>實際施作統計日報</t>
    <phoneticPr fontId="1" type="noConversion"/>
  </si>
  <si>
    <t>百齡暫置場整地</t>
    <phoneticPr fontId="1" type="noConversion"/>
  </si>
  <si>
    <t>現場丈量(尚未完成)</t>
    <phoneticPr fontId="1" type="noConversion"/>
  </si>
  <si>
    <t>磺港橋及希冀橋基樁區回填</t>
    <phoneticPr fontId="1" type="noConversion"/>
  </si>
  <si>
    <t>既有路橋及人行橋橋台清障回填</t>
    <phoneticPr fontId="1" type="noConversion"/>
  </si>
  <si>
    <t>((5*6*6.5*2)+(13*3.5*6.8)+(3.2*8.5*1.6))</t>
    <phoneticPr fontId="1" type="noConversion"/>
  </si>
  <si>
    <t>(14.35*0.8*1.25+14.35*0.8*2.75+15*0.8*2.75)+((5.1+1.92)*2*1.25)</t>
    <phoneticPr fontId="1" type="noConversion"/>
  </si>
  <si>
    <t>新設磺港橋及希冀橋(A2)橋台回填</t>
    <phoneticPr fontId="1" type="noConversion"/>
  </si>
  <si>
    <t>希冀橋</t>
    <phoneticPr fontId="1" type="noConversion"/>
  </si>
  <si>
    <t>磺港橋橋台</t>
    <phoneticPr fontId="1" type="noConversion"/>
  </si>
  <si>
    <t>希冀橋橋台</t>
    <phoneticPr fontId="1" type="noConversion"/>
  </si>
  <si>
    <t>晶化地坪、希冀橋人行道引道</t>
    <phoneticPr fontId="1" type="noConversion"/>
  </si>
  <si>
    <t>希冀橋無障礙警示帶、希冀橋人行道引道、透空步道混凝土踏階</t>
    <phoneticPr fontId="1" type="noConversion"/>
  </si>
  <si>
    <t>希冀橋人行道引道、透空步道混凝土踏階</t>
    <phoneticPr fontId="1" type="noConversion"/>
  </si>
  <si>
    <t>磺港橋橋台(含防震塊)</t>
    <phoneticPr fontId="1" type="noConversion"/>
  </si>
  <si>
    <t>希冀橋橋台(含防震塊)</t>
    <phoneticPr fontId="1" type="noConversion"/>
  </si>
  <si>
    <t>(15.2*1.9*0.1)+(14.55*1.9*0.1)</t>
    <phoneticPr fontId="1" type="noConversion"/>
  </si>
  <si>
    <t>(3.08*4.87*0.1)+(3.7*1.7*0.1)</t>
    <phoneticPr fontId="1" type="noConversion"/>
  </si>
  <si>
    <t>磺港橋橋面版</t>
    <phoneticPr fontId="1" type="noConversion"/>
  </si>
  <si>
    <t>磺港橋進橋版</t>
    <phoneticPr fontId="1" type="noConversion"/>
  </si>
  <si>
    <t>磺港橋護欄</t>
    <phoneticPr fontId="1" type="noConversion"/>
  </si>
  <si>
    <t>(((16.55+15.7)/2*13.3*0.25)-(12.6*0.6*0.05))</t>
    <phoneticPr fontId="1" type="noConversion"/>
  </si>
  <si>
    <t>((2.88*4.67*1.15)+(0.5*1*(1.88+1+1.8+2.67)))+((1.5*3.5*1.15)+(0.5*3.5*1)+(0.3*1*2)+(3.5*(0.42*0.3+0.4*0.42/2))+(2.1*0.45*0.75*4))</t>
    <phoneticPr fontId="1" type="noConversion"/>
  </si>
  <si>
    <t>((14.35+15.2)*1.15*1.5)+((14.35+15.2)*1.5*0.5)+((14.35+15.2)*(0.42*0.3+0.4*0.42/2))+(2.2*0.45*0.75*14)</t>
    <phoneticPr fontId="1" type="noConversion"/>
  </si>
  <si>
    <t>(13.3*5*0.3*2)</t>
    <phoneticPr fontId="1" type="noConversion"/>
  </si>
  <si>
    <t>磺港橋進橋版(尚未完成)</t>
    <phoneticPr fontId="1" type="noConversion"/>
  </si>
  <si>
    <t>希冀橋上構(含防震塊)</t>
    <phoneticPr fontId="1" type="noConversion"/>
  </si>
  <si>
    <t>磺港橋+希冀橋</t>
    <phoneticPr fontId="1" type="noConversion"/>
  </si>
  <si>
    <t>49346.35(鋼構製造圖)</t>
    <phoneticPr fontId="1" type="noConversion"/>
  </si>
  <si>
    <t>鋼筋表</t>
    <phoneticPr fontId="1" type="noConversion"/>
  </si>
  <si>
    <t>伸縮縫</t>
    <phoneticPr fontId="1" type="noConversion"/>
  </si>
  <si>
    <t>護欄</t>
    <phoneticPr fontId="1" type="noConversion"/>
  </si>
  <si>
    <t>(18.6+16.96)/2*(13.3-0.7*7+0.1*14)+
(0.2*(18.6+16.96)/2)+(0.25*(15.3+14.5))</t>
    <phoneticPr fontId="1" type="noConversion"/>
  </si>
  <si>
    <t>希冀橋橋台+PC</t>
    <phoneticPr fontId="1" type="noConversion"/>
  </si>
  <si>
    <t>(15.3+14.35)*(1.15+1.5+2.75+0.1*2)+(1.5*1.15+1.5*0.5+0.42*0.7)*2*2+(0.25*0.6*4)*14+(2.2*0.45*2+0.75*2.2+1.05*0.6)*14</t>
    <phoneticPr fontId="1" type="noConversion"/>
  </si>
  <si>
    <t>面積計算</t>
    <phoneticPr fontId="1" type="noConversion"/>
  </si>
  <si>
    <t>(2.38+1.95+0.5+0.5+2.67)*2*1+(0.25*0.6*4)*4+((3.5*2.15)+(3.5*2.35)+1.5*1.15*2+1*0.5*2*0.42*0.7*2)+(2*0.45*2+0.75*2+1.05*0.6)*4</t>
    <phoneticPr fontId="1" type="noConversion"/>
  </si>
  <si>
    <t>(4.67*1.15)*2+(2.88*1.15*2)+(5.05+3.1+3.9+1.9)*2*0.1+(15.7+14.75+1.9*2)*2*0.1</t>
    <phoneticPr fontId="1" type="noConversion"/>
  </si>
  <si>
    <t>((16.2*3.35*2.7+16.8*3.25*1.8)+6.3*4.5*2+4.1*3.6*2.5)</t>
    <phoneticPr fontId="1" type="noConversion"/>
  </si>
  <si>
    <t>磺港橋+堤牆銜接+希冀橋</t>
    <phoneticPr fontId="1" type="noConversion"/>
  </si>
  <si>
    <t>((1.8*12*3*2+1.8*9*2*2+1.8*8*2*5)+(1.8*3*2+1.8*5*4+1.8*5*2))</t>
    <phoneticPr fontId="1" type="noConversion"/>
  </si>
  <si>
    <t>(2*45+3*36+4*31)</t>
    <phoneticPr fontId="1" type="noConversion"/>
  </si>
  <si>
    <t>47258(鋼構製造圖)</t>
    <phoneticPr fontId="1" type="noConversion"/>
  </si>
  <si>
    <t>1.3.37</t>
  </si>
  <si>
    <t>地質鑽探</t>
  </si>
  <si>
    <t>1.3.38</t>
  </si>
  <si>
    <t>鋼構吊裝</t>
  </si>
  <si>
    <t>1.3.39</t>
  </si>
  <si>
    <t>金屬製品，防震拉條</t>
  </si>
  <si>
    <t>結構用混凝土，預拌，280kgf/cm2(第二型水泥)</t>
  </si>
  <si>
    <t>結構用混凝土，預拌，280kgf/cm2(第二型水泥)</t>
    <phoneticPr fontId="1" type="noConversion"/>
  </si>
  <si>
    <t>1.4.21</t>
  </si>
  <si>
    <t>預力混凝土基樁，D=600mm，(打樁，含樁，空打及PC版樁隱蔽障礙物清除處理)</t>
  </si>
  <si>
    <t>1.4.22</t>
  </si>
  <si>
    <t>泥漿運棄及處理</t>
  </si>
  <si>
    <t>1.4.23</t>
  </si>
  <si>
    <t>砌排石工，混凝土砌石(卵石均厚70cm)</t>
  </si>
  <si>
    <t>1.4.24</t>
  </si>
  <si>
    <t>1.4.25</t>
  </si>
  <si>
    <t>洩水袋</t>
  </si>
  <si>
    <t>1.4.26</t>
  </si>
  <si>
    <t>混凝土軋碎加工，含人工撿拾</t>
  </si>
  <si>
    <t>1.4.27</t>
  </si>
  <si>
    <t>1.4.28</t>
  </si>
  <si>
    <t>銲接鋼線網，D=10.00mm，15x15cm</t>
  </si>
  <si>
    <t>58*10</t>
    <phoneticPr fontId="1" type="noConversion"/>
  </si>
  <si>
    <t>低水護岸</t>
    <phoneticPr fontId="1" type="noConversion"/>
  </si>
  <si>
    <t>結構用混凝土，預拌，140kgf/cm2</t>
    <phoneticPr fontId="1" type="noConversion"/>
  </si>
  <si>
    <t>結構用混凝土140kgf/cm2+280kgf/cm2(第二型水泥)</t>
    <phoneticPr fontId="1" type="noConversion"/>
  </si>
  <si>
    <t>(16.2*1.5*0.1)</t>
    <phoneticPr fontId="1" type="noConversion"/>
  </si>
  <si>
    <t>(15.8*0.3*3.45)+(1.2*0.4*15.8)</t>
    <phoneticPr fontId="1" type="noConversion"/>
  </si>
  <si>
    <t>護岸二</t>
    <phoneticPr fontId="1" type="noConversion"/>
  </si>
  <si>
    <t>橋台下方擋土牆</t>
    <phoneticPr fontId="1" type="noConversion"/>
  </si>
  <si>
    <t>護岸二基礎</t>
    <phoneticPr fontId="1" type="noConversion"/>
  </si>
  <si>
    <t>(246.3*0.85*0.05)+(1.7*0.1*(11.2+57.6))</t>
    <phoneticPr fontId="1" type="noConversion"/>
  </si>
  <si>
    <t>(1.5*2*246.3+1.5*0.75*12)</t>
    <phoneticPr fontId="1" type="noConversion"/>
  </si>
  <si>
    <t>(15.8*3.45-7.05*2.6)*2</t>
    <phoneticPr fontId="1" type="noConversion"/>
  </si>
  <si>
    <t>((4.79+3.4)/2*17*2+(0.3+0.5)/2*(4.79+3.4)/2*2)</t>
    <phoneticPr fontId="1" type="noConversion"/>
  </si>
  <si>
    <t>0+070樓梯處牆修復</t>
    <phoneticPr fontId="1" type="noConversion"/>
  </si>
  <si>
    <t>(0.45*17)*2+(2.5*0.45*2)</t>
    <phoneticPr fontId="1" type="noConversion"/>
  </si>
  <si>
    <t>(9.8*3.3*2)</t>
    <phoneticPr fontId="1" type="noConversion"/>
  </si>
  <si>
    <t>護岸三基礎+背牆+PC</t>
    <phoneticPr fontId="1" type="noConversion"/>
  </si>
  <si>
    <r>
      <t>護岸三面牆</t>
    </r>
    <r>
      <rPr>
        <sz val="12"/>
        <color rgb="FFFF0000"/>
        <rFont val="標楷體"/>
        <family val="4"/>
        <charset val="136"/>
      </rPr>
      <t>L=L57.6(41.1+16.5)+R11.2(現場丈量)</t>
    </r>
    <phoneticPr fontId="1" type="noConversion"/>
  </si>
  <si>
    <r>
      <t>護岸二牆</t>
    </r>
    <r>
      <rPr>
        <sz val="12"/>
        <color rgb="FFFF0000"/>
        <rFont val="標楷體"/>
        <family val="4"/>
        <charset val="136"/>
      </rPr>
      <t>L=R17(現場丈量)</t>
    </r>
    <phoneticPr fontId="1" type="noConversion"/>
  </si>
  <si>
    <t>((0.6*41.1*2)+(0.6*1.7*3))+(1.7*16.5+0.6*16.5+0.6*2.2*2)+(3.63*41.1*1+(2.1*16.5*1))+(3.95*11.2*1+(0.6*11.2*2)+(0.6*1.7*1))+(41.1*2+1.7*4+11.2*2)*0.1</t>
    <phoneticPr fontId="1" type="noConversion"/>
  </si>
  <si>
    <t>(3.63*41.1*1+(1.1+0.5)/2*3.6*3)+(2.1*16.5*1)+(3.95*11.2*1+(1.1+0.5)/2*3.95*2)</t>
    <phoneticPr fontId="1" type="noConversion"/>
  </si>
  <si>
    <t>清江公園側擋土牆2處</t>
    <phoneticPr fontId="1" type="noConversion"/>
  </si>
  <si>
    <t>低水護岸+護岸二+護岸三</t>
    <phoneticPr fontId="1" type="noConversion"/>
  </si>
  <si>
    <t>(2.85+0.5)*7.6*2+(2.85+0.5)*6.35*2</t>
    <phoneticPr fontId="1" type="noConversion"/>
  </si>
  <si>
    <t>橋台清江公園側擋土牆2處</t>
    <phoneticPr fontId="1" type="noConversion"/>
  </si>
  <si>
    <t>(2.85*(7.6+6.35)*0.3)+(0.5*(7.6+6.35)*1.5)</t>
    <phoneticPr fontId="1" type="noConversion"/>
  </si>
  <si>
    <t>護岸二+護岸三</t>
    <phoneticPr fontId="1" type="noConversion"/>
  </si>
  <si>
    <t>砌排石工，混凝土砌石</t>
    <phoneticPr fontId="1" type="noConversion"/>
  </si>
  <si>
    <t>固床工，砌排石工，乾砌塊石</t>
    <phoneticPr fontId="1" type="noConversion"/>
  </si>
  <si>
    <t>固床工+河床點綴</t>
    <phoneticPr fontId="1" type="noConversion"/>
  </si>
  <si>
    <t>低水護岸，拋石，塊石，硬石</t>
    <phoneticPr fontId="1" type="noConversion"/>
  </si>
  <si>
    <t>砌排石數量表=277.04</t>
    <phoneticPr fontId="1" type="noConversion"/>
  </si>
  <si>
    <t>砌排石數量表=82.85+51.33</t>
    <phoneticPr fontId="1" type="noConversion"/>
  </si>
  <si>
    <t>右岸+左岸+保護樹A(下層)+保護樹B</t>
    <phoneticPr fontId="1" type="noConversion"/>
  </si>
  <si>
    <t>砌排石數量表=701.46+100.43+105.55</t>
    <phoneticPr fontId="1" type="noConversion"/>
  </si>
  <si>
    <t>L=R17=(3/0.15)*17</t>
    <phoneticPr fontId="1" type="noConversion"/>
  </si>
  <si>
    <t>預力樁柱頭筋</t>
    <phoneticPr fontId="1" type="noConversion"/>
  </si>
  <si>
    <t>磺港橋護欄(尚未完成)</t>
    <phoneticPr fontId="1" type="noConversion"/>
  </si>
  <si>
    <t>低水護岸(尚未完成)</t>
    <phoneticPr fontId="1" type="noConversion"/>
  </si>
  <si>
    <t>抽水井</t>
    <phoneticPr fontId="1" type="noConversion"/>
  </si>
  <si>
    <t>河道整理</t>
    <phoneticPr fontId="1" type="noConversion"/>
  </si>
  <si>
    <t>312*7*0.5</t>
    <phoneticPr fontId="1" type="noConversion"/>
  </si>
  <si>
    <t>H1.8*(右岸295m+左岸57.3m)=634.14</t>
    <phoneticPr fontId="1" type="noConversion"/>
  </si>
  <si>
    <t>河道護岸左右側</t>
    <phoneticPr fontId="1" type="noConversion"/>
  </si>
  <si>
    <t>新設護岸+新設堤牆+護坡坍落段回填修坡+清江公園側擋土牆2處</t>
    <phoneticPr fontId="1" type="noConversion"/>
  </si>
  <si>
    <t>295*0.7+76*0.75+40*2+12*0.3</t>
    <phoneticPr fontId="1" type="noConversion"/>
  </si>
  <si>
    <t>295+76+80+12</t>
    <phoneticPr fontId="1" type="noConversion"/>
  </si>
  <si>
    <t>新河道底部+基礎臨河道測回填</t>
    <phoneticPr fontId="1" type="noConversion"/>
  </si>
  <si>
    <t>護岸三L=L57.6(41.1+16.5)+R11.2</t>
    <phoneticPr fontId="1" type="noConversion"/>
  </si>
  <si>
    <t>246.3*0.75*1.5</t>
    <phoneticPr fontId="1" type="noConversion"/>
  </si>
  <si>
    <t>(282.3*8.2*0.5)+(246.3*(1.5*0.6+0.6*1))</t>
    <phoneticPr fontId="1" type="noConversion"/>
  </si>
  <si>
    <t>護岸二L=R17+閘門底灌漿</t>
    <phoneticPr fontId="1" type="noConversion"/>
  </si>
  <si>
    <t>樁內灌漿</t>
    <phoneticPr fontId="1" type="noConversion"/>
  </si>
  <si>
    <t>保護樹繫粱A+B</t>
    <phoneticPr fontId="1" type="noConversion"/>
  </si>
  <si>
    <t>微型樁</t>
    <phoneticPr fontId="1" type="noConversion"/>
  </si>
  <si>
    <t>新設護岸+保護樹A+B</t>
    <phoneticPr fontId="1" type="noConversion"/>
  </si>
  <si>
    <t>環境清整公園面積(面積尚未檢核)</t>
    <phoneticPr fontId="1" type="noConversion"/>
  </si>
  <si>
    <t>變更後數量</t>
    <phoneticPr fontId="1" type="noConversion"/>
  </si>
  <si>
    <t>原契約數量</t>
    <phoneticPr fontId="1" type="noConversion"/>
  </si>
  <si>
    <t>0.6*0.4*(23.8+19.8)</t>
    <phoneticPr fontId="1" type="noConversion"/>
  </si>
  <si>
    <t>0.6*(23.8+19.8)*2+0.6*0.4*4</t>
    <phoneticPr fontId="1" type="noConversion"/>
  </si>
  <si>
    <t>1.35*23.8*0.1</t>
    <phoneticPr fontId="1" type="noConversion"/>
  </si>
  <si>
    <t>保護樹A擋土牆L=23.8(尚未完成)</t>
    <phoneticPr fontId="1" type="noConversion"/>
  </si>
  <si>
    <t>(1.35+2.05)*23.8*0.3+0.8*0.35*23.8</t>
    <phoneticPr fontId="1" type="noConversion"/>
  </si>
  <si>
    <t>保護樹B擋土牆</t>
    <phoneticPr fontId="1" type="noConversion"/>
  </si>
  <si>
    <t>5.3*19.8</t>
    <phoneticPr fontId="1" type="noConversion"/>
  </si>
  <si>
    <t>0+120~280+保護樹A旁+保護樹B旁=(160*5.9)+(26.7*8.2)+(3.9*5.1)</t>
    <phoneticPr fontId="1" type="noConversion"/>
  </si>
  <si>
    <t>6*218*6.39</t>
    <phoneticPr fontId="1" type="noConversion"/>
  </si>
  <si>
    <t>(2.7*23.8+0.35*0.8+(1.35+2.05)*0.3)*2+(0.6+0.1)*23.8</t>
    <phoneticPr fontId="1" type="noConversion"/>
  </si>
  <si>
    <t>((2.8*1.56*8)+(0.55*0.56*13))*58</t>
    <phoneticPr fontId="1" type="noConversion"/>
  </si>
  <si>
    <t>(43.6+0.6*8)*4*0.994+(0.3+0.35+0.18*2+0.55)*43.6/0.3*0.994</t>
    <phoneticPr fontId="1" type="noConversion"/>
  </si>
  <si>
    <t>23.8*2*0.15+26.2*3.83*0.35+25.7*5.5*0.35</t>
    <phoneticPr fontId="1" type="noConversion"/>
  </si>
  <si>
    <t>砌石+塊石+點綴石被填</t>
    <phoneticPr fontId="1" type="noConversion"/>
  </si>
  <si>
    <t>(17*2.5*0.45)+(17*(0.5+0.7)/2*(4.79+3.4)/2)+(0.5*3.2*5.1)</t>
    <phoneticPr fontId="1" type="noConversion"/>
  </si>
  <si>
    <t>(41.1*1.7*0.6)+(41.1*(0.5+1.1)/2*3.63)+(16.5*2.2*0.6)+(16.5*(0.5+0.85)/2*2.1+16.5*0.3*1.1)</t>
    <phoneticPr fontId="1" type="noConversion"/>
  </si>
  <si>
    <t>246.3*1.75*0.25+503.7*0.15+1335.6*0.15+82.85*0.35+78.97*0.25</t>
    <phoneticPr fontId="1" type="noConversion"/>
  </si>
  <si>
    <t>246.3*1.75+26.2*3.83+25.7*5.5</t>
    <phoneticPr fontId="1" type="noConversion"/>
  </si>
  <si>
    <r>
      <rPr>
        <sz val="12"/>
        <color rgb="FFFF0000"/>
        <rFont val="標楷體"/>
        <family val="4"/>
        <charset val="136"/>
      </rPr>
      <t>保護樹A上L=23.8M(尚未完成)</t>
    </r>
    <r>
      <rPr>
        <sz val="12"/>
        <rFont val="標楷體"/>
        <family val="4"/>
        <charset val="136"/>
      </rPr>
      <t>下層砌石+保護樹B牆版及砌石</t>
    </r>
    <phoneticPr fontId="1" type="noConversion"/>
  </si>
  <si>
    <t>雙孔箱涵</t>
    <phoneticPr fontId="1" type="noConversion"/>
  </si>
  <si>
    <t>控制性低強度回填材料及澆置</t>
    <phoneticPr fontId="1" type="noConversion"/>
  </si>
  <si>
    <t>單孔箱涵</t>
    <phoneticPr fontId="1" type="noConversion"/>
  </si>
  <si>
    <t>雙孔箱涵(里程L=280尚未檢核)</t>
    <phoneticPr fontId="1" type="noConversion"/>
  </si>
  <si>
    <t>單孔箱涵(里程L=300尚未檢核)</t>
    <phoneticPr fontId="1" type="noConversion"/>
  </si>
  <si>
    <t>橋臺下雙孔箱涵及臨清江公園側</t>
    <phoneticPr fontId="1" type="noConversion"/>
  </si>
  <si>
    <t>140kgf/cm2+210kgf/cm2+低強度回填材</t>
    <phoneticPr fontId="1" type="noConversion"/>
  </si>
  <si>
    <t>雙孔及單孔箱涵間L=245.7</t>
    <phoneticPr fontId="1" type="noConversion"/>
  </si>
  <si>
    <t>1.15*1.8*245.7</t>
    <phoneticPr fontId="1" type="noConversion"/>
  </si>
  <si>
    <t>單孔箱涵+出流井(含銜接出口)+雙孔箱涵</t>
    <phoneticPr fontId="1" type="noConversion"/>
  </si>
  <si>
    <t>出流井(含銜接出口)(尚未完成)</t>
    <phoneticPr fontId="1" type="noConversion"/>
  </si>
  <si>
    <t>出流井銜接出口回填</t>
    <phoneticPr fontId="1" type="noConversion"/>
  </si>
  <si>
    <t>16.5*1.3*0.65+2.7*(2.5+1.35)/2*15.2</t>
    <phoneticPr fontId="1" type="noConversion"/>
  </si>
  <si>
    <t>(2.1*0.1*300)+(5*3.7*0.1+1.8*2.1*0.1)+(7.35*0.1*60)</t>
    <phoneticPr fontId="1" type="noConversion"/>
  </si>
  <si>
    <t>(1.8+0.8)/2*1.6*2.45</t>
    <phoneticPr fontId="1" type="noConversion"/>
  </si>
  <si>
    <t>(1.8*0.3*2+1.2*0.3*2)*300</t>
    <phoneticPr fontId="1" type="noConversion"/>
  </si>
  <si>
    <t>雙孔箱涵(內側)</t>
    <phoneticPr fontId="1" type="noConversion"/>
  </si>
  <si>
    <t>單孔箱涵(內側)</t>
    <phoneticPr fontId="1" type="noConversion"/>
  </si>
  <si>
    <t>單孔箱涵(外側)</t>
    <phoneticPr fontId="1" type="noConversion"/>
  </si>
  <si>
    <t>出流井(內側)</t>
    <phoneticPr fontId="1" type="noConversion"/>
  </si>
  <si>
    <t>出流井(外側)</t>
    <phoneticPr fontId="1" type="noConversion"/>
  </si>
  <si>
    <t>(1.3*4+2.3*2+0.495*8)*280</t>
    <phoneticPr fontId="1" type="noConversion"/>
  </si>
  <si>
    <t>1.2*3*300</t>
    <phoneticPr fontId="1" type="noConversion"/>
  </si>
  <si>
    <t>(4.7*3.4*0.3*2)+(2.7*4.7*0.3*2)+(1.75*0.2*2.8+2.8*2.45*0.2)+(2.7*2.8*0.3*2)-(2.4*1.5+1.2*1.2*2)*0.3</t>
    <phoneticPr fontId="1" type="noConversion"/>
  </si>
  <si>
    <t>(4.1*2.7+2.8*2.7)*2-(1.2*1.2*2)+4.1*2.8+1.75*2</t>
    <phoneticPr fontId="1" type="noConversion"/>
  </si>
  <si>
    <t>(4.7+3.4)*3.4*2-(1.2*1.2)</t>
    <phoneticPr fontId="1" type="noConversion"/>
  </si>
  <si>
    <t>雙孔箱涵(外側60+220)</t>
    <phoneticPr fontId="1" type="noConversion"/>
  </si>
  <si>
    <t>(2.8*2)*60+(2.2*2)*220+(0.7*7.05+0.35*2*3+0.35*0.35*4)*15</t>
    <phoneticPr fontId="1" type="noConversion"/>
  </si>
  <si>
    <t>1.8*2*67+1.8*1*233+(1.8*1.8-1.2*1.2)*15</t>
    <phoneticPr fontId="1" type="noConversion"/>
  </si>
  <si>
    <t>出流井(含銜接出口)雙孔箱涵</t>
    <phoneticPr fontId="1" type="noConversion"/>
  </si>
  <si>
    <t>出流井(含銜接出口)</t>
    <phoneticPr fontId="1" type="noConversion"/>
  </si>
  <si>
    <t>14+4</t>
    <phoneticPr fontId="1" type="noConversion"/>
  </si>
  <si>
    <t>單孔箱涵+雙孔箱涵</t>
    <phoneticPr fontId="1" type="noConversion"/>
  </si>
  <si>
    <t>施工縫</t>
    <phoneticPr fontId="1" type="noConversion"/>
  </si>
  <si>
    <t>雙孔箱涵水平施工縫+單.雙孔箱涵伸縮縫</t>
    <phoneticPr fontId="1" type="noConversion"/>
  </si>
  <si>
    <t>(1.8*2+1.6*2)*15+(7.05*2+2.4*3)*14</t>
    <phoneticPr fontId="1" type="noConversion"/>
  </si>
  <si>
    <t>280*3+(1.8*2+1.6*2)*15+(7.05*2+2.4*3)*14</t>
    <phoneticPr fontId="1" type="noConversion"/>
  </si>
  <si>
    <t>(1.8*2*6)+(1.8*3*6)+(1.8*4*12)*3</t>
    <phoneticPr fontId="1" type="noConversion"/>
  </si>
  <si>
    <t>級配粒料底層，碎石級配</t>
  </si>
  <si>
    <t>(免拆模板，鋼質)，厚3mm鋼模</t>
  </si>
  <si>
    <t>磺港橋改道</t>
    <phoneticPr fontId="1" type="noConversion"/>
  </si>
  <si>
    <t>(22.5*4.5*0.05)</t>
    <phoneticPr fontId="1" type="noConversion"/>
  </si>
  <si>
    <t>22.5*4.5</t>
    <phoneticPr fontId="1" type="noConversion"/>
  </si>
  <si>
    <t>受保護樹木</t>
    <phoneticPr fontId="1" type="noConversion"/>
  </si>
  <si>
    <t>移植，喬木類移植，10cm≦米高直徑＜15cm</t>
    <phoneticPr fontId="1" type="noConversion"/>
  </si>
  <si>
    <t>喬木類移植</t>
  </si>
  <si>
    <t>1.7.76</t>
  </si>
  <si>
    <t>D=20CM微型樁(含工料、鑽桿接桿、鑽掘泥漿處理運棄，鋼筋另計)</t>
  </si>
  <si>
    <t>1.7.77</t>
  </si>
  <si>
    <t>產品，植草，植生袋，客土</t>
  </si>
  <si>
    <t>袋</t>
  </si>
  <si>
    <t>43.6/0.2*6</t>
    <phoneticPr fontId="1" type="noConversion"/>
  </si>
  <si>
    <t>低水護岸246.3M+護岸三</t>
    <phoneticPr fontId="1" type="noConversion"/>
  </si>
  <si>
    <r>
      <t>低水護岸+</t>
    </r>
    <r>
      <rPr>
        <sz val="12"/>
        <color rgb="FFFF0000"/>
        <rFont val="標楷體"/>
        <family val="4"/>
        <charset val="136"/>
      </rPr>
      <t>受保護樹木A(尚未完成)+護岸二.三堤牆頂(尚未完成)</t>
    </r>
    <phoneticPr fontId="1" type="noConversion"/>
  </si>
  <si>
    <t>(246*(4+18+4)+20*4)+(25*6)+(73*5)</t>
    <phoneticPr fontId="1" type="noConversion"/>
  </si>
  <si>
    <t>1.9.7</t>
  </si>
  <si>
    <t>臨時擋土樁設施，鋼板樁，L=9m，(單邊水平長度，未含擋土支撐系統)</t>
  </si>
  <si>
    <t>1.9.8</t>
  </si>
  <si>
    <t>臨時擋土樁設施，鋼板樁，L=13m，(單邊水平長度，未含擋土支撐系統)</t>
  </si>
  <si>
    <t>1.9.9</t>
  </si>
  <si>
    <t>臨時河道圍水設施，鋼板樁，L=13m，(單邊水平長度，未含擋土支撐系統)</t>
  </si>
  <si>
    <t>護岸三堤牆</t>
    <phoneticPr fontId="1" type="noConversion"/>
  </si>
  <si>
    <t>16+78+62(新左堤+雙孔破堤處+磺港橋台)</t>
    <phoneticPr fontId="1" type="noConversion"/>
  </si>
  <si>
    <t>新左堤+雙孔破堤處+磺港橋台</t>
    <phoneticPr fontId="1" type="noConversion"/>
  </si>
  <si>
    <t>106(新左堤)</t>
    <phoneticPr fontId="1" type="noConversion"/>
  </si>
  <si>
    <t>60+72(雙孔既道有路側+橋台鄰路側)</t>
    <phoneticPr fontId="1" type="noConversion"/>
  </si>
  <si>
    <t>雙孔既道有路側+磺港橋台鄰路側</t>
    <phoneticPr fontId="1" type="noConversion"/>
  </si>
  <si>
    <t>希冀橋A1+磺港橋A1+下游新舊河道+右護岸二.三堤牆+雙孔箱涵出口+上游新舊河道+單孔箱涵出口</t>
    <phoneticPr fontId="1" type="noConversion"/>
  </si>
  <si>
    <t>(51.5/0.5*6*2)+(16*0.5*6)+(92/0.5*6)</t>
    <phoneticPr fontId="1" type="noConversion"/>
  </si>
  <si>
    <t>臨時通道用鋼板，厚15mm</t>
    <phoneticPr fontId="1" type="noConversion"/>
  </si>
  <si>
    <t>單孔箱涵+出流井+低水護岸(0+280~188)</t>
    <phoneticPr fontId="1" type="noConversion"/>
  </si>
  <si>
    <t>臨時擋土樁設施，鋼軌樁 50kg/m</t>
    <phoneticPr fontId="1" type="noConversion"/>
  </si>
  <si>
    <t>磺港橋+希冀橋+暫置區+擋土樁使用+工區臨時通道</t>
    <phoneticPr fontId="1" type="noConversion"/>
  </si>
  <si>
    <t>(5*2.5*38)+(5*2.5*12)+(5*2.5*20*8)+((51.5*2+92+16)*2.5)+(5*2.5*20*24)</t>
    <phoneticPr fontId="1" type="noConversion"/>
  </si>
  <si>
    <t>安裝~113/7/31</t>
    <phoneticPr fontId="1" type="noConversion"/>
  </si>
  <si>
    <t>臨時構台便橋</t>
  </si>
  <si>
    <t>~113/7/31</t>
    <phoneticPr fontId="1" type="noConversion"/>
  </si>
  <si>
    <t>臨時直立式號誌</t>
    <phoneticPr fontId="1" type="noConversion"/>
  </si>
  <si>
    <t>磺港橋臨時號誌</t>
    <phoneticPr fontId="1" type="noConversion"/>
  </si>
  <si>
    <t>113/7累計計價數量</t>
    <phoneticPr fontId="1" type="noConversion"/>
  </si>
  <si>
    <t>275+189</t>
    <phoneticPr fontId="1" type="noConversion"/>
  </si>
  <si>
    <t>113/7施作數量</t>
    <phoneticPr fontId="1" type="noConversion"/>
  </si>
  <si>
    <t>3.35</t>
  </si>
  <si>
    <t>39項重金屬檢測</t>
  </si>
  <si>
    <t>3.36</t>
  </si>
  <si>
    <t>品質管理，預力混凝土基樁試驗</t>
  </si>
  <si>
    <t>3.37</t>
  </si>
  <si>
    <t>品質管理，材料設備檢驗費，盤式支承(固定型、單向活動型)垂直載重試驗(含支承墊回復)</t>
  </si>
  <si>
    <t>3.38</t>
  </si>
  <si>
    <t>品質管理，材料設備檢驗費，盤式支承(單向活動型)滑動摩擦係數試驗</t>
  </si>
  <si>
    <t>3.39</t>
  </si>
  <si>
    <t>品質管理，材料設備檢驗費，盤式支承尺度及表面粗糙度試驗</t>
  </si>
  <si>
    <t>核對試驗報告</t>
    <phoneticPr fontId="1" type="noConversion"/>
  </si>
  <si>
    <t>4.3</t>
  </si>
  <si>
    <t>環境保護費用，灑水車</t>
  </si>
  <si>
    <t>車</t>
  </si>
  <si>
    <t>5.16</t>
  </si>
  <si>
    <t>施工圍籬，組合式活動，1.8m≦高度＜2.1m</t>
  </si>
  <si>
    <t>5.17</t>
  </si>
  <si>
    <t>5.18</t>
  </si>
  <si>
    <t>臨時工</t>
  </si>
  <si>
    <t>工區第1及2階段+暫置區+第3階段</t>
    <phoneticPr fontId="1" type="noConversion"/>
  </si>
  <si>
    <r>
      <rPr>
        <sz val="16"/>
        <rFont val="Microsoft JhengHei"/>
        <family val="2"/>
      </rPr>
      <t>第</t>
    </r>
    <r>
      <rPr>
        <sz val="16"/>
        <rFont val="Arial"/>
        <family val="2"/>
      </rPr>
      <t>1</t>
    </r>
    <r>
      <rPr>
        <sz val="16"/>
        <rFont val="細明體"/>
        <family val="2"/>
        <charset val="136"/>
      </rPr>
      <t>階段</t>
    </r>
    <r>
      <rPr>
        <sz val="16"/>
        <rFont val="Microsoft JhengHei"/>
        <family val="2"/>
        <charset val="136"/>
      </rPr>
      <t>施工圍籬施作位置示意圖</t>
    </r>
    <phoneticPr fontId="1" type="noConversion"/>
  </si>
  <si>
    <t>(26.7+162+38.2+16.7+58+10+12+85.8+30+66.5+104.5+88+175+82.8)+(85.9+69.2+36)+(31.5+29.1+37.6+28)</t>
    <phoneticPr fontId="1" type="noConversion"/>
  </si>
  <si>
    <t>工區配置+世壯運</t>
    <phoneticPr fontId="1" type="noConversion"/>
  </si>
  <si>
    <t>((26.7+162+38.2+16.7+58+10+12+85.8+30+66.5+175)*2.4)+220</t>
    <phoneticPr fontId="1" type="noConversion"/>
  </si>
  <si>
    <t>((76.3+33.2+23)+39.2+(71*2)+(246.5+21))</t>
    <phoneticPr fontId="1" type="noConversion"/>
  </si>
  <si>
    <t>磺港路北上路側+臨時通道</t>
    <phoneticPr fontId="1" type="noConversion"/>
  </si>
  <si>
    <t>255+20*2</t>
    <phoneticPr fontId="1" type="noConversion"/>
  </si>
  <si>
    <t>磺港路行人通道</t>
    <phoneticPr fontId="1" type="noConversion"/>
  </si>
  <si>
    <t>28*2</t>
    <phoneticPr fontId="1" type="noConversion"/>
  </si>
  <si>
    <t>(磺港橋路側+工區第1.2階段磺港路及公園布道+公園廁所+暫置區移交+清江公園+第3階段)調整</t>
    <phoneticPr fontId="1" type="noConversion"/>
  </si>
  <si>
    <t>(22.5+31.5*2+13.6*2)+(156.2+233.5+72+31.5)+(51.7+18.9)+86.2+(95.2+45+22.5)+(62.3+38.5+22.5)</t>
    <phoneticPr fontId="1" type="noConversion"/>
  </si>
  <si>
    <t>磺港橋樁+希冀橋樁+護岸三堤牆樁及基礎+低水護岸基礎</t>
    <phoneticPr fontId="1" type="noConversion"/>
  </si>
  <si>
    <t>磺港橋A1A2橋台+雙孔破堤處+希冀橋A1A2橋台+護岸三堤牆+低水護岸綠坡</t>
    <phoneticPr fontId="1" type="noConversion"/>
  </si>
  <si>
    <r>
      <t>磺港路112.11.3起(平日7~9</t>
    </r>
    <r>
      <rPr>
        <sz val="12"/>
        <color indexed="8"/>
        <rFont val="新細明體"/>
        <family val="1"/>
        <charset val="136"/>
      </rPr>
      <t>、</t>
    </r>
    <r>
      <rPr>
        <sz val="12"/>
        <color indexed="8"/>
        <rFont val="標楷體"/>
        <family val="4"/>
        <charset val="136"/>
      </rPr>
      <t>16~19)+暫置區</t>
    </r>
    <phoneticPr fontId="1" type="noConversion"/>
  </si>
  <si>
    <t>112.11.3~113.7.31(162*5*2)+(37*8)</t>
    <phoneticPr fontId="1" type="noConversion"/>
  </si>
  <si>
    <t>聯單</t>
    <phoneticPr fontId="1" type="noConversion"/>
  </si>
  <si>
    <t>項目及說明</t>
    <phoneticPr fontId="1" type="noConversion"/>
  </si>
  <si>
    <t>尚未計價</t>
    <phoneticPr fontId="1" type="noConversion"/>
  </si>
  <si>
    <t>113/8數量=</t>
    <phoneticPr fontId="1" type="noConversion"/>
  </si>
  <si>
    <t>統計聯單.113/8數量=14</t>
    <phoneticPr fontId="1" type="noConversion"/>
  </si>
  <si>
    <t>113/8數量=775*1.8</t>
    <phoneticPr fontId="1" type="noConversion"/>
  </si>
  <si>
    <t>統計聯單.113/8數量=306</t>
    <phoneticPr fontId="1" type="noConversion"/>
  </si>
  <si>
    <t>統計單據.113/8數量=3220</t>
    <phoneticPr fontId="1" type="noConversion"/>
  </si>
  <si>
    <t>(1.8*21*2*2+1.8*11.2*3*2+1.8*17*2*2)</t>
    <phoneticPr fontId="1" type="noConversion"/>
  </si>
  <si>
    <t>(10*3)+(62*3)+(25*3)+(57*3)+(16*3)+(19*3)+(5*3)</t>
    <phoneticPr fontId="1" type="noConversion"/>
  </si>
  <si>
    <t>113/8數量=113</t>
    <phoneticPr fontId="1" type="noConversion"/>
  </si>
  <si>
    <t>(7.05*2.7-3*2*2+0.35*0.35*4)*280</t>
    <phoneticPr fontId="1" type="noConversion"/>
  </si>
  <si>
    <t>112.11.13-113.9.30 323*5*3</t>
    <phoneticPr fontId="1" type="noConversion"/>
  </si>
  <si>
    <t>人孔頸</t>
    <phoneticPr fontId="1" type="noConversion"/>
  </si>
  <si>
    <t>回填面積及土方量計算表</t>
    <phoneticPr fontId="32" type="noConversion"/>
  </si>
  <si>
    <t>樁號</t>
    <phoneticPr fontId="32" type="noConversion"/>
  </si>
  <si>
    <t>(雙)</t>
    <phoneticPr fontId="32" type="noConversion"/>
  </si>
  <si>
    <t>面積
(RT)</t>
    <phoneticPr fontId="32" type="noConversion"/>
  </si>
  <si>
    <t>回填
高度M</t>
    <phoneticPr fontId="32" type="noConversion"/>
  </si>
  <si>
    <t>分層數</t>
    <phoneticPr fontId="32" type="noConversion"/>
  </si>
  <si>
    <t>回填
土方M3</t>
    <phoneticPr fontId="32" type="noConversion"/>
  </si>
  <si>
    <t>面積
(LT)</t>
    <phoneticPr fontId="32" type="noConversion"/>
  </si>
  <si>
    <t>雙孔箱涵上面積</t>
    <phoneticPr fontId="32" type="noConversion"/>
  </si>
  <si>
    <t>單孔箱涵上+CLSM處面積</t>
    <phoneticPr fontId="32" type="noConversion"/>
  </si>
  <si>
    <t>(單)</t>
    <phoneticPr fontId="32" type="noConversion"/>
  </si>
  <si>
    <t>A0K+</t>
    <phoneticPr fontId="32" type="noConversion"/>
  </si>
  <si>
    <t>B0K+</t>
    <phoneticPr fontId="32" type="noConversion"/>
  </si>
  <si>
    <t>小計</t>
    <phoneticPr fontId="32" type="noConversion"/>
  </si>
  <si>
    <t>總計</t>
    <phoneticPr fontId="32" type="noConversion"/>
  </si>
  <si>
    <t>回填土方量</t>
    <phoneticPr fontId="32" type="noConversion"/>
  </si>
  <si>
    <t>註1:</t>
    <phoneticPr fontId="32" type="noConversion"/>
  </si>
  <si>
    <t>單孔箱涵與雙孔箱涵中間回填CLSM，寬度約1.05-1.1M平均1.075M，總長度=7.14+220+6.28=233.42M，1.075*233.42*(1.2+0.3*2)=451.67M3</t>
    <phoneticPr fontId="32" type="noConversion"/>
  </si>
  <si>
    <t>箱涵上M2</t>
    <phoneticPr fontId="32" type="noConversion"/>
  </si>
  <si>
    <t>分界</t>
    <phoneticPr fontId="32" type="noConversion"/>
  </si>
  <si>
    <t>渠底高程</t>
    <phoneticPr fontId="32" type="noConversion"/>
  </si>
  <si>
    <t>箱涵頂</t>
    <phoneticPr fontId="32" type="noConversion"/>
  </si>
  <si>
    <t>機械拆除，鋼筋混凝土，未含運費</t>
    <phoneticPr fontId="1" type="noConversion"/>
  </si>
  <si>
    <t>義交協勤時數明細表</t>
    <phoneticPr fontId="32" type="noConversion"/>
  </si>
  <si>
    <t>月份</t>
    <phoneticPr fontId="32" type="noConversion"/>
  </si>
  <si>
    <t>日間義交時數</t>
    <phoneticPr fontId="32" type="noConversion"/>
  </si>
  <si>
    <t>夜間義交時數</t>
    <phoneticPr fontId="32" type="noConversion"/>
  </si>
  <si>
    <t>當月時數小計</t>
    <phoneticPr fontId="32" type="noConversion"/>
  </si>
  <si>
    <t>備註</t>
    <phoneticPr fontId="32" type="noConversion"/>
  </si>
  <si>
    <t>112年10月</t>
    <phoneticPr fontId="32" type="noConversion"/>
  </si>
  <si>
    <t>實際時數</t>
    <phoneticPr fontId="32" type="noConversion"/>
  </si>
  <si>
    <t>112年11月</t>
  </si>
  <si>
    <t>112年12月</t>
  </si>
  <si>
    <t>113年1月</t>
    <phoneticPr fontId="32" type="noConversion"/>
  </si>
  <si>
    <t>113年2月</t>
  </si>
  <si>
    <t>實際時數，春節2/7-2/14夜間增派2名(8天24H3名)</t>
    <phoneticPr fontId="32" type="noConversion"/>
  </si>
  <si>
    <t>113年3月</t>
  </si>
  <si>
    <t>113年4月</t>
  </si>
  <si>
    <t>113年5月</t>
  </si>
  <si>
    <t>113年6月</t>
  </si>
  <si>
    <t>(日間單價280(06-22時)、夜間單價350(22-06時)</t>
    <phoneticPr fontId="32" type="noConversion"/>
  </si>
  <si>
    <t>113年7月</t>
  </si>
  <si>
    <t>實際時數，凱米颱風無執勤</t>
    <phoneticPr fontId="32" type="noConversion"/>
  </si>
  <si>
    <t>113年8月</t>
  </si>
  <si>
    <t>113年9月</t>
  </si>
  <si>
    <t>113年10月</t>
  </si>
  <si>
    <t>113年11月</t>
  </si>
  <si>
    <t>113年12月</t>
  </si>
  <si>
    <t>累計</t>
    <phoneticPr fontId="32" type="noConversion"/>
  </si>
  <si>
    <t>現場丈量</t>
    <phoneticPr fontId="1" type="noConversion"/>
  </si>
  <si>
    <t>鋼筋取樣數量明細表</t>
    <phoneticPr fontId="32" type="noConversion"/>
  </si>
  <si>
    <t>分類</t>
    <phoneticPr fontId="32" type="noConversion"/>
  </si>
  <si>
    <t>契約項次</t>
    <phoneticPr fontId="32" type="noConversion"/>
  </si>
  <si>
    <t>契約數量</t>
    <phoneticPr fontId="32" type="noConversion"/>
  </si>
  <si>
    <t>鋼種</t>
    <phoneticPr fontId="32" type="noConversion"/>
  </si>
  <si>
    <t>代表數量(1)</t>
    <phoneticPr fontId="32" type="noConversion"/>
  </si>
  <si>
    <t>代表數量(2)</t>
  </si>
  <si>
    <t>代表數量(3)</t>
  </si>
  <si>
    <t>代表數量(4)</t>
  </si>
  <si>
    <t>代表數量(5)</t>
  </si>
  <si>
    <t>代表數量(6)</t>
  </si>
  <si>
    <t>代表數量(7)</t>
  </si>
  <si>
    <t>代表數量(8)</t>
  </si>
  <si>
    <t>代表數量(9)</t>
  </si>
  <si>
    <t>累計數量</t>
    <phoneticPr fontId="32" type="noConversion"/>
  </si>
  <si>
    <t>取樣日期</t>
    <phoneticPr fontId="32" type="noConversion"/>
  </si>
  <si>
    <t>112.12.05</t>
    <phoneticPr fontId="32" type="noConversion"/>
  </si>
  <si>
    <t>113.01.08</t>
    <phoneticPr fontId="32" type="noConversion"/>
  </si>
  <si>
    <t>113.01.30</t>
    <phoneticPr fontId="32" type="noConversion"/>
  </si>
  <si>
    <t>113.04.19</t>
    <phoneticPr fontId="32" type="noConversion"/>
  </si>
  <si>
    <t>113.04.(24)29</t>
    <phoneticPr fontId="32" type="noConversion"/>
  </si>
  <si>
    <t>113.05.27</t>
    <phoneticPr fontId="32" type="noConversion"/>
  </si>
  <si>
    <t>113.06.24</t>
    <phoneticPr fontId="32" type="noConversion"/>
  </si>
  <si>
    <t>113.07.30</t>
    <phoneticPr fontId="32" type="noConversion"/>
  </si>
  <si>
    <t>橋工</t>
    <phoneticPr fontId="32" type="noConversion"/>
  </si>
  <si>
    <t>1.3.5</t>
    <phoneticPr fontId="32" type="noConversion"/>
  </si>
  <si>
    <t>280W</t>
    <phoneticPr fontId="32" type="noConversion"/>
  </si>
  <si>
    <t>1.3.6</t>
    <phoneticPr fontId="32" type="noConversion"/>
  </si>
  <si>
    <t>420W</t>
    <phoneticPr fontId="32" type="noConversion"/>
  </si>
  <si>
    <t>基樁</t>
    <phoneticPr fontId="32" type="noConversion"/>
  </si>
  <si>
    <t>1.3.20</t>
    <phoneticPr fontId="32" type="noConversion"/>
  </si>
  <si>
    <t>河工</t>
    <phoneticPr fontId="32" type="noConversion"/>
  </si>
  <si>
    <t>1.4.7</t>
    <phoneticPr fontId="32" type="noConversion"/>
  </si>
  <si>
    <t>1.4.8</t>
    <phoneticPr fontId="32" type="noConversion"/>
  </si>
  <si>
    <t>下水道</t>
    <phoneticPr fontId="32" type="noConversion"/>
  </si>
  <si>
    <t>1.5.9</t>
    <phoneticPr fontId="32" type="noConversion"/>
  </si>
  <si>
    <t>1.5.10</t>
    <phoneticPr fontId="32" type="noConversion"/>
  </si>
  <si>
    <t>景觀</t>
    <phoneticPr fontId="32" type="noConversion"/>
  </si>
  <si>
    <t>1.2.3</t>
    <phoneticPr fontId="32" type="noConversion"/>
  </si>
  <si>
    <t>交通</t>
    <phoneticPr fontId="32" type="noConversion"/>
  </si>
  <si>
    <t>1.6.11</t>
    <phoneticPr fontId="32" type="noConversion"/>
  </si>
  <si>
    <t>契約-進場</t>
    <phoneticPr fontId="32" type="noConversion"/>
  </si>
  <si>
    <t>進場數量</t>
    <phoneticPr fontId="32" type="noConversion"/>
  </si>
  <si>
    <t>契約量</t>
    <phoneticPr fontId="32" type="noConversion"/>
  </si>
  <si>
    <t>SD280W</t>
    <phoneticPr fontId="32" type="noConversion"/>
  </si>
  <si>
    <t>SD420W</t>
    <phoneticPr fontId="32" type="noConversion"/>
  </si>
  <si>
    <t>尚未施作</t>
    <phoneticPr fontId="1" type="noConversion"/>
  </si>
  <si>
    <t>保護樹繫粱A+B</t>
  </si>
  <si>
    <t>結構用混凝土140+210+280kgf/cm2(第二型水泥)</t>
    <phoneticPr fontId="1" type="noConversion"/>
  </si>
  <si>
    <t>(43.6+0.6*8)*4*0.994+(0.3+0.35+0.18*2+0.55)*43.6/0.3*0.994</t>
  </si>
  <si>
    <t>58*7*(0.2*0.2*3.14)</t>
    <phoneticPr fontId="1" type="noConversion"/>
  </si>
  <si>
    <t>護岸一砌石底版H=0.25m</t>
    <phoneticPr fontId="1" type="noConversion"/>
  </si>
  <si>
    <t>246.3*2+26.2*3.83+25.7*5.5</t>
    <phoneticPr fontId="1" type="noConversion"/>
  </si>
  <si>
    <t>單孔箱涵(里程L=300)</t>
    <phoneticPr fontId="1" type="noConversion"/>
  </si>
  <si>
    <t>雙孔箱涵(里程L=280)</t>
    <phoneticPr fontId="1" type="noConversion"/>
  </si>
  <si>
    <t>路基整理</t>
    <phoneticPr fontId="1" type="noConversion"/>
  </si>
  <si>
    <t>各項試驗統計表</t>
    <phoneticPr fontId="32" type="noConversion"/>
  </si>
  <si>
    <t>至9/30</t>
    <phoneticPr fontId="32" type="noConversion"/>
  </si>
  <si>
    <t>CLSM</t>
    <phoneticPr fontId="32" type="noConversion"/>
  </si>
  <si>
    <t>280II</t>
    <phoneticPr fontId="32" type="noConversion"/>
  </si>
  <si>
    <t>280水中</t>
    <phoneticPr fontId="32" type="noConversion"/>
  </si>
  <si>
    <t>前6組試體只做3個</t>
    <phoneticPr fontId="32" type="noConversion"/>
  </si>
  <si>
    <t>工地密度</t>
    <phoneticPr fontId="32" type="noConversion"/>
  </si>
  <si>
    <t>原土</t>
    <phoneticPr fontId="32" type="noConversion"/>
  </si>
  <si>
    <t>級配</t>
    <phoneticPr fontId="32" type="noConversion"/>
  </si>
  <si>
    <t>級配壓密度</t>
    <phoneticPr fontId="32" type="noConversion"/>
  </si>
  <si>
    <t>植筋拉拔</t>
    <phoneticPr fontId="32" type="noConversion"/>
  </si>
  <si>
    <t>螺栓扭力</t>
    <phoneticPr fontId="32" type="noConversion"/>
  </si>
  <si>
    <t>超音波</t>
    <phoneticPr fontId="32" type="noConversion"/>
  </si>
  <si>
    <t>鋼鐵件</t>
    <phoneticPr fontId="32" type="noConversion"/>
  </si>
  <si>
    <t>蜂巢格網</t>
    <phoneticPr fontId="32" type="noConversion"/>
  </si>
  <si>
    <t>鋼線網</t>
    <phoneticPr fontId="32" type="noConversion"/>
  </si>
  <si>
    <t>鍍鋅鋼線網</t>
    <phoneticPr fontId="32" type="noConversion"/>
  </si>
  <si>
    <t>350無收縮砂漿</t>
    <phoneticPr fontId="32" type="noConversion"/>
  </si>
  <si>
    <t>210水泥砂漿</t>
    <phoneticPr fontId="32" type="noConversion"/>
  </si>
  <si>
    <t>420無收縮混凝土</t>
    <phoneticPr fontId="32" type="noConversion"/>
  </si>
  <si>
    <t>盤式支承</t>
    <phoneticPr fontId="32" type="noConversion"/>
  </si>
  <si>
    <t>預力基樁</t>
    <phoneticPr fontId="32" type="noConversion"/>
  </si>
  <si>
    <t>RCP</t>
    <phoneticPr fontId="32" type="noConversion"/>
  </si>
  <si>
    <t>個數</t>
    <phoneticPr fontId="1" type="noConversion"/>
  </si>
  <si>
    <t>備註</t>
    <phoneticPr fontId="1" type="noConversion"/>
  </si>
  <si>
    <t>還沒28天</t>
    <phoneticPr fontId="1" type="noConversion"/>
  </si>
  <si>
    <t>磺港溪工程鄰近建築物現況鑑定</t>
    <phoneticPr fontId="32" type="noConversion"/>
  </si>
  <si>
    <t>溪流名稱</t>
    <phoneticPr fontId="32" type="noConversion"/>
  </si>
  <si>
    <t>建物地址</t>
    <phoneticPr fontId="32" type="noConversion"/>
  </si>
  <si>
    <t>建物樓地板面積m2</t>
    <phoneticPr fontId="32" type="noConversion"/>
  </si>
  <si>
    <t>鑑定費用
(56/m2)</t>
    <phoneticPr fontId="32" type="noConversion"/>
  </si>
  <si>
    <t>台北市北投區崇仁路一段155巷2號1~5樓</t>
    <phoneticPr fontId="32" type="noConversion"/>
  </si>
  <si>
    <t>632.77*5+33.17+11.76=</t>
    <phoneticPr fontId="32" type="noConversion"/>
  </si>
  <si>
    <t>台北市北投區崇仁路一段155巷4號1~5樓</t>
    <phoneticPr fontId="32" type="noConversion"/>
  </si>
  <si>
    <t>台北市北投區崇仁路一段155巷6號1~5樓</t>
    <phoneticPr fontId="32" type="noConversion"/>
  </si>
  <si>
    <t>台北市北投區崇仁路一段155巷8號1~5樓</t>
    <phoneticPr fontId="32" type="noConversion"/>
  </si>
  <si>
    <t>台北市北投區崇仁路一段155巷10號1~5樓</t>
    <phoneticPr fontId="32" type="noConversion"/>
  </si>
  <si>
    <t>台北市北投區崇仁路一段155巷12號1~5樓</t>
    <phoneticPr fontId="32" type="noConversion"/>
  </si>
  <si>
    <t>合計</t>
    <phoneticPr fontId="32" type="noConversion"/>
  </si>
  <si>
    <t>社團法人新北市土木技師公會計價</t>
    <phoneticPr fontId="32" type="noConversion"/>
  </si>
  <si>
    <t>單元</t>
    <phoneticPr fontId="32" type="noConversion"/>
  </si>
  <si>
    <t>18655.45/100=</t>
    <phoneticPr fontId="32" type="noConversion"/>
  </si>
  <si>
    <t>價格</t>
    <phoneticPr fontId="32" type="noConversion"/>
  </si>
  <si>
    <t>20*8,000(級距1)
+10*7,200(級距2)
+20*6,400(級距3)
+50*5,600(級距4)
+(187-100)*4,800(級距5)=</t>
    <phoneticPr fontId="32" type="noConversion"/>
  </si>
  <si>
    <t>機械拆除，鋼筋混凝土，未含運費</t>
    <phoneticPr fontId="1" type="noConversion"/>
  </si>
  <si>
    <t>土石方挖填數量表</t>
    <phoneticPr fontId="32" type="noConversion"/>
  </si>
  <si>
    <t>長度(L)</t>
    <phoneticPr fontId="32" type="noConversion"/>
  </si>
  <si>
    <t>挖方(M2)</t>
    <phoneticPr fontId="32" type="noConversion"/>
  </si>
  <si>
    <t>挖方(M3)</t>
  </si>
  <si>
    <t>填方(M2)</t>
    <phoneticPr fontId="32" type="noConversion"/>
  </si>
  <si>
    <t>填方(M3)</t>
  </si>
  <si>
    <t>機械拆除(M2)</t>
    <phoneticPr fontId="32" type="noConversion"/>
  </si>
  <si>
    <t>機械拆除(M3)</t>
  </si>
  <si>
    <t>0K+000</t>
    <phoneticPr fontId="32" type="noConversion"/>
  </si>
  <si>
    <t>0K+020</t>
    <phoneticPr fontId="32" type="noConversion"/>
  </si>
  <si>
    <t>0K+040</t>
    <phoneticPr fontId="32" type="noConversion"/>
  </si>
  <si>
    <t>0K+060</t>
    <phoneticPr fontId="32" type="noConversion"/>
  </si>
  <si>
    <t>0K+080</t>
    <phoneticPr fontId="32" type="noConversion"/>
  </si>
  <si>
    <t>0K+100</t>
    <phoneticPr fontId="32" type="noConversion"/>
  </si>
  <si>
    <t>0K+120</t>
    <phoneticPr fontId="32" type="noConversion"/>
  </si>
  <si>
    <t>0K+140</t>
    <phoneticPr fontId="32" type="noConversion"/>
  </si>
  <si>
    <t>0K+160</t>
    <phoneticPr fontId="32" type="noConversion"/>
  </si>
  <si>
    <t>0K+180</t>
    <phoneticPr fontId="32" type="noConversion"/>
  </si>
  <si>
    <t>0K+200</t>
    <phoneticPr fontId="32" type="noConversion"/>
  </si>
  <si>
    <t>0K+220</t>
    <phoneticPr fontId="32" type="noConversion"/>
  </si>
  <si>
    <t>0K+240</t>
    <phoneticPr fontId="32" type="noConversion"/>
  </si>
  <si>
    <t>0K+260</t>
    <phoneticPr fontId="32" type="noConversion"/>
  </si>
  <si>
    <t>0K+280</t>
    <phoneticPr fontId="32" type="noConversion"/>
  </si>
  <si>
    <t>0K+300</t>
    <phoneticPr fontId="32" type="noConversion"/>
  </si>
  <si>
    <t>0.25*2*246.3</t>
    <phoneticPr fontId="1" type="noConversion"/>
  </si>
  <si>
    <t>砌石+塊石+點綴石背填</t>
    <phoneticPr fontId="1" type="noConversion"/>
  </si>
  <si>
    <t>磺港橋進橋版</t>
  </si>
  <si>
    <t>1.6*5*2</t>
    <phoneticPr fontId="1" type="noConversion"/>
  </si>
  <si>
    <t>數量小計</t>
    <phoneticPr fontId="1" type="noConversion"/>
  </si>
  <si>
    <r>
      <t>砌石RT植栽槽回填</t>
    </r>
    <r>
      <rPr>
        <sz val="12"/>
        <color rgb="FFFF0000"/>
        <rFont val="標楷體"/>
        <family val="4"/>
        <charset val="136"/>
      </rPr>
      <t>(客土)</t>
    </r>
    <phoneticPr fontId="1" type="noConversion"/>
  </si>
  <si>
    <t>0.32*0.25*(280-25)</t>
    <phoneticPr fontId="1" type="noConversion"/>
  </si>
  <si>
    <t>保護樹A擋土牆L=35.2</t>
    <phoneticPr fontId="1" type="noConversion"/>
  </si>
  <si>
    <t>1.35*35.2*0.1</t>
    <phoneticPr fontId="1" type="noConversion"/>
  </si>
  <si>
    <t>35.2*2*0.15+26.2*3.83*0.35+25.7*5.5*0.35</t>
    <phoneticPr fontId="1" type="noConversion"/>
  </si>
  <si>
    <r>
      <rPr>
        <sz val="12"/>
        <color rgb="FFFF0000"/>
        <rFont val="標楷體"/>
        <family val="4"/>
        <charset val="136"/>
      </rPr>
      <t>保護樹A上L=35.2M</t>
    </r>
    <r>
      <rPr>
        <sz val="12"/>
        <rFont val="標楷體"/>
        <family val="4"/>
        <charset val="136"/>
      </rPr>
      <t>下層砌石+保護樹B牆版及砌石</t>
    </r>
    <phoneticPr fontId="1" type="noConversion"/>
  </si>
  <si>
    <t>RCP管上方回填</t>
    <phoneticPr fontId="1" type="noConversion"/>
  </si>
  <si>
    <t>(2.8*2)*60+(2.2*2)*220+(0.7*7.05+0.35*2*3+0.35*0.35*4)*14</t>
    <phoneticPr fontId="1" type="noConversion"/>
  </si>
  <si>
    <t>單孔箱涵扣工作筋、寬止筋、斜撐重量</t>
    <phoneticPr fontId="1" type="noConversion"/>
  </si>
  <si>
    <t>雙孔箱涵扣工作筋、寬止筋、斜撐重量</t>
    <phoneticPr fontId="1" type="noConversion"/>
  </si>
  <si>
    <t>出流井扣</t>
    <phoneticPr fontId="1" type="noConversion"/>
  </si>
  <si>
    <t>SD280</t>
  </si>
  <si>
    <t>SD420</t>
  </si>
  <si>
    <t>(1.35+2.05)*35.2*0.3+0.8*0.35*35.2</t>
    <phoneticPr fontId="1" type="noConversion"/>
  </si>
  <si>
    <t>橋面板扣</t>
    <phoneticPr fontId="1" type="noConversion"/>
  </si>
  <si>
    <t>SD280W</t>
    <phoneticPr fontId="1" type="noConversion"/>
  </si>
  <si>
    <t>SD420W</t>
    <phoneticPr fontId="1" type="noConversion"/>
  </si>
  <si>
    <t>磺港橋伸縮縫</t>
    <phoneticPr fontId="1" type="noConversion"/>
  </si>
  <si>
    <t>7.95*8*3.05+(9.45+6.15)*4*1.56+1.1*191*2.25</t>
    <phoneticPr fontId="1" type="noConversion"/>
  </si>
  <si>
    <t>A1</t>
    <phoneticPr fontId="1" type="noConversion"/>
  </si>
  <si>
    <t>A2</t>
    <phoneticPr fontId="1" type="noConversion"/>
  </si>
  <si>
    <t>防震塊</t>
    <phoneticPr fontId="1" type="noConversion"/>
  </si>
  <si>
    <r>
      <t>18</t>
    </r>
    <r>
      <rPr>
        <sz val="12"/>
        <rFont val="Microsoft JhengHei"/>
        <family val="2"/>
      </rPr>
      <t>個</t>
    </r>
    <phoneticPr fontId="1" type="noConversion"/>
  </si>
  <si>
    <r>
      <t>(</t>
    </r>
    <r>
      <rPr>
        <sz val="12"/>
        <rFont val="新細明體"/>
        <family val="2"/>
        <charset val="136"/>
      </rPr>
      <t>含希冀橋</t>
    </r>
    <r>
      <rPr>
        <sz val="12"/>
        <rFont val="Arial"/>
        <family val="2"/>
      </rPr>
      <t>)</t>
    </r>
    <phoneticPr fontId="1" type="noConversion"/>
  </si>
  <si>
    <t>編號</t>
    <phoneticPr fontId="1" type="noConversion"/>
  </si>
  <si>
    <t>號數</t>
    <phoneticPr fontId="1" type="noConversion"/>
  </si>
  <si>
    <t>長度</t>
    <phoneticPr fontId="1" type="noConversion"/>
  </si>
  <si>
    <r>
      <rPr>
        <sz val="12"/>
        <rFont val="Microsoft JhengHei"/>
        <family val="2"/>
        <charset val="136"/>
      </rPr>
      <t>支</t>
    </r>
    <r>
      <rPr>
        <sz val="12"/>
        <rFont val="Microsoft JhengHei"/>
        <family val="2"/>
      </rPr>
      <t>數</t>
    </r>
    <phoneticPr fontId="1" type="noConversion"/>
  </si>
  <si>
    <t>重量</t>
    <phoneticPr fontId="1" type="noConversion"/>
  </si>
  <si>
    <t>編號</t>
  </si>
  <si>
    <t>號數</t>
  </si>
  <si>
    <t>長度</t>
  </si>
  <si>
    <t>支數</t>
  </si>
  <si>
    <t>重量</t>
  </si>
  <si>
    <t>補強筋</t>
    <phoneticPr fontId="1" type="noConversion"/>
  </si>
  <si>
    <r>
      <rPr>
        <sz val="12"/>
        <rFont val="Microsoft JhengHei"/>
        <family val="2"/>
        <charset val="136"/>
      </rPr>
      <t>支</t>
    </r>
    <r>
      <rPr>
        <sz val="12"/>
        <rFont val="Microsoft JhengHei"/>
        <family val="2"/>
      </rPr>
      <t>承</t>
    </r>
    <phoneticPr fontId="1" type="noConversion"/>
  </si>
  <si>
    <t>計</t>
  </si>
  <si>
    <t>計</t>
    <phoneticPr fontId="1" type="noConversion"/>
  </si>
  <si>
    <t>磺港</t>
    <phoneticPr fontId="1" type="noConversion"/>
  </si>
  <si>
    <t>橋台下方檔牆</t>
    <phoneticPr fontId="1" type="noConversion"/>
  </si>
  <si>
    <t>(16+15.75)*5*0.3</t>
    <phoneticPr fontId="1" type="noConversion"/>
  </si>
  <si>
    <t>1.2*0.4*(16.87+18.83)</t>
    <phoneticPr fontId="1" type="noConversion"/>
  </si>
  <si>
    <t>(1.65*236*2+6*60*2+3.95*236+2.9*236+6*282)*0.994</t>
    <phoneticPr fontId="1" type="noConversion"/>
  </si>
  <si>
    <t>低水護岸每100M</t>
  </si>
  <si>
    <t>護岸二</t>
  </si>
  <si>
    <t>L17M</t>
  </si>
  <si>
    <t>重量246.3M</t>
  </si>
  <si>
    <t>護岸三R</t>
  </si>
  <si>
    <t>L12M</t>
  </si>
  <si>
    <t>護岸三L每20M</t>
  </si>
  <si>
    <t>L=41.1M</t>
  </si>
  <si>
    <t>護岸三L</t>
  </si>
  <si>
    <t>L=16.5M</t>
  </si>
  <si>
    <t>清江公園側擋土牆2處</t>
  </si>
  <si>
    <t>L=7.6+6.35@0.2</t>
  </si>
  <si>
    <t>護岸一、二、三</t>
    <phoneticPr fontId="1" type="noConversion"/>
  </si>
  <si>
    <t>磺港橋護欄L=18.2+16M</t>
    <phoneticPr fontId="1" type="noConversion"/>
  </si>
  <si>
    <t>(246*(4+18+4)+20*4)+(35*5)+(24*2)+(85*7+6)+(240*5)</t>
    <phoneticPr fontId="1" type="noConversion"/>
  </si>
  <si>
    <t>低水護岸+受保護樹木AB+護岸一.二.三堤牆頂、分層植栽區</t>
    <phoneticPr fontId="1" type="noConversion"/>
  </si>
  <si>
    <t>既有堤牆加高</t>
    <phoneticPr fontId="1" type="noConversion"/>
  </si>
  <si>
    <r>
      <rPr>
        <sz val="10"/>
        <rFont val="Microsoft JhengHei"/>
        <family val="2"/>
      </rPr>
      <t>堤牆加高</t>
    </r>
    <r>
      <rPr>
        <sz val="10"/>
        <rFont val="微軟正黑體"/>
        <family val="2"/>
        <charset val="136"/>
      </rPr>
      <t>數量表</t>
    </r>
    <phoneticPr fontId="32" type="noConversion"/>
  </si>
  <si>
    <t>高度</t>
    <phoneticPr fontId="32" type="noConversion"/>
  </si>
  <si>
    <t>0K+</t>
    <phoneticPr fontId="32" type="noConversion"/>
  </si>
  <si>
    <t>CON</t>
    <phoneticPr fontId="1" type="noConversion"/>
  </si>
  <si>
    <t>厚度</t>
    <phoneticPr fontId="1" type="noConversion"/>
  </si>
  <si>
    <t>模板</t>
    <phoneticPr fontId="1" type="noConversion"/>
  </si>
  <si>
    <t>鋼筋</t>
    <phoneticPr fontId="1" type="noConversion"/>
  </si>
  <si>
    <t>既有堤牆加高、植栽槽加高</t>
    <phoneticPr fontId="1" type="noConversion"/>
  </si>
  <si>
    <t>(0.25*0.15*250)+((0.08+0.46+0.44+0.42+0.39+0.3+0.24+0.18+0.13+0.13+0.12+0.1+0.05+0.02)/14*0.2*250)+((0.2*0.55)+(0.2*0.4)+(0.375*0.2)+(0.225+0.375)*0.15/2)*18.8</t>
    <phoneticPr fontId="1" type="noConversion"/>
  </si>
  <si>
    <t>堤牆加高計算表</t>
    <phoneticPr fontId="1" type="noConversion"/>
  </si>
  <si>
    <t>植栽槽</t>
    <phoneticPr fontId="1" type="noConversion"/>
  </si>
  <si>
    <t>(250/0.5*0.4+1*250)*0.994</t>
    <phoneticPr fontId="1" type="noConversion"/>
  </si>
  <si>
    <t>0.25*2*250</t>
    <phoneticPr fontId="1" type="noConversion"/>
  </si>
  <si>
    <t>樁內灌漿112.8.30施工前會議改280依210計價</t>
    <phoneticPr fontId="1" type="noConversion"/>
  </si>
  <si>
    <t>送局品勞抗壓者不計入，因不用付錢</t>
    <phoneticPr fontId="1" type="noConversion"/>
  </si>
  <si>
    <t>累計</t>
    <phoneticPr fontId="1" type="noConversion"/>
  </si>
  <si>
    <t>鍍鋅格柵蓋</t>
    <phoneticPr fontId="1" type="noConversion"/>
  </si>
  <si>
    <t>化學螺栓拉拔</t>
    <phoneticPr fontId="1" type="noConversion"/>
  </si>
  <si>
    <t>共4台，2台112.9.23裝設，1台112.10.23裝設，1台出土期間</t>
    <phoneticPr fontId="1" type="noConversion"/>
  </si>
  <si>
    <t>2*730+1*700+1*70</t>
    <phoneticPr fontId="1" type="noConversion"/>
  </si>
  <si>
    <t>磺港橋、希冀橋、百齡抽水站共4處</t>
    <phoneticPr fontId="1" type="noConversion"/>
  </si>
  <si>
    <t>1+1+2</t>
    <phoneticPr fontId="1" type="noConversion"/>
  </si>
  <si>
    <t>730/30</t>
    <phoneticPr fontId="1" type="noConversion"/>
  </si>
  <si>
    <t>砌石合約與實作數量比較表</t>
  </si>
  <si>
    <t>位置</t>
  </si>
  <si>
    <t>合約</t>
  </si>
  <si>
    <t>合約單位</t>
  </si>
  <si>
    <t>單分砌石數量</t>
  </si>
  <si>
    <t>單價</t>
  </si>
  <si>
    <t>實作數量</t>
  </si>
  <si>
    <t>實作砌石數量M2</t>
  </si>
  <si>
    <t>每進行米體積</t>
  </si>
  <si>
    <t>合約-實作</t>
  </si>
  <si>
    <t>護岸(一)(二)(三)第二層</t>
  </si>
  <si>
    <t>低水護岸</t>
  </si>
  <si>
    <t>固床工+點綴</t>
  </si>
  <si>
    <t>合約單位M2，數量計算書單位C.M3，有會勘紀錄要追加點綴數量</t>
  </si>
  <si>
    <t>景觀砌石擋牆A每米0.95LM3</t>
  </si>
  <si>
    <t>砌石擋牆A(合約無鋼線網單一計價項目，都在單分中)</t>
  </si>
  <si>
    <t>31.2*0.95=29.64</t>
  </si>
  <si>
    <t>景觀砌石擋牆B每米0.83LM3</t>
  </si>
  <si>
    <t>砌石擋牆B(合約無鋼線網單一計價項目，都在單分中)</t>
  </si>
  <si>
    <t>17.9*0.83=14.857</t>
  </si>
  <si>
    <t>護岸(一)(二)(三)第一層</t>
  </si>
  <si>
    <t>面積(M2)</t>
  </si>
  <si>
    <t>河道左右側</t>
  </si>
  <si>
    <t>R1=第1層、R2=第2層(L同理)，轉角以第2層計算，第1層粒徑平均70cm(屬變更項目)</t>
  </si>
  <si>
    <t>R1樁號</t>
  </si>
  <si>
    <t>長度(L)</t>
  </si>
  <si>
    <t>高度(M)</t>
  </si>
  <si>
    <t>R2樁號</t>
  </si>
  <si>
    <t>L1樁號</t>
  </si>
  <si>
    <t>L2樁號</t>
  </si>
  <si>
    <t>樁號</t>
  </si>
  <si>
    <t>高(M)</t>
  </si>
  <si>
    <t>底(M)</t>
  </si>
  <si>
    <t>0K+000</t>
  </si>
  <si>
    <t>0K+043.9</t>
  </si>
  <si>
    <t>0K+049</t>
  </si>
  <si>
    <t>護岸轉角(三角形)</t>
  </si>
  <si>
    <t>0K+020</t>
  </si>
  <si>
    <t>0K+040</t>
  </si>
  <si>
    <t>L2箱涵</t>
  </si>
  <si>
    <t>0K+060</t>
  </si>
  <si>
    <t>0K+080</t>
  </si>
  <si>
    <t>0K+100</t>
  </si>
  <si>
    <t>0K+120</t>
  </si>
  <si>
    <t>0K+140</t>
  </si>
  <si>
    <t>0K+160</t>
  </si>
  <si>
    <t>0K+180</t>
  </si>
  <si>
    <t>0K+200</t>
  </si>
  <si>
    <t>0K+220</t>
  </si>
  <si>
    <t>0K+240</t>
  </si>
  <si>
    <t>0K+260</t>
  </si>
  <si>
    <t>0K+289</t>
  </si>
  <si>
    <t>0K+274.5</t>
  </si>
  <si>
    <t>合計</t>
  </si>
  <si>
    <t>第1層</t>
  </si>
  <si>
    <t>第2層</t>
  </si>
  <si>
    <t>計價單位C.M3</t>
  </si>
  <si>
    <t>寬度(M)</t>
  </si>
  <si>
    <t>0K+280</t>
  </si>
  <si>
    <t>固床工</t>
  </si>
  <si>
    <t>長度(M)</t>
  </si>
  <si>
    <t>點綴</t>
  </si>
  <si>
    <t>0K+010</t>
  </si>
  <si>
    <t>0K+030</t>
  </si>
  <si>
    <t>0K+065</t>
  </si>
  <si>
    <t>0K+078</t>
  </si>
  <si>
    <t>0K+085</t>
  </si>
  <si>
    <t>0K+090</t>
  </si>
  <si>
    <t>0K+095</t>
  </si>
  <si>
    <t>0K+130</t>
  </si>
  <si>
    <t>0K+150</t>
  </si>
  <si>
    <t>0K+265</t>
  </si>
  <si>
    <t>0K+270</t>
  </si>
  <si>
    <t>保護樹</t>
  </si>
  <si>
    <t>上游高度(M)</t>
  </si>
  <si>
    <t>中游高度(M)</t>
  </si>
  <si>
    <t>下游高度(M)</t>
  </si>
  <si>
    <t>平均H</t>
  </si>
  <si>
    <t>粒徑平均</t>
  </si>
  <si>
    <t>L.M3</t>
  </si>
  <si>
    <t>說明</t>
  </si>
  <si>
    <t>保護樹A(上層)</t>
  </si>
  <si>
    <t>原合約</t>
  </si>
  <si>
    <t>保護樹A(下層)</t>
  </si>
  <si>
    <t>變更增加</t>
  </si>
  <si>
    <t>保護樹B</t>
  </si>
  <si>
    <t>變更高度</t>
  </si>
  <si>
    <t>砌排石數量表=251.85</t>
    <phoneticPr fontId="1" type="noConversion"/>
  </si>
  <si>
    <t>砌排石數量表=94.85+78.97</t>
    <phoneticPr fontId="1" type="noConversion"/>
  </si>
  <si>
    <t>實作數量合計</t>
    <phoneticPr fontId="1" type="noConversion"/>
  </si>
  <si>
    <t>應追加數量</t>
    <phoneticPr fontId="1" type="noConversion"/>
  </si>
  <si>
    <t>雙孔箱涵右側+左側0K+000-060</t>
    <phoneticPr fontId="1" type="noConversion"/>
  </si>
  <si>
    <t>單、雙孔箱涵上方</t>
    <phoneticPr fontId="1" type="noConversion"/>
  </si>
  <si>
    <t>清江公園</t>
    <phoneticPr fontId="1" type="noConversion"/>
  </si>
  <si>
    <t>3091.11+461.7</t>
    <phoneticPr fontId="1" type="noConversion"/>
  </si>
  <si>
    <t>756.34+125.02</t>
    <phoneticPr fontId="1" type="noConversion"/>
  </si>
  <si>
    <t>單孔箱涵B0K+000-064.7兩側</t>
    <phoneticPr fontId="1" type="noConversion"/>
  </si>
  <si>
    <t>2+1+1</t>
    <phoneticPr fontId="1" type="noConversion"/>
  </si>
  <si>
    <t>統計聯單至113.9.23=27*4</t>
    <phoneticPr fontId="1" type="noConversion"/>
  </si>
  <si>
    <t>統計聯單至113.10.17計2107趟</t>
    <phoneticPr fontId="1" type="noConversion"/>
  </si>
  <si>
    <t>6+3+4+1+1</t>
    <phoneticPr fontId="1" type="noConversion"/>
  </si>
  <si>
    <t>統計單據.至113/9=日16568.5H、夜3104.5H，共計19673H，113/10預計時數:日1440H、夜240H</t>
    <phoneticPr fontId="1" type="noConversion"/>
  </si>
  <si>
    <t>實際施作統計日報，至113.9.30計101日</t>
    <phoneticPr fontId="1" type="noConversion"/>
  </si>
  <si>
    <t>(0.3+2.35+0.5+0.35+2.7)*35.2</t>
    <phoneticPr fontId="1" type="noConversion"/>
  </si>
  <si>
    <t>23.2+12</t>
    <phoneticPr fontId="1" type="noConversion"/>
  </si>
  <si>
    <t>58*8*(0.25*0.25*3.14)</t>
    <phoneticPr fontId="1" type="noConversion"/>
  </si>
  <si>
    <t>植筋D13</t>
    <phoneticPr fontId="1" type="noConversion"/>
  </si>
  <si>
    <t>植筋D16</t>
    <phoneticPr fontId="1" type="noConversion"/>
  </si>
  <si>
    <t>植栽槽、既有堤牆加高</t>
    <phoneticPr fontId="1" type="noConversion"/>
  </si>
  <si>
    <t>變更</t>
    <phoneticPr fontId="1" type="noConversion"/>
  </si>
  <si>
    <t>砌石擋牆A L=35.2</t>
    <phoneticPr fontId="1" type="noConversion"/>
  </si>
  <si>
    <t>保護樹微型樁繫粱A+B</t>
    <phoneticPr fontId="1" type="noConversion"/>
  </si>
  <si>
    <t>(0.2+0.55+0.4+0.225+0.212+0.375)*18.8</t>
    <phoneticPr fontId="1" type="noConversion"/>
  </si>
  <si>
    <t>既有堤牆加高(L=18.8M)H=40+漸變19-56cm</t>
    <phoneticPr fontId="1" type="noConversion"/>
  </si>
  <si>
    <t>(18.8/0.2)*(1.075+0.62)*1.56+(8*18.8*1.56)</t>
    <phoneticPr fontId="1" type="noConversion"/>
  </si>
  <si>
    <t>護岸一砌石底版H=0.25m 寬平均2M</t>
    <phoneticPr fontId="1" type="noConversion"/>
  </si>
  <si>
    <t>底版</t>
  </si>
  <si>
    <t>下層主筋</t>
  </si>
  <si>
    <t>下層副筋</t>
  </si>
  <si>
    <t>上層主筋</t>
  </si>
  <si>
    <t>上層副筋</t>
  </si>
  <si>
    <t>底版加鐵</t>
  </si>
  <si>
    <t>斜角加鐵</t>
  </si>
  <si>
    <t>外牆</t>
  </si>
  <si>
    <t>外層站筋</t>
  </si>
  <si>
    <t>內層站筋</t>
  </si>
  <si>
    <t>內外層副筋</t>
  </si>
  <si>
    <t>內牆</t>
  </si>
  <si>
    <t>內外層站筋</t>
  </si>
  <si>
    <t>單孔箱涵</t>
    <phoneticPr fontId="1" type="noConversion"/>
  </si>
  <si>
    <t>雙孔箱涵</t>
    <phoneticPr fontId="1" type="noConversion"/>
  </si>
  <si>
    <t>重量</t>
    <phoneticPr fontId="1" type="noConversion"/>
  </si>
  <si>
    <t>280M</t>
    <phoneticPr fontId="1" type="noConversion"/>
  </si>
  <si>
    <t>頂版</t>
  </si>
  <si>
    <t>頂版加鐵</t>
  </si>
  <si>
    <t>上層主筋加鐵</t>
  </si>
  <si>
    <t>280W</t>
    <phoneticPr fontId="1" type="noConversion"/>
  </si>
  <si>
    <t>420W</t>
    <phoneticPr fontId="1" type="noConversion"/>
  </si>
  <si>
    <r>
      <rPr>
        <sz val="10"/>
        <rFont val="Microsoft JhengHei"/>
        <family val="2"/>
      </rPr>
      <t>雙孔分</t>
    </r>
    <r>
      <rPr>
        <sz val="10"/>
        <rFont val="Arial"/>
        <family val="2"/>
      </rPr>
      <t>280</t>
    </r>
    <r>
      <rPr>
        <sz val="10"/>
        <rFont val="Microsoft JhengHei"/>
        <family val="2"/>
      </rPr>
      <t>、</t>
    </r>
    <r>
      <rPr>
        <sz val="10"/>
        <rFont val="Arial"/>
        <family val="2"/>
      </rPr>
      <t>420</t>
    </r>
    <r>
      <rPr>
        <sz val="10"/>
        <rFont val="Microsoft JhengHei"/>
        <family val="2"/>
      </rPr>
      <t>重量扣</t>
    </r>
    <phoneticPr fontId="1" type="noConversion"/>
  </si>
  <si>
    <t>300M</t>
    <phoneticPr fontId="1" type="noConversion"/>
  </si>
  <si>
    <t>出流井</t>
    <phoneticPr fontId="1" type="noConversion"/>
  </si>
  <si>
    <t>中間牆</t>
  </si>
  <si>
    <t>料長</t>
    <phoneticPr fontId="1" type="noConversion"/>
  </si>
  <si>
    <t>支數</t>
    <phoneticPr fontId="1" type="noConversion"/>
  </si>
  <si>
    <t>底版長向</t>
  </si>
  <si>
    <t>底板短向</t>
  </si>
  <si>
    <t>外牆站筋</t>
  </si>
  <si>
    <t>外牆副筋</t>
  </si>
  <si>
    <t>中間牆站筋</t>
  </si>
  <si>
    <t>中間牆副筋</t>
  </si>
  <si>
    <t>人孔頸</t>
    <phoneticPr fontId="1" type="noConversion"/>
  </si>
  <si>
    <t>人孔頸及頂板</t>
    <phoneticPr fontId="1" type="noConversion"/>
  </si>
  <si>
    <t>(2*0.9-(0.3*0.3*3.14))*112</t>
    <phoneticPr fontId="1" type="noConversion"/>
  </si>
  <si>
    <t>PVC管上方回填</t>
    <phoneticPr fontId="1" type="noConversion"/>
  </si>
  <si>
    <t>113.6.20總工視察後改600mm</t>
    <phoneticPr fontId="1" type="noConversion"/>
  </si>
  <si>
    <t>出流井出口設矩形1200*1200不銹鋼舌閥</t>
    <phoneticPr fontId="1" type="noConversion"/>
  </si>
  <si>
    <r>
      <t>U</t>
    </r>
    <r>
      <rPr>
        <sz val="10"/>
        <rFont val="Microsoft JhengHei"/>
        <family val="2"/>
      </rPr>
      <t>溝</t>
    </r>
    <phoneticPr fontId="1" type="noConversion"/>
  </si>
  <si>
    <t>均深</t>
    <phoneticPr fontId="1" type="noConversion"/>
  </si>
  <si>
    <t>起點深</t>
    <phoneticPr fontId="1" type="noConversion"/>
  </si>
  <si>
    <t>終點深</t>
    <phoneticPr fontId="1" type="noConversion"/>
  </si>
  <si>
    <t>U15</t>
    <phoneticPr fontId="1" type="noConversion"/>
  </si>
  <si>
    <t>U16</t>
  </si>
  <si>
    <t>U17</t>
  </si>
  <si>
    <t>U18</t>
  </si>
  <si>
    <t>U19</t>
  </si>
  <si>
    <t>U20</t>
  </si>
  <si>
    <t>U21</t>
  </si>
  <si>
    <t>U22</t>
  </si>
  <si>
    <t>U24</t>
  </si>
  <si>
    <t>U25</t>
  </si>
  <si>
    <t>U28</t>
  </si>
  <si>
    <t>U29</t>
  </si>
  <si>
    <t>U30</t>
  </si>
  <si>
    <t>U31</t>
  </si>
  <si>
    <t>U32</t>
  </si>
  <si>
    <t>U33</t>
  </si>
  <si>
    <t>U34</t>
  </si>
  <si>
    <t>L23</t>
    <phoneticPr fontId="1" type="noConversion"/>
  </si>
  <si>
    <t>L26</t>
    <phoneticPr fontId="1" type="noConversion"/>
  </si>
  <si>
    <t>L27</t>
    <phoneticPr fontId="1" type="noConversion"/>
  </si>
  <si>
    <r>
      <t>U+</t>
    </r>
    <r>
      <rPr>
        <sz val="10"/>
        <rFont val="Microsoft JhengHei"/>
        <family val="2"/>
      </rPr>
      <t>矩溝</t>
    </r>
    <r>
      <rPr>
        <sz val="10"/>
        <rFont val="Arial"/>
        <family val="2"/>
      </rPr>
      <t>=</t>
    </r>
    <phoneticPr fontId="1" type="noConversion"/>
  </si>
  <si>
    <t>混凝土</t>
    <phoneticPr fontId="1" type="noConversion"/>
  </si>
  <si>
    <t>既有堤牆修復2處(清江公園)</t>
  </si>
  <si>
    <t>既有堤牆修復2處(清江公園)</t>
    <phoneticPr fontId="1" type="noConversion"/>
  </si>
  <si>
    <t>磺港橋頭2處(與既有銜接)</t>
  </si>
  <si>
    <t>磺港橋頭2處(與既有銜接)</t>
    <phoneticPr fontId="1" type="noConversion"/>
  </si>
  <si>
    <t>變更</t>
  </si>
  <si>
    <t>模板(內)</t>
    <phoneticPr fontId="1" type="noConversion"/>
  </si>
  <si>
    <t>模板(外)</t>
    <phoneticPr fontId="1" type="noConversion"/>
  </si>
  <si>
    <t>清水丙模</t>
    <phoneticPr fontId="1" type="noConversion"/>
  </si>
  <si>
    <t>普通丙模</t>
    <phoneticPr fontId="1" type="noConversion"/>
  </si>
  <si>
    <t>免拆模</t>
    <phoneticPr fontId="1" type="noConversion"/>
  </si>
  <si>
    <t>鋼筋(溝)</t>
    <phoneticPr fontId="1" type="noConversion"/>
  </si>
  <si>
    <t>鋼筋(蓋)</t>
    <phoneticPr fontId="1" type="noConversion"/>
  </si>
  <si>
    <t>鋼筋合計</t>
    <phoneticPr fontId="1" type="noConversion"/>
  </si>
  <si>
    <t>集水井</t>
    <phoneticPr fontId="1" type="noConversion"/>
  </si>
  <si>
    <t xml:space="preserve"> S21</t>
    <phoneticPr fontId="1" type="noConversion"/>
  </si>
  <si>
    <t xml:space="preserve"> S22</t>
  </si>
  <si>
    <t xml:space="preserve"> S23</t>
  </si>
  <si>
    <t xml:space="preserve"> S24</t>
  </si>
  <si>
    <t xml:space="preserve"> S25</t>
  </si>
  <si>
    <t xml:space="preserve"> S26</t>
  </si>
  <si>
    <t xml:space="preserve"> S27</t>
  </si>
  <si>
    <t xml:space="preserve"> S28</t>
  </si>
  <si>
    <t xml:space="preserve"> S29</t>
  </si>
  <si>
    <t xml:space="preserve"> S30</t>
    <phoneticPr fontId="1" type="noConversion"/>
  </si>
  <si>
    <t xml:space="preserve"> S31</t>
  </si>
  <si>
    <t xml:space="preserve"> S32</t>
  </si>
  <si>
    <t>S24-1</t>
    <phoneticPr fontId="1" type="noConversion"/>
  </si>
  <si>
    <t>長</t>
    <phoneticPr fontId="1" type="noConversion"/>
  </si>
  <si>
    <t>寬</t>
    <phoneticPr fontId="1" type="noConversion"/>
  </si>
  <si>
    <t>高</t>
    <phoneticPr fontId="1" type="noConversion"/>
  </si>
  <si>
    <t xml:space="preserve"> S29-1</t>
    <phoneticPr fontId="1" type="noConversion"/>
  </si>
  <si>
    <t xml:space="preserve"> S29-2</t>
  </si>
  <si>
    <t xml:space="preserve"> S33</t>
  </si>
  <si>
    <t xml:space="preserve"> S34</t>
  </si>
  <si>
    <t xml:space="preserve"> S35</t>
  </si>
  <si>
    <t xml:space="preserve"> S36</t>
  </si>
  <si>
    <t xml:space="preserve"> S37</t>
  </si>
  <si>
    <t xml:space="preserve"> S32-1</t>
    <phoneticPr fontId="1" type="noConversion"/>
  </si>
  <si>
    <t>取消</t>
    <phoneticPr fontId="1" type="noConversion"/>
  </si>
  <si>
    <t>SL21-1</t>
    <phoneticPr fontId="1" type="noConversion"/>
  </si>
  <si>
    <t>SL21-2</t>
  </si>
  <si>
    <t>SL21-3</t>
  </si>
  <si>
    <t>SL21-4</t>
  </si>
  <si>
    <t>SL21-5</t>
  </si>
  <si>
    <t>SL21-6</t>
  </si>
  <si>
    <t>SL21-7</t>
  </si>
  <si>
    <t>SL21-8</t>
  </si>
  <si>
    <t>SL21-9</t>
  </si>
  <si>
    <t>SL21-10</t>
  </si>
  <si>
    <t>SL23-1</t>
    <phoneticPr fontId="1" type="noConversion"/>
  </si>
  <si>
    <t>SL23-2</t>
  </si>
  <si>
    <t>SL23-3</t>
  </si>
  <si>
    <t>SL23-4</t>
  </si>
  <si>
    <t>SL23-5</t>
  </si>
  <si>
    <t>SL23-6</t>
  </si>
  <si>
    <t>SL23-7</t>
  </si>
  <si>
    <t>SL23-8</t>
  </si>
  <si>
    <t>SL23-9</t>
  </si>
  <si>
    <t>SL23-10</t>
  </si>
  <si>
    <t>SL24-1</t>
    <phoneticPr fontId="1" type="noConversion"/>
  </si>
  <si>
    <t>SL24-2</t>
  </si>
  <si>
    <t>SL25-1</t>
    <phoneticPr fontId="1" type="noConversion"/>
  </si>
  <si>
    <t>SL25-2</t>
  </si>
  <si>
    <t>SL25-3</t>
  </si>
  <si>
    <t>SL25-4</t>
  </si>
  <si>
    <t>SL25-5</t>
  </si>
  <si>
    <t>SL26-1</t>
    <phoneticPr fontId="1" type="noConversion"/>
  </si>
  <si>
    <t>SL26-2</t>
  </si>
  <si>
    <t>SL27-1</t>
    <phoneticPr fontId="1" type="noConversion"/>
  </si>
  <si>
    <t>SL27-2</t>
  </si>
  <si>
    <t>SL27-3</t>
  </si>
  <si>
    <t>SJ2</t>
    <phoneticPr fontId="1" type="noConversion"/>
  </si>
  <si>
    <t>SJ3</t>
    <phoneticPr fontId="1" type="noConversion"/>
  </si>
  <si>
    <t>SB3</t>
    <phoneticPr fontId="1" type="noConversion"/>
  </si>
  <si>
    <t>SB4</t>
  </si>
  <si>
    <t>SB5</t>
  </si>
  <si>
    <t>SJ1</t>
    <phoneticPr fontId="1" type="noConversion"/>
  </si>
  <si>
    <t>設施表無此項</t>
    <phoneticPr fontId="1" type="noConversion"/>
  </si>
  <si>
    <t>#5</t>
    <phoneticPr fontId="1" type="noConversion"/>
  </si>
  <si>
    <t>#4</t>
    <phoneticPr fontId="1" type="noConversion"/>
  </si>
  <si>
    <t>水溝小計</t>
    <phoneticPr fontId="1" type="noConversion"/>
  </si>
  <si>
    <t>集水井小計</t>
    <phoneticPr fontId="1" type="noConversion"/>
  </si>
  <si>
    <t>砌排石數量表=614.13+154.5+7.26</t>
    <phoneticPr fontId="1" type="noConversion"/>
  </si>
  <si>
    <t>砌石擋牆A、B下層</t>
    <phoneticPr fontId="1" type="noConversion"/>
  </si>
  <si>
    <t>467.53+92.19</t>
    <phoneticPr fontId="1" type="noConversion"/>
  </si>
  <si>
    <t>(3.8+3.7+4)/3*26.2+((8.1+4.3+6.5)/3-1.5)*24.3</t>
    <phoneticPr fontId="1" type="noConversion"/>
  </si>
  <si>
    <t>(12.85*4-7.05*2.6)*0.25</t>
    <phoneticPr fontId="1" type="noConversion"/>
  </si>
  <si>
    <t>1.5*12+(4.6+1.7)*( 3+1)+(3.3+0.5+0.95+3.2)</t>
    <phoneticPr fontId="1" type="noConversion"/>
  </si>
  <si>
    <t>57.6+11.2+17</t>
    <phoneticPr fontId="1" type="noConversion"/>
  </si>
  <si>
    <t>出流井內</t>
    <phoneticPr fontId="1" type="noConversion"/>
  </si>
  <si>
    <t>河道護岸左右側下層</t>
    <phoneticPr fontId="1" type="noConversion"/>
  </si>
  <si>
    <t>右岸+左岸(上層)</t>
    <phoneticPr fontId="1" type="noConversion"/>
  </si>
  <si>
    <t>尚未回覆是否比照RCP回填辦理</t>
    <phoneticPr fontId="1" type="noConversion"/>
  </si>
  <si>
    <t>依最後混凝土數量加總</t>
    <phoneticPr fontId="1" type="noConversion"/>
  </si>
  <si>
    <t>人孔頸(內側)</t>
    <phoneticPr fontId="1" type="noConversion"/>
  </si>
  <si>
    <t>人孔頸(外側)</t>
    <phoneticPr fontId="1" type="noConversion"/>
  </si>
  <si>
    <t>((1.41-0.2)+(2.59-0.2)+(2.57-0.2)+(1.88-0.2))*2+(0.6*3.14*0.2*4)</t>
    <phoneticPr fontId="1" type="noConversion"/>
  </si>
  <si>
    <t>((1.41-0.2)+(2.59-0.2)+(2.57-0.2)+(1.88-0.2))*2+(1.5*4*0.2*4)</t>
    <phoneticPr fontId="1" type="noConversion"/>
  </si>
  <si>
    <t>護岸三</t>
    <phoneticPr fontId="1" type="noConversion"/>
  </si>
  <si>
    <t>橋台下方擋土牆(雙孔箱涵出口端牆)</t>
    <phoneticPr fontId="1" type="noConversion"/>
  </si>
  <si>
    <t>雙孔箱涵出口端牆</t>
    <phoneticPr fontId="1" type="noConversion"/>
  </si>
  <si>
    <t xml:space="preserve">0
</t>
    <phoneticPr fontId="1" type="noConversion"/>
  </si>
  <si>
    <t>(1.35*9*2*2*1.56+1.2*8*2*0.994)*4+(1.41+2.59+2.57+1.88)*13*1.56+0.6*3.14*(10+18+17+13)*0.994</t>
    <phoneticPr fontId="1" type="noConversion"/>
  </si>
  <si>
    <t>十字梁箍筋</t>
    <phoneticPr fontId="1" type="noConversion"/>
  </si>
  <si>
    <t>道路側溝、集水井PC</t>
    <phoneticPr fontId="1" type="noConversion"/>
  </si>
  <si>
    <t>道路側溝</t>
    <phoneticPr fontId="1" type="noConversion"/>
  </si>
  <si>
    <t>集水井</t>
    <phoneticPr fontId="1" type="noConversion"/>
  </si>
  <si>
    <t>計算表</t>
    <phoneticPr fontId="1" type="noConversion"/>
  </si>
  <si>
    <t>泳村157.3</t>
    <phoneticPr fontId="1" type="noConversion"/>
  </si>
  <si>
    <t>清水丙模</t>
  </si>
  <si>
    <t>普通丙模</t>
  </si>
  <si>
    <t>鋼筋(溝)</t>
  </si>
  <si>
    <t>鋼筋(蓋)</t>
  </si>
  <si>
    <t>模板(內)</t>
  </si>
  <si>
    <t>模板(外)</t>
  </si>
  <si>
    <t>免拆模</t>
  </si>
  <si>
    <t>混凝土</t>
  </si>
  <si>
    <t>U+矩溝=</t>
  </si>
  <si>
    <t>集水井</t>
  </si>
  <si>
    <t>集水井=</t>
    <phoneticPr fontId="1" type="noConversion"/>
  </si>
  <si>
    <r>
      <rPr>
        <sz val="10"/>
        <rFont val="Microsoft JhengHei"/>
        <family val="2"/>
      </rPr>
      <t>合計</t>
    </r>
    <r>
      <rPr>
        <sz val="10"/>
        <rFont val="Arial"/>
        <family val="2"/>
      </rPr>
      <t>=</t>
    </r>
    <phoneticPr fontId="1" type="noConversion"/>
  </si>
  <si>
    <t>0.8*731.4*0.05+0.9*1.1*0.05*57</t>
    <phoneticPr fontId="1" type="noConversion"/>
  </si>
  <si>
    <t>140+210混凝土數量</t>
    <phoneticPr fontId="1" type="noConversion"/>
  </si>
  <si>
    <t>道路側溝(內側)</t>
  </si>
  <si>
    <t>道路側溝(內側)</t>
    <phoneticPr fontId="1" type="noConversion"/>
  </si>
  <si>
    <t>集水井(內側)</t>
  </si>
  <si>
    <t>集水井(內側)</t>
    <phoneticPr fontId="1" type="noConversion"/>
  </si>
  <si>
    <t>道路側溝(外側)</t>
  </si>
  <si>
    <t>道路側溝(外側)</t>
    <phoneticPr fontId="1" type="noConversion"/>
  </si>
  <si>
    <t>集水井(外側)</t>
  </si>
  <si>
    <t>集水井(外側)</t>
    <phoneticPr fontId="1" type="noConversion"/>
  </si>
  <si>
    <t>百齡抽水站暫置區+議員陳情工區臨時交維</t>
  </si>
  <si>
    <t>720+4200</t>
  </si>
  <si>
    <t>目前有些位置無法埋RCP，變更中無法確定數量</t>
    <phoneticPr fontId="1" type="noConversion"/>
  </si>
  <si>
    <t>尚未完成</t>
  </si>
  <si>
    <t>尚未完成</t>
    <phoneticPr fontId="1" type="noConversion"/>
  </si>
  <si>
    <t>本大項尚未完成，未估算</t>
    <phoneticPr fontId="1" type="noConversion"/>
  </si>
  <si>
    <t xml:space="preserve">0
</t>
    <phoneticPr fontId="1" type="noConversion"/>
  </si>
  <si>
    <r>
      <t>單孔箱涵+出流井(含銜接出口)+雙孔箱涵，</t>
    </r>
    <r>
      <rPr>
        <sz val="12"/>
        <color rgb="FFFF0000"/>
        <rFont val="標楷體"/>
        <family val="4"/>
        <charset val="136"/>
      </rPr>
      <t>河床封底段未打PC</t>
    </r>
    <phoneticPr fontId="1" type="noConversion"/>
  </si>
  <si>
    <t>MH5-MH9</t>
    <phoneticPr fontId="1" type="noConversion"/>
  </si>
  <si>
    <t>雙孔箱涵水平施工縫+雙孔箱涵施工縫</t>
    <phoneticPr fontId="1" type="noConversion"/>
  </si>
  <si>
    <t>280*3+300*2</t>
    <phoneticPr fontId="1" type="noConversion"/>
  </si>
  <si>
    <t>(1.8*1*120)+(1.8*3*6)+(1.8*2*150)</t>
    <phoneticPr fontId="1" type="noConversion"/>
  </si>
  <si>
    <t>6136.89-747.47</t>
    <phoneticPr fontId="1" type="noConversion"/>
  </si>
  <si>
    <t>道路區域面積-無擾動區域面積</t>
    <phoneticPr fontId="1" type="noConversion"/>
  </si>
  <si>
    <t>5389.42*0.3</t>
    <phoneticPr fontId="1" type="noConversion"/>
  </si>
  <si>
    <t>本項追減，新增雨水回收槽(1)(2)(3)</t>
    <phoneticPr fontId="1" type="noConversion"/>
  </si>
  <si>
    <t>+1=3座</t>
    <phoneticPr fontId="1" type="noConversion"/>
  </si>
  <si>
    <t>G1-1</t>
    <phoneticPr fontId="1" type="noConversion"/>
  </si>
  <si>
    <t>G1-2</t>
  </si>
  <si>
    <t>G1-3</t>
  </si>
  <si>
    <t>低水護岸+護岸二+護岸三</t>
  </si>
  <si>
    <t>鋼筋表</t>
  </si>
  <si>
    <t>預力樁柱頭筋</t>
  </si>
  <si>
    <t>((2.8*1.56*8)+(0.55*0.56*13))*58</t>
  </si>
  <si>
    <t>保護樹A擋土牆L=35.2</t>
  </si>
  <si>
    <t>(1.65*236*2+6*60*2+3.95*236+2.9*236+6*282)*0.994</t>
  </si>
  <si>
    <t>既有堤牆加高</t>
  </si>
  <si>
    <t>堤牆加高計算表</t>
  </si>
  <si>
    <t>既有堤牆加高(L=18.8M)H=40+漸變19-56cm</t>
  </si>
  <si>
    <t>(18.8/0.2)*(1.075+0.62)*1.56+(8*18.8*1.56)</t>
  </si>
  <si>
    <t>植栽槽</t>
  </si>
  <si>
    <t>(250/0.5*0.4+1*250)*0.994</t>
  </si>
  <si>
    <t>橋台下方擋土牆(雙孔箱涵出口端牆)</t>
  </si>
  <si>
    <t>道路側溝</t>
  </si>
  <si>
    <t>計算表</t>
  </si>
  <si>
    <t>磺港橋橋台(含防震塊)</t>
  </si>
  <si>
    <t>7194.35+7703.67+4325.4</t>
  </si>
  <si>
    <t>希冀橋橋台(含防震塊)</t>
  </si>
  <si>
    <t>2215.51+1346.07</t>
  </si>
  <si>
    <t>橋台下方擋土牆</t>
  </si>
  <si>
    <t>(14.6*36+6.75*80+3.65*80+1.75*80+14.6*12)*1.56</t>
  </si>
  <si>
    <t>磺港橋橋面版</t>
  </si>
  <si>
    <t>(11.5*142+5*142+9.85*71+8.35*142+6.85*71)*2.25+((8.5+6.4+5)*105+1.6*250+1.3*215+1.6*630+11*53+9.8*104+8.6*53)*1.56</t>
  </si>
  <si>
    <t>5.25*107*3.05+(12*34+4.8*34+5.25*54+10*9+8.5*18+7*9)*2.25+(5.25*106*3.05)+(12*34+4.8*34+5.25*53+10*9+8.5*18+7*9)*2.25</t>
  </si>
  <si>
    <t>磺港橋護欄</t>
  </si>
  <si>
    <t>(7*108+3.1*252+0.5*252)*0.994</t>
  </si>
  <si>
    <t>磺港橋伸縮縫</t>
  </si>
  <si>
    <t>7.95*8*3.05+(9.45+6.15)*4*1.56+1.1*191*2.25</t>
  </si>
  <si>
    <t>護岸二+護岸三</t>
  </si>
  <si>
    <t>微型樁</t>
  </si>
  <si>
    <t>6*218*6.39</t>
  </si>
  <si>
    <t>出流井(含銜接出口)</t>
  </si>
  <si>
    <t>雙孔箱涵</t>
  </si>
  <si>
    <t>砌石擋牆A L=35.2</t>
  </si>
  <si>
    <t>(0.3+2.35+0.5+0.35+2.7)*35.2</t>
  </si>
  <si>
    <t>出流井(外側)</t>
  </si>
  <si>
    <t>(4.7+3.4)*3.4*2-(1.2*1.2)</t>
  </si>
  <si>
    <t>單孔箱涵(外側)</t>
  </si>
  <si>
    <t>1.8*2*67+1.8*1*233+(1.8*1.8-1.2*1.2)*15</t>
  </si>
  <si>
    <t>人孔頸(外側)</t>
  </si>
  <si>
    <t>((1.41-0.2)+(2.59-0.2)+(2.57-0.2)+(1.88-0.2))*2+(1.5*4*0.2*4)</t>
  </si>
  <si>
    <t>希冀橋人行道引道、透空步道混凝土踏階</t>
  </si>
  <si>
    <t>清水模板，甲種</t>
    <phoneticPr fontId="1" type="noConversion"/>
  </si>
  <si>
    <t>清水模板，乙種</t>
    <phoneticPr fontId="1" type="noConversion"/>
  </si>
  <si>
    <t>普通模板，乙種</t>
    <phoneticPr fontId="1" type="noConversion"/>
  </si>
  <si>
    <t>雙孔箱涵(外側60+220)</t>
  </si>
  <si>
    <t>(2.8*2)*60+(2.2*2)*220+(0.7*7.05+0.35*2*3+0.35*0.35*4)*14</t>
  </si>
  <si>
    <t>座台A、座台D、座台E、座椅A、座椅B、草地座階</t>
  </si>
  <si>
    <t>(15.3+14.35)*(1.15+1.5+2.75+0.1*2)+(1.5*1.15+1.5*0.5+0.42*0.7)*2*2+(0.25*0.6*4)*14+(2.2*0.45*2+0.75*2.2+1.05*0.6)*14</t>
  </si>
  <si>
    <t>希冀橋上構(含防震塊)</t>
  </si>
  <si>
    <t>(2.38+1.95+0.5+0.5+2.67)*2*1+(0.25*0.6*4)*4+((3.5*2.15)+(3.5*2.35)+1.5*1.15*2+1*0.5*2*0.42*0.7*2)+(2*0.45*2+0.75*2+1.05*0.6)*4</t>
  </si>
  <si>
    <t>(18.6+16.96)/2*(13.3-0.7*7+0.1*14)+
(0.2*(18.6+16.96)/2)+(0.25*(15.3+14.5))</t>
  </si>
  <si>
    <t>護欄</t>
  </si>
  <si>
    <t>(0.2+0.95)*2*(18.2+16)</t>
  </si>
  <si>
    <t>應追加減數量</t>
    <phoneticPr fontId="1" type="noConversion"/>
  </si>
  <si>
    <t>尚有其他項目未施做</t>
    <phoneticPr fontId="1" type="noConversion"/>
  </si>
  <si>
    <t>尚未施做</t>
  </si>
  <si>
    <t>尚未施做</t>
    <phoneticPr fontId="1" type="noConversion"/>
  </si>
  <si>
    <t>低水護岸246.3M+護岸三</t>
  </si>
  <si>
    <t>(246.3*0.85*0.05)+(1.7*0.1*(11.2+57.6))</t>
  </si>
  <si>
    <t>希冀橋無障礙警示帶、希冀橋人行道引道、透空步道混凝土踏階</t>
  </si>
  <si>
    <t>磺港橋頭2處</t>
    <phoneticPr fontId="1" type="noConversion"/>
  </si>
  <si>
    <t>(0.45*0.45-0.3*0.3)*3.14*(1.41+2.59+2.57+1.88)+(1.5*1.5-(0.3*0.3*3.14))*0.2*4</t>
    <phoneticPr fontId="1" type="noConversion"/>
  </si>
  <si>
    <t>(2.85*(7.6+6.35)*0.3)+(0.5*(7.6+6.35)*1.5)</t>
    <phoneticPr fontId="1" type="noConversion"/>
  </si>
  <si>
    <t>改用280kgf/cm2(第二型水泥)</t>
    <phoneticPr fontId="1" type="noConversion"/>
  </si>
  <si>
    <t>246.3*0.75*1.5</t>
  </si>
  <si>
    <t>護岸二L=R17+閘門底灌漿</t>
  </si>
  <si>
    <t>(17*2.5*0.45)+(17*(0.5+0.7)/2*(4.79+3.4)/2)+(0.5*3.2*5.1)</t>
  </si>
  <si>
    <t>護岸三L=L57.6(41.1+16.5)+R11.2</t>
  </si>
  <si>
    <t>(41.1*1.7*0.6)+(41.1*(0.5+1.1)/2*3.63)+(16.5*2.2*0.6)+(16.5*(0.5+0.85)/2*2.1+16.5*0.3*1.1)</t>
  </si>
  <si>
    <t>砌石+塊石+點綴石背填</t>
  </si>
  <si>
    <t>246.3*1.75*0.25+503.7*0.15+1335.6*0.15+82.85*0.35+78.97*0.25</t>
  </si>
  <si>
    <t>保護樹A上L=35.2M下層砌石+保護樹B牆版及砌石</t>
  </si>
  <si>
    <t>35.2*2*0.15+26.2*3.83*0.35+25.7*5.5*0.35</t>
  </si>
  <si>
    <t>護岸一砌石底版H=0.25m 寬平均2M</t>
  </si>
  <si>
    <t>0.25*2*246.3</t>
  </si>
  <si>
    <t>雙孔箱涵出口端牆</t>
  </si>
  <si>
    <t>(12.85*4-7.05*2.6)*0.25</t>
  </si>
  <si>
    <t>橋臺下雙孔箱涵及臨清江公園側</t>
  </si>
  <si>
    <t>16.5*1.3*0.65+2.7*(2.5+1.35)/2*15.2</t>
  </si>
  <si>
    <t>出流井銜接出口回填</t>
  </si>
  <si>
    <t>(1.8+0.8)/2*1.6*2.45</t>
  </si>
  <si>
    <t>雙孔及單孔箱涵間L=245.7</t>
  </si>
  <si>
    <t>1.15*1.8*245.7</t>
  </si>
  <si>
    <t>RCP管上方回填</t>
  </si>
  <si>
    <t>(2*0.9-(0.3*0.3*3.14))*112</t>
  </si>
  <si>
    <t>PVC管上方回填</t>
  </si>
  <si>
    <t>尚未回覆是否比照RCP回填辦理</t>
  </si>
  <si>
    <t>工程名稱：磺港溪再造C段護岸及步道整建工程(三合橋至奇岩抽水站)</t>
  </si>
  <si>
    <t>估驗日期：</t>
  </si>
  <si>
    <t>項目說明</t>
  </si>
  <si>
    <t>原契約
數量</t>
  </si>
  <si>
    <t>追加數量</t>
    <phoneticPr fontId="62" type="noConversion"/>
  </si>
  <si>
    <t>追加金額</t>
    <phoneticPr fontId="62" type="noConversion"/>
  </si>
  <si>
    <t>估驗
單價</t>
  </si>
  <si>
    <t>本   次
估驗數量</t>
  </si>
  <si>
    <t>本次止累計
估驗數量</t>
  </si>
  <si>
    <t>本   次
估驗金額</t>
  </si>
  <si>
    <t>本次止累計
估驗金額</t>
  </si>
  <si>
    <t>備    註</t>
  </si>
  <si>
    <t>一</t>
  </si>
  <si>
    <t>(一)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</si>
  <si>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</si>
  <si>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</si>
  <si>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</si>
  <si>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</si>
  <si>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</si>
  <si>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</si>
  <si>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</si>
  <si>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</si>
  <si>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</si>
  <si>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</si>
  <si>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</si>
  <si>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</si>
  <si>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</si>
  <si>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</si>
  <si>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</si>
  <si>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</si>
  <si>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</si>
  <si>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</si>
  <si>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</si>
  <si>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</si>
  <si>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</si>
  <si>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</si>
  <si>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(估驗比率約:100%)</t>
  </si>
  <si>
    <t>23</t>
  </si>
  <si>
    <t>24</t>
  </si>
  <si>
    <t>25</t>
  </si>
  <si>
    <t>(二)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</si>
  <si>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</si>
  <si>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</si>
  <si>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</si>
  <si>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</si>
  <si>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</si>
  <si>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</si>
  <si>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</si>
  <si>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</si>
  <si>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</si>
  <si>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</si>
  <si>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</si>
  <si>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</si>
  <si>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</si>
  <si>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</si>
  <si>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</si>
  <si>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</si>
  <si>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</si>
  <si>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</si>
  <si>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</si>
  <si>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</si>
  <si>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</si>
  <si>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</si>
  <si>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</si>
  <si>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</si>
  <si>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</si>
  <si>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</si>
  <si>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</si>
  <si>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</si>
  <si>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</si>
  <si>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</si>
  <si>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</si>
  <si>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</si>
  <si>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</si>
  <si>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</si>
  <si>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</si>
  <si>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</si>
  <si>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</si>
  <si>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</si>
  <si>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</si>
  <si>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</si>
  <si>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</si>
  <si>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</si>
  <si>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</si>
  <si>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</si>
  <si>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</si>
  <si>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</si>
  <si>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</si>
  <si>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</si>
  <si>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</si>
  <si>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</si>
  <si>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</si>
  <si>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</si>
  <si>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</si>
  <si>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</si>
  <si>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</si>
  <si>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</si>
  <si>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</si>
  <si>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</si>
  <si>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</si>
  <si>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</si>
  <si>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(三)</t>
  </si>
  <si>
    <t>全套管式鑽掘混凝土基樁，D=1200mm</t>
  </si>
  <si>
    <t>(四)</t>
  </si>
  <si>
    <t>(五)</t>
  </si>
  <si>
    <t>(六)</t>
  </si>
  <si>
    <t>(七)</t>
  </si>
  <si>
    <t>(估驗比率約:60%)</t>
  </si>
  <si>
    <t>(八)</t>
  </si>
  <si>
    <t>(九)</t>
  </si>
  <si>
    <t>二</t>
  </si>
  <si>
    <t>臨時直立式號誌</t>
  </si>
  <si>
    <t>三</t>
  </si>
  <si>
    <t>四</t>
  </si>
  <si>
    <t>五</t>
  </si>
  <si>
    <t>六</t>
  </si>
  <si>
    <t>七</t>
  </si>
  <si>
    <t>八</t>
  </si>
  <si>
    <t>(一~七)*[約10.94944113%]</t>
  </si>
  <si>
    <t>九</t>
  </si>
  <si>
    <t>一０</t>
  </si>
  <si>
    <t>貳</t>
  </si>
  <si>
    <t>物價調整累計金額</t>
  </si>
  <si>
    <t>本次113年8月份</t>
    <phoneticPr fontId="62" type="noConversion"/>
  </si>
  <si>
    <t>總計</t>
  </si>
  <si>
    <t>參</t>
  </si>
  <si>
    <t>變賣收入項</t>
  </si>
  <si>
    <t>瀝青混凝土刨除料變賣</t>
  </si>
  <si>
    <t>工地拆除，拆除材料回收利用與儲存</t>
  </si>
  <si>
    <t>拆除鋼筋</t>
  </si>
  <si>
    <t>追減數量</t>
    <phoneticPr fontId="62" type="noConversion"/>
  </si>
  <si>
    <t>追減金額</t>
    <phoneticPr fontId="62" type="noConversion"/>
  </si>
  <si>
    <t>因數量計算書是以低水護岸基礎數量計算</t>
    <phoneticPr fontId="1" type="noConversion"/>
  </si>
  <si>
    <t>改為280二型</t>
    <phoneticPr fontId="1" type="noConversion"/>
  </si>
  <si>
    <t>(5*4+16+15.75)*0.3</t>
    <phoneticPr fontId="1" type="noConversion"/>
  </si>
  <si>
    <t>還沒做完要變更數量嗎?</t>
    <phoneticPr fontId="1" type="noConversion"/>
  </si>
  <si>
    <t>磺港橋+希冀橋+希冀橋翼版</t>
    <phoneticPr fontId="1" type="noConversion"/>
  </si>
  <si>
    <t>景石A*12景石B*35景石C*19景石D*46共112顆</t>
    <phoneticPr fontId="1" type="noConversion"/>
  </si>
  <si>
    <t>(12*3234+35*1078+19*336+46*134)/1000</t>
    <phoneticPr fontId="1" type="noConversion"/>
  </si>
  <si>
    <t>數量及單顆重量由設計提供</t>
    <phoneticPr fontId="1" type="noConversion"/>
  </si>
  <si>
    <t>依本案《公共設施用地開發保水檢核定稿版》</t>
    <phoneticPr fontId="1" type="noConversion"/>
  </si>
  <si>
    <t>+希冀橋翼鈑</t>
    <phoneticPr fontId="1" type="noConversion"/>
  </si>
  <si>
    <t>尚未施作</t>
    <phoneticPr fontId="1" type="noConversion"/>
  </si>
  <si>
    <t>尚未施作完成</t>
    <phoneticPr fontId="1" type="noConversion"/>
  </si>
  <si>
    <t>工作筋</t>
  </si>
  <si>
    <t>工作筋</t>
    <phoneticPr fontId="1" type="noConversion"/>
  </si>
  <si>
    <r>
      <rPr>
        <sz val="10"/>
        <rFont val="Microsoft JhengHei"/>
        <family val="2"/>
      </rPr>
      <t>每</t>
    </r>
    <r>
      <rPr>
        <sz val="10"/>
        <rFont val="Arial"/>
        <family val="2"/>
      </rPr>
      <t>M3/3.2KG</t>
    </r>
    <phoneticPr fontId="1" type="noConversion"/>
  </si>
  <si>
    <t>三左右岸</t>
    <phoneticPr fontId="1" type="noConversion"/>
  </si>
  <si>
    <r>
      <t>每</t>
    </r>
    <r>
      <rPr>
        <sz val="10"/>
        <rFont val="Arial"/>
        <family val="2"/>
      </rPr>
      <t>M3/3.2KG</t>
    </r>
  </si>
  <si>
    <r>
      <t>每</t>
    </r>
    <r>
      <rPr>
        <sz val="10"/>
        <rFont val="Arial"/>
        <family val="2"/>
      </rPr>
      <t>M3/3.2KG</t>
    </r>
  </si>
  <si>
    <t>7194.34+7703.67+4325.4+664.75</t>
    <phoneticPr fontId="1" type="noConversion"/>
  </si>
  <si>
    <t>2215.51+1346.07+99.52</t>
    <phoneticPr fontId="1" type="noConversion"/>
  </si>
  <si>
    <t>(14.6*36+6.75*80+3.65*80+1.75*80+14.6*12)*1.56+23.94*3.2</t>
    <phoneticPr fontId="1" type="noConversion"/>
  </si>
  <si>
    <t>(11.5*142+5*142+9.85*71+8.35*142+6.85*71)*2.25+((8.5+6.4+5)*105+1.6*250+1.3*215+1.6*630+11*53+9.8*104+8.6*53)*1.56+53.24*3.2</t>
    <phoneticPr fontId="1" type="noConversion"/>
  </si>
  <si>
    <t>5.25*107*3.05+(12*34+4.8*34+5.25*54+10*9+8.5*18+7*9)*2.25+(5.25*106*3.05)+(12*34+4.8*34+5.25*53+10*9+8.5*18+7*9)*2.25+47.63*3.2</t>
    <phoneticPr fontId="1" type="noConversion"/>
  </si>
  <si>
    <t>(7*108+3.1*252+0.5*252)*0.994+17.14*3.2</t>
    <phoneticPr fontId="1" type="noConversion"/>
  </si>
  <si>
    <t>應該不能加</t>
    <phoneticPr fontId="1" type="noConversion"/>
  </si>
  <si>
    <t>113/11/445</t>
  </si>
  <si>
    <t>113/11/446</t>
  </si>
  <si>
    <t>113/11/447</t>
  </si>
  <si>
    <t>113/11/448</t>
  </si>
  <si>
    <t>113/11/449</t>
  </si>
  <si>
    <t>113/11/450</t>
  </si>
  <si>
    <t>113/11/451</t>
  </si>
  <si>
    <t>113/11/452</t>
  </si>
  <si>
    <t>113/11/453</t>
  </si>
  <si>
    <t>113/11/454</t>
  </si>
  <si>
    <t>113/11/455</t>
  </si>
  <si>
    <t>113/11/456</t>
  </si>
  <si>
    <t>113/11/457</t>
  </si>
  <si>
    <t>113/11/458</t>
  </si>
  <si>
    <t>113/11/459</t>
  </si>
  <si>
    <t>113/11/460</t>
  </si>
  <si>
    <t>113/11/461</t>
  </si>
  <si>
    <t>113/11/462</t>
  </si>
  <si>
    <t>113/11/463</t>
  </si>
  <si>
    <t>113/11/464</t>
  </si>
  <si>
    <t>113/11/465</t>
  </si>
  <si>
    <t>113/11/466</t>
  </si>
  <si>
    <t>113/11/467</t>
  </si>
  <si>
    <t>113/11/468</t>
  </si>
  <si>
    <t>113/11/469</t>
  </si>
  <si>
    <t>113/11/470</t>
  </si>
  <si>
    <t>113/11/471</t>
  </si>
  <si>
    <t>113/11/472</t>
  </si>
  <si>
    <t>113/11/473</t>
  </si>
  <si>
    <t>113/11/474</t>
  </si>
  <si>
    <t>113/11/475</t>
  </si>
  <si>
    <t>113/11/476</t>
  </si>
  <si>
    <t>113/11/477</t>
  </si>
  <si>
    <t>113/11/478</t>
  </si>
  <si>
    <t>113/11/479</t>
  </si>
  <si>
    <t>113/11/480</t>
  </si>
  <si>
    <t>113/11/481</t>
  </si>
  <si>
    <t>113/11/482</t>
  </si>
  <si>
    <t>113/11/483</t>
  </si>
  <si>
    <t>113/11/484</t>
  </si>
  <si>
    <t>113/11/485</t>
  </si>
  <si>
    <t>113/11/486</t>
  </si>
  <si>
    <t>113/11/487</t>
  </si>
  <si>
    <t>113/11/488</t>
  </si>
  <si>
    <t>113/11/489</t>
  </si>
  <si>
    <t>113/11/490</t>
  </si>
  <si>
    <t>113/11/491</t>
  </si>
  <si>
    <t>113/11/492</t>
  </si>
  <si>
    <t>113/11/493</t>
  </si>
  <si>
    <t>113/11/494</t>
  </si>
  <si>
    <t>113/11/495</t>
  </si>
  <si>
    <t>113/11/496</t>
  </si>
  <si>
    <t>113/11/497</t>
  </si>
  <si>
    <t>113/11/498</t>
  </si>
  <si>
    <t>113/11/499</t>
  </si>
  <si>
    <t>113/11/500</t>
  </si>
  <si>
    <t>113/11/501</t>
  </si>
  <si>
    <t>113/11/502</t>
  </si>
  <si>
    <t>113/11/503</t>
  </si>
  <si>
    <t>113/11/504</t>
  </si>
  <si>
    <t>113/11/505</t>
  </si>
  <si>
    <t>113/11/506</t>
  </si>
  <si>
    <t>113/11/507</t>
  </si>
  <si>
    <t>113/11/508</t>
  </si>
  <si>
    <t>113/11/509</t>
  </si>
  <si>
    <t>113/11/510</t>
  </si>
  <si>
    <t>113/11/511</t>
  </si>
  <si>
    <t>113/11/512</t>
  </si>
  <si>
    <t>113/11/513</t>
  </si>
  <si>
    <t>113/11/514</t>
  </si>
  <si>
    <t>113/11/515</t>
  </si>
  <si>
    <t>113/11/516</t>
  </si>
  <si>
    <t>112.11.13-113.12.31</t>
    <phoneticPr fontId="1" type="noConversion"/>
  </si>
  <si>
    <t>淨加帳</t>
    <phoneticPr fontId="1" type="noConversion"/>
  </si>
  <si>
    <t>淨減帳</t>
    <phoneticPr fontId="1" type="noConversion"/>
  </si>
  <si>
    <t>變更項目對照詳細表</t>
    <phoneticPr fontId="1" type="noConversion"/>
  </si>
  <si>
    <t>變更項目對照詳細表</t>
    <phoneticPr fontId="32" type="noConversion"/>
  </si>
  <si>
    <t>日期：</t>
  </si>
  <si>
    <t xml:space="preserve"> 訂約總價  </t>
  </si>
  <si>
    <t xml:space="preserve"> 前次變更後總價(綜簽)</t>
  </si>
  <si>
    <t xml:space="preserve"> 本次變更後總價</t>
  </si>
  <si>
    <t>項目名稱</t>
  </si>
  <si>
    <t>原 定
數 量</t>
  </si>
  <si>
    <t>增 減
數 量</t>
  </si>
  <si>
    <t>契 約
單 價</t>
  </si>
  <si>
    <t>新 增
單 價</t>
  </si>
  <si>
    <t>原 訂
合 價</t>
  </si>
  <si>
    <t>追加</t>
  </si>
  <si>
    <t>追減</t>
  </si>
  <si>
    <t>備註</t>
  </si>
  <si>
    <t>變更依據</t>
    <phoneticPr fontId="32" type="noConversion"/>
  </si>
  <si>
    <t>數量計算式</t>
    <phoneticPr fontId="32" type="noConversion"/>
  </si>
  <si>
    <t>變更原因</t>
    <phoneticPr fontId="32" type="noConversion"/>
  </si>
  <si>
    <t>#磺港路橋(奇岩抽水站旁)1533.9m、希冀橋208.6m</t>
  </si>
  <si>
    <t>112年12月12日
北市工水工字第1126067256號</t>
    <phoneticPr fontId="32" type="noConversion"/>
  </si>
  <si>
    <t>新設磺港橋及希冀橋橋台辦理既有基樁與新設基樁清障開挖+單孔過路段及清江公園
((5*6*6.5*2)+(13*3.5*6.8)+(3.2*8.5*1.6))+((747.2+149.44))</t>
    <phoneticPr fontId="32" type="noConversion"/>
  </si>
  <si>
    <t>機關/現場需求 (百齡)</t>
    <phoneticPr fontId="32" type="noConversion"/>
  </si>
  <si>
    <t>僅含運費(運距約&lt;20K)(土方管理費檢據核銷)</t>
  </si>
  <si>
    <t>#含瀝青鋪面打毛</t>
  </si>
  <si>
    <t>#</t>
  </si>
  <si>
    <t>#磺港路橋、共月橋、三合橋</t>
  </si>
  <si>
    <t>#料繳回，含運費。</t>
  </si>
  <si>
    <t>水閘門</t>
  </si>
  <si>
    <t>[人力工項不打折]</t>
  </si>
  <si>
    <t>百齡暫置場整地需求</t>
  </si>
  <si>
    <t>餘土分類處理</t>
    <phoneticPr fontId="32" type="noConversion"/>
  </si>
  <si>
    <t>日</t>
    <phoneticPr fontId="32" type="noConversion"/>
  </si>
  <si>
    <t>新增工項
02323M00AC</t>
    <phoneticPr fontId="32" type="noConversion"/>
  </si>
  <si>
    <t>北市工水工字第1126063128號 第6點</t>
    <phoneticPr fontId="32" type="noConversion"/>
  </si>
  <si>
    <t>數量=餘方遠運處理(台北港)/
每日約120m3</t>
    <phoneticPr fontId="32" type="noConversion"/>
  </si>
  <si>
    <t>屬後續擴充5000萬工項
既有磺港路、公園開挖摻雜混合物</t>
    <phoneticPr fontId="32" type="noConversion"/>
  </si>
  <si>
    <t>監造提供數量?</t>
    <phoneticPr fontId="32" type="noConversion"/>
  </si>
  <si>
    <t>本項納入(鋼筋)物價指數調整</t>
  </si>
  <si>
    <t>U型構，集水井，排水箱涵等。本項納入(普通模板)物價指數調整</t>
  </si>
  <si>
    <t>本項納入「金屬製品類」物價指數調整</t>
  </si>
  <si>
    <t>#本項納入「金屬製品類」物價指數調整</t>
  </si>
  <si>
    <t>#含安裝</t>
  </si>
  <si>
    <t>#含結構、吊運</t>
  </si>
  <si>
    <t>新設磺港橋及希冀橋橋台清障回填
((5*6*6.5*2)+(13*3.5*6.8)+(3.2*8.5*1.6))</t>
    <phoneticPr fontId="32" type="noConversion"/>
  </si>
  <si>
    <t>機關/現場需求</t>
    <phoneticPr fontId="32" type="noConversion"/>
  </si>
  <si>
    <t>橋面。本項納入(清水模板)物價指數調整</t>
  </si>
  <si>
    <t>場鑄結構混凝土用模板，(乙種，擋土牆，橋台，車行箱涵等)。本項納入(清水模板)物價指數調整</t>
  </si>
  <si>
    <t>擋土牆，橋台，車行箱涵等。本項納入(普通模板)物價指數調整</t>
  </si>
  <si>
    <t>需符合中華民國國家標準4750</t>
  </si>
  <si>
    <t>產品，∮2"PVC排水管</t>
    <phoneticPr fontId="32" type="noConversion"/>
  </si>
  <si>
    <t>鋼構吊裝</t>
    <phoneticPr fontId="32" type="noConversion"/>
  </si>
  <si>
    <t>kg</t>
    <phoneticPr fontId="32" type="noConversion"/>
  </si>
  <si>
    <t>北市工水工字第1126049522號 第8點</t>
    <phoneticPr fontId="32" type="noConversion"/>
  </si>
  <si>
    <t>磺港橋+希冀橋96850kg</t>
    <phoneticPr fontId="32" type="noConversion"/>
  </si>
  <si>
    <t>屬後續擴充5000萬工項
考量防汛需求，配合汛期須加快鋼橋施作期程</t>
    <phoneticPr fontId="32" type="noConversion"/>
  </si>
  <si>
    <t>金屬製品，防震拉條</t>
    <phoneticPr fontId="32" type="noConversion"/>
  </si>
  <si>
    <t>組</t>
    <phoneticPr fontId="32" type="noConversion"/>
  </si>
  <si>
    <t>113年2月15日
北市工水工字第1136012511號</t>
    <phoneticPr fontId="32" type="noConversion"/>
  </si>
  <si>
    <t>磺港橋(7根H型鋼梁，每根頭尾各1組，共14組)、希冀橋(頭尾各2組，共4組)</t>
    <phoneticPr fontId="32" type="noConversion"/>
  </si>
  <si>
    <t>設計責任</t>
    <phoneticPr fontId="32" type="noConversion"/>
  </si>
  <si>
    <t>(沅璟78700+偉寯81580+振華78500)/3=79594</t>
    <phoneticPr fontId="32" type="noConversion"/>
  </si>
  <si>
    <t>北市工水工字第1126067256號
第1點</t>
    <phoneticPr fontId="32" type="noConversion"/>
  </si>
  <si>
    <t>#卵石，厚30cm，含勾縫</t>
  </si>
  <si>
    <t>#(打樁，含空打)，本項零星工料包含鋼筋籠外側所需之間隔片費用</t>
  </si>
  <si>
    <t>新增工項
0238632202b
#卵石，厚70cm</t>
    <phoneticPr fontId="32" type="noConversion"/>
  </si>
  <si>
    <t>北市工水工字第1126063128號 第2點</t>
    <phoneticPr fontId="32" type="noConversion"/>
  </si>
  <si>
    <t>H1.8*(右岸295m+左岸57.3m)=634.14</t>
    <phoneticPr fontId="32" type="noConversion"/>
  </si>
  <si>
    <t>屬後續擴充5000萬工項
河道開挖地質軟弱，以較大尺寸之塊石固床</t>
    <phoneticPr fontId="32" type="noConversion"/>
  </si>
  <si>
    <t>北市工水工字第1136007935號 結論第3點</t>
    <phoneticPr fontId="32" type="noConversion"/>
  </si>
  <si>
    <t>新設護岸+新設堤牆+護坡坍落段回填修坡
295*0.7+76*0.75+40*2</t>
    <phoneticPr fontId="32" type="noConversion"/>
  </si>
  <si>
    <t>洩水袋</t>
    <phoneticPr fontId="32" type="noConversion"/>
  </si>
  <si>
    <t>個</t>
    <phoneticPr fontId="32" type="noConversion"/>
  </si>
  <si>
    <t>新增工項
0263980007</t>
    <phoneticPr fontId="32" type="noConversion"/>
  </si>
  <si>
    <t>新設護岸+新設堤牆+護坡坍落段回填修坡
295+76+80</t>
    <phoneticPr fontId="32" type="noConversion"/>
  </si>
  <si>
    <t>回收混凝土碎料作為河床封底材料相關費用</t>
  </si>
  <si>
    <t>112年9月8日-北市工水工字第1126049522號 第13點
113年1月15日-北市工水工字第1136007935號 第3點</t>
    <phoneticPr fontId="32" type="noConversion"/>
  </si>
  <si>
    <t>L295m*W8.2m*0.5mTH+基礎臨河道測回填</t>
    <phoneticPr fontId="32" type="noConversion"/>
  </si>
  <si>
    <t>屬後續擴充5000萬工項
避免新河道於汛期或強降雨河床受沖刷，故利用現地打除後之混凝土碎塊做為固床封底材料</t>
    <phoneticPr fontId="32" type="noConversion"/>
  </si>
  <si>
    <t>結構用混凝土，預拌，280kgf/cm2(第二型水泥)</t>
    <phoneticPr fontId="32" type="noConversion"/>
  </si>
  <si>
    <t>新增工項
0331027203</t>
    <phoneticPr fontId="32" type="noConversion"/>
  </si>
  <si>
    <t xml:space="preserve">112年12月12日
北市工水工字第1126067256號 第1點
113年3月4日
北市工水工字第1136015678號 </t>
    <phoneticPr fontId="32" type="noConversion"/>
  </si>
  <si>
    <t>新設護岸、堤牆、砌石及塊石被填，混凝土(280kgf/cm2)應採第2型水泥
(295+57.3)*1.5*0.25=132.11
766+護岸一((2.3+1.8)*0.15*270)+護岸二((4.6+0.3)*0.15+0.8*0.15)*11.2+((3+0.3)*0.15+0.8*0.15)*18.25+低水護岸0.75*0.15*295+護岸三((4*0.15)+(1.6*0.15))*57.33+((5.3*0.15)+(1.6*0.15))*11.2</t>
    <phoneticPr fontId="32" type="noConversion"/>
  </si>
  <si>
    <t xml:space="preserve">
機關/現場需求 11%
設計責任 89%</t>
    <phoneticPr fontId="32" type="noConversion"/>
  </si>
  <si>
    <r>
      <t>河岸堤牆及護岸使用Ⅱ型水泥；
766+塊石背填:(1.5*1.5*0.45*0.45)^(1/2)*</t>
    </r>
    <r>
      <rPr>
        <sz val="8"/>
        <color rgb="FFFF0000"/>
        <rFont val="新細明體"/>
        <family val="1"/>
        <charset val="136"/>
        <scheme val="minor"/>
      </rPr>
      <t>(295+57.3)</t>
    </r>
    <r>
      <rPr>
        <sz val="8"/>
        <color theme="1"/>
        <rFont val="新細明體"/>
        <family val="1"/>
        <charset val="136"/>
        <scheme val="minor"/>
      </rPr>
      <t>m*0.15mTH=8.59
774.59</t>
    </r>
    <phoneticPr fontId="32" type="noConversion"/>
  </si>
  <si>
    <t>0322000362
(含綁紮、耗損及運費)</t>
  </si>
  <si>
    <t xml:space="preserve">113年3月4日
北市工水工字第1136015678號 </t>
    <phoneticPr fontId="32" type="noConversion"/>
  </si>
  <si>
    <t>L295*W1.5=442.5</t>
    <phoneticPr fontId="32" type="noConversion"/>
  </si>
  <si>
    <t>屬後續擴充5000萬工項
開挖地質軟弱，故新增砌塊石護岸底層</t>
    <phoneticPr fontId="32" type="noConversion"/>
  </si>
  <si>
    <t>本項納入(清水木模)物價指數調整</t>
  </si>
  <si>
    <t>M</t>
    <phoneticPr fontId="32" type="noConversion"/>
  </si>
  <si>
    <t>新增工項
03110700k2</t>
    <phoneticPr fontId="32" type="noConversion"/>
  </si>
  <si>
    <t>參考113年水利處1.41單價組成
北市工水工字第1126049522號 第18點</t>
    <phoneticPr fontId="32" type="noConversion"/>
  </si>
  <si>
    <t>4589*0.3m=1376.7</t>
    <phoneticPr fontId="32" type="noConversion"/>
  </si>
  <si>
    <t>？</t>
    <phoneticPr fontId="32" type="noConversion"/>
  </si>
  <si>
    <t>(免拆模板，鋼質)，厚3mm鋼模</t>
    <phoneticPr fontId="32" type="noConversion"/>
  </si>
  <si>
    <t>新增工項
03110700h2</t>
    <phoneticPr fontId="32" type="noConversion"/>
  </si>
  <si>
    <t>參考113年水利處單價1.106
北市工水工字第1126049522號 第22點</t>
    <phoneticPr fontId="32" type="noConversion"/>
  </si>
  <si>
    <t>側溝長度(U31+U32+BL24+U33+BL25+U34)+(L23+BR1+L26+BR2+L27+BL22+U29+U30+BL23-1+BL23-2)+(U18+BL19+U20+BL20+U21+U22+U24+U25+BL21+U28+BL23)+(BL16+U15+BL17+U16+BL18+U17+BL18-1+U19)
(26.4+21.4+6.8+29.6+4.8+58.5)+(52.7+6.8+48.3+5.0+21.2+10.7+23.9+49.8+2.3+1.4)+(43.6+11.2+9.1+20.6+77.7+67.4+13.8+49.3+17.5+24.2+1.8)+(10.9+43.0+11.1+9.4+10.0+42.0+1.2+20.1)=853.5
853.5*0.6=512.1</t>
    <phoneticPr fontId="32" type="noConversion"/>
  </si>
  <si>
    <t>新設側溝長度：
872m
寬度0.6m</t>
    <phoneticPr fontId="32" type="noConversion"/>
  </si>
  <si>
    <t>穴孔：D=20CM， H=20CM</t>
  </si>
  <si>
    <t>#保護樹、移植喬木</t>
  </si>
  <si>
    <t>#保活一年</t>
  </si>
  <si>
    <t>112年9月8日
北市工水工字第1126049522號 第33點</t>
    <phoneticPr fontId="32" type="noConversion"/>
  </si>
  <si>
    <t>屬後續擴充2500萬工項
植栽工程</t>
    <phoneticPr fontId="32" type="noConversion"/>
  </si>
  <si>
    <t>保活一年</t>
  </si>
  <si>
    <t>受保護樹木6株，工程期間修剪2次，含枝葉運棄</t>
  </si>
  <si>
    <t>免保活</t>
  </si>
  <si>
    <t>保護樹菱形格網護樹圍籬</t>
  </si>
  <si>
    <t>#含基礎及施作所需費用</t>
  </si>
  <si>
    <t>#受保護樹木及移植樹木</t>
  </si>
  <si>
    <t>#含受保護樹木及移植樹木</t>
  </si>
  <si>
    <t>受保護樹木</t>
  </si>
  <si>
    <t>#受保護樹木生長監控</t>
  </si>
  <si>
    <t>#假儉草</t>
  </si>
  <si>
    <t>D=20CM微型樁(含工料、鑽桿接桿、鑽掘泥漿處理運棄，鋼筋另計)</t>
    <phoneticPr fontId="32" type="noConversion"/>
  </si>
  <si>
    <t>新增工項
0247230001</t>
    <phoneticPr fontId="32" type="noConversion"/>
  </si>
  <si>
    <t>113年2月7日
北市工水河字第1136012436號</t>
    <phoneticPr fontId="32" type="noConversion"/>
  </si>
  <si>
    <t>受保護樹下方鑽桿接桿施作
43.5*(1/0.2)*6m
(再下一紀錄因開挖後現地雜填地質軟弱)</t>
    <phoneticPr fontId="32" type="noConversion"/>
  </si>
  <si>
    <t>屬後續擴充5000萬工項
開挖地質軟弱，故新增擋土設施防止受保護樹崩落</t>
    <phoneticPr fontId="32" type="noConversion"/>
  </si>
  <si>
    <t>43.5*5*6</t>
    <phoneticPr fontId="32" type="noConversion"/>
  </si>
  <si>
    <t>113.01.31會勘北市工水工字第1136012511號</t>
  </si>
  <si>
    <t>1702m2*9包=15318</t>
    <phoneticPr fontId="32" type="noConversion"/>
  </si>
  <si>
    <t># H:8M，含基礎座預埋桿件</t>
  </si>
  <si>
    <t>#(含基礎鎖固螺桿五金)</t>
  </si>
  <si>
    <t>含白鐵雙層防水控制箱*2、簡易防水面板*7</t>
  </si>
  <si>
    <t>#水波紋高燈</t>
  </si>
  <si>
    <t>租用</t>
    <phoneticPr fontId="32" type="noConversion"/>
  </si>
  <si>
    <t>1*6*267=1602M</t>
    <phoneticPr fontId="32" type="noConversion"/>
  </si>
  <si>
    <t>112年9月1日-北市工水工字第1126048706號
113年1月29日-北市工水工字第1136010926號</t>
    <phoneticPr fontId="32" type="noConversion"/>
  </si>
  <si>
    <t>百齡抽水站暫置+低水護岸基礎+單孔箱涵(清江公園及過路段)
2.5*5*52*3.5月+2.5*267*0.5+68*3*2=1245.5</t>
    <phoneticPr fontId="32" type="noConversion"/>
  </si>
  <si>
    <t>機關/現場需求 (+百齡)</t>
    <phoneticPr fontId="32" type="noConversion"/>
  </si>
  <si>
    <t>#(含所有設施撤離)</t>
  </si>
  <si>
    <t>(含油料及運費)</t>
  </si>
  <si>
    <t>113年2月15日
北市工水工字第1136012511號
施工疑義現場會勘</t>
    <phoneticPr fontId="32" type="noConversion"/>
  </si>
  <si>
    <t>新設堤牆Ⅱ型+磺港橋雙孔箱涵段+新設堤牆Ⅲ型砌石段+磺港路單孔箱涵段</t>
    <phoneticPr fontId="32" type="noConversion"/>
  </si>
  <si>
    <t>租用2.5個月</t>
  </si>
  <si>
    <t>租用4.5個月</t>
  </si>
  <si>
    <t>含路證申請、回報及配合道路挖掘之相關作業費用</t>
  </si>
  <si>
    <t>112年11月23日
北市工水工字第1126063128號</t>
    <phoneticPr fontId="32" type="noConversion"/>
  </si>
  <si>
    <t>屬後續擴充5000萬工項
考量防汛需求，配合汛期須新設施工構台以利鋼橋吊放</t>
    <phoneticPr fontId="32" type="noConversion"/>
  </si>
  <si>
    <t>臨時直立式號誌</t>
    <phoneticPr fontId="32" type="noConversion"/>
  </si>
  <si>
    <t>新增工項
0289311038</t>
    <phoneticPr fontId="32" type="noConversion"/>
  </si>
  <si>
    <t>113年1月3日
北市工水工字第1126070809號</t>
    <phoneticPr fontId="32" type="noConversion"/>
  </si>
  <si>
    <t>每組3支</t>
  </si>
  <si>
    <t>品質管理，預力混凝土基樁試驗</t>
    <phoneticPr fontId="32" type="noConversion"/>
  </si>
  <si>
    <t>新增工項
01450D18x8a
#一組2支樁</t>
    <phoneticPr fontId="32" type="noConversion"/>
  </si>
  <si>
    <t>北市工水工字第1126063128號 第14點</t>
    <phoneticPr fontId="32" type="noConversion"/>
  </si>
  <si>
    <t>280m2/月，共24個月</t>
  </si>
  <si>
    <t>112年9月8日
北市工水工字第1126049522號 第19點</t>
    <phoneticPr fontId="32" type="noConversion"/>
  </si>
  <si>
    <t>原契約280m2/月*24個月，
工區範圍28448m2，約1185.34m2/月*24個月</t>
    <phoneticPr fontId="32" type="noConversion"/>
  </si>
  <si>
    <t>工區範圍面積
28448-6720</t>
    <phoneticPr fontId="32" type="noConversion"/>
  </si>
  <si>
    <t>時</t>
    <phoneticPr fontId="32" type="noConversion"/>
  </si>
  <si>
    <t>(1)北市工水工字第112049522號 施工疑義第56點
(2)北市工水工字第1126048706號 第3.4點 /
北市工水河字第1126052784號 第4點</t>
  </si>
  <si>
    <t>1.依工程釋疑回覆，增加環境保護費用、百齡暫置區需求
百齡：預估8H*15天
出土/進土4+4月
8*30*4+(730-8*30)*1</t>
    <phoneticPr fontId="32" type="noConversion"/>
  </si>
  <si>
    <t>高度2.4m</t>
  </si>
  <si>
    <t>需經審查後設置</t>
  </si>
  <si>
    <t>創意柔性告示牌之圖案須依機關提供之電子檔依比例放大製作</t>
  </si>
  <si>
    <t>含警示燈</t>
  </si>
  <si>
    <t>百齡暫置區及奇岩二號公園使用</t>
  </si>
  <si>
    <t>新增工項
01556H1001
使用10次，以新製品或完整無缺(重新油漆或清理過後)之堪用品</t>
    <phoneticPr fontId="32" type="noConversion"/>
  </si>
  <si>
    <t>依113年1月29日-北市工水工字第1136010926號</t>
    <phoneticPr fontId="32" type="noConversion"/>
  </si>
  <si>
    <t>奇岩2公園配合鄰近社區居民施工圍設
385+80</t>
    <phoneticPr fontId="32" type="noConversion"/>
  </si>
  <si>
    <t>臨時工</t>
    <phoneticPr fontId="32" type="noConversion"/>
  </si>
  <si>
    <t>1.臨時指揮人員
2.新增工項
L000006C00001a</t>
    <phoneticPr fontId="32" type="noConversion"/>
  </si>
  <si>
    <t>北市工水工字第1126048706號
百齡抽水站暫置會勘  結論
北市工水工字第1126063128號 第13點
單價參考分析表219-4.臨時工，(陸正申請，回報及配合道路挖掘之相關作業)</t>
    <phoneticPr fontId="32" type="noConversion"/>
  </si>
  <si>
    <t>百齡抽水站暫置區+議員陳情工區臨時交維
720+4200</t>
    <phoneticPr fontId="32" type="noConversion"/>
  </si>
  <si>
    <t>[人力工項不打折]設置2人</t>
  </si>
  <si>
    <t>含教育訓練及防災演練</t>
  </si>
  <si>
    <t>含廠製圖及送審文件製作</t>
  </si>
  <si>
    <t>2變後
數 量</t>
    <phoneticPr fontId="1" type="noConversion"/>
  </si>
  <si>
    <t>3變後
數 量</t>
  </si>
  <si>
    <t>3變後
合價</t>
    <phoneticPr fontId="1" type="noConversion"/>
  </si>
  <si>
    <t>2變後
合價</t>
    <phoneticPr fontId="1" type="noConversion"/>
  </si>
  <si>
    <t>前經  2  次變更設計，計新增  9  項，減少  1  項，變更  11  項，變更後合計  402  項</t>
    <phoneticPr fontId="1" type="noConversion"/>
  </si>
  <si>
    <t>先依圖說數量計算</t>
    <phoneticPr fontId="1" type="noConversion"/>
  </si>
  <si>
    <r>
      <t>3</t>
    </r>
    <r>
      <rPr>
        <sz val="10"/>
        <rFont val="Microsoft JhengHei"/>
        <family val="2"/>
      </rPr>
      <t>變後總價</t>
    </r>
    <phoneticPr fontId="1" type="noConversion"/>
  </si>
  <si>
    <t>喬木客土</t>
    <phoneticPr fontId="1" type="noConversion"/>
  </si>
  <si>
    <t>灌木地被</t>
    <phoneticPr fontId="1" type="noConversion"/>
  </si>
  <si>
    <t>+翼板重量</t>
    <phoneticPr fontId="1" type="noConversion"/>
  </si>
  <si>
    <t>D059樟樹(17CM)、E150樟樹(20CM)、E157樟樹(16CM)、E173山櫻花(10CM)康芮颱風傾倒</t>
    <phoneticPr fontId="1" type="noConversion"/>
  </si>
  <si>
    <t>箱涵PC減做</t>
    <phoneticPr fontId="1" type="noConversion"/>
  </si>
  <si>
    <r>
      <t xml:space="preserve">E032雀榕康芮颱風傾倒
</t>
    </r>
    <r>
      <rPr>
        <sz val="12"/>
        <color rgb="FFFF0000"/>
        <rFont val="標楷體"/>
        <family val="4"/>
        <charset val="136"/>
      </rPr>
      <t>E012正榕凱米傾倒</t>
    </r>
    <r>
      <rPr>
        <sz val="12"/>
        <color rgb="FFFF0000"/>
        <rFont val="細明體"/>
        <family val="3"/>
        <charset val="136"/>
      </rPr>
      <t>∮</t>
    </r>
    <r>
      <rPr>
        <sz val="10.45"/>
        <color rgb="FFFF0000"/>
        <rFont val="標楷體"/>
        <family val="4"/>
        <charset val="136"/>
      </rPr>
      <t>59CM</t>
    </r>
    <r>
      <rPr>
        <sz val="12"/>
        <color rgb="FFFF0000"/>
        <rFont val="標楷體"/>
        <family val="4"/>
        <charset val="136"/>
      </rPr>
      <t>(無項目可記)</t>
    </r>
    <phoneticPr fontId="1" type="noConversion"/>
  </si>
  <si>
    <t>職業安全衛生，保護器材，身體，勞工衛生用防護衣</t>
    <phoneticPr fontId="1" type="noConversion"/>
  </si>
  <si>
    <t>職業安全衛生，保護器材，手部，特殊手套，防酸鹼用</t>
    <phoneticPr fontId="1" type="noConversion"/>
  </si>
  <si>
    <t>橡膠手套</t>
    <phoneticPr fontId="1" type="noConversion"/>
  </si>
  <si>
    <t>磺港橋人行道</t>
    <phoneticPr fontId="1" type="noConversion"/>
  </si>
  <si>
    <t>(16+18.2)*2*0.13</t>
    <phoneticPr fontId="1" type="noConversion"/>
  </si>
  <si>
    <t>X</t>
    <phoneticPr fontId="1" type="noConversion"/>
  </si>
  <si>
    <t>P</t>
    <phoneticPr fontId="1" type="noConversion"/>
  </si>
  <si>
    <t>本次變更設計，計新增  0  項，減少  0  項，變更  97  項，變更後合計  402  項</t>
    <phoneticPr fontId="1" type="noConversion"/>
  </si>
  <si>
    <t>原契約分為  10  部分     本次變更  4  部分原有    393    項</t>
    <phoneticPr fontId="1" type="noConversion"/>
  </si>
  <si>
    <t>鋼筋，SD280W追加小計</t>
    <phoneticPr fontId="1" type="noConversion"/>
  </si>
  <si>
    <t>鋼筋，SD420W追加小計</t>
    <phoneticPr fontId="1" type="noConversion"/>
  </si>
  <si>
    <t>清水模板，乙種追加小計</t>
    <phoneticPr fontId="1" type="noConversion"/>
  </si>
  <si>
    <t>清水模板，丙種追加小計</t>
    <phoneticPr fontId="1" type="noConversion"/>
  </si>
  <si>
    <t>普通模板，乙種追加小計</t>
    <phoneticPr fontId="1" type="noConversion"/>
  </si>
  <si>
    <t>普通模板，丙種追加小計</t>
    <phoneticPr fontId="1" type="noConversion"/>
  </si>
  <si>
    <t>140kgf/cm2追加小計</t>
    <phoneticPr fontId="1" type="noConversion"/>
  </si>
  <si>
    <t>210kgf/cm2追加小計</t>
    <phoneticPr fontId="1" type="noConversion"/>
  </si>
  <si>
    <t>280kgf/cm2追加小計</t>
    <phoneticPr fontId="1" type="noConversion"/>
  </si>
  <si>
    <t>280kgf/cm2二型追加小計</t>
    <phoneticPr fontId="1" type="noConversion"/>
  </si>
  <si>
    <t>鋼構追加小計</t>
    <phoneticPr fontId="1" type="noConversion"/>
  </si>
  <si>
    <t>鋼筋追加金額合計</t>
    <phoneticPr fontId="1" type="noConversion"/>
  </si>
  <si>
    <t>模板追加金額合計</t>
    <phoneticPr fontId="1" type="noConversion"/>
  </si>
  <si>
    <t>混凝土追加(不含280)金額合計</t>
    <phoneticPr fontId="1" type="noConversion"/>
  </si>
  <si>
    <t>晶化地坪</t>
    <phoneticPr fontId="1" type="noConversion"/>
  </si>
  <si>
    <t>2.57*32.6*0.1</t>
    <phoneticPr fontId="1" type="noConversion"/>
  </si>
  <si>
    <t>((2.4+2.3)/2*5+(2.3+2.06)/2*16+(1.56+1.7)/2*10.88)*0.1</t>
    <phoneticPr fontId="1" type="noConversion"/>
  </si>
  <si>
    <t>希冀橋人行道引道及樓梯PC</t>
    <phoneticPr fontId="1" type="noConversion"/>
  </si>
  <si>
    <t>希冀橋人行道引道粉光刷毛地坪</t>
    <phoneticPr fontId="1" type="noConversion"/>
  </si>
  <si>
    <t>(1.2*2.05+2.7*1.9)*0.1</t>
    <phoneticPr fontId="1" type="noConversion"/>
  </si>
  <si>
    <t>透空步道混凝土踏階</t>
    <phoneticPr fontId="1" type="noConversion"/>
  </si>
  <si>
    <t>希冀橋無障礙警示帶、希冀橋人行道引道、</t>
    <phoneticPr fontId="1" type="noConversion"/>
  </si>
  <si>
    <t>(0.367*0.394+(0.367+0.117)*0.394)*1.2</t>
    <phoneticPr fontId="1" type="noConversion"/>
  </si>
  <si>
    <t>尚未完成</t>
    <phoneticPr fontId="1" type="noConversion"/>
  </si>
  <si>
    <t>低水護岸改280二型</t>
    <phoneticPr fontId="1" type="noConversion"/>
  </si>
  <si>
    <t>改D600mm</t>
    <phoneticPr fontId="1" type="noConversion"/>
  </si>
  <si>
    <t>依實作計算</t>
    <phoneticPr fontId="1" type="noConversion"/>
  </si>
  <si>
    <t>(280-30)/0.5*2</t>
    <phoneticPr fontId="1" type="noConversion"/>
  </si>
  <si>
    <t>7.05/0.2*2+18.8/0.2*2</t>
    <phoneticPr fontId="1" type="noConversion"/>
  </si>
  <si>
    <t>雙孔箱涵出口護岸端牆、既有堤牆加高(0+030-磺港橋)</t>
    <phoneticPr fontId="1" type="noConversion"/>
  </si>
  <si>
    <t>G2-1</t>
    <phoneticPr fontId="1" type="noConversion"/>
  </si>
  <si>
    <t>G2-2</t>
    <phoneticPr fontId="1" type="noConversion"/>
  </si>
  <si>
    <t>G3-1</t>
    <phoneticPr fontId="1" type="noConversion"/>
  </si>
  <si>
    <t>G3-2</t>
  </si>
  <si>
    <t>G3-3</t>
  </si>
  <si>
    <t>單元長度(M)</t>
    <phoneticPr fontId="1" type="noConversion"/>
  </si>
  <si>
    <t>單位重(KG)</t>
    <phoneticPr fontId="1" type="noConversion"/>
  </si>
  <si>
    <t>平均寬度</t>
    <phoneticPr fontId="1" type="noConversion"/>
  </si>
  <si>
    <t>(1)</t>
    <phoneticPr fontId="1" type="noConversion"/>
  </si>
  <si>
    <t>(2)</t>
  </si>
  <si>
    <t>(3)</t>
  </si>
  <si>
    <t>(1)+(2)+(3)</t>
    <phoneticPr fontId="1" type="noConversion"/>
  </si>
  <si>
    <t>59.03+161.99+5.09+5.09+31.2+17.9</t>
    <phoneticPr fontId="1" type="noConversion"/>
  </si>
  <si>
    <t>應做數量</t>
    <phoneticPr fontId="62" type="noConversion"/>
  </si>
  <si>
    <t>5%內</t>
  </si>
  <si>
    <t>5%內</t>
    <phoneticPr fontId="1" type="noConversion"/>
  </si>
  <si>
    <t>先依圖說數量計算，不一定施作</t>
    <phoneticPr fontId="1" type="noConversion"/>
  </si>
  <si>
    <t>百齡暫置場+1</t>
    <phoneticPr fontId="1" type="noConversion"/>
  </si>
  <si>
    <t>褐根病施藥防護</t>
    <phoneticPr fontId="1" type="noConversion"/>
  </si>
  <si>
    <r>
      <t>磺港路112.11.13-113.12.31共415天每日5H*3人(平日7~9</t>
    </r>
    <r>
      <rPr>
        <sz val="12"/>
        <color rgb="FF000000"/>
        <rFont val="標楷體"/>
        <family val="1"/>
        <charset val="136"/>
      </rPr>
      <t>、</t>
    </r>
    <r>
      <rPr>
        <sz val="12"/>
        <color indexed="8"/>
        <rFont val="標楷體"/>
        <family val="4"/>
        <charset val="136"/>
      </rPr>
      <t>16~19)+暫置區+</t>
    </r>
    <r>
      <rPr>
        <sz val="12"/>
        <color rgb="FFFF0000"/>
        <rFont val="標楷體"/>
        <family val="4"/>
        <charset val="136"/>
      </rPr>
      <t>颱風災後清理復原</t>
    </r>
    <phoneticPr fontId="1" type="noConversion"/>
  </si>
  <si>
    <t>415*5*3+720+8*3*8</t>
    <phoneticPr fontId="1" type="noConversion"/>
  </si>
  <si>
    <t>合約鋼筋總量</t>
    <phoneticPr fontId="1" type="noConversion"/>
  </si>
  <si>
    <t>設計算52.41</t>
    <phoneticPr fontId="1" type="noConversion"/>
  </si>
  <si>
    <t>設計算187.99</t>
    <phoneticPr fontId="1" type="noConversion"/>
  </si>
  <si>
    <t>設計無算式，不知</t>
    <phoneticPr fontId="1" type="noConversion"/>
  </si>
  <si>
    <t>磺港橋護欄</t>
    <phoneticPr fontId="1" type="noConversion"/>
  </si>
  <si>
    <t>(0.24+0.95)*2*(18.2+16)+0.4*(0.24+0.95)*4</t>
    <phoneticPr fontId="1" type="noConversion"/>
  </si>
  <si>
    <t>南</t>
    <phoneticPr fontId="1" type="noConversion"/>
  </si>
  <si>
    <t>北</t>
    <phoneticPr fontId="1" type="noConversion"/>
  </si>
  <si>
    <t>(0.95+0.24)*(18.2+16)+0.95*(18.2+16)+0.4*(18.2+16)+0.4*(0.95+0.2)*4</t>
    <phoneticPr fontId="1" type="noConversion"/>
  </si>
  <si>
    <t>((1.8*12*3*2+1.8*9*2*2+1.8*8*2*5)+(1.8*3*2+1.8*5*4+1.8*5*2)+1.8*3*32)</t>
    <phoneticPr fontId="1" type="noConversion"/>
  </si>
  <si>
    <t>依實作數量計算</t>
    <phoneticPr fontId="1" type="noConversion"/>
  </si>
  <si>
    <t>依設計圖說石材鋪面面積計算</t>
    <phoneticPr fontId="1" type="noConversion"/>
  </si>
  <si>
    <t>矩型溝</t>
    <phoneticPr fontId="1" type="noConversion"/>
  </si>
  <si>
    <t>(0.4+0.4+0.2)*(280+17+57.6+11.2)+0.4*0.2*2+((0.19+0.56)/2+0.15)*18.8</t>
    <phoneticPr fontId="1" type="noConversion"/>
  </si>
  <si>
    <t>植栽槽</t>
    <phoneticPr fontId="1" type="noConversion"/>
  </si>
  <si>
    <t>清江公園</t>
    <phoneticPr fontId="1" type="noConversion"/>
  </si>
  <si>
    <t>(0.25+0.15+0.1)*280</t>
    <phoneticPr fontId="1" type="noConversion"/>
  </si>
  <si>
    <t>河床封底段未打PC</t>
    <phoneticPr fontId="1" type="noConversion"/>
  </si>
  <si>
    <t>翼板耐候鋼</t>
  </si>
  <si>
    <t>翼板耐候鋼</t>
    <phoneticPr fontId="1" type="noConversion"/>
  </si>
  <si>
    <t>翼板不鏽鋼</t>
  </si>
  <si>
    <t>翼板不鏽鋼</t>
    <phoneticPr fontId="1" type="noConversion"/>
  </si>
  <si>
    <r>
      <rPr>
        <sz val="10"/>
        <rFont val="Microsoft JhengHei"/>
        <family val="2"/>
      </rPr>
      <t>第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段</t>
    </r>
    <phoneticPr fontId="1" type="noConversion"/>
  </si>
  <si>
    <r>
      <rPr>
        <sz val="10"/>
        <rFont val="Microsoft JhengHei"/>
        <family val="2"/>
      </rPr>
      <t>第</t>
    </r>
    <r>
      <rPr>
        <sz val="10"/>
        <rFont val="Arial"/>
        <family val="2"/>
      </rPr>
      <t>2段</t>
    </r>
    <r>
      <rPr>
        <sz val="10"/>
        <rFont val="Microsoft JhengHei"/>
        <family val="2"/>
      </rPr>
      <t/>
    </r>
  </si>
  <si>
    <r>
      <rPr>
        <sz val="10"/>
        <rFont val="Microsoft JhengHei"/>
        <family val="2"/>
      </rPr>
      <t>第</t>
    </r>
    <r>
      <rPr>
        <sz val="10"/>
        <rFont val="Arial"/>
        <family val="2"/>
      </rPr>
      <t>3段</t>
    </r>
    <r>
      <rPr>
        <sz val="10"/>
        <rFont val="Microsoft JhengHei"/>
        <family val="2"/>
      </rPr>
      <t/>
    </r>
  </si>
  <si>
    <t>(1)+(2)</t>
    <phoneticPr fontId="1" type="noConversion"/>
  </si>
  <si>
    <t>平均寬度M</t>
    <phoneticPr fontId="1" type="noConversion"/>
  </si>
  <si>
    <t>單元長度(MM)</t>
    <phoneticPr fontId="1" type="noConversion"/>
  </si>
  <si>
    <r>
      <rPr>
        <sz val="10"/>
        <rFont val="Microsoft JhengHei"/>
        <family val="2"/>
      </rPr>
      <t>重量</t>
    </r>
    <r>
      <rPr>
        <sz val="10"/>
        <rFont val="Arial"/>
        <family val="2"/>
      </rPr>
      <t>=</t>
    </r>
    <r>
      <rPr>
        <sz val="10"/>
        <rFont val="Microsoft JhengHei"/>
        <family val="2"/>
      </rPr>
      <t>寬</t>
    </r>
    <r>
      <rPr>
        <sz val="10"/>
        <rFont val="Arial"/>
        <family val="2"/>
      </rPr>
      <t>*</t>
    </r>
    <r>
      <rPr>
        <sz val="10"/>
        <rFont val="Microsoft JhengHei"/>
        <family val="2"/>
      </rPr>
      <t>厚</t>
    </r>
    <r>
      <rPr>
        <sz val="10"/>
        <rFont val="Arial"/>
        <family val="2"/>
      </rPr>
      <t>*0.00793(</t>
    </r>
    <r>
      <rPr>
        <sz val="10"/>
        <rFont val="Microsoft JhengHei"/>
        <family val="2"/>
      </rPr>
      <t>不銹鋼比重</t>
    </r>
    <r>
      <rPr>
        <sz val="10"/>
        <rFont val="Arial"/>
        <family val="2"/>
      </rPr>
      <t>7.93g/cm3)</t>
    </r>
    <phoneticPr fontId="1" type="noConversion"/>
  </si>
  <si>
    <t>0.3*3.14/2*29.5</t>
    <phoneticPr fontId="1" type="noConversion"/>
  </si>
  <si>
    <t>9/23 大雨抽水</t>
  </si>
  <si>
    <t>40*8</t>
  </si>
  <si>
    <t>山陀兒颱風抽水</t>
  </si>
  <si>
    <t>4*8*8</t>
  </si>
  <si>
    <t>康芮颱風抽水</t>
  </si>
  <si>
    <t>箱涵、護岸、低水護岸基礎施工期間113.1.6-113.9.6</t>
    <phoneticPr fontId="1" type="noConversion"/>
  </si>
  <si>
    <t>8*30*8</t>
    <phoneticPr fontId="1" type="noConversion"/>
  </si>
  <si>
    <t>(10*3)+(62*3)+(25*3)+(57*3)+(6*3)+(19*3)+(5*3)+(45*3)*3</t>
    <phoneticPr fontId="1" type="noConversion"/>
  </si>
  <si>
    <t>+凱米颱風+山陀兒颱風+康芮颱風防汛整備</t>
    <phoneticPr fontId="1" type="noConversion"/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</si>
  <si>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</si>
  <si>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</si>
  <si>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</si>
  <si>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</si>
  <si>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</si>
  <si>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</si>
  <si>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</si>
  <si>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</si>
  <si>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</si>
  <si>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</si>
  <si>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</si>
  <si>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</si>
  <si>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</si>
  <si>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</si>
  <si>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</si>
  <si>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傾卸貨車，總重15-15.9t(災後)</t>
  </si>
  <si>
    <t>傾卸貨車，總重8-8.9t(災後)</t>
  </si>
  <si>
    <t>開挖機，履帶式抓斗，0.30~0.39m3(或小鏟裝車)(災後)</t>
  </si>
  <si>
    <t>開挖機，0.70~0.79m3(災後)</t>
  </si>
  <si>
    <t>吊卡車，15米-噸(災後)</t>
  </si>
  <si>
    <t>灑水車，8.0~8.9m3(災後)</t>
  </si>
  <si>
    <t>技術工(技術工、駕駛、操作手)(災後)</t>
  </si>
  <si>
    <t>普通工(災後)</t>
  </si>
  <si>
    <t>技術工(技術工、駕駛、操作手)，夜間(災後)</t>
  </si>
  <si>
    <t>普通工，夜間(災後)</t>
  </si>
  <si>
    <t>傾卸貨車，工程車3.5~6t(災後)</t>
  </si>
  <si>
    <t>拖車，總重35-35.9t(災後)</t>
  </si>
  <si>
    <t>鏈鋸機(含耗材工料)(災後)</t>
  </si>
  <si>
    <t>臨時設施，雜項工程，工地處理，施工動復員，大型機具(災後)</t>
  </si>
  <si>
    <t>臨時設施，雜項工程，工地處理，施工動復員，小型機具(災後)</t>
  </si>
  <si>
    <t>3 變 後
核定數量</t>
    <phoneticPr fontId="1" type="noConversion"/>
  </si>
  <si>
    <t>4 變 後
數量</t>
    <phoneticPr fontId="1" type="noConversion"/>
  </si>
  <si>
    <t>19</t>
    <phoneticPr fontId="1" type="noConversion"/>
  </si>
  <si>
    <t>安全設施及安全保護器材(災後)</t>
  </si>
  <si>
    <t>5.19</t>
  </si>
  <si>
    <t>康芮颱風(災後清理)</t>
    <phoneticPr fontId="1" type="noConversion"/>
  </si>
  <si>
    <t>12+12+11+11+22+33+28</t>
    <phoneticPr fontId="1" type="noConversion"/>
  </si>
  <si>
    <t>10+26+73+33+31+21+31+57</t>
    <phoneticPr fontId="1" type="noConversion"/>
  </si>
  <si>
    <t>12+52.5+20+30+32+30+38</t>
  </si>
  <si>
    <t>2*19+9</t>
    <phoneticPr fontId="1" type="noConversion"/>
  </si>
  <si>
    <t>12+11+21+11+18</t>
    <phoneticPr fontId="1" type="noConversion"/>
  </si>
  <si>
    <t>18+12+18+22+22+22+22+38</t>
    <phoneticPr fontId="1" type="noConversion"/>
  </si>
  <si>
    <t>290+239+280+310+326+250</t>
    <phoneticPr fontId="1" type="noConversion"/>
  </si>
  <si>
    <t>50+60+60+50+70+20</t>
  </si>
  <si>
    <t>168+242+142.5+171</t>
    <phoneticPr fontId="1" type="noConversion"/>
  </si>
  <si>
    <t>50+24+30+18</t>
    <phoneticPr fontId="1" type="noConversion"/>
  </si>
  <si>
    <t>40+48+75+32+55+62+52+57</t>
    <phoneticPr fontId="1" type="noConversion"/>
  </si>
  <si>
    <t>2*14</t>
    <phoneticPr fontId="1" type="noConversion"/>
  </si>
  <si>
    <t>57.5+57.5+32.5+50+50+50+50+95</t>
    <phoneticPr fontId="1" type="noConversion"/>
  </si>
  <si>
    <t>1+2+1+2+2+2+2</t>
    <phoneticPr fontId="1" type="noConversion"/>
  </si>
  <si>
    <t>變更後
數 量</t>
    <phoneticPr fontId="1" type="noConversion"/>
  </si>
  <si>
    <t>第4次變更項目對照詳細表</t>
    <phoneticPr fontId="32" type="noConversion"/>
  </si>
  <si>
    <t>前經  3  次變更設計，計新增  43  項，減少  3  項，變更  27  項，變更後合計  438 項</t>
    <phoneticPr fontId="1" type="noConversion"/>
  </si>
  <si>
    <t>原 定
數 量</t>
    <phoneticPr fontId="1" type="noConversion"/>
  </si>
  <si>
    <t>86</t>
  </si>
  <si>
    <t>87</t>
  </si>
  <si>
    <t>88</t>
  </si>
  <si>
    <t>雨水回收槽(1)</t>
    <phoneticPr fontId="1" type="noConversion"/>
  </si>
  <si>
    <t>雨水回收槽(2)</t>
  </si>
  <si>
    <t>雨水回收槽(3)</t>
  </si>
  <si>
    <t>變更後
合價</t>
    <phoneticPr fontId="1" type="noConversion"/>
  </si>
  <si>
    <t>113.10.23依「磺港溪再造委託規劃設計工作(延壽橋至西安橋) 公共設施用地開發保水檢核(定稿版)」辦理</t>
    <phoneticPr fontId="1" type="noConversion"/>
  </si>
  <si>
    <t>依設計圖說清點數量</t>
    <phoneticPr fontId="1" type="noConversion"/>
  </si>
  <si>
    <t>A+B+C+D=12*3234+35*1078+19*336+46*134=89.09</t>
    <phoneticPr fontId="1" type="noConversion"/>
  </si>
  <si>
    <t>依實際施作長度</t>
    <phoneticPr fontId="1" type="noConversion"/>
  </si>
  <si>
    <t>增加希冀橋翼板(不銹鋼及耐候剛)重量</t>
    <phoneticPr fontId="1" type="noConversion"/>
  </si>
  <si>
    <t>47258+49346.35+13948.4+1158.84</t>
    <phoneticPr fontId="1" type="noConversion"/>
  </si>
  <si>
    <t>依混凝土總量調整</t>
    <phoneticPr fontId="1" type="noConversion"/>
  </si>
  <si>
    <t>依設計圖說計算</t>
    <phoneticPr fontId="1" type="noConversion"/>
  </si>
  <si>
    <t>低水護岸及護岸1.2.3改280二型</t>
    <phoneticPr fontId="1" type="noConversion"/>
  </si>
  <si>
    <t>護岸二+護岸三+植栽槽及護岸加高抿石子時</t>
    <phoneticPr fontId="1" type="noConversion"/>
  </si>
  <si>
    <t>(1.8*21*2*2+1.8*11.2*3*2+1.8*17*2*2)+1.8*280</t>
    <phoneticPr fontId="1" type="noConversion"/>
  </si>
  <si>
    <t>護岸一二三加高及植栽槽抿石子施工時需另搭架</t>
    <phoneticPr fontId="1" type="noConversion"/>
  </si>
  <si>
    <t>箱涵PC減做</t>
  </si>
  <si>
    <t>依道路面積計算</t>
    <phoneticPr fontId="1" type="noConversion"/>
  </si>
  <si>
    <t>契約單價</t>
    <phoneticPr fontId="1" type="noConversion"/>
  </si>
  <si>
    <t>暫置區增做1座</t>
    <phoneticPr fontId="1" type="noConversion"/>
  </si>
  <si>
    <t>橡膠手套</t>
  </si>
  <si>
    <t>已進貨5座，是否配合管徑變更?</t>
    <phoneticPr fontId="1" type="noConversion"/>
  </si>
  <si>
    <t>0+120~280+保護樹A旁+保護樹B旁+希冀橋下=(160*5.9)+(26.7*8.2)+(1.9+7.4)*17.7/2+(3.9*5.1)+19.6*5.1</t>
    <phoneticPr fontId="1" type="noConversion"/>
  </si>
  <si>
    <t>計算書單孔箱涵少算</t>
    <phoneticPr fontId="1" type="noConversion"/>
  </si>
  <si>
    <t>113.6.20總工工地視察，依水利處規定管徑修改</t>
    <phoneticPr fontId="1" type="noConversion"/>
  </si>
  <si>
    <t>49+494.42</t>
    <phoneticPr fontId="1" type="noConversion"/>
  </si>
  <si>
    <t>依所頒標準圖(暗溝)鋼筋使用#4、#5，計算書以#3、#4計算，且未算溝蓋板鋼筋</t>
    <phoneticPr fontId="1" type="noConversion"/>
  </si>
  <si>
    <t>工期730天/30約24個月</t>
    <phoneticPr fontId="1" type="noConversion"/>
  </si>
  <si>
    <t>無編列數量</t>
    <phoneticPr fontId="1" type="noConversion"/>
  </si>
  <si>
    <t>護欄b(磺港橋+樓梯M)</t>
    <phoneticPr fontId="1" type="noConversion"/>
  </si>
  <si>
    <t>清江公園側</t>
    <phoneticPr fontId="1" type="noConversion"/>
  </si>
  <si>
    <t>追加</t>
    <phoneticPr fontId="1" type="noConversion"/>
  </si>
  <si>
    <t>(6.35*2+0.53*11)*(18.25+16+3.25)</t>
    <phoneticPr fontId="1" type="noConversion"/>
  </si>
  <si>
    <t>欄杆B'(樓梯G、J+三合祠+護岸三左右岸+磺港橋頭)</t>
    <phoneticPr fontId="1" type="noConversion"/>
  </si>
  <si>
    <t>欄杆C'(保護樹A、B)</t>
    <phoneticPr fontId="1" type="noConversion"/>
  </si>
  <si>
    <t>((1.8+2.34)*2+1.4*8+3.144*2)*(21.65+17.75)</t>
    <phoneticPr fontId="1" type="noConversion"/>
  </si>
  <si>
    <t>(6.35*2+0.53*9+6.61*1)*(34.27+66.51)</t>
    <phoneticPr fontId="1" type="noConversion"/>
  </si>
  <si>
    <t>(6.35*2+0.53*9+6.61*1)*(3.5+2.4*2+21.7+24.85+113.54+3.21)</t>
    <phoneticPr fontId="1" type="noConversion"/>
  </si>
  <si>
    <t>本次變更設計，計新增    項，減少    項，變更    項，變更後合計    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</si>
</sst>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#,##0.00_ "/>
    <numFmt numFmtId="177" formatCode="0.00_ "/>
    <numFmt numFmtId="178" formatCode="0.0000_ "/>
    <numFmt numFmtId="179" formatCode="#,##0.0_ "/>
    <numFmt numFmtId="180" formatCode="#,##0_ "/>
    <numFmt numFmtId="181" formatCode="#,##0.00_ ;[Red]\-#,##0.00\ "/>
    <numFmt numFmtId="182" formatCode="#,##0.00_);[Red]\(#,##0.00\)"/>
    <numFmt numFmtId="183" formatCode="General&quot;單元&quot;"/>
    <numFmt numFmtId="184" formatCode="General&quot;KG&quot;"/>
    <numFmt numFmtId="185" formatCode="General&quot;座&quot;"/>
    <numFmt numFmtId="186" formatCode="0.00_);[Red]\(0.00\)"/>
    <numFmt numFmtId="187" formatCode="0.000_);[Red]\(0.000\)"/>
    <numFmt numFmtId="188" formatCode="General&quot;原圖&quot;"/>
    <numFmt numFmtId="189" formatCode="&quot;第&quot;\ #\ &quot;次估驗詳細表&quot;\ "/>
    <numFmt numFmtId="190" formatCode="[$-404]e&quot;年&quot;m&quot;月&quot;d&quot;日&quot;;@"/>
    <numFmt numFmtId="191" formatCode="0.00_ ;[Red]\-0.00\ "/>
    <numFmt numFmtId="192" formatCode="_-* #,##0.0_-;\-* #,##0.0_-;_-* &quot;-&quot;??_-;_-@_-"/>
    <numFmt numFmtId="193" formatCode="_-* #,##0.00_-;\-* #,##0.00_-;_-* &quot;-&quot;_-;_-@_-"/>
    <numFmt numFmtId="194" formatCode="##,##0.00;\-0.0000;;@"/>
  </numFmts>
  <fonts count="106">
    <font>
      <sz val="10"/>
      <name val="Arial"/>
      <family val="2"/>
    </font>
    <font>
      <sz val="9"/>
      <name val="細明體"/>
      <family val="3"/>
      <charset val="136"/>
    </font>
    <font>
      <sz val="11"/>
      <color indexed="8"/>
      <name val="標楷體"/>
      <family val="4"/>
      <charset val="136"/>
    </font>
    <font>
      <sz val="10"/>
      <color indexed="8"/>
      <name val="Arial"/>
      <family val="2"/>
    </font>
    <font>
      <sz val="12"/>
      <name val="標楷體"/>
      <family val="4"/>
      <charset val="136"/>
    </font>
    <font>
      <sz val="12"/>
      <color indexed="8"/>
      <name val="標楷體"/>
      <family val="4"/>
      <charset val="136"/>
    </font>
    <font>
      <sz val="10"/>
      <color indexed="8"/>
      <name val="標楷體"/>
      <family val="4"/>
      <charset val="136"/>
    </font>
    <font>
      <sz val="10"/>
      <name val="標楷體"/>
      <family val="4"/>
      <charset val="136"/>
    </font>
    <font>
      <sz val="11"/>
      <name val="標楷體"/>
      <family val="4"/>
      <charset val="136"/>
    </font>
    <font>
      <sz val="16"/>
      <color indexed="8"/>
      <name val="標楷體"/>
      <family val="4"/>
      <charset val="136"/>
    </font>
    <font>
      <sz val="12"/>
      <color indexed="8"/>
      <name val="新細明體"/>
      <family val="1"/>
      <charset val="136"/>
    </font>
    <font>
      <sz val="14"/>
      <color indexed="8"/>
      <name val="Arial"/>
      <family val="2"/>
    </font>
    <font>
      <sz val="13"/>
      <color indexed="8"/>
      <name val="標楷體"/>
      <family val="4"/>
      <charset val="136"/>
    </font>
    <font>
      <sz val="9"/>
      <color indexed="8"/>
      <name val="Arial"/>
      <family val="2"/>
    </font>
    <font>
      <sz val="16"/>
      <name val="Arial"/>
      <family val="2"/>
      <charset val="136"/>
    </font>
    <font>
      <sz val="16"/>
      <name val="Microsoft JhengHei"/>
      <family val="2"/>
    </font>
    <font>
      <sz val="16"/>
      <name val="Arial"/>
      <family val="2"/>
    </font>
    <font>
      <sz val="16"/>
      <name val="細明體"/>
      <family val="2"/>
      <charset val="136"/>
    </font>
    <font>
      <sz val="16"/>
      <name val="Microsoft JhengHei"/>
      <family val="2"/>
      <charset val="136"/>
    </font>
    <font>
      <sz val="12"/>
      <color rgb="FF000000"/>
      <name val="標楷體"/>
      <family val="4"/>
      <charset val="136"/>
    </font>
    <font>
      <sz val="10"/>
      <name val="Microsoft JhengHei"/>
      <family val="2"/>
    </font>
    <font>
      <sz val="14"/>
      <color indexed="8"/>
      <name val="標楷體"/>
      <family val="4"/>
      <charset val="136"/>
    </font>
    <font>
      <sz val="10"/>
      <name val="Arial"/>
      <family val="2"/>
    </font>
    <font>
      <sz val="12"/>
      <color rgb="FFFF0000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4"/>
      <name val="標楷體"/>
      <family val="4"/>
      <charset val="136"/>
    </font>
    <font>
      <sz val="9"/>
      <color indexed="8"/>
      <name val="標楷體"/>
      <family val="4"/>
      <charset val="136"/>
    </font>
    <font>
      <sz val="9"/>
      <name val="標楷體"/>
      <family val="4"/>
      <charset val="136"/>
    </font>
    <font>
      <b/>
      <sz val="10"/>
      <name val="標楷體"/>
      <family val="4"/>
      <charset val="136"/>
    </font>
    <font>
      <b/>
      <sz val="10"/>
      <color rgb="FFFF0000"/>
      <name val="標楷體"/>
      <family val="4"/>
      <charset val="136"/>
    </font>
    <font>
      <sz val="12"/>
      <color rgb="FFFF0000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6"/>
      <color theme="1"/>
      <name val="新細明體"/>
      <family val="2"/>
      <charset val="136"/>
      <scheme val="minor"/>
    </font>
    <font>
      <sz val="12"/>
      <name val="細明體"/>
      <family val="2"/>
      <charset val="136"/>
    </font>
    <font>
      <sz val="12"/>
      <name val="Arial"/>
      <family val="2"/>
    </font>
    <font>
      <sz val="12"/>
      <name val="新細明體"/>
      <family val="2"/>
      <charset val="136"/>
    </font>
    <font>
      <sz val="12"/>
      <name val="Microsoft JhengHei"/>
      <family val="2"/>
    </font>
    <font>
      <sz val="12"/>
      <name val="Microsoft JhengHei"/>
      <family val="2"/>
      <charset val="136"/>
    </font>
    <font>
      <sz val="10"/>
      <name val="微軟正黑體"/>
      <family val="2"/>
      <charset val="136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sz val="11"/>
      <color rgb="FFFF0000"/>
      <name val="標楷體"/>
      <family val="4"/>
      <charset val="136"/>
    </font>
    <font>
      <sz val="10"/>
      <color rgb="FFFF0000"/>
      <name val="標楷體"/>
      <family val="4"/>
      <charset val="136"/>
    </font>
    <font>
      <sz val="9"/>
      <color rgb="FFFF0000"/>
      <name val="標楷體"/>
      <family val="4"/>
      <charset val="136"/>
    </font>
    <font>
      <sz val="10"/>
      <name val="Microsoft JhengHei"/>
      <family val="2"/>
      <charset val="136"/>
    </font>
    <font>
      <sz val="11"/>
      <color rgb="FF000000"/>
      <name val="標楷體"/>
      <family val="4"/>
      <charset val="136"/>
    </font>
    <font>
      <sz val="10"/>
      <color rgb="FF000000"/>
      <name val="標楷體"/>
      <family val="4"/>
      <charset val="136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sz val="12"/>
      <color rgb="FF000000"/>
      <name val="標楷體"/>
      <family val="1"/>
      <charset val="136"/>
    </font>
    <font>
      <b/>
      <sz val="14"/>
      <color rgb="FFFF0000"/>
      <name val="標楷體"/>
      <family val="4"/>
      <charset val="136"/>
    </font>
    <font>
      <b/>
      <sz val="13"/>
      <color rgb="FFFF0000"/>
      <name val="標楷體"/>
      <family val="4"/>
      <charset val="136"/>
    </font>
    <font>
      <b/>
      <sz val="11"/>
      <color rgb="FFFF0000"/>
      <name val="標楷體"/>
      <family val="4"/>
      <charset val="136"/>
    </font>
    <font>
      <b/>
      <sz val="9"/>
      <color rgb="FFFF0000"/>
      <name val="標楷體"/>
      <family val="4"/>
      <charset val="136"/>
    </font>
    <font>
      <sz val="20"/>
      <name val="標楷體"/>
      <family val="4"/>
    </font>
    <font>
      <sz val="16"/>
      <name val="標楷體"/>
      <family val="4"/>
    </font>
    <font>
      <sz val="12"/>
      <name val="標楷體"/>
      <family val="4"/>
    </font>
    <font>
      <sz val="10"/>
      <name val="標楷體"/>
      <family val="4"/>
    </font>
    <font>
      <sz val="8"/>
      <name val="標楷體"/>
      <family val="4"/>
    </font>
    <font>
      <sz val="8"/>
      <color rgb="FFFF0000"/>
      <name val="標楷體"/>
      <family val="4"/>
    </font>
    <font>
      <sz val="10"/>
      <color rgb="FFFF0000"/>
      <name val="Microsoft JhengHei"/>
      <family val="2"/>
    </font>
    <font>
      <b/>
      <sz val="16"/>
      <color indexed="8"/>
      <name val="標楷體"/>
      <family val="4"/>
      <charset val="136"/>
    </font>
    <font>
      <b/>
      <sz val="18"/>
      <color indexed="8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u/>
      <sz val="9"/>
      <color indexed="8"/>
      <name val="標楷體"/>
      <family val="4"/>
      <charset val="136"/>
    </font>
    <font>
      <b/>
      <sz val="14"/>
      <color indexed="8"/>
      <name val="標楷體"/>
      <family val="4"/>
      <charset val="136"/>
    </font>
    <font>
      <b/>
      <sz val="12"/>
      <color indexed="8"/>
      <name val="新細明體"/>
      <family val="1"/>
      <charset val="136"/>
    </font>
    <font>
      <sz val="12"/>
      <color indexed="8"/>
      <name val="Arial"/>
      <family val="2"/>
    </font>
    <font>
      <sz val="12"/>
      <color rgb="FFFF0000"/>
      <name val="Arial"/>
      <family val="2"/>
    </font>
    <font>
      <b/>
      <sz val="10"/>
      <color indexed="8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9"/>
      <color rgb="FFFF0000"/>
      <name val="Arial"/>
      <family val="2"/>
    </font>
    <font>
      <sz val="9"/>
      <name val="Arial"/>
      <family val="2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9"/>
      <color rgb="FFFF0000"/>
      <name val="新細明體"/>
      <family val="2"/>
      <charset val="136"/>
      <scheme val="minor"/>
    </font>
    <font>
      <sz val="8"/>
      <name val="新細明體"/>
      <family val="1"/>
      <charset val="136"/>
      <scheme val="minor"/>
    </font>
    <font>
      <sz val="12"/>
      <color rgb="FFFF0000"/>
      <name val="新細明體"/>
      <family val="1"/>
      <charset val="136"/>
    </font>
    <font>
      <sz val="8"/>
      <color rgb="FFFF0000"/>
      <name val="新細明體"/>
      <family val="1"/>
      <charset val="136"/>
      <scheme val="minor"/>
    </font>
    <font>
      <sz val="9"/>
      <color rgb="FFFF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8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name val="新細明體"/>
      <family val="2"/>
      <charset val="136"/>
      <scheme val="minor"/>
    </font>
    <font>
      <sz val="6"/>
      <color theme="1"/>
      <name val="新細明體"/>
      <family val="2"/>
      <charset val="136"/>
      <scheme val="minor"/>
    </font>
    <font>
      <sz val="9"/>
      <color theme="1"/>
      <name val="Arial"/>
      <family val="2"/>
    </font>
    <font>
      <sz val="10"/>
      <color theme="1"/>
      <name val="標楷體"/>
      <family val="4"/>
      <charset val="136"/>
    </font>
    <font>
      <sz val="12"/>
      <color rgb="FFFF0000"/>
      <name val="細明體"/>
      <family val="3"/>
      <charset val="136"/>
    </font>
    <font>
      <sz val="10.45"/>
      <color rgb="FFFF0000"/>
      <name val="標楷體"/>
      <family val="4"/>
      <charset val="136"/>
    </font>
    <font>
      <sz val="16"/>
      <color rgb="FFFF0000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sz val="16"/>
      <color rgb="FFFF0000"/>
      <name val="Wingdings 2"/>
      <family val="1"/>
      <charset val="2"/>
    </font>
    <font>
      <sz val="12"/>
      <color rgb="FFFF0000"/>
      <name val="標楷體"/>
      <family val="4"/>
    </font>
    <font>
      <sz val="10"/>
      <color rgb="FFFF0000"/>
      <name val="標楷體"/>
      <family val="4"/>
    </font>
    <font>
      <sz val="10"/>
      <name val="細明體"/>
      <family val="3"/>
      <charset val="136"/>
    </font>
    <font>
      <sz val="10"/>
      <color rgb="FFFF0000"/>
      <name val="新細明體"/>
      <family val="1"/>
      <charset val="136"/>
      <scheme val="minor"/>
    </font>
    <font>
      <sz val="12"/>
      <color theme="1"/>
      <name val="Arial"/>
      <family val="2"/>
    </font>
    <font>
      <sz val="8"/>
      <name val="標楷體"/>
      <family val="4"/>
      <charset val="136"/>
    </font>
    <font>
      <sz val="6"/>
      <color indexed="8"/>
      <name val="標楷體"/>
      <family val="4"/>
      <charset val="136"/>
    </font>
  </fonts>
  <fills count="1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5">
    <xf numFmtId="0" fontId="0" fillId="0" borderId="0"/>
    <xf numFmtId="0" fontId="3" fillId="0" borderId="0"/>
    <xf numFmtId="43" fontId="22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79" fillId="0" borderId="0"/>
  </cellStyleXfs>
  <cellXfs count="750">
    <xf numFmtId="0" fontId="0" fillId="0" borderId="0" xfId="0"/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4" fontId="5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shrinkToFit="1"/>
    </xf>
    <xf numFmtId="0" fontId="2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 shrinkToFit="1"/>
    </xf>
    <xf numFmtId="176" fontId="13" fillId="0" borderId="4" xfId="0" applyNumberFormat="1" applyFont="1" applyBorder="1" applyAlignment="1">
      <alignment horizontal="right" vertical="center" shrinkToFit="1"/>
    </xf>
    <xf numFmtId="0" fontId="6" fillId="0" borderId="4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4" xfId="0" applyFont="1" applyBorder="1" applyAlignment="1">
      <alignment horizontal="right" vertical="center" shrinkToFi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/>
    </xf>
    <xf numFmtId="0" fontId="0" fillId="2" borderId="0" xfId="0" applyFill="1"/>
    <xf numFmtId="0" fontId="10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/>
    </xf>
    <xf numFmtId="0" fontId="0" fillId="3" borderId="0" xfId="0" applyFill="1"/>
    <xf numFmtId="0" fontId="3" fillId="0" borderId="0" xfId="0" applyFont="1" applyAlignment="1">
      <alignment vertical="center" wrapText="1"/>
    </xf>
    <xf numFmtId="14" fontId="0" fillId="0" borderId="0" xfId="0" applyNumberFormat="1"/>
    <xf numFmtId="0" fontId="21" fillId="0" borderId="0" xfId="0" applyFont="1" applyAlignment="1">
      <alignment horizontal="centerContinuous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Continuous" vertical="center"/>
    </xf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centerContinuous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shrinkToFit="1"/>
    </xf>
    <xf numFmtId="0" fontId="24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0" borderId="0" xfId="0" applyFont="1"/>
    <xf numFmtId="176" fontId="5" fillId="0" borderId="4" xfId="0" applyNumberFormat="1" applyFont="1" applyBorder="1" applyAlignment="1">
      <alignment horizontal="right" vertical="center" shrinkToFit="1"/>
    </xf>
    <xf numFmtId="176" fontId="5" fillId="0" borderId="4" xfId="0" applyNumberFormat="1" applyFont="1" applyBorder="1" applyAlignment="1">
      <alignment horizontal="left" vertical="center" wrapText="1" shrinkToFit="1"/>
    </xf>
    <xf numFmtId="0" fontId="5" fillId="0" borderId="4" xfId="0" applyFont="1" applyBorder="1" applyAlignment="1">
      <alignment vertical="center" wrapText="1"/>
    </xf>
    <xf numFmtId="176" fontId="5" fillId="0" borderId="4" xfId="0" quotePrefix="1" applyNumberFormat="1" applyFont="1" applyBorder="1" applyAlignment="1">
      <alignment horizontal="left" vertical="center" wrapText="1" shrinkToFit="1"/>
    </xf>
    <xf numFmtId="176" fontId="5" fillId="0" borderId="4" xfId="0" applyNumberFormat="1" applyFont="1" applyBorder="1" applyAlignment="1">
      <alignment vertical="center" wrapText="1"/>
    </xf>
    <xf numFmtId="43" fontId="24" fillId="0" borderId="0" xfId="0" applyNumberFormat="1" applyFont="1" applyAlignment="1">
      <alignment vertical="center"/>
    </xf>
    <xf numFmtId="176" fontId="23" fillId="0" borderId="4" xfId="0" applyNumberFormat="1" applyFont="1" applyBorder="1" applyAlignment="1">
      <alignment horizontal="left" vertical="center" wrapText="1" shrinkToFit="1"/>
    </xf>
    <xf numFmtId="176" fontId="23" fillId="0" borderId="4" xfId="0" quotePrefix="1" applyNumberFormat="1" applyFont="1" applyBorder="1" applyAlignment="1">
      <alignment horizontal="left" vertical="center" wrapText="1" shrinkToFit="1"/>
    </xf>
    <xf numFmtId="176" fontId="2" fillId="0" borderId="4" xfId="0" quotePrefix="1" applyNumberFormat="1" applyFont="1" applyBorder="1" applyAlignment="1">
      <alignment horizontal="left" vertical="center" wrapText="1" shrinkToFit="1"/>
    </xf>
    <xf numFmtId="0" fontId="26" fillId="0" borderId="4" xfId="0" applyFont="1" applyBorder="1" applyAlignment="1">
      <alignment vertical="center" wrapText="1"/>
    </xf>
    <xf numFmtId="176" fontId="23" fillId="0" borderId="4" xfId="0" applyNumberFormat="1" applyFont="1" applyBorder="1" applyAlignment="1">
      <alignment horizontal="right" vertical="center" shrinkToFit="1"/>
    </xf>
    <xf numFmtId="176" fontId="4" fillId="0" borderId="4" xfId="0" applyNumberFormat="1" applyFont="1" applyBorder="1" applyAlignment="1">
      <alignment horizontal="right" vertical="center" shrinkToFit="1"/>
    </xf>
    <xf numFmtId="176" fontId="4" fillId="0" borderId="4" xfId="0" applyNumberFormat="1" applyFont="1" applyBorder="1" applyAlignment="1">
      <alignment horizontal="left" vertical="center" wrapText="1" shrinkToFit="1"/>
    </xf>
    <xf numFmtId="0" fontId="6" fillId="0" borderId="4" xfId="0" applyFont="1" applyBorder="1" applyAlignment="1">
      <alignment horizontal="right" vertical="center" shrinkToFit="1"/>
    </xf>
    <xf numFmtId="176" fontId="6" fillId="0" borderId="4" xfId="0" applyNumberFormat="1" applyFont="1" applyBorder="1" applyAlignment="1">
      <alignment horizontal="right" vertical="center" shrinkToFit="1"/>
    </xf>
    <xf numFmtId="176" fontId="6" fillId="0" borderId="4" xfId="0" applyNumberFormat="1" applyFont="1" applyBorder="1" applyAlignment="1">
      <alignment horizontal="left" vertical="center" wrapText="1" shrinkToFit="1"/>
    </xf>
    <xf numFmtId="0" fontId="6" fillId="0" borderId="0" xfId="0" applyFont="1" applyAlignment="1">
      <alignment vertical="center"/>
    </xf>
    <xf numFmtId="43" fontId="29" fillId="0" borderId="0" xfId="0" applyNumberFormat="1" applyFont="1" applyAlignment="1">
      <alignment vertical="center"/>
    </xf>
    <xf numFmtId="176" fontId="24" fillId="0" borderId="4" xfId="0" applyNumberFormat="1" applyFont="1" applyBorder="1" applyAlignment="1">
      <alignment vertical="center" wrapText="1"/>
    </xf>
    <xf numFmtId="176" fontId="4" fillId="0" borderId="4" xfId="0" applyNumberFormat="1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24" fillId="0" borderId="0" xfId="0" applyFont="1"/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 shrinkToFit="1"/>
    </xf>
    <xf numFmtId="176" fontId="24" fillId="0" borderId="4" xfId="0" applyNumberFormat="1" applyFont="1" applyBorder="1" applyAlignment="1">
      <alignment horizontal="left" vertical="center" wrapText="1" shrinkToFit="1"/>
    </xf>
    <xf numFmtId="176" fontId="23" fillId="0" borderId="4" xfId="0" applyNumberFormat="1" applyFont="1" applyBorder="1" applyAlignment="1">
      <alignment vertical="center" wrapText="1"/>
    </xf>
    <xf numFmtId="176" fontId="5" fillId="0" borderId="4" xfId="0" applyNumberFormat="1" applyFont="1" applyBorder="1" applyAlignment="1">
      <alignment horizontal="right" vertical="center" wrapText="1" shrinkToFit="1"/>
    </xf>
    <xf numFmtId="0" fontId="8" fillId="0" borderId="4" xfId="0" applyFont="1" applyBorder="1" applyAlignment="1">
      <alignment vertical="center" wrapText="1"/>
    </xf>
    <xf numFmtId="176" fontId="19" fillId="0" borderId="4" xfId="0" applyNumberFormat="1" applyFont="1" applyBorder="1" applyAlignment="1">
      <alignment horizontal="left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0" fontId="26" fillId="0" borderId="0" xfId="0" applyFont="1" applyAlignment="1">
      <alignment vertical="center"/>
    </xf>
    <xf numFmtId="0" fontId="27" fillId="0" borderId="0" xfId="0" applyFont="1"/>
    <xf numFmtId="176" fontId="2" fillId="0" borderId="4" xfId="0" applyNumberFormat="1" applyFont="1" applyBorder="1" applyAlignment="1">
      <alignment horizontal="left" vertical="center" wrapText="1" shrinkToFit="1"/>
    </xf>
    <xf numFmtId="0" fontId="5" fillId="0" borderId="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176" fontId="31" fillId="0" borderId="4" xfId="0" applyNumberFormat="1" applyFont="1" applyBorder="1" applyAlignment="1">
      <alignment horizontal="right" vertical="center" shrinkToFit="1"/>
    </xf>
    <xf numFmtId="176" fontId="31" fillId="0" borderId="4" xfId="0" applyNumberFormat="1" applyFont="1" applyBorder="1" applyAlignment="1">
      <alignment horizontal="left" vertical="center" wrapText="1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0" fillId="0" borderId="12" xfId="0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3" xfId="0" applyBorder="1" applyAlignment="1">
      <alignment vertical="center"/>
    </xf>
    <xf numFmtId="2" fontId="0" fillId="0" borderId="9" xfId="0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5" borderId="9" xfId="0" applyFill="1" applyBorder="1" applyAlignment="1">
      <alignment vertical="center"/>
    </xf>
    <xf numFmtId="0" fontId="30" fillId="0" borderId="8" xfId="0" applyFont="1" applyBorder="1" applyAlignment="1">
      <alignment horizontal="left" vertical="center"/>
    </xf>
    <xf numFmtId="0" fontId="30" fillId="0" borderId="9" xfId="0" applyFont="1" applyBorder="1" applyAlignment="1">
      <alignment vertical="center"/>
    </xf>
    <xf numFmtId="0" fontId="30" fillId="0" borderId="9" xfId="0" applyFont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2" fontId="0" fillId="6" borderId="9" xfId="0" applyNumberFormat="1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7" borderId="10" xfId="0" applyNumberFormat="1" applyFill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7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179" fontId="0" fillId="0" borderId="15" xfId="0" quotePrefix="1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15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24" fillId="0" borderId="15" xfId="0" applyFont="1" applyBorder="1" applyAlignment="1">
      <alignment vertical="center"/>
    </xf>
    <xf numFmtId="176" fontId="0" fillId="0" borderId="15" xfId="0" applyNumberFormat="1" applyBorder="1" applyAlignment="1">
      <alignment horizontal="right" vertical="center"/>
    </xf>
    <xf numFmtId="181" fontId="0" fillId="0" borderId="0" xfId="0" applyNumberFormat="1" applyAlignment="1">
      <alignment vertical="center"/>
    </xf>
    <xf numFmtId="0" fontId="0" fillId="7" borderId="15" xfId="0" applyFill="1" applyBorder="1" applyAlignment="1">
      <alignment horizontal="center" vertical="center"/>
    </xf>
    <xf numFmtId="176" fontId="0" fillId="7" borderId="15" xfId="0" applyNumberFormat="1" applyFill="1" applyBorder="1" applyAlignment="1">
      <alignment horizontal="right" vertical="center"/>
    </xf>
    <xf numFmtId="181" fontId="0" fillId="7" borderId="0" xfId="0" applyNumberFormat="1" applyFill="1" applyAlignment="1">
      <alignment vertical="center"/>
    </xf>
    <xf numFmtId="0" fontId="0" fillId="7" borderId="0" xfId="0" applyFill="1" applyAlignment="1">
      <alignment vertical="center"/>
    </xf>
    <xf numFmtId="179" fontId="0" fillId="0" borderId="15" xfId="0" applyNumberFormat="1" applyBorder="1" applyAlignment="1">
      <alignment horizontal="right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0" borderId="17" xfId="0" applyBorder="1" applyAlignment="1">
      <alignment horizontal="center" vertical="center"/>
    </xf>
    <xf numFmtId="176" fontId="0" fillId="7" borderId="0" xfId="0" applyNumberFormat="1" applyFill="1" applyAlignment="1">
      <alignment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6" fontId="19" fillId="0" borderId="19" xfId="0" applyNumberFormat="1" applyFont="1" applyBorder="1" applyAlignment="1">
      <alignment horizontal="left" vertical="center" wrapText="1" shrinkToFit="1"/>
    </xf>
    <xf numFmtId="176" fontId="19" fillId="0" borderId="19" xfId="0" applyNumberFormat="1" applyFont="1" applyBorder="1" applyAlignment="1">
      <alignment horizontal="right" vertical="center" shrinkToFit="1"/>
    </xf>
    <xf numFmtId="176" fontId="19" fillId="0" borderId="21" xfId="0" applyNumberFormat="1" applyFont="1" applyBorder="1" applyAlignment="1">
      <alignment horizontal="right" vertical="center" shrinkToFit="1"/>
    </xf>
    <xf numFmtId="43" fontId="25" fillId="0" borderId="0" xfId="2" applyFont="1" applyAlignment="1">
      <alignment vertical="center"/>
    </xf>
    <xf numFmtId="43" fontId="4" fillId="0" borderId="0" xfId="2" applyFont="1" applyAlignment="1">
      <alignment vertical="center"/>
    </xf>
    <xf numFmtId="43" fontId="5" fillId="0" borderId="0" xfId="2" applyFont="1" applyAlignment="1">
      <alignment horizontal="center" vertical="center"/>
    </xf>
    <xf numFmtId="43" fontId="28" fillId="0" borderId="0" xfId="2" applyFont="1" applyAlignment="1">
      <alignment vertical="center" wrapText="1"/>
    </xf>
    <xf numFmtId="0" fontId="2" fillId="9" borderId="4" xfId="0" applyFont="1" applyFill="1" applyBorder="1" applyAlignment="1">
      <alignment vertical="center" shrinkToFit="1"/>
    </xf>
    <xf numFmtId="0" fontId="2" fillId="9" borderId="4" xfId="0" applyFont="1" applyFill="1" applyBorder="1" applyAlignment="1">
      <alignment vertical="center" wrapText="1"/>
    </xf>
    <xf numFmtId="0" fontId="6" fillId="9" borderId="4" xfId="0" applyFont="1" applyFill="1" applyBorder="1" applyAlignment="1">
      <alignment horizontal="center" vertical="center" wrapText="1" shrinkToFit="1"/>
    </xf>
    <xf numFmtId="176" fontId="5" fillId="9" borderId="4" xfId="0" applyNumberFormat="1" applyFont="1" applyFill="1" applyBorder="1" applyAlignment="1">
      <alignment horizontal="right" vertical="center" shrinkToFit="1"/>
    </xf>
    <xf numFmtId="176" fontId="5" fillId="9" borderId="4" xfId="0" applyNumberFormat="1" applyFont="1" applyFill="1" applyBorder="1" applyAlignment="1">
      <alignment horizontal="left" vertical="center" wrapText="1" shrinkToFit="1"/>
    </xf>
    <xf numFmtId="0" fontId="5" fillId="9" borderId="4" xfId="0" applyFont="1" applyFill="1" applyBorder="1" applyAlignment="1">
      <alignment vertical="center" wrapText="1"/>
    </xf>
    <xf numFmtId="176" fontId="5" fillId="2" borderId="4" xfId="0" applyNumberFormat="1" applyFont="1" applyFill="1" applyBorder="1" applyAlignment="1">
      <alignment horizontal="left" vertical="center" wrapText="1" shrinkToFit="1"/>
    </xf>
    <xf numFmtId="176" fontId="5" fillId="2" borderId="4" xfId="0" applyNumberFormat="1" applyFont="1" applyFill="1" applyBorder="1" applyAlignment="1">
      <alignment horizontal="right" vertical="center" shrinkToFit="1"/>
    </xf>
    <xf numFmtId="43" fontId="7" fillId="0" borderId="0" xfId="2" applyFont="1" applyAlignment="1">
      <alignment vertical="center"/>
    </xf>
    <xf numFmtId="43" fontId="24" fillId="0" borderId="0" xfId="2" applyFont="1" applyAlignment="1">
      <alignment vertical="center"/>
    </xf>
    <xf numFmtId="176" fontId="23" fillId="2" borderId="4" xfId="0" applyNumberFormat="1" applyFont="1" applyFill="1" applyBorder="1" applyAlignment="1">
      <alignment horizontal="left" vertical="center" wrapText="1" shrinkToFit="1"/>
    </xf>
    <xf numFmtId="0" fontId="2" fillId="10" borderId="4" xfId="0" applyFont="1" applyFill="1" applyBorder="1" applyAlignment="1">
      <alignment horizontal="right" vertical="center" shrinkToFit="1"/>
    </xf>
    <xf numFmtId="0" fontId="2" fillId="10" borderId="4" xfId="0" applyFont="1" applyFill="1" applyBorder="1" applyAlignment="1">
      <alignment vertical="center" wrapText="1"/>
    </xf>
    <xf numFmtId="0" fontId="6" fillId="10" borderId="4" xfId="0" applyFont="1" applyFill="1" applyBorder="1" applyAlignment="1">
      <alignment horizontal="center" vertical="center" wrapText="1" shrinkToFit="1"/>
    </xf>
    <xf numFmtId="176" fontId="5" fillId="10" borderId="4" xfId="0" applyNumberFormat="1" applyFont="1" applyFill="1" applyBorder="1" applyAlignment="1">
      <alignment horizontal="right" vertical="center" shrinkToFit="1"/>
    </xf>
    <xf numFmtId="176" fontId="5" fillId="10" borderId="4" xfId="0" applyNumberFormat="1" applyFont="1" applyFill="1" applyBorder="1" applyAlignment="1">
      <alignment horizontal="left" vertical="center" wrapText="1" shrinkToFit="1"/>
    </xf>
    <xf numFmtId="176" fontId="24" fillId="10" borderId="4" xfId="0" applyNumberFormat="1" applyFont="1" applyFill="1" applyBorder="1" applyAlignment="1">
      <alignment vertical="center" wrapText="1"/>
    </xf>
    <xf numFmtId="0" fontId="6" fillId="10" borderId="4" xfId="0" applyFont="1" applyFill="1" applyBorder="1" applyAlignment="1">
      <alignment vertical="center" wrapText="1"/>
    </xf>
    <xf numFmtId="176" fontId="4" fillId="10" borderId="4" xfId="0" applyNumberFormat="1" applyFont="1" applyFill="1" applyBorder="1" applyAlignment="1">
      <alignment horizontal="left" vertical="center" wrapText="1" shrinkToFit="1"/>
    </xf>
    <xf numFmtId="43" fontId="24" fillId="4" borderId="0" xfId="2" applyFont="1" applyFill="1" applyAlignment="1">
      <alignment vertical="center"/>
    </xf>
    <xf numFmtId="43" fontId="24" fillId="4" borderId="0" xfId="0" applyNumberFormat="1" applyFont="1" applyFill="1" applyAlignment="1">
      <alignment vertical="center"/>
    </xf>
    <xf numFmtId="176" fontId="24" fillId="10" borderId="4" xfId="0" applyNumberFormat="1" applyFont="1" applyFill="1" applyBorder="1" applyAlignment="1">
      <alignment horizontal="left" vertical="center" wrapText="1" shrinkToFit="1"/>
    </xf>
    <xf numFmtId="176" fontId="5" fillId="2" borderId="4" xfId="0" quotePrefix="1" applyNumberFormat="1" applyFont="1" applyFill="1" applyBorder="1" applyAlignment="1">
      <alignment horizontal="left" vertical="center" wrapText="1" shrinkToFit="1"/>
    </xf>
    <xf numFmtId="43" fontId="7" fillId="0" borderId="0" xfId="2" applyFont="1" applyAlignment="1"/>
    <xf numFmtId="0" fontId="8" fillId="9" borderId="4" xfId="0" applyFont="1" applyFill="1" applyBorder="1" applyAlignment="1">
      <alignment vertical="center" wrapText="1"/>
    </xf>
    <xf numFmtId="0" fontId="7" fillId="9" borderId="4" xfId="0" applyFont="1" applyFill="1" applyBorder="1" applyAlignment="1">
      <alignment horizontal="center" vertical="center" wrapText="1" shrinkToFit="1"/>
    </xf>
    <xf numFmtId="176" fontId="4" fillId="9" borderId="4" xfId="0" applyNumberFormat="1" applyFont="1" applyFill="1" applyBorder="1" applyAlignment="1">
      <alignment horizontal="right" vertical="center" shrinkToFit="1"/>
    </xf>
    <xf numFmtId="0" fontId="5" fillId="9" borderId="0" xfId="0" applyFont="1" applyFill="1" applyAlignment="1">
      <alignment vertical="center"/>
    </xf>
    <xf numFmtId="43" fontId="4" fillId="9" borderId="0" xfId="2" applyFont="1" applyFill="1" applyAlignment="1">
      <alignment vertical="center"/>
    </xf>
    <xf numFmtId="0" fontId="7" fillId="9" borderId="0" xfId="0" applyFont="1" applyFill="1"/>
    <xf numFmtId="176" fontId="23" fillId="3" borderId="4" xfId="0" applyNumberFormat="1" applyFont="1" applyFill="1" applyBorder="1" applyAlignment="1">
      <alignment horizontal="left" vertical="center" wrapText="1" shrinkToFit="1"/>
    </xf>
    <xf numFmtId="176" fontId="23" fillId="3" borderId="4" xfId="0" applyNumberFormat="1" applyFont="1" applyFill="1" applyBorder="1" applyAlignment="1">
      <alignment horizontal="right" vertical="center" shrinkToFit="1"/>
    </xf>
    <xf numFmtId="0" fontId="6" fillId="9" borderId="4" xfId="0" applyFont="1" applyFill="1" applyBorder="1" applyAlignment="1">
      <alignment vertical="center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82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right" vertical="center"/>
    </xf>
    <xf numFmtId="18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 wrapText="1"/>
    </xf>
    <xf numFmtId="182" fontId="0" fillId="3" borderId="1" xfId="0" applyNumberFormat="1" applyFill="1" applyBorder="1" applyAlignment="1">
      <alignment vertical="center"/>
    </xf>
    <xf numFmtId="0" fontId="0" fillId="0" borderId="0" xfId="0" applyAlignment="1">
      <alignment horizontal="centerContinuous" vertic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183" fontId="0" fillId="0" borderId="0" xfId="0" applyNumberFormat="1" applyAlignment="1">
      <alignment vertical="center"/>
    </xf>
    <xf numFmtId="184" fontId="0" fillId="0" borderId="0" xfId="0" applyNumberFormat="1" applyAlignment="1">
      <alignment vertical="center"/>
    </xf>
    <xf numFmtId="185" fontId="0" fillId="0" borderId="0" xfId="0" applyNumberFormat="1" applyAlignment="1">
      <alignment vertical="center"/>
    </xf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38" fillId="11" borderId="0" xfId="0" applyFont="1" applyFill="1"/>
    <xf numFmtId="0" fontId="38" fillId="12" borderId="0" xfId="0" applyFont="1" applyFill="1"/>
    <xf numFmtId="43" fontId="25" fillId="0" borderId="0" xfId="2" applyFont="1" applyFill="1" applyAlignment="1">
      <alignment vertical="center"/>
    </xf>
    <xf numFmtId="43" fontId="4" fillId="0" borderId="0" xfId="2" applyFont="1" applyFill="1" applyAlignment="1">
      <alignment vertical="center"/>
    </xf>
    <xf numFmtId="43" fontId="5" fillId="0" borderId="0" xfId="2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8" fillId="0" borderId="0" xfId="2" applyFont="1" applyFill="1" applyAlignment="1">
      <alignment vertical="center" wrapText="1"/>
    </xf>
    <xf numFmtId="43" fontId="24" fillId="0" borderId="0" xfId="2" applyFont="1" applyFill="1" applyAlignment="1">
      <alignment vertical="center"/>
    </xf>
    <xf numFmtId="43" fontId="7" fillId="0" borderId="0" xfId="2" applyFont="1" applyFill="1" applyAlignment="1"/>
    <xf numFmtId="176" fontId="23" fillId="8" borderId="4" xfId="0" applyNumberFormat="1" applyFont="1" applyFill="1" applyBorder="1" applyAlignment="1">
      <alignment horizontal="left" vertical="center" wrapText="1" shrinkToFit="1"/>
    </xf>
    <xf numFmtId="0" fontId="2" fillId="0" borderId="32" xfId="0" applyFont="1" applyBorder="1" applyAlignment="1">
      <alignment horizontal="right" vertical="center" shrinkToFit="1"/>
    </xf>
    <xf numFmtId="0" fontId="2" fillId="0" borderId="32" xfId="0" applyFont="1" applyBorder="1" applyAlignment="1">
      <alignment vertical="center" wrapText="1"/>
    </xf>
    <xf numFmtId="0" fontId="6" fillId="0" borderId="32" xfId="0" applyFont="1" applyBorder="1" applyAlignment="1">
      <alignment horizontal="center" vertical="center" wrapText="1" shrinkToFit="1"/>
    </xf>
    <xf numFmtId="176" fontId="5" fillId="0" borderId="32" xfId="0" applyNumberFormat="1" applyFont="1" applyBorder="1" applyAlignment="1">
      <alignment horizontal="right" vertical="center" shrinkToFit="1"/>
    </xf>
    <xf numFmtId="176" fontId="5" fillId="0" borderId="32" xfId="0" applyNumberFormat="1" applyFont="1" applyBorder="1" applyAlignment="1">
      <alignment horizontal="left" vertical="center" wrapText="1" shrinkToFit="1"/>
    </xf>
    <xf numFmtId="176" fontId="23" fillId="0" borderId="32" xfId="0" applyNumberFormat="1" applyFont="1" applyBorder="1" applyAlignment="1">
      <alignment horizontal="left" vertical="center" wrapText="1" shrinkToFit="1"/>
    </xf>
    <xf numFmtId="0" fontId="20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quotePrefix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vertical="center" wrapText="1"/>
    </xf>
    <xf numFmtId="176" fontId="5" fillId="0" borderId="34" xfId="0" applyNumberFormat="1" applyFont="1" applyBorder="1" applyAlignment="1">
      <alignment vertical="center" wrapText="1"/>
    </xf>
    <xf numFmtId="176" fontId="24" fillId="0" borderId="34" xfId="0" applyNumberFormat="1" applyFont="1" applyBorder="1" applyAlignment="1">
      <alignment vertical="center" wrapText="1"/>
    </xf>
    <xf numFmtId="176" fontId="4" fillId="0" borderId="34" xfId="0" applyNumberFormat="1" applyFont="1" applyBorder="1" applyAlignment="1">
      <alignment vertical="center" wrapText="1"/>
    </xf>
    <xf numFmtId="0" fontId="23" fillId="0" borderId="34" xfId="0" applyFont="1" applyBorder="1" applyAlignment="1">
      <alignment vertical="center" wrapText="1"/>
    </xf>
    <xf numFmtId="176" fontId="23" fillId="0" borderId="34" xfId="0" applyNumberFormat="1" applyFont="1" applyBorder="1" applyAlignment="1">
      <alignment vertical="center" wrapText="1"/>
    </xf>
    <xf numFmtId="176" fontId="5" fillId="0" borderId="34" xfId="0" applyNumberFormat="1" applyFont="1" applyBorder="1" applyAlignment="1">
      <alignment horizontal="right" vertical="center" wrapText="1" shrinkToFit="1"/>
    </xf>
    <xf numFmtId="176" fontId="5" fillId="0" borderId="34" xfId="0" applyNumberFormat="1" applyFont="1" applyBorder="1" applyAlignment="1">
      <alignment horizontal="right" vertical="center" shrinkToFit="1"/>
    </xf>
    <xf numFmtId="0" fontId="5" fillId="0" borderId="34" xfId="0" applyFont="1" applyBorder="1" applyAlignment="1">
      <alignment vertical="center"/>
    </xf>
    <xf numFmtId="0" fontId="24" fillId="0" borderId="35" xfId="0" applyFont="1" applyBorder="1" applyAlignment="1">
      <alignment vertical="center"/>
    </xf>
    <xf numFmtId="0" fontId="0" fillId="0" borderId="36" xfId="0" applyBorder="1" applyAlignment="1">
      <alignment horizontal="right" vertical="center"/>
    </xf>
    <xf numFmtId="0" fontId="0" fillId="0" borderId="37" xfId="0" applyBorder="1" applyAlignment="1">
      <alignment vertical="center"/>
    </xf>
    <xf numFmtId="0" fontId="0" fillId="0" borderId="35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0" fillId="0" borderId="40" xfId="0" applyBorder="1" applyAlignment="1">
      <alignment horizontal="right"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41" xfId="0" applyBorder="1" applyAlignment="1">
      <alignment vertical="center"/>
    </xf>
    <xf numFmtId="2" fontId="0" fillId="0" borderId="35" xfId="0" applyNumberFormat="1" applyBorder="1" applyAlignment="1">
      <alignment horizontal="right" vertical="center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0" xfId="0" applyBorder="1" applyAlignment="1">
      <alignment vertical="center"/>
    </xf>
    <xf numFmtId="0" fontId="0" fillId="5" borderId="35" xfId="0" applyFill="1" applyBorder="1" applyAlignment="1">
      <alignment vertical="center"/>
    </xf>
    <xf numFmtId="0" fontId="30" fillId="0" borderId="37" xfId="0" applyFont="1" applyBorder="1" applyAlignment="1">
      <alignment horizontal="left" vertical="center"/>
    </xf>
    <xf numFmtId="0" fontId="30" fillId="0" borderId="35" xfId="0" applyFont="1" applyBorder="1" applyAlignment="1">
      <alignment vertical="center"/>
    </xf>
    <xf numFmtId="0" fontId="30" fillId="0" borderId="35" xfId="0" applyFont="1" applyBorder="1" applyAlignment="1">
      <alignment horizontal="center" vertical="center"/>
    </xf>
    <xf numFmtId="2" fontId="0" fillId="6" borderId="35" xfId="0" applyNumberFormat="1" applyFill="1" applyBorder="1" applyAlignment="1">
      <alignment horizontal="center" vertical="center"/>
    </xf>
    <xf numFmtId="2" fontId="0" fillId="7" borderId="35" xfId="0" applyNumberFormat="1" applyFill="1" applyBorder="1" applyAlignment="1">
      <alignment horizontal="center" vertical="center"/>
    </xf>
    <xf numFmtId="2" fontId="0" fillId="7" borderId="38" xfId="0" applyNumberFormat="1" applyFill="1" applyBorder="1" applyAlignment="1">
      <alignment horizontal="center" vertical="center"/>
    </xf>
    <xf numFmtId="2" fontId="0" fillId="0" borderId="35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 vertical="center"/>
    </xf>
    <xf numFmtId="0" fontId="2" fillId="0" borderId="42" xfId="0" applyFont="1" applyBorder="1" applyAlignment="1">
      <alignment horizontal="right" vertical="center" shrinkToFit="1"/>
    </xf>
    <xf numFmtId="0" fontId="2" fillId="0" borderId="42" xfId="0" applyFont="1" applyBorder="1" applyAlignment="1">
      <alignment vertical="center" wrapText="1"/>
    </xf>
    <xf numFmtId="0" fontId="6" fillId="0" borderId="42" xfId="0" applyFont="1" applyBorder="1" applyAlignment="1">
      <alignment horizontal="center" vertical="center" wrapText="1" shrinkToFit="1"/>
    </xf>
    <xf numFmtId="176" fontId="5" fillId="0" borderId="42" xfId="0" applyNumberFormat="1" applyFont="1" applyBorder="1" applyAlignment="1">
      <alignment horizontal="right" vertical="center" shrinkToFit="1"/>
    </xf>
    <xf numFmtId="176" fontId="5" fillId="0" borderId="42" xfId="0" applyNumberFormat="1" applyFont="1" applyBorder="1" applyAlignment="1">
      <alignment horizontal="left" vertical="center" wrapText="1" shrinkToFit="1"/>
    </xf>
    <xf numFmtId="0" fontId="6" fillId="0" borderId="42" xfId="0" applyFont="1" applyBorder="1" applyAlignment="1">
      <alignment vertical="center" wrapText="1"/>
    </xf>
    <xf numFmtId="176" fontId="31" fillId="0" borderId="42" xfId="0" applyNumberFormat="1" applyFont="1" applyBorder="1" applyAlignment="1">
      <alignment horizontal="left" vertical="center" wrapText="1" shrinkToFit="1"/>
    </xf>
    <xf numFmtId="176" fontId="4" fillId="0" borderId="42" xfId="0" applyNumberFormat="1" applyFont="1" applyBorder="1" applyAlignment="1">
      <alignment horizontal="left" vertical="center" wrapText="1" shrinkToFit="1"/>
    </xf>
    <xf numFmtId="0" fontId="47" fillId="0" borderId="42" xfId="0" applyFont="1" applyBorder="1" applyAlignment="1">
      <alignment vertical="center" wrapText="1"/>
    </xf>
    <xf numFmtId="176" fontId="23" fillId="0" borderId="42" xfId="0" applyNumberFormat="1" applyFont="1" applyBorder="1" applyAlignment="1">
      <alignment horizontal="left" vertical="center" wrapText="1" shrinkToFit="1"/>
    </xf>
    <xf numFmtId="0" fontId="46" fillId="0" borderId="42" xfId="0" applyFont="1" applyBorder="1" applyAlignment="1">
      <alignment horizontal="right" vertical="center" shrinkToFit="1"/>
    </xf>
    <xf numFmtId="176" fontId="23" fillId="0" borderId="42" xfId="0" applyNumberFormat="1" applyFont="1" applyBorder="1" applyAlignment="1">
      <alignment horizontal="right" vertical="center" shrinkToFit="1"/>
    </xf>
    <xf numFmtId="176" fontId="23" fillId="0" borderId="32" xfId="0" applyNumberFormat="1" applyFont="1" applyBorder="1" applyAlignment="1">
      <alignment horizontal="right" vertical="center" shrinkToFit="1"/>
    </xf>
    <xf numFmtId="0" fontId="46" fillId="0" borderId="4" xfId="0" applyFont="1" applyBorder="1" applyAlignment="1">
      <alignment horizontal="right" vertical="center" shrinkToFit="1"/>
    </xf>
    <xf numFmtId="0" fontId="0" fillId="8" borderId="0" xfId="0" applyFill="1" applyAlignment="1">
      <alignment vertical="center"/>
    </xf>
    <xf numFmtId="0" fontId="5" fillId="0" borderId="43" xfId="0" applyFont="1" applyBorder="1" applyAlignment="1">
      <alignment vertical="center" wrapText="1"/>
    </xf>
    <xf numFmtId="183" fontId="0" fillId="0" borderId="0" xfId="0" applyNumberFormat="1" applyAlignment="1">
      <alignment horizontal="center" vertical="center"/>
    </xf>
    <xf numFmtId="186" fontId="0" fillId="0" borderId="0" xfId="0" applyNumberFormat="1" applyAlignment="1">
      <alignment vertical="center"/>
    </xf>
    <xf numFmtId="187" fontId="0" fillId="0" borderId="0" xfId="0" applyNumberFormat="1" applyAlignment="1">
      <alignment vertical="center"/>
    </xf>
    <xf numFmtId="0" fontId="49" fillId="0" borderId="0" xfId="0" applyFont="1" applyAlignment="1">
      <alignment vertical="center"/>
    </xf>
    <xf numFmtId="0" fontId="49" fillId="0" borderId="0" xfId="0" applyFont="1" applyAlignment="1">
      <alignment horizontal="center" vertical="center"/>
    </xf>
    <xf numFmtId="176" fontId="5" fillId="0" borderId="43" xfId="0" applyNumberFormat="1" applyFont="1" applyBorder="1" applyAlignment="1">
      <alignment horizontal="right" vertical="center" shrinkToFit="1"/>
    </xf>
    <xf numFmtId="0" fontId="0" fillId="3" borderId="0" xfId="0" applyFill="1" applyAlignment="1">
      <alignment horizontal="center" vertical="center"/>
    </xf>
    <xf numFmtId="176" fontId="24" fillId="0" borderId="42" xfId="0" applyNumberFormat="1" applyFont="1" applyBorder="1" applyAlignment="1">
      <alignment horizontal="left" vertical="center" wrapText="1" shrinkToFit="1"/>
    </xf>
    <xf numFmtId="176" fontId="5" fillId="0" borderId="43" xfId="0" applyNumberFormat="1" applyFont="1" applyBorder="1" applyAlignment="1">
      <alignment vertical="center" wrapText="1"/>
    </xf>
    <xf numFmtId="0" fontId="46" fillId="0" borderId="18" xfId="0" applyFont="1" applyBorder="1" applyAlignment="1">
      <alignment horizontal="right" vertical="center" shrinkToFit="1"/>
    </xf>
    <xf numFmtId="0" fontId="50" fillId="0" borderId="19" xfId="0" applyFont="1" applyBorder="1" applyAlignment="1">
      <alignment vertical="center" wrapText="1"/>
    </xf>
    <xf numFmtId="0" fontId="51" fillId="0" borderId="19" xfId="0" applyFont="1" applyBorder="1" applyAlignment="1">
      <alignment horizontal="center" vertical="center" wrapText="1" shrinkToFit="1"/>
    </xf>
    <xf numFmtId="176" fontId="23" fillId="0" borderId="19" xfId="0" applyNumberFormat="1" applyFont="1" applyBorder="1" applyAlignment="1">
      <alignment horizontal="left" vertical="center" wrapText="1" shrinkToFit="1"/>
    </xf>
    <xf numFmtId="0" fontId="46" fillId="0" borderId="20" xfId="0" applyFont="1" applyBorder="1" applyAlignment="1">
      <alignment horizontal="right" vertical="center" shrinkToFit="1"/>
    </xf>
    <xf numFmtId="0" fontId="50" fillId="0" borderId="21" xfId="0" applyFont="1" applyBorder="1" applyAlignment="1">
      <alignment vertical="center" wrapText="1"/>
    </xf>
    <xf numFmtId="0" fontId="51" fillId="0" borderId="21" xfId="0" applyFont="1" applyBorder="1" applyAlignment="1">
      <alignment horizontal="center" vertical="center" wrapText="1" shrinkToFit="1"/>
    </xf>
    <xf numFmtId="176" fontId="23" fillId="0" borderId="21" xfId="0" applyNumberFormat="1" applyFont="1" applyBorder="1" applyAlignment="1">
      <alignment horizontal="left" vertical="center" wrapText="1" shrinkToFit="1"/>
    </xf>
    <xf numFmtId="188" fontId="0" fillId="0" borderId="0" xfId="0" applyNumberFormat="1" applyAlignment="1">
      <alignment horizontal="center" vertical="center"/>
    </xf>
    <xf numFmtId="0" fontId="52" fillId="3" borderId="0" xfId="0" applyFont="1" applyFill="1" applyAlignment="1">
      <alignment horizontal="center" vertical="center"/>
    </xf>
    <xf numFmtId="0" fontId="52" fillId="0" borderId="0" xfId="0" applyFont="1" applyAlignment="1">
      <alignment wrapText="1"/>
    </xf>
    <xf numFmtId="0" fontId="2" fillId="0" borderId="45" xfId="0" applyFont="1" applyBorder="1" applyAlignment="1">
      <alignment horizontal="right" vertical="center" shrinkToFit="1"/>
    </xf>
    <xf numFmtId="0" fontId="2" fillId="0" borderId="45" xfId="0" applyFont="1" applyBorder="1" applyAlignment="1">
      <alignment vertical="center" wrapText="1"/>
    </xf>
    <xf numFmtId="0" fontId="6" fillId="0" borderId="45" xfId="0" applyFont="1" applyBorder="1" applyAlignment="1">
      <alignment horizontal="center" vertical="center" wrapText="1" shrinkToFit="1"/>
    </xf>
    <xf numFmtId="176" fontId="5" fillId="0" borderId="45" xfId="0" applyNumberFormat="1" applyFont="1" applyBorder="1" applyAlignment="1">
      <alignment horizontal="right" vertical="center" shrinkToFit="1"/>
    </xf>
    <xf numFmtId="176" fontId="5" fillId="0" borderId="45" xfId="0" applyNumberFormat="1" applyFont="1" applyBorder="1" applyAlignment="1">
      <alignment horizontal="left" vertical="center" wrapText="1" shrinkToFit="1"/>
    </xf>
    <xf numFmtId="0" fontId="50" fillId="0" borderId="18" xfId="0" applyFont="1" applyBorder="1" applyAlignment="1">
      <alignment vertical="center" wrapText="1"/>
    </xf>
    <xf numFmtId="0" fontId="51" fillId="0" borderId="18" xfId="0" applyFont="1" applyBorder="1" applyAlignment="1">
      <alignment horizontal="center" vertical="center" wrapText="1" shrinkToFit="1"/>
    </xf>
    <xf numFmtId="176" fontId="19" fillId="0" borderId="18" xfId="0" applyNumberFormat="1" applyFont="1" applyBorder="1" applyAlignment="1">
      <alignment horizontal="right" vertical="center" shrinkToFit="1"/>
    </xf>
    <xf numFmtId="0" fontId="2" fillId="0" borderId="47" xfId="0" applyFont="1" applyBorder="1" applyAlignment="1">
      <alignment horizontal="right" vertical="center" shrinkToFit="1"/>
    </xf>
    <xf numFmtId="0" fontId="2" fillId="0" borderId="47" xfId="0" applyFont="1" applyBorder="1" applyAlignment="1">
      <alignment vertical="center" wrapText="1"/>
    </xf>
    <xf numFmtId="0" fontId="6" fillId="0" borderId="47" xfId="0" applyFont="1" applyBorder="1" applyAlignment="1">
      <alignment horizontal="center" vertical="center" wrapText="1" shrinkToFit="1"/>
    </xf>
    <xf numFmtId="176" fontId="5" fillId="0" borderId="47" xfId="0" applyNumberFormat="1" applyFont="1" applyBorder="1" applyAlignment="1">
      <alignment horizontal="right" vertical="center" shrinkToFit="1"/>
    </xf>
    <xf numFmtId="176" fontId="5" fillId="0" borderId="47" xfId="0" applyNumberFormat="1" applyFont="1" applyBorder="1" applyAlignment="1">
      <alignment horizontal="left" vertical="center" wrapText="1" shrinkToFit="1"/>
    </xf>
    <xf numFmtId="0" fontId="5" fillId="0" borderId="14" xfId="0" applyFont="1" applyBorder="1" applyAlignment="1">
      <alignment vertical="center" wrapText="1"/>
    </xf>
    <xf numFmtId="176" fontId="31" fillId="0" borderId="34" xfId="0" applyNumberFormat="1" applyFont="1" applyBorder="1" applyAlignment="1">
      <alignment vertical="center" wrapText="1"/>
    </xf>
    <xf numFmtId="176" fontId="5" fillId="0" borderId="34" xfId="0" applyNumberFormat="1" applyFont="1" applyBorder="1" applyAlignment="1">
      <alignment horizontal="center" vertical="center" wrapText="1"/>
    </xf>
    <xf numFmtId="0" fontId="55" fillId="0" borderId="0" xfId="0" applyFont="1" applyAlignment="1">
      <alignment vertical="center"/>
    </xf>
    <xf numFmtId="0" fontId="56" fillId="0" borderId="0" xfId="0" applyFont="1" applyAlignment="1">
      <alignment horizontal="center" vertical="center"/>
    </xf>
    <xf numFmtId="0" fontId="57" fillId="0" borderId="35" xfId="0" applyFont="1" applyBorder="1" applyAlignment="1">
      <alignment vertical="center"/>
    </xf>
    <xf numFmtId="176" fontId="24" fillId="0" borderId="35" xfId="0" applyNumberFormat="1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181" fontId="24" fillId="0" borderId="35" xfId="0" applyNumberFormat="1" applyFont="1" applyBorder="1" applyAlignment="1">
      <alignment vertical="center"/>
    </xf>
    <xf numFmtId="0" fontId="58" fillId="0" borderId="35" xfId="0" applyFont="1" applyBorder="1" applyAlignment="1">
      <alignment vertical="center"/>
    </xf>
    <xf numFmtId="0" fontId="0" fillId="0" borderId="0" xfId="0" applyAlignment="1">
      <alignment horizontal="center"/>
    </xf>
    <xf numFmtId="43" fontId="31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 wrapText="1"/>
    </xf>
    <xf numFmtId="176" fontId="7" fillId="0" borderId="0" xfId="0" applyNumberFormat="1" applyFont="1"/>
    <xf numFmtId="176" fontId="31" fillId="0" borderId="47" xfId="0" applyNumberFormat="1" applyFont="1" applyBorder="1" applyAlignment="1">
      <alignment horizontal="left" vertical="center" wrapText="1" shrinkToFit="1"/>
    </xf>
    <xf numFmtId="176" fontId="23" fillId="0" borderId="23" xfId="0" applyNumberFormat="1" applyFont="1" applyBorder="1" applyAlignment="1">
      <alignment horizontal="left" vertical="center" wrapText="1" shrinkToFit="1"/>
    </xf>
    <xf numFmtId="176" fontId="5" fillId="0" borderId="14" xfId="0" applyNumberFormat="1" applyFont="1" applyBorder="1" applyAlignment="1">
      <alignment horizontal="right" vertical="center" shrinkToFit="1"/>
    </xf>
    <xf numFmtId="0" fontId="2" fillId="4" borderId="47" xfId="0" applyFont="1" applyFill="1" applyBorder="1" applyAlignment="1">
      <alignment horizontal="right" vertical="center" shrinkToFit="1"/>
    </xf>
    <xf numFmtId="0" fontId="2" fillId="4" borderId="47" xfId="0" applyFont="1" applyFill="1" applyBorder="1" applyAlignment="1">
      <alignment vertical="center" wrapText="1"/>
    </xf>
    <xf numFmtId="0" fontId="6" fillId="4" borderId="47" xfId="0" applyFont="1" applyFill="1" applyBorder="1" applyAlignment="1">
      <alignment horizontal="center" vertical="center" wrapText="1" shrinkToFit="1"/>
    </xf>
    <xf numFmtId="176" fontId="5" fillId="4" borderId="47" xfId="0" applyNumberFormat="1" applyFont="1" applyFill="1" applyBorder="1" applyAlignment="1">
      <alignment horizontal="right" vertical="center" shrinkToFit="1"/>
    </xf>
    <xf numFmtId="176" fontId="31" fillId="4" borderId="47" xfId="0" applyNumberFormat="1" applyFont="1" applyFill="1" applyBorder="1" applyAlignment="1">
      <alignment horizontal="left" vertical="center" wrapText="1" shrinkToFit="1"/>
    </xf>
    <xf numFmtId="176" fontId="5" fillId="4" borderId="47" xfId="0" applyNumberFormat="1" applyFont="1" applyFill="1" applyBorder="1" applyAlignment="1">
      <alignment horizontal="left" vertical="center" wrapText="1" shrinkToFit="1"/>
    </xf>
    <xf numFmtId="0" fontId="24" fillId="4" borderId="15" xfId="0" applyFont="1" applyFill="1" applyBorder="1" applyAlignment="1">
      <alignment vertical="center"/>
    </xf>
    <xf numFmtId="176" fontId="5" fillId="4" borderId="14" xfId="0" applyNumberFormat="1" applyFont="1" applyFill="1" applyBorder="1" applyAlignment="1">
      <alignment horizontal="right" vertical="center" shrinkToFit="1"/>
    </xf>
    <xf numFmtId="0" fontId="5" fillId="4" borderId="0" xfId="0" applyFont="1" applyFill="1" applyAlignment="1">
      <alignment vertical="center"/>
    </xf>
    <xf numFmtId="0" fontId="7" fillId="4" borderId="0" xfId="0" applyFont="1" applyFill="1"/>
    <xf numFmtId="0" fontId="2" fillId="4" borderId="4" xfId="0" applyFont="1" applyFill="1" applyBorder="1" applyAlignment="1">
      <alignment horizontal="right" vertical="center" shrinkToFit="1"/>
    </xf>
    <xf numFmtId="0" fontId="2" fillId="4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 shrinkToFit="1"/>
    </xf>
    <xf numFmtId="176" fontId="5" fillId="4" borderId="4" xfId="0" applyNumberFormat="1" applyFont="1" applyFill="1" applyBorder="1" applyAlignment="1">
      <alignment horizontal="right" vertical="center" shrinkToFit="1"/>
    </xf>
    <xf numFmtId="176" fontId="5" fillId="4" borderId="4" xfId="0" applyNumberFormat="1" applyFont="1" applyFill="1" applyBorder="1" applyAlignment="1">
      <alignment horizontal="left" vertical="center" wrapText="1" shrinkToFit="1"/>
    </xf>
    <xf numFmtId="43" fontId="4" fillId="4" borderId="0" xfId="2" applyFont="1" applyFill="1" applyAlignment="1">
      <alignment vertical="center"/>
    </xf>
    <xf numFmtId="176" fontId="31" fillId="4" borderId="47" xfId="0" applyNumberFormat="1" applyFont="1" applyFill="1" applyBorder="1" applyAlignment="1">
      <alignment horizontal="right" vertical="center" shrinkToFit="1"/>
    </xf>
    <xf numFmtId="176" fontId="24" fillId="0" borderId="15" xfId="0" applyNumberFormat="1" applyFont="1" applyBorder="1" applyAlignment="1">
      <alignment vertical="center"/>
    </xf>
    <xf numFmtId="0" fontId="50" fillId="0" borderId="18" xfId="0" applyFont="1" applyBorder="1" applyAlignment="1">
      <alignment horizontal="right" vertical="center" shrinkToFit="1"/>
    </xf>
    <xf numFmtId="176" fontId="19" fillId="0" borderId="48" xfId="0" applyNumberFormat="1" applyFont="1" applyBorder="1" applyAlignment="1">
      <alignment horizontal="right" vertical="center" shrinkToFit="1"/>
    </xf>
    <xf numFmtId="176" fontId="24" fillId="0" borderId="49" xfId="0" applyNumberFormat="1" applyFont="1" applyBorder="1" applyAlignment="1">
      <alignment vertical="center"/>
    </xf>
    <xf numFmtId="176" fontId="24" fillId="4" borderId="15" xfId="0" applyNumberFormat="1" applyFont="1" applyFill="1" applyBorder="1" applyAlignment="1">
      <alignment vertical="center"/>
    </xf>
    <xf numFmtId="0" fontId="24" fillId="0" borderId="35" xfId="0" applyFont="1" applyBorder="1" applyAlignment="1">
      <alignment vertical="center" wrapText="1"/>
    </xf>
    <xf numFmtId="0" fontId="24" fillId="4" borderId="14" xfId="0" applyFont="1" applyFill="1" applyBorder="1" applyAlignment="1">
      <alignment horizontal="center" vertical="center" wrapText="1"/>
    </xf>
    <xf numFmtId="0" fontId="24" fillId="4" borderId="14" xfId="0" applyFont="1" applyFill="1" applyBorder="1" applyAlignment="1">
      <alignment horizontal="right" vertical="center" wrapText="1"/>
    </xf>
    <xf numFmtId="176" fontId="24" fillId="4" borderId="47" xfId="0" applyNumberFormat="1" applyFont="1" applyFill="1" applyBorder="1" applyAlignment="1">
      <alignment horizontal="right" vertical="center" wrapText="1" shrinkToFit="1"/>
    </xf>
    <xf numFmtId="176" fontId="24" fillId="13" borderId="18" xfId="0" applyNumberFormat="1" applyFont="1" applyFill="1" applyBorder="1" applyAlignment="1">
      <alignment horizontal="right" vertical="center" wrapText="1" shrinkToFit="1"/>
    </xf>
    <xf numFmtId="176" fontId="19" fillId="13" borderId="19" xfId="0" applyNumberFormat="1" applyFont="1" applyFill="1" applyBorder="1" applyAlignment="1">
      <alignment horizontal="right" vertical="center" shrinkToFit="1"/>
    </xf>
    <xf numFmtId="0" fontId="24" fillId="13" borderId="48" xfId="0" applyFont="1" applyFill="1" applyBorder="1" applyAlignment="1">
      <alignment horizontal="center" vertical="center" wrapText="1"/>
    </xf>
    <xf numFmtId="176" fontId="5" fillId="0" borderId="14" xfId="0" applyNumberFormat="1" applyFont="1" applyBorder="1" applyAlignment="1">
      <alignment vertical="center" wrapText="1"/>
    </xf>
    <xf numFmtId="0" fontId="2" fillId="4" borderId="42" xfId="0" applyFont="1" applyFill="1" applyBorder="1" applyAlignment="1">
      <alignment horizontal="right" vertical="center" shrinkToFit="1"/>
    </xf>
    <xf numFmtId="0" fontId="6" fillId="4" borderId="42" xfId="0" applyFont="1" applyFill="1" applyBorder="1" applyAlignment="1">
      <alignment vertical="center" wrapText="1"/>
    </xf>
    <xf numFmtId="0" fontId="6" fillId="4" borderId="42" xfId="0" applyFont="1" applyFill="1" applyBorder="1" applyAlignment="1">
      <alignment horizontal="center" vertical="center" wrapText="1" shrinkToFit="1"/>
    </xf>
    <xf numFmtId="176" fontId="5" fillId="4" borderId="42" xfId="0" applyNumberFormat="1" applyFont="1" applyFill="1" applyBorder="1" applyAlignment="1">
      <alignment horizontal="right" vertical="center" shrinkToFit="1"/>
    </xf>
    <xf numFmtId="176" fontId="31" fillId="4" borderId="42" xfId="0" applyNumberFormat="1" applyFont="1" applyFill="1" applyBorder="1" applyAlignment="1">
      <alignment horizontal="left" vertical="center" wrapText="1" shrinkToFit="1"/>
    </xf>
    <xf numFmtId="176" fontId="5" fillId="4" borderId="42" xfId="0" applyNumberFormat="1" applyFont="1" applyFill="1" applyBorder="1" applyAlignment="1">
      <alignment horizontal="left" vertical="center" wrapText="1" shrinkToFit="1"/>
    </xf>
    <xf numFmtId="176" fontId="31" fillId="4" borderId="4" xfId="0" applyNumberFormat="1" applyFont="1" applyFill="1" applyBorder="1" applyAlignment="1">
      <alignment horizontal="left" vertical="center" wrapText="1" shrinkToFit="1"/>
    </xf>
    <xf numFmtId="176" fontId="23" fillId="4" borderId="42" xfId="0" applyNumberFormat="1" applyFont="1" applyFill="1" applyBorder="1" applyAlignment="1">
      <alignment horizontal="right" vertical="center" shrinkToFit="1"/>
    </xf>
    <xf numFmtId="0" fontId="24" fillId="4" borderId="0" xfId="0" applyFont="1" applyFill="1" applyAlignment="1">
      <alignment vertical="center"/>
    </xf>
    <xf numFmtId="176" fontId="24" fillId="4" borderId="35" xfId="0" applyNumberFormat="1" applyFont="1" applyFill="1" applyBorder="1" applyAlignment="1">
      <alignment vertical="center"/>
    </xf>
    <xf numFmtId="2" fontId="23" fillId="0" borderId="34" xfId="0" applyNumberFormat="1" applyFont="1" applyBorder="1" applyAlignment="1">
      <alignment vertical="center" wrapText="1"/>
    </xf>
    <xf numFmtId="176" fontId="4" fillId="4" borderId="34" xfId="0" applyNumberFormat="1" applyFont="1" applyFill="1" applyBorder="1" applyAlignment="1">
      <alignment vertical="center" wrapText="1"/>
    </xf>
    <xf numFmtId="0" fontId="2" fillId="0" borderId="51" xfId="0" applyFont="1" applyBorder="1" applyAlignment="1">
      <alignment horizontal="right" vertical="center" shrinkToFit="1"/>
    </xf>
    <xf numFmtId="0" fontId="2" fillId="0" borderId="51" xfId="0" applyFont="1" applyBorder="1" applyAlignment="1">
      <alignment vertical="center" wrapText="1"/>
    </xf>
    <xf numFmtId="0" fontId="6" fillId="0" borderId="51" xfId="0" applyFont="1" applyBorder="1" applyAlignment="1">
      <alignment horizontal="center" vertical="center" wrapText="1" shrinkToFit="1"/>
    </xf>
    <xf numFmtId="176" fontId="5" fillId="0" borderId="51" xfId="0" applyNumberFormat="1" applyFont="1" applyBorder="1" applyAlignment="1">
      <alignment horizontal="right" vertical="center" shrinkToFit="1"/>
    </xf>
    <xf numFmtId="176" fontId="5" fillId="0" borderId="51" xfId="0" applyNumberFormat="1" applyFont="1" applyBorder="1" applyAlignment="1">
      <alignment horizontal="left" vertical="center" wrapText="1" shrinkToFit="1"/>
    </xf>
    <xf numFmtId="176" fontId="4" fillId="0" borderId="51" xfId="0" applyNumberFormat="1" applyFont="1" applyBorder="1" applyAlignment="1">
      <alignment horizontal="left" vertical="center" wrapText="1" shrinkToFit="1"/>
    </xf>
    <xf numFmtId="176" fontId="4" fillId="0" borderId="51" xfId="0" applyNumberFormat="1" applyFont="1" applyBorder="1" applyAlignment="1">
      <alignment horizontal="right" vertical="center" shrinkToFit="1"/>
    </xf>
    <xf numFmtId="0" fontId="5" fillId="0" borderId="52" xfId="0" applyFont="1" applyBorder="1" applyAlignment="1">
      <alignment vertical="center" wrapText="1"/>
    </xf>
    <xf numFmtId="0" fontId="24" fillId="0" borderId="53" xfId="0" applyFont="1" applyBorder="1" applyAlignment="1">
      <alignment vertical="center"/>
    </xf>
    <xf numFmtId="0" fontId="61" fillId="0" borderId="0" xfId="0" applyFont="1" applyAlignment="1">
      <alignment horizontal="right" vertical="center"/>
    </xf>
    <xf numFmtId="0" fontId="61" fillId="0" borderId="55" xfId="0" applyFont="1" applyBorder="1" applyAlignment="1">
      <alignment horizontal="center" vertical="center" wrapText="1"/>
    </xf>
    <xf numFmtId="0" fontId="61" fillId="0" borderId="56" xfId="0" applyFont="1" applyBorder="1" applyAlignment="1">
      <alignment horizontal="center" vertical="center" wrapText="1"/>
    </xf>
    <xf numFmtId="0" fontId="61" fillId="0" borderId="57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62" fillId="0" borderId="58" xfId="0" applyNumberFormat="1" applyFont="1" applyBorder="1" applyAlignment="1">
      <alignment horizontal="center" vertical="center" shrinkToFit="1"/>
    </xf>
    <xf numFmtId="49" fontId="62" fillId="0" borderId="49" xfId="0" applyNumberFormat="1" applyFont="1" applyBorder="1" applyAlignment="1">
      <alignment horizontal="left" vertical="center" wrapText="1"/>
    </xf>
    <xf numFmtId="49" fontId="62" fillId="0" borderId="49" xfId="0" applyNumberFormat="1" applyFont="1" applyBorder="1" applyAlignment="1">
      <alignment horizontal="center" vertical="center" wrapText="1"/>
    </xf>
    <xf numFmtId="176" fontId="22" fillId="0" borderId="49" xfId="0" applyNumberFormat="1" applyFont="1" applyBorder="1" applyAlignment="1">
      <alignment horizontal="right" vertical="center" shrinkToFit="1"/>
    </xf>
    <xf numFmtId="49" fontId="63" fillId="0" borderId="59" xfId="0" applyNumberFormat="1" applyFont="1" applyBorder="1" applyAlignment="1">
      <alignment horizontal="left" vertical="center" wrapText="1"/>
    </xf>
    <xf numFmtId="0" fontId="61" fillId="4" borderId="56" xfId="0" applyFont="1" applyFill="1" applyBorder="1" applyAlignment="1">
      <alignment horizontal="center" vertical="center" wrapText="1"/>
    </xf>
    <xf numFmtId="181" fontId="22" fillId="0" borderId="49" xfId="0" applyNumberFormat="1" applyFont="1" applyBorder="1" applyAlignment="1">
      <alignment horizontal="right" vertical="center" shrinkToFit="1"/>
    </xf>
    <xf numFmtId="49" fontId="64" fillId="0" borderId="59" xfId="0" applyNumberFormat="1" applyFont="1" applyBorder="1" applyAlignment="1">
      <alignment horizontal="left" vertical="center" wrapText="1"/>
    </xf>
    <xf numFmtId="176" fontId="31" fillId="0" borderId="32" xfId="0" applyNumberFormat="1" applyFont="1" applyBorder="1" applyAlignment="1">
      <alignment horizontal="left" vertical="center" wrapText="1" shrinkToFit="1"/>
    </xf>
    <xf numFmtId="176" fontId="31" fillId="0" borderId="32" xfId="0" applyNumberFormat="1" applyFont="1" applyBorder="1" applyAlignment="1">
      <alignment horizontal="right" vertical="center" shrinkToFit="1"/>
    </xf>
    <xf numFmtId="191" fontId="61" fillId="4" borderId="56" xfId="0" applyNumberFormat="1" applyFont="1" applyFill="1" applyBorder="1" applyAlignment="1">
      <alignment horizontal="center" vertical="center" wrapText="1"/>
    </xf>
    <xf numFmtId="191" fontId="22" fillId="0" borderId="49" xfId="0" applyNumberFormat="1" applyFont="1" applyBorder="1" applyAlignment="1">
      <alignment horizontal="right" vertical="center" shrinkToFit="1"/>
    </xf>
    <xf numFmtId="191" fontId="0" fillId="0" borderId="0" xfId="0" applyNumberFormat="1" applyAlignment="1">
      <alignment vertical="center"/>
    </xf>
    <xf numFmtId="0" fontId="0" fillId="11" borderId="0" xfId="0" applyFill="1" applyAlignment="1">
      <alignment vertical="center"/>
    </xf>
    <xf numFmtId="0" fontId="20" fillId="11" borderId="0" xfId="0" applyFont="1" applyFill="1" applyAlignment="1">
      <alignment vertical="center"/>
    </xf>
    <xf numFmtId="0" fontId="49" fillId="11" borderId="0" xfId="0" applyFont="1" applyFill="1" applyAlignment="1">
      <alignment horizontal="center" vertical="center"/>
    </xf>
    <xf numFmtId="0" fontId="49" fillId="11" borderId="0" xfId="0" applyFont="1" applyFill="1" applyAlignment="1">
      <alignment vertical="center"/>
    </xf>
    <xf numFmtId="0" fontId="38" fillId="14" borderId="0" xfId="0" applyFont="1" applyFill="1"/>
    <xf numFmtId="0" fontId="0" fillId="14" borderId="0" xfId="0" applyFill="1" applyAlignment="1">
      <alignment vertical="center"/>
    </xf>
    <xf numFmtId="186" fontId="0" fillId="14" borderId="0" xfId="0" applyNumberFormat="1" applyFill="1" applyAlignment="1">
      <alignment vertical="center"/>
    </xf>
    <xf numFmtId="0" fontId="0" fillId="14" borderId="0" xfId="0" applyFill="1" applyAlignment="1">
      <alignment horizontal="center" vertical="center"/>
    </xf>
    <xf numFmtId="0" fontId="6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15" xfId="0" applyBorder="1" applyAlignment="1">
      <alignment horizontal="center" vertical="center" wrapText="1"/>
    </xf>
    <xf numFmtId="191" fontId="0" fillId="0" borderId="15" xfId="0" applyNumberFormat="1" applyBorder="1" applyAlignment="1">
      <alignment vertical="center"/>
    </xf>
    <xf numFmtId="0" fontId="20" fillId="0" borderId="15" xfId="0" applyFont="1" applyBorder="1" applyAlignment="1">
      <alignment vertical="center"/>
    </xf>
    <xf numFmtId="176" fontId="0" fillId="0" borderId="15" xfId="0" applyNumberFormat="1" applyBorder="1" applyAlignment="1">
      <alignment vertical="center"/>
    </xf>
    <xf numFmtId="176" fontId="20" fillId="0" borderId="15" xfId="0" applyNumberFormat="1" applyFont="1" applyBorder="1" applyAlignment="1">
      <alignment horizontal="center" vertical="center"/>
    </xf>
    <xf numFmtId="181" fontId="0" fillId="0" borderId="15" xfId="0" applyNumberFormat="1" applyBorder="1" applyAlignment="1">
      <alignment vertical="center"/>
    </xf>
    <xf numFmtId="0" fontId="80" fillId="0" borderId="63" xfId="3" applyFont="1" applyFill="1" applyBorder="1" applyAlignment="1">
      <alignment vertical="center" wrapText="1"/>
    </xf>
    <xf numFmtId="0" fontId="6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8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71" fillId="0" borderId="0" xfId="0" applyFont="1" applyAlignment="1">
      <alignment vertical="center"/>
    </xf>
    <xf numFmtId="176" fontId="68" fillId="0" borderId="0" xfId="0" applyNumberFormat="1" applyFont="1" applyAlignment="1">
      <alignment vertical="center" wrapText="1"/>
    </xf>
    <xf numFmtId="0" fontId="5" fillId="0" borderId="14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68" fillId="0" borderId="61" xfId="0" applyFont="1" applyBorder="1" applyAlignment="1">
      <alignment vertical="center" wrapText="1"/>
    </xf>
    <xf numFmtId="0" fontId="74" fillId="0" borderId="0" xfId="0" applyFont="1" applyAlignment="1">
      <alignment vertical="center"/>
    </xf>
    <xf numFmtId="0" fontId="6" fillId="0" borderId="42" xfId="0" applyFont="1" applyBorder="1" applyAlignment="1">
      <alignment horizontal="center" vertical="center" shrinkToFit="1"/>
    </xf>
    <xf numFmtId="0" fontId="6" fillId="0" borderId="42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center" vertical="center" wrapText="1"/>
    </xf>
    <xf numFmtId="176" fontId="13" fillId="0" borderId="42" xfId="0" applyNumberFormat="1" applyFont="1" applyBorder="1" applyAlignment="1">
      <alignment vertical="center" shrinkToFit="1"/>
    </xf>
    <xf numFmtId="176" fontId="76" fillId="0" borderId="42" xfId="0" applyNumberFormat="1" applyFont="1" applyBorder="1" applyAlignment="1">
      <alignment vertical="center" shrinkToFit="1"/>
    </xf>
    <xf numFmtId="176" fontId="68" fillId="0" borderId="62" xfId="0" applyNumberFormat="1" applyFont="1" applyBorder="1" applyAlignment="1">
      <alignment vertical="center" wrapText="1"/>
    </xf>
    <xf numFmtId="0" fontId="68" fillId="0" borderId="63" xfId="0" applyFont="1" applyBorder="1" applyAlignment="1">
      <alignment vertical="center" wrapText="1"/>
    </xf>
    <xf numFmtId="176" fontId="77" fillId="0" borderId="42" xfId="0" applyNumberFormat="1" applyFont="1" applyBorder="1" applyAlignment="1">
      <alignment vertical="center" shrinkToFit="1"/>
    </xf>
    <xf numFmtId="0" fontId="68" fillId="0" borderId="62" xfId="0" applyFont="1" applyBorder="1" applyAlignment="1">
      <alignment vertical="center" wrapText="1"/>
    </xf>
    <xf numFmtId="0" fontId="68" fillId="0" borderId="0" xfId="0" applyFont="1" applyAlignment="1">
      <alignment vertical="center"/>
    </xf>
    <xf numFmtId="0" fontId="7" fillId="0" borderId="42" xfId="0" applyFont="1" applyBorder="1" applyAlignment="1">
      <alignment horizontal="center" vertical="center" shrinkToFit="1"/>
    </xf>
    <xf numFmtId="0" fontId="7" fillId="0" borderId="42" xfId="0" applyFont="1" applyBorder="1" applyAlignment="1">
      <alignment horizontal="left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2" xfId="0" applyFont="1" applyBorder="1" applyAlignment="1">
      <alignment vertical="center" wrapText="1"/>
    </xf>
    <xf numFmtId="0" fontId="78" fillId="0" borderId="0" xfId="0" applyFont="1" applyAlignment="1">
      <alignment vertical="center" wrapText="1"/>
    </xf>
    <xf numFmtId="0" fontId="80" fillId="0" borderId="62" xfId="4" applyFont="1" applyBorder="1" applyAlignment="1">
      <alignment horizontal="left" vertical="center" wrapText="1"/>
    </xf>
    <xf numFmtId="0" fontId="80" fillId="0" borderId="63" xfId="0" applyFont="1" applyBorder="1" applyAlignment="1">
      <alignment vertical="center" wrapText="1"/>
    </xf>
    <xf numFmtId="0" fontId="27" fillId="0" borderId="42" xfId="0" applyFont="1" applyBorder="1" applyAlignment="1">
      <alignment vertical="center" wrapText="1"/>
    </xf>
    <xf numFmtId="0" fontId="81" fillId="0" borderId="63" xfId="0" applyFont="1" applyBorder="1" applyAlignment="1">
      <alignment vertical="center" wrapText="1"/>
    </xf>
    <xf numFmtId="0" fontId="30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0" fontId="80" fillId="0" borderId="62" xfId="0" applyFont="1" applyBorder="1" applyAlignment="1">
      <alignment vertical="center" wrapText="1"/>
    </xf>
    <xf numFmtId="0" fontId="83" fillId="0" borderId="62" xfId="0" applyFont="1" applyBorder="1" applyAlignment="1">
      <alignment vertical="center" wrapText="1"/>
    </xf>
    <xf numFmtId="0" fontId="83" fillId="0" borderId="0" xfId="0" applyFont="1" applyAlignment="1">
      <alignment vertical="center"/>
    </xf>
    <xf numFmtId="0" fontId="84" fillId="0" borderId="0" xfId="0" applyFont="1" applyAlignment="1">
      <alignment vertical="center" wrapText="1"/>
    </xf>
    <xf numFmtId="0" fontId="80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0" fontId="86" fillId="0" borderId="63" xfId="0" applyFont="1" applyBorder="1" applyAlignment="1">
      <alignment vertical="center" wrapText="1"/>
    </xf>
    <xf numFmtId="0" fontId="82" fillId="0" borderId="0" xfId="0" applyFont="1" applyAlignment="1">
      <alignment vertical="center" wrapText="1"/>
    </xf>
    <xf numFmtId="0" fontId="32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88" fillId="0" borderId="62" xfId="0" applyFont="1" applyBorder="1" applyAlignment="1">
      <alignment vertical="center" wrapText="1"/>
    </xf>
    <xf numFmtId="0" fontId="33" fillId="0" borderId="63" xfId="0" applyFont="1" applyBorder="1" applyAlignment="1">
      <alignment vertical="center" wrapText="1"/>
    </xf>
    <xf numFmtId="0" fontId="89" fillId="0" borderId="63" xfId="0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88" fillId="0" borderId="0" xfId="0" applyFont="1" applyAlignment="1">
      <alignment vertical="center"/>
    </xf>
    <xf numFmtId="0" fontId="88" fillId="0" borderId="0" xfId="0" applyFont="1" applyAlignment="1">
      <alignment vertical="center" wrapText="1"/>
    </xf>
    <xf numFmtId="0" fontId="90" fillId="0" borderId="63" xfId="0" applyFont="1" applyBorder="1" applyAlignment="1">
      <alignment vertical="center" wrapText="1"/>
    </xf>
    <xf numFmtId="0" fontId="83" fillId="0" borderId="0" xfId="0" applyFont="1" applyAlignment="1">
      <alignment vertical="center" wrapText="1"/>
    </xf>
    <xf numFmtId="0" fontId="89" fillId="0" borderId="0" xfId="0" applyFont="1" applyAlignment="1">
      <alignment vertical="center"/>
    </xf>
    <xf numFmtId="0" fontId="33" fillId="0" borderId="63" xfId="0" applyFont="1" applyBorder="1" applyAlignment="1">
      <alignment vertical="center"/>
    </xf>
    <xf numFmtId="0" fontId="85" fillId="0" borderId="0" xfId="0" applyFont="1" applyAlignment="1">
      <alignment vertical="center" wrapText="1"/>
    </xf>
    <xf numFmtId="0" fontId="80" fillId="0" borderId="0" xfId="0" applyFont="1" applyAlignment="1">
      <alignment vertical="center" wrapText="1"/>
    </xf>
    <xf numFmtId="0" fontId="48" fillId="0" borderId="42" xfId="0" applyFont="1" applyBorder="1" applyAlignment="1">
      <alignment vertical="center" wrapText="1"/>
    </xf>
    <xf numFmtId="0" fontId="86" fillId="0" borderId="62" xfId="4" applyFont="1" applyBorder="1" applyAlignment="1">
      <alignment horizontal="left" vertical="center" wrapText="1"/>
    </xf>
    <xf numFmtId="0" fontId="33" fillId="0" borderId="0" xfId="0" applyFont="1" applyAlignment="1">
      <alignment vertical="center" wrapText="1"/>
    </xf>
    <xf numFmtId="0" fontId="91" fillId="0" borderId="0" xfId="0" applyFont="1" applyAlignment="1">
      <alignment vertical="center" wrapText="1"/>
    </xf>
    <xf numFmtId="0" fontId="68" fillId="0" borderId="64" xfId="0" applyFont="1" applyBorder="1" applyAlignment="1">
      <alignment vertical="center" wrapText="1"/>
    </xf>
    <xf numFmtId="0" fontId="68" fillId="0" borderId="65" xfId="0" applyFont="1" applyBorder="1" applyAlignment="1">
      <alignment vertical="center" wrapText="1"/>
    </xf>
    <xf numFmtId="0" fontId="6" fillId="8" borderId="42" xfId="0" applyFont="1" applyFill="1" applyBorder="1" applyAlignment="1">
      <alignment horizontal="center" vertical="center" shrinkToFit="1"/>
    </xf>
    <xf numFmtId="0" fontId="6" fillId="8" borderId="42" xfId="0" applyFont="1" applyFill="1" applyBorder="1" applyAlignment="1">
      <alignment horizontal="left" vertical="center" wrapText="1"/>
    </xf>
    <xf numFmtId="0" fontId="6" fillId="8" borderId="42" xfId="0" applyFont="1" applyFill="1" applyBorder="1" applyAlignment="1">
      <alignment horizontal="center" vertical="center" wrapText="1"/>
    </xf>
    <xf numFmtId="176" fontId="13" fillId="8" borderId="42" xfId="0" applyNumberFormat="1" applyFont="1" applyFill="1" applyBorder="1" applyAlignment="1">
      <alignment vertical="center" shrinkToFit="1"/>
    </xf>
    <xf numFmtId="0" fontId="6" fillId="8" borderId="42" xfId="0" applyFont="1" applyFill="1" applyBorder="1" applyAlignment="1">
      <alignment vertical="center" wrapText="1"/>
    </xf>
    <xf numFmtId="0" fontId="5" fillId="0" borderId="14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180" fontId="73" fillId="0" borderId="23" xfId="0" applyNumberFormat="1" applyFont="1" applyBorder="1" applyAlignment="1">
      <alignment horizontal="left" vertical="center"/>
    </xf>
    <xf numFmtId="193" fontId="13" fillId="0" borderId="42" xfId="0" applyNumberFormat="1" applyFont="1" applyBorder="1" applyAlignment="1">
      <alignment vertical="center" shrinkToFit="1"/>
    </xf>
    <xf numFmtId="193" fontId="13" fillId="8" borderId="42" xfId="0" applyNumberFormat="1" applyFont="1" applyFill="1" applyBorder="1" applyAlignment="1">
      <alignment vertical="center" shrinkToFit="1"/>
    </xf>
    <xf numFmtId="0" fontId="0" fillId="0" borderId="49" xfId="0" applyBorder="1" applyAlignment="1">
      <alignment vertical="center"/>
    </xf>
    <xf numFmtId="49" fontId="62" fillId="8" borderId="58" xfId="0" applyNumberFormat="1" applyFont="1" applyFill="1" applyBorder="1" applyAlignment="1">
      <alignment horizontal="center" vertical="center" shrinkToFit="1"/>
    </xf>
    <xf numFmtId="49" fontId="62" fillId="8" borderId="49" xfId="0" applyNumberFormat="1" applyFont="1" applyFill="1" applyBorder="1" applyAlignment="1">
      <alignment horizontal="left" vertical="center" wrapText="1"/>
    </xf>
    <xf numFmtId="49" fontId="62" fillId="8" borderId="49" xfId="0" applyNumberFormat="1" applyFont="1" applyFill="1" applyBorder="1" applyAlignment="1">
      <alignment horizontal="center" vertical="center" wrapText="1"/>
    </xf>
    <xf numFmtId="176" fontId="22" fillId="8" borderId="49" xfId="0" applyNumberFormat="1" applyFont="1" applyFill="1" applyBorder="1" applyAlignment="1">
      <alignment horizontal="right" vertical="center" shrinkToFit="1"/>
    </xf>
    <xf numFmtId="191" fontId="22" fillId="8" borderId="49" xfId="0" applyNumberFormat="1" applyFont="1" applyFill="1" applyBorder="1" applyAlignment="1">
      <alignment horizontal="right" vertical="center" shrinkToFit="1"/>
    </xf>
    <xf numFmtId="49" fontId="63" fillId="8" borderId="59" xfId="0" applyNumberFormat="1" applyFont="1" applyFill="1" applyBorder="1" applyAlignment="1">
      <alignment horizontal="left" vertical="center" wrapText="1"/>
    </xf>
    <xf numFmtId="0" fontId="0" fillId="8" borderId="0" xfId="0" applyFill="1" applyAlignment="1">
      <alignment vertical="center" wrapText="1"/>
    </xf>
    <xf numFmtId="49" fontId="64" fillId="8" borderId="59" xfId="0" applyNumberFormat="1" applyFont="1" applyFill="1" applyBorder="1" applyAlignment="1">
      <alignment horizontal="left" vertical="center" wrapText="1"/>
    </xf>
    <xf numFmtId="176" fontId="0" fillId="8" borderId="0" xfId="0" applyNumberFormat="1" applyFill="1" applyAlignment="1">
      <alignment vertical="center"/>
    </xf>
    <xf numFmtId="0" fontId="8" fillId="0" borderId="42" xfId="0" applyFont="1" applyBorder="1" applyAlignment="1">
      <alignment vertical="center" wrapText="1"/>
    </xf>
    <xf numFmtId="0" fontId="7" fillId="0" borderId="42" xfId="0" applyFont="1" applyBorder="1" applyAlignment="1">
      <alignment horizontal="center" vertical="center" wrapText="1" shrinkToFit="1"/>
    </xf>
    <xf numFmtId="176" fontId="4" fillId="0" borderId="42" xfId="0" applyNumberFormat="1" applyFont="1" applyBorder="1" applyAlignment="1">
      <alignment horizontal="right" vertical="center" shrinkToFit="1"/>
    </xf>
    <xf numFmtId="181" fontId="13" fillId="8" borderId="42" xfId="0" applyNumberFormat="1" applyFont="1" applyFill="1" applyBorder="1" applyAlignment="1">
      <alignment vertical="center" shrinkToFit="1"/>
    </xf>
    <xf numFmtId="0" fontId="6" fillId="4" borderId="42" xfId="0" applyFont="1" applyFill="1" applyBorder="1" applyAlignment="1">
      <alignment horizontal="center" vertical="center" shrinkToFit="1"/>
    </xf>
    <xf numFmtId="0" fontId="6" fillId="4" borderId="42" xfId="0" applyFont="1" applyFill="1" applyBorder="1" applyAlignment="1">
      <alignment horizontal="left" vertical="center" wrapText="1"/>
    </xf>
    <xf numFmtId="0" fontId="6" fillId="4" borderId="42" xfId="0" applyFont="1" applyFill="1" applyBorder="1" applyAlignment="1">
      <alignment horizontal="center" vertical="center" wrapText="1"/>
    </xf>
    <xf numFmtId="176" fontId="13" fillId="4" borderId="42" xfId="0" applyNumberFormat="1" applyFont="1" applyFill="1" applyBorder="1" applyAlignment="1">
      <alignment vertical="center" shrinkToFit="1"/>
    </xf>
    <xf numFmtId="193" fontId="13" fillId="4" borderId="42" xfId="0" applyNumberFormat="1" applyFont="1" applyFill="1" applyBorder="1" applyAlignment="1">
      <alignment vertical="center" shrinkToFit="1"/>
    </xf>
    <xf numFmtId="176" fontId="77" fillId="4" borderId="42" xfId="0" applyNumberFormat="1" applyFont="1" applyFill="1" applyBorder="1" applyAlignment="1">
      <alignment vertical="center" shrinkToFit="1"/>
    </xf>
    <xf numFmtId="0" fontId="7" fillId="8" borderId="42" xfId="0" applyFont="1" applyFill="1" applyBorder="1" applyAlignment="1">
      <alignment horizontal="center" vertical="center" shrinkToFit="1"/>
    </xf>
    <xf numFmtId="0" fontId="7" fillId="8" borderId="42" xfId="0" applyFont="1" applyFill="1" applyBorder="1" applyAlignment="1">
      <alignment horizontal="left" vertical="center" wrapText="1"/>
    </xf>
    <xf numFmtId="0" fontId="7" fillId="8" borderId="42" xfId="0" applyFont="1" applyFill="1" applyBorder="1" applyAlignment="1">
      <alignment horizontal="center" vertical="center" wrapText="1"/>
    </xf>
    <xf numFmtId="176" fontId="77" fillId="8" borderId="42" xfId="0" applyNumberFormat="1" applyFont="1" applyFill="1" applyBorder="1" applyAlignment="1">
      <alignment vertical="center" shrinkToFit="1"/>
    </xf>
    <xf numFmtId="0" fontId="47" fillId="8" borderId="42" xfId="0" quotePrefix="1" applyFont="1" applyFill="1" applyBorder="1" applyAlignment="1">
      <alignment vertical="center" wrapText="1"/>
    </xf>
    <xf numFmtId="193" fontId="76" fillId="8" borderId="42" xfId="0" applyNumberFormat="1" applyFont="1" applyFill="1" applyBorder="1" applyAlignment="1">
      <alignment vertical="center" shrinkToFit="1"/>
    </xf>
    <xf numFmtId="193" fontId="76" fillId="0" borderId="42" xfId="0" applyNumberFormat="1" applyFont="1" applyBorder="1" applyAlignment="1">
      <alignment vertical="center" shrinkToFit="1"/>
    </xf>
    <xf numFmtId="176" fontId="92" fillId="0" borderId="42" xfId="0" applyNumberFormat="1" applyFont="1" applyBorder="1" applyAlignment="1">
      <alignment vertical="center" shrinkToFit="1"/>
    </xf>
    <xf numFmtId="176" fontId="92" fillId="8" borderId="42" xfId="0" applyNumberFormat="1" applyFont="1" applyFill="1" applyBorder="1" applyAlignment="1">
      <alignment vertical="center" shrinkToFit="1"/>
    </xf>
    <xf numFmtId="176" fontId="76" fillId="8" borderId="42" xfId="0" applyNumberFormat="1" applyFont="1" applyFill="1" applyBorder="1" applyAlignment="1">
      <alignment vertical="center" shrinkToFit="1"/>
    </xf>
    <xf numFmtId="0" fontId="7" fillId="8" borderId="42" xfId="0" applyFont="1" applyFill="1" applyBorder="1" applyAlignment="1">
      <alignment vertical="center" wrapText="1"/>
    </xf>
    <xf numFmtId="0" fontId="93" fillId="0" borderId="42" xfId="0" applyFont="1" applyBorder="1" applyAlignment="1">
      <alignment horizontal="center" vertical="center" shrinkToFit="1"/>
    </xf>
    <xf numFmtId="0" fontId="93" fillId="0" borderId="42" xfId="0" applyFont="1" applyBorder="1" applyAlignment="1">
      <alignment horizontal="left" vertical="center" wrapText="1"/>
    </xf>
    <xf numFmtId="0" fontId="93" fillId="0" borderId="42" xfId="0" applyFont="1" applyBorder="1" applyAlignment="1">
      <alignment horizontal="center" vertical="center" wrapText="1"/>
    </xf>
    <xf numFmtId="193" fontId="92" fillId="0" borderId="42" xfId="0" applyNumberFormat="1" applyFont="1" applyBorder="1" applyAlignment="1">
      <alignment vertical="center" shrinkToFit="1"/>
    </xf>
    <xf numFmtId="0" fontId="6" fillId="0" borderId="47" xfId="0" applyFont="1" applyBorder="1" applyAlignment="1">
      <alignment horizontal="center" vertical="center" shrinkToFit="1"/>
    </xf>
    <xf numFmtId="0" fontId="6" fillId="0" borderId="47" xfId="0" applyFont="1" applyBorder="1" applyAlignment="1">
      <alignment horizontal="left" vertical="center" wrapText="1"/>
    </xf>
    <xf numFmtId="0" fontId="6" fillId="0" borderId="47" xfId="0" applyFont="1" applyBorder="1" applyAlignment="1">
      <alignment horizontal="center" vertical="center" wrapText="1"/>
    </xf>
    <xf numFmtId="176" fontId="13" fillId="0" borderId="47" xfId="0" applyNumberFormat="1" applyFont="1" applyBorder="1" applyAlignment="1">
      <alignment vertical="center" shrinkToFit="1"/>
    </xf>
    <xf numFmtId="193" fontId="13" fillId="0" borderId="47" xfId="0" applyNumberFormat="1" applyFont="1" applyBorder="1" applyAlignment="1">
      <alignment vertical="center" shrinkToFit="1"/>
    </xf>
    <xf numFmtId="0" fontId="6" fillId="0" borderId="47" xfId="0" applyFont="1" applyBorder="1" applyAlignment="1">
      <alignment vertical="center" wrapText="1"/>
    </xf>
    <xf numFmtId="0" fontId="96" fillId="0" borderId="0" xfId="0" applyFont="1" applyAlignment="1">
      <alignment vertical="center"/>
    </xf>
    <xf numFmtId="0" fontId="96" fillId="0" borderId="0" xfId="0" applyFont="1" applyAlignment="1">
      <alignment horizontal="center" vertical="center"/>
    </xf>
    <xf numFmtId="0" fontId="97" fillId="0" borderId="0" xfId="0" applyFont="1" applyAlignment="1">
      <alignment vertical="center"/>
    </xf>
    <xf numFmtId="0" fontId="98" fillId="0" borderId="0" xfId="0" applyFont="1" applyAlignment="1">
      <alignment vertical="center"/>
    </xf>
    <xf numFmtId="191" fontId="5" fillId="0" borderId="0" xfId="0" applyNumberFormat="1" applyFont="1" applyAlignment="1">
      <alignment horizontal="center" vertical="center"/>
    </xf>
    <xf numFmtId="191" fontId="10" fillId="0" borderId="0" xfId="0" applyNumberFormat="1" applyFont="1" applyAlignment="1">
      <alignment vertical="center"/>
    </xf>
    <xf numFmtId="191" fontId="73" fillId="0" borderId="22" xfId="0" applyNumberFormat="1" applyFont="1" applyBorder="1" applyAlignment="1">
      <alignment horizontal="left" vertical="center"/>
    </xf>
    <xf numFmtId="191" fontId="76" fillId="0" borderId="42" xfId="0" applyNumberFormat="1" applyFont="1" applyBorder="1" applyAlignment="1">
      <alignment vertical="center" shrinkToFit="1"/>
    </xf>
    <xf numFmtId="191" fontId="77" fillId="4" borderId="42" xfId="0" applyNumberFormat="1" applyFont="1" applyFill="1" applyBorder="1" applyAlignment="1">
      <alignment vertical="center" shrinkToFit="1"/>
    </xf>
    <xf numFmtId="191" fontId="13" fillId="0" borderId="42" xfId="0" applyNumberFormat="1" applyFont="1" applyBorder="1" applyAlignment="1">
      <alignment vertical="center" shrinkToFit="1"/>
    </xf>
    <xf numFmtId="191" fontId="13" fillId="8" borderId="42" xfId="0" applyNumberFormat="1" applyFont="1" applyFill="1" applyBorder="1" applyAlignment="1">
      <alignment vertical="center" shrinkToFit="1"/>
    </xf>
    <xf numFmtId="191" fontId="13" fillId="4" borderId="42" xfId="0" applyNumberFormat="1" applyFont="1" applyFill="1" applyBorder="1" applyAlignment="1">
      <alignment vertical="center" shrinkToFit="1"/>
    </xf>
    <xf numFmtId="191" fontId="76" fillId="4" borderId="42" xfId="0" applyNumberFormat="1" applyFont="1" applyFill="1" applyBorder="1" applyAlignment="1">
      <alignment vertical="center" shrinkToFit="1"/>
    </xf>
    <xf numFmtId="191" fontId="76" fillId="8" borderId="42" xfId="0" applyNumberFormat="1" applyFont="1" applyFill="1" applyBorder="1" applyAlignment="1">
      <alignment vertical="center" shrinkToFit="1"/>
    </xf>
    <xf numFmtId="176" fontId="24" fillId="4" borderId="14" xfId="0" applyNumberFormat="1" applyFont="1" applyFill="1" applyBorder="1" applyAlignment="1">
      <alignment horizontal="center" vertical="center" wrapText="1"/>
    </xf>
    <xf numFmtId="176" fontId="24" fillId="13" borderId="50" xfId="0" applyNumberFormat="1" applyFont="1" applyFill="1" applyBorder="1" applyAlignment="1">
      <alignment horizontal="center" vertical="center" wrapText="1"/>
    </xf>
    <xf numFmtId="176" fontId="24" fillId="13" borderId="48" xfId="0" applyNumberFormat="1" applyFont="1" applyFill="1" applyBorder="1" applyAlignment="1">
      <alignment horizontal="center" vertical="center" wrapText="1"/>
    </xf>
    <xf numFmtId="0" fontId="47" fillId="8" borderId="42" xfId="0" applyFont="1" applyFill="1" applyBorder="1" applyAlignment="1">
      <alignment vertical="center" wrapText="1"/>
    </xf>
    <xf numFmtId="176" fontId="92" fillId="4" borderId="42" xfId="0" applyNumberFormat="1" applyFont="1" applyFill="1" applyBorder="1" applyAlignment="1">
      <alignment vertical="center" shrinkToFit="1"/>
    </xf>
    <xf numFmtId="191" fontId="92" fillId="4" borderId="42" xfId="0" applyNumberFormat="1" applyFont="1" applyFill="1" applyBorder="1" applyAlignment="1">
      <alignment vertical="center" shrinkToFit="1"/>
    </xf>
    <xf numFmtId="176" fontId="24" fillId="13" borderId="0" xfId="0" applyNumberFormat="1" applyFont="1" applyFill="1" applyAlignment="1">
      <alignment horizontal="right" vertical="center" wrapText="1" shrinkToFit="1"/>
    </xf>
    <xf numFmtId="176" fontId="19" fillId="13" borderId="0" xfId="0" applyNumberFormat="1" applyFont="1" applyFill="1" applyAlignment="1">
      <alignment horizontal="right" vertical="center" shrinkToFit="1"/>
    </xf>
    <xf numFmtId="0" fontId="24" fillId="13" borderId="0" xfId="0" applyFont="1" applyFill="1" applyAlignment="1">
      <alignment horizontal="center" vertical="center" wrapText="1"/>
    </xf>
    <xf numFmtId="176" fontId="24" fillId="13" borderId="0" xfId="0" applyNumberFormat="1" applyFont="1" applyFill="1" applyAlignment="1">
      <alignment horizontal="center" vertical="center" wrapText="1"/>
    </xf>
    <xf numFmtId="176" fontId="23" fillId="0" borderId="0" xfId="0" applyNumberFormat="1" applyFont="1" applyAlignment="1">
      <alignment vertical="center"/>
    </xf>
    <xf numFmtId="181" fontId="76" fillId="8" borderId="42" xfId="0" applyNumberFormat="1" applyFont="1" applyFill="1" applyBorder="1" applyAlignment="1">
      <alignment vertical="center" shrinkToFit="1"/>
    </xf>
    <xf numFmtId="181" fontId="76" fillId="4" borderId="42" xfId="0" applyNumberFormat="1" applyFont="1" applyFill="1" applyBorder="1" applyAlignment="1">
      <alignment vertical="center" shrinkToFit="1"/>
    </xf>
    <xf numFmtId="181" fontId="76" fillId="0" borderId="42" xfId="0" applyNumberFormat="1" applyFont="1" applyBorder="1" applyAlignment="1">
      <alignment vertical="center" shrinkToFit="1"/>
    </xf>
    <xf numFmtId="181" fontId="77" fillId="4" borderId="42" xfId="0" applyNumberFormat="1" applyFont="1" applyFill="1" applyBorder="1" applyAlignment="1">
      <alignment vertical="center" shrinkToFit="1"/>
    </xf>
    <xf numFmtId="0" fontId="20" fillId="0" borderId="0" xfId="0" applyFont="1"/>
    <xf numFmtId="0" fontId="0" fillId="0" borderId="0" xfId="0" quotePrefix="1" applyAlignment="1">
      <alignment horizontal="center"/>
    </xf>
    <xf numFmtId="49" fontId="99" fillId="0" borderId="59" xfId="0" applyNumberFormat="1" applyFont="1" applyBorder="1" applyAlignment="1">
      <alignment horizontal="left" vertical="center" wrapText="1"/>
    </xf>
    <xf numFmtId="49" fontId="23" fillId="0" borderId="59" xfId="0" applyNumberFormat="1" applyFont="1" applyBorder="1" applyAlignment="1">
      <alignment horizontal="left" vertical="center" wrapText="1"/>
    </xf>
    <xf numFmtId="181" fontId="22" fillId="8" borderId="49" xfId="0" applyNumberFormat="1" applyFont="1" applyFill="1" applyBorder="1" applyAlignment="1">
      <alignment horizontal="right" vertical="center" shrinkToFit="1"/>
    </xf>
    <xf numFmtId="49" fontId="100" fillId="0" borderId="59" xfId="0" applyNumberFormat="1" applyFont="1" applyBorder="1" applyAlignment="1">
      <alignment horizontal="left" vertical="center" wrapText="1"/>
    </xf>
    <xf numFmtId="49" fontId="99" fillId="8" borderId="59" xfId="0" applyNumberFormat="1" applyFont="1" applyFill="1" applyBorder="1" applyAlignment="1">
      <alignment horizontal="left" vertical="center" wrapText="1"/>
    </xf>
    <xf numFmtId="176" fontId="24" fillId="4" borderId="47" xfId="0" applyNumberFormat="1" applyFont="1" applyFill="1" applyBorder="1" applyAlignment="1">
      <alignment horizontal="right" vertical="center" shrinkToFit="1"/>
    </xf>
    <xf numFmtId="0" fontId="57" fillId="4" borderId="47" xfId="0" applyFont="1" applyFill="1" applyBorder="1" applyAlignment="1">
      <alignment horizontal="right" vertical="center" wrapText="1"/>
    </xf>
    <xf numFmtId="176" fontId="46" fillId="0" borderId="0" xfId="0" applyNumberFormat="1" applyFont="1" applyAlignment="1">
      <alignment vertical="center"/>
    </xf>
    <xf numFmtId="0" fontId="46" fillId="0" borderId="0" xfId="0" applyFont="1" applyAlignment="1">
      <alignment vertical="center"/>
    </xf>
    <xf numFmtId="0" fontId="6" fillId="3" borderId="42" xfId="0" applyFont="1" applyFill="1" applyBorder="1" applyAlignment="1">
      <alignment horizontal="left" vertical="center" wrapText="1"/>
    </xf>
    <xf numFmtId="0" fontId="23" fillId="0" borderId="48" xfId="0" applyFont="1" applyBorder="1" applyAlignment="1">
      <alignment vertical="center" wrapText="1"/>
    </xf>
    <xf numFmtId="0" fontId="24" fillId="0" borderId="49" xfId="0" applyFont="1" applyBorder="1" applyAlignment="1">
      <alignment vertical="center"/>
    </xf>
    <xf numFmtId="176" fontId="19" fillId="3" borderId="19" xfId="0" applyNumberFormat="1" applyFont="1" applyFill="1" applyBorder="1" applyAlignment="1">
      <alignment horizontal="left" vertical="center" wrapText="1" shrinkToFit="1"/>
    </xf>
    <xf numFmtId="176" fontId="19" fillId="3" borderId="19" xfId="0" applyNumberFormat="1" applyFont="1" applyFill="1" applyBorder="1" applyAlignment="1">
      <alignment horizontal="right" vertical="center" shrinkToFit="1"/>
    </xf>
    <xf numFmtId="0" fontId="20" fillId="3" borderId="0" xfId="0" applyFont="1" applyFill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88" fontId="0" fillId="8" borderId="0" xfId="0" applyNumberFormat="1" applyFill="1" applyAlignment="1">
      <alignment horizontal="center" vertical="center"/>
    </xf>
    <xf numFmtId="0" fontId="52" fillId="8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86" fillId="0" borderId="62" xfId="0" applyFont="1" applyBorder="1" applyAlignment="1">
      <alignment vertical="center" wrapText="1"/>
    </xf>
    <xf numFmtId="0" fontId="86" fillId="0" borderId="0" xfId="0" applyFont="1" applyAlignment="1">
      <alignment vertical="center" wrapText="1"/>
    </xf>
    <xf numFmtId="176" fontId="86" fillId="0" borderId="0" xfId="0" applyNumberFormat="1" applyFont="1" applyAlignment="1">
      <alignment vertical="center" wrapText="1"/>
    </xf>
    <xf numFmtId="0" fontId="86" fillId="0" borderId="61" xfId="0" applyFont="1" applyBorder="1" applyAlignment="1">
      <alignment vertical="center" wrapText="1"/>
    </xf>
    <xf numFmtId="176" fontId="86" fillId="0" borderId="62" xfId="0" applyNumberFormat="1" applyFont="1" applyBorder="1" applyAlignment="1">
      <alignment vertical="center" wrapText="1"/>
    </xf>
    <xf numFmtId="0" fontId="85" fillId="0" borderId="62" xfId="0" applyFont="1" applyBorder="1" applyAlignment="1">
      <alignment vertical="center" wrapText="1"/>
    </xf>
    <xf numFmtId="0" fontId="86" fillId="0" borderId="64" xfId="0" applyFont="1" applyBorder="1" applyAlignment="1">
      <alignment vertical="center" wrapText="1"/>
    </xf>
    <xf numFmtId="14" fontId="49" fillId="0" borderId="0" xfId="0" applyNumberFormat="1" applyFont="1"/>
    <xf numFmtId="14" fontId="20" fillId="0" borderId="0" xfId="0" applyNumberFormat="1" applyFont="1"/>
    <xf numFmtId="14" fontId="101" fillId="0" borderId="0" xfId="0" applyNumberFormat="1" applyFont="1"/>
    <xf numFmtId="0" fontId="20" fillId="0" borderId="0" xfId="0" applyFont="1" applyAlignment="1">
      <alignment horizontal="center"/>
    </xf>
    <xf numFmtId="49" fontId="62" fillId="0" borderId="49" xfId="0" applyNumberFormat="1" applyFont="1" applyFill="1" applyBorder="1" applyAlignment="1">
      <alignment horizontal="left" vertical="center" wrapText="1"/>
    </xf>
    <xf numFmtId="0" fontId="26" fillId="0" borderId="47" xfId="0" applyFont="1" applyBorder="1" applyAlignment="1">
      <alignment vertical="center" wrapText="1"/>
    </xf>
    <xf numFmtId="0" fontId="23" fillId="0" borderId="0" xfId="0" quotePrefix="1" applyFont="1" applyAlignment="1">
      <alignment vertical="center"/>
    </xf>
    <xf numFmtId="49" fontId="62" fillId="0" borderId="15" xfId="0" applyNumberFormat="1" applyFont="1" applyBorder="1" applyAlignment="1">
      <alignment horizontal="left" vertical="center" wrapText="1"/>
    </xf>
    <xf numFmtId="49" fontId="62" fillId="0" borderId="15" xfId="0" applyNumberFormat="1" applyFont="1" applyBorder="1" applyAlignment="1">
      <alignment horizontal="center" vertical="center" wrapText="1"/>
    </xf>
    <xf numFmtId="176" fontId="22" fillId="0" borderId="15" xfId="0" applyNumberFormat="1" applyFont="1" applyBorder="1" applyAlignment="1">
      <alignment horizontal="right" vertical="center" shrinkToFit="1"/>
    </xf>
    <xf numFmtId="191" fontId="22" fillId="0" borderId="15" xfId="0" applyNumberFormat="1" applyFont="1" applyBorder="1" applyAlignment="1">
      <alignment horizontal="right" vertical="center" shrinkToFit="1"/>
    </xf>
    <xf numFmtId="49" fontId="62" fillId="0" borderId="58" xfId="0" applyNumberFormat="1" applyFont="1" applyFill="1" applyBorder="1" applyAlignment="1">
      <alignment horizontal="center" vertical="center" shrinkToFit="1"/>
    </xf>
    <xf numFmtId="176" fontId="22" fillId="0" borderId="15" xfId="0" applyNumberFormat="1" applyFont="1" applyFill="1" applyBorder="1" applyAlignment="1">
      <alignment horizontal="right" vertical="center" shrinkToFit="1"/>
    </xf>
    <xf numFmtId="191" fontId="22" fillId="0" borderId="15" xfId="0" applyNumberFormat="1" applyFont="1" applyFill="1" applyBorder="1" applyAlignment="1">
      <alignment horizontal="right" vertical="center" shrinkToFit="1"/>
    </xf>
    <xf numFmtId="49" fontId="64" fillId="0" borderId="59" xfId="0" applyNumberFormat="1" applyFont="1" applyFill="1" applyBorder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176" fontId="77" fillId="0" borderId="8" xfId="0" applyNumberFormat="1" applyFont="1" applyBorder="1" applyAlignment="1">
      <alignment vertical="center" shrinkToFit="1"/>
    </xf>
    <xf numFmtId="0" fontId="7" fillId="0" borderId="15" xfId="0" applyFont="1" applyFill="1" applyBorder="1" applyAlignment="1">
      <alignment horizontal="left" vertical="center" wrapText="1"/>
    </xf>
    <xf numFmtId="176" fontId="77" fillId="0" borderId="15" xfId="0" applyNumberFormat="1" applyFont="1" applyBorder="1" applyAlignment="1">
      <alignment vertical="center" shrinkToFit="1"/>
    </xf>
    <xf numFmtId="0" fontId="7" fillId="0" borderId="47" xfId="0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center" vertical="center" wrapText="1"/>
    </xf>
    <xf numFmtId="176" fontId="77" fillId="0" borderId="47" xfId="0" applyNumberFormat="1" applyFont="1" applyBorder="1" applyAlignment="1">
      <alignment vertical="center" shrinkToFit="1"/>
    </xf>
    <xf numFmtId="0" fontId="7" fillId="0" borderId="47" xfId="0" applyFont="1" applyBorder="1" applyAlignment="1">
      <alignment vertical="center" wrapText="1"/>
    </xf>
    <xf numFmtId="176" fontId="77" fillId="0" borderId="49" xfId="0" applyNumberFormat="1" applyFont="1" applyBorder="1" applyAlignment="1">
      <alignment vertical="center" shrinkToFit="1"/>
    </xf>
    <xf numFmtId="176" fontId="77" fillId="0" borderId="17" xfId="0" applyNumberFormat="1" applyFont="1" applyBorder="1" applyAlignment="1">
      <alignment vertical="center" shrinkToFit="1"/>
    </xf>
    <xf numFmtId="181" fontId="13" fillId="0" borderId="42" xfId="0" applyNumberFormat="1" applyFont="1" applyBorder="1" applyAlignment="1">
      <alignment vertical="center" shrinkToFit="1"/>
    </xf>
    <xf numFmtId="0" fontId="6" fillId="11" borderId="42" xfId="0" applyFont="1" applyFill="1" applyBorder="1" applyAlignment="1">
      <alignment horizontal="center" vertical="center" shrinkToFit="1"/>
    </xf>
    <xf numFmtId="0" fontId="6" fillId="11" borderId="42" xfId="0" applyFont="1" applyFill="1" applyBorder="1" applyAlignment="1">
      <alignment horizontal="left" vertical="center" wrapText="1"/>
    </xf>
    <xf numFmtId="0" fontId="6" fillId="11" borderId="42" xfId="0" applyFont="1" applyFill="1" applyBorder="1" applyAlignment="1">
      <alignment horizontal="center" vertical="center" wrapText="1"/>
    </xf>
    <xf numFmtId="176" fontId="13" fillId="11" borderId="42" xfId="0" applyNumberFormat="1" applyFont="1" applyFill="1" applyBorder="1" applyAlignment="1">
      <alignment vertical="center" shrinkToFit="1"/>
    </xf>
    <xf numFmtId="193" fontId="13" fillId="11" borderId="42" xfId="0" applyNumberFormat="1" applyFont="1" applyFill="1" applyBorder="1" applyAlignment="1">
      <alignment vertical="center" shrinkToFit="1"/>
    </xf>
    <xf numFmtId="0" fontId="6" fillId="11" borderId="42" xfId="0" applyFont="1" applyFill="1" applyBorder="1" applyAlignment="1">
      <alignment vertical="center" wrapText="1"/>
    </xf>
    <xf numFmtId="176" fontId="76" fillId="11" borderId="42" xfId="0" applyNumberFormat="1" applyFont="1" applyFill="1" applyBorder="1" applyAlignment="1">
      <alignment vertical="center" shrinkToFit="1"/>
    </xf>
    <xf numFmtId="181" fontId="13" fillId="11" borderId="42" xfId="0" applyNumberFormat="1" applyFont="1" applyFill="1" applyBorder="1" applyAlignment="1">
      <alignment vertical="center" shrinkToFit="1"/>
    </xf>
    <xf numFmtId="176" fontId="13" fillId="11" borderId="47" xfId="0" applyNumberFormat="1" applyFont="1" applyFill="1" applyBorder="1" applyAlignment="1">
      <alignment vertical="center" shrinkToFit="1"/>
    </xf>
    <xf numFmtId="0" fontId="7" fillId="11" borderId="42" xfId="0" applyFont="1" applyFill="1" applyBorder="1" applyAlignment="1">
      <alignment horizontal="center" vertical="center" shrinkToFit="1"/>
    </xf>
    <xf numFmtId="0" fontId="7" fillId="11" borderId="42" xfId="0" applyFont="1" applyFill="1" applyBorder="1" applyAlignment="1">
      <alignment horizontal="left" vertical="center" wrapText="1"/>
    </xf>
    <xf numFmtId="0" fontId="7" fillId="11" borderId="42" xfId="0" applyFont="1" applyFill="1" applyBorder="1" applyAlignment="1">
      <alignment horizontal="center" vertical="center" wrapText="1"/>
    </xf>
    <xf numFmtId="176" fontId="77" fillId="11" borderId="42" xfId="0" applyNumberFormat="1" applyFont="1" applyFill="1" applyBorder="1" applyAlignment="1">
      <alignment vertical="center" shrinkToFit="1"/>
    </xf>
    <xf numFmtId="0" fontId="47" fillId="11" borderId="42" xfId="0" quotePrefix="1" applyFont="1" applyFill="1" applyBorder="1" applyAlignment="1">
      <alignment vertical="center" wrapText="1"/>
    </xf>
    <xf numFmtId="0" fontId="102" fillId="0" borderId="62" xfId="0" applyFont="1" applyBorder="1" applyAlignment="1">
      <alignment vertical="center" wrapText="1"/>
    </xf>
    <xf numFmtId="0" fontId="0" fillId="16" borderId="0" xfId="0" applyFill="1"/>
    <xf numFmtId="181" fontId="76" fillId="11" borderId="42" xfId="0" applyNumberFormat="1" applyFont="1" applyFill="1" applyBorder="1" applyAlignment="1">
      <alignment vertical="center" shrinkToFit="1"/>
    </xf>
    <xf numFmtId="0" fontId="47" fillId="11" borderId="42" xfId="0" applyFont="1" applyFill="1" applyBorder="1" applyAlignment="1">
      <alignment vertical="center" wrapText="1"/>
    </xf>
    <xf numFmtId="49" fontId="62" fillId="11" borderId="58" xfId="0" applyNumberFormat="1" applyFont="1" applyFill="1" applyBorder="1" applyAlignment="1">
      <alignment horizontal="center" vertical="center" shrinkToFit="1"/>
    </xf>
    <xf numFmtId="49" fontId="62" fillId="11" borderId="49" xfId="0" applyNumberFormat="1" applyFont="1" applyFill="1" applyBorder="1" applyAlignment="1">
      <alignment horizontal="left" vertical="center" wrapText="1"/>
    </xf>
    <xf numFmtId="49" fontId="62" fillId="11" borderId="49" xfId="0" applyNumberFormat="1" applyFont="1" applyFill="1" applyBorder="1" applyAlignment="1">
      <alignment horizontal="center" vertical="center" wrapText="1"/>
    </xf>
    <xf numFmtId="176" fontId="22" fillId="11" borderId="49" xfId="0" applyNumberFormat="1" applyFont="1" applyFill="1" applyBorder="1" applyAlignment="1">
      <alignment horizontal="right" vertical="center" shrinkToFit="1"/>
    </xf>
    <xf numFmtId="191" fontId="22" fillId="11" borderId="49" xfId="0" applyNumberFormat="1" applyFont="1" applyFill="1" applyBorder="1" applyAlignment="1">
      <alignment horizontal="right" vertical="center" shrinkToFit="1"/>
    </xf>
    <xf numFmtId="49" fontId="63" fillId="11" borderId="59" xfId="0" applyNumberFormat="1" applyFont="1" applyFill="1" applyBorder="1" applyAlignment="1">
      <alignment horizontal="left" vertical="center" wrapText="1"/>
    </xf>
    <xf numFmtId="0" fontId="27" fillId="11" borderId="42" xfId="0" applyFont="1" applyFill="1" applyBorder="1" applyAlignment="1">
      <alignment vertical="center" wrapText="1"/>
    </xf>
    <xf numFmtId="0" fontId="7" fillId="0" borderId="42" xfId="0" applyFont="1" applyFill="1" applyBorder="1" applyAlignment="1">
      <alignment horizontal="center" vertical="center" shrinkToFit="1"/>
    </xf>
    <xf numFmtId="0" fontId="7" fillId="0" borderId="42" xfId="0" applyFont="1" applyFill="1" applyBorder="1" applyAlignment="1">
      <alignment horizontal="left" vertical="center" wrapText="1"/>
    </xf>
    <xf numFmtId="0" fontId="7" fillId="0" borderId="42" xfId="0" applyFont="1" applyFill="1" applyBorder="1" applyAlignment="1">
      <alignment horizontal="center" vertical="center" wrapText="1"/>
    </xf>
    <xf numFmtId="176" fontId="77" fillId="0" borderId="42" xfId="0" applyNumberFormat="1" applyFont="1" applyFill="1" applyBorder="1" applyAlignment="1">
      <alignment vertical="center" shrinkToFit="1"/>
    </xf>
    <xf numFmtId="176" fontId="13" fillId="0" borderId="42" xfId="0" applyNumberFormat="1" applyFont="1" applyFill="1" applyBorder="1" applyAlignment="1">
      <alignment vertical="center" shrinkToFit="1"/>
    </xf>
    <xf numFmtId="193" fontId="13" fillId="0" borderId="42" xfId="0" applyNumberFormat="1" applyFont="1" applyFill="1" applyBorder="1" applyAlignment="1">
      <alignment vertical="center" shrinkToFit="1"/>
    </xf>
    <xf numFmtId="0" fontId="7" fillId="0" borderId="42" xfId="0" applyFont="1" applyFill="1" applyBorder="1" applyAlignment="1">
      <alignment vertical="center" wrapText="1"/>
    </xf>
    <xf numFmtId="176" fontId="92" fillId="0" borderId="42" xfId="0" applyNumberFormat="1" applyFont="1" applyFill="1" applyBorder="1" applyAlignment="1">
      <alignment vertical="center" shrinkToFit="1"/>
    </xf>
    <xf numFmtId="0" fontId="6" fillId="11" borderId="47" xfId="0" applyFont="1" applyFill="1" applyBorder="1" applyAlignment="1">
      <alignment vertical="center" wrapText="1"/>
    </xf>
    <xf numFmtId="176" fontId="77" fillId="11" borderId="49" xfId="0" applyNumberFormat="1" applyFont="1" applyFill="1" applyBorder="1" applyAlignment="1">
      <alignment vertical="center" shrinkToFit="1"/>
    </xf>
    <xf numFmtId="0" fontId="68" fillId="0" borderId="62" xfId="0" applyNumberFormat="1" applyFont="1" applyBorder="1" applyAlignment="1">
      <alignment vertical="center" wrapText="1"/>
    </xf>
    <xf numFmtId="0" fontId="68" fillId="0" borderId="0" xfId="0" applyNumberFormat="1" applyFont="1" applyAlignment="1">
      <alignment vertical="center" wrapText="1"/>
    </xf>
    <xf numFmtId="181" fontId="5" fillId="0" borderId="0" xfId="0" applyNumberFormat="1" applyFont="1" applyAlignment="1">
      <alignment horizontal="center" vertical="center"/>
    </xf>
    <xf numFmtId="181" fontId="10" fillId="0" borderId="0" xfId="0" applyNumberFormat="1" applyFont="1" applyAlignment="1">
      <alignment vertical="center"/>
    </xf>
    <xf numFmtId="181" fontId="13" fillId="11" borderId="47" xfId="0" applyNumberFormat="1" applyFont="1" applyFill="1" applyBorder="1" applyAlignment="1">
      <alignment vertical="center" shrinkToFit="1"/>
    </xf>
    <xf numFmtId="181" fontId="13" fillId="4" borderId="42" xfId="0" applyNumberFormat="1" applyFont="1" applyFill="1" applyBorder="1" applyAlignment="1">
      <alignment vertical="center" shrinkToFit="1"/>
    </xf>
    <xf numFmtId="181" fontId="13" fillId="0" borderId="42" xfId="0" applyNumberFormat="1" applyFont="1" applyFill="1" applyBorder="1" applyAlignment="1">
      <alignment vertical="center" shrinkToFit="1"/>
    </xf>
    <xf numFmtId="181" fontId="76" fillId="0" borderId="42" xfId="0" applyNumberFormat="1" applyFont="1" applyFill="1" applyBorder="1" applyAlignment="1">
      <alignment vertical="center" shrinkToFit="1"/>
    </xf>
    <xf numFmtId="181" fontId="92" fillId="4" borderId="42" xfId="0" applyNumberFormat="1" applyFont="1" applyFill="1" applyBorder="1" applyAlignment="1">
      <alignment vertical="center" shrinkToFit="1"/>
    </xf>
    <xf numFmtId="181" fontId="13" fillId="0" borderId="47" xfId="0" applyNumberFormat="1" applyFont="1" applyBorder="1" applyAlignment="1">
      <alignment vertical="center" shrinkToFit="1"/>
    </xf>
    <xf numFmtId="182" fontId="5" fillId="0" borderId="0" xfId="0" applyNumberFormat="1" applyFont="1" applyAlignment="1">
      <alignment horizontal="right" vertical="center"/>
    </xf>
    <xf numFmtId="182" fontId="5" fillId="0" borderId="22" xfId="0" applyNumberFormat="1" applyFont="1" applyBorder="1" applyAlignment="1">
      <alignment vertical="center"/>
    </xf>
    <xf numFmtId="182" fontId="5" fillId="0" borderId="22" xfId="0" applyNumberFormat="1" applyFont="1" applyBorder="1" applyAlignment="1">
      <alignment horizontal="right" vertical="center"/>
    </xf>
    <xf numFmtId="182" fontId="92" fillId="0" borderId="42" xfId="0" applyNumberFormat="1" applyFont="1" applyBorder="1" applyAlignment="1">
      <alignment vertical="center" shrinkToFit="1"/>
    </xf>
    <xf numFmtId="182" fontId="77" fillId="4" borderId="42" xfId="0" applyNumberFormat="1" applyFont="1" applyFill="1" applyBorder="1" applyAlignment="1">
      <alignment vertical="center" shrinkToFit="1"/>
    </xf>
    <xf numFmtId="182" fontId="13" fillId="4" borderId="42" xfId="0" applyNumberFormat="1" applyFont="1" applyFill="1" applyBorder="1" applyAlignment="1">
      <alignment vertical="center" shrinkToFit="1"/>
    </xf>
    <xf numFmtId="182" fontId="92" fillId="4" borderId="42" xfId="0" applyNumberFormat="1" applyFont="1" applyFill="1" applyBorder="1" applyAlignment="1">
      <alignment vertical="center" shrinkToFit="1"/>
    </xf>
    <xf numFmtId="182" fontId="13" fillId="0" borderId="42" xfId="0" applyNumberFormat="1" applyFont="1" applyFill="1" applyBorder="1" applyAlignment="1">
      <alignment vertical="center" shrinkToFit="1"/>
    </xf>
    <xf numFmtId="182" fontId="0" fillId="0" borderId="0" xfId="0" applyNumberFormat="1" applyAlignment="1">
      <alignment vertical="center"/>
    </xf>
    <xf numFmtId="194" fontId="13" fillId="0" borderId="42" xfId="0" applyNumberFormat="1" applyFont="1" applyBorder="1" applyAlignment="1">
      <alignment vertical="center" shrinkToFit="1"/>
    </xf>
    <xf numFmtId="194" fontId="13" fillId="11" borderId="42" xfId="0" applyNumberFormat="1" applyFont="1" applyFill="1" applyBorder="1" applyAlignment="1">
      <alignment vertical="center" shrinkToFit="1"/>
    </xf>
    <xf numFmtId="176" fontId="23" fillId="0" borderId="47" xfId="0" applyNumberFormat="1" applyFont="1" applyBorder="1" applyAlignment="1">
      <alignment horizontal="right" vertical="center" shrinkToFit="1"/>
    </xf>
    <xf numFmtId="0" fontId="5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89" fontId="60" fillId="0" borderId="0" xfId="0" applyNumberFormat="1" applyFont="1" applyAlignment="1">
      <alignment horizontal="center" vertical="center" wrapText="1"/>
    </xf>
    <xf numFmtId="0" fontId="61" fillId="0" borderId="54" xfId="0" applyFont="1" applyBorder="1" applyAlignment="1">
      <alignment horizontal="left" vertical="center" shrinkToFit="1"/>
    </xf>
    <xf numFmtId="0" fontId="0" fillId="0" borderId="54" xfId="0" applyBorder="1" applyAlignment="1">
      <alignment horizontal="left" vertical="center" shrinkToFit="1"/>
    </xf>
    <xf numFmtId="190" fontId="61" fillId="0" borderId="54" xfId="0" applyNumberFormat="1" applyFont="1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2" fillId="0" borderId="2" xfId="0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2" fillId="0" borderId="6" xfId="0" applyFont="1" applyBorder="1" applyAlignment="1">
      <alignment vertical="center" shrinkToFit="1"/>
    </xf>
    <xf numFmtId="0" fontId="2" fillId="0" borderId="2" xfId="0" applyFont="1" applyBorder="1" applyAlignment="1" applyProtection="1">
      <alignment horizontal="left" vertical="top" wrapText="1" shrinkToFit="1"/>
      <protection locked="0"/>
    </xf>
    <xf numFmtId="0" fontId="2" fillId="0" borderId="5" xfId="0" applyFont="1" applyBorder="1" applyAlignment="1" applyProtection="1">
      <alignment horizontal="left" vertical="top" wrapText="1" shrinkToFit="1"/>
      <protection locked="0"/>
    </xf>
    <xf numFmtId="0" fontId="2" fillId="0" borderId="6" xfId="0" applyFont="1" applyBorder="1" applyAlignment="1" applyProtection="1">
      <alignment horizontal="left" vertical="top" wrapText="1" shrinkToFit="1"/>
      <protection locked="0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shrinkToFit="1"/>
    </xf>
    <xf numFmtId="0" fontId="2" fillId="0" borderId="14" xfId="0" applyFont="1" applyBorder="1" applyAlignment="1">
      <alignment vertical="center" shrinkToFit="1"/>
    </xf>
    <xf numFmtId="0" fontId="2" fillId="0" borderId="22" xfId="0" applyFont="1" applyBorder="1" applyAlignment="1">
      <alignment vertical="center" shrinkToFit="1"/>
    </xf>
    <xf numFmtId="0" fontId="2" fillId="0" borderId="23" xfId="0" applyFont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6" fillId="0" borderId="51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181" fontId="6" fillId="0" borderId="51" xfId="0" applyNumberFormat="1" applyFont="1" applyBorder="1" applyAlignment="1">
      <alignment horizontal="center" vertical="center"/>
    </xf>
    <xf numFmtId="181" fontId="6" fillId="0" borderId="45" xfId="0" applyNumberFormat="1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8" fillId="0" borderId="62" xfId="0" applyFont="1" applyBorder="1" applyAlignment="1">
      <alignment horizontal="center" vertical="center" wrapText="1"/>
    </xf>
    <xf numFmtId="0" fontId="68" fillId="0" borderId="63" xfId="0" applyFont="1" applyBorder="1" applyAlignment="1">
      <alignment horizontal="center" vertical="center" wrapText="1"/>
    </xf>
    <xf numFmtId="182" fontId="6" fillId="0" borderId="51" xfId="0" applyNumberFormat="1" applyFont="1" applyBorder="1" applyAlignment="1">
      <alignment horizontal="center" vertical="center"/>
    </xf>
    <xf numFmtId="182" fontId="6" fillId="0" borderId="45" xfId="0" applyNumberFormat="1" applyFont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31" fillId="0" borderId="22" xfId="0" applyFont="1" applyBorder="1" applyAlignment="1">
      <alignment vertical="center"/>
    </xf>
    <xf numFmtId="0" fontId="31" fillId="0" borderId="23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180" fontId="103" fillId="0" borderId="22" xfId="0" applyNumberFormat="1" applyFont="1" applyBorder="1" applyAlignment="1">
      <alignment vertical="center"/>
    </xf>
    <xf numFmtId="180" fontId="103" fillId="0" borderId="23" xfId="0" applyNumberFormat="1" applyFont="1" applyBorder="1" applyAlignment="1">
      <alignment vertical="center"/>
    </xf>
    <xf numFmtId="176" fontId="6" fillId="0" borderId="51" xfId="0" applyNumberFormat="1" applyFont="1" applyBorder="1" applyAlignment="1">
      <alignment horizontal="center" vertical="center" wrapText="1"/>
    </xf>
    <xf numFmtId="176" fontId="6" fillId="0" borderId="45" xfId="0" applyNumberFormat="1" applyFont="1" applyBorder="1" applyAlignment="1">
      <alignment horizontal="center" vertical="center" wrapText="1"/>
    </xf>
    <xf numFmtId="180" fontId="72" fillId="0" borderId="22" xfId="0" applyNumberFormat="1" applyFont="1" applyBorder="1" applyAlignment="1">
      <alignment vertical="center"/>
    </xf>
    <xf numFmtId="180" fontId="72" fillId="0" borderId="23" xfId="0" applyNumberFormat="1" applyFont="1" applyBorder="1" applyAlignment="1">
      <alignment vertical="center"/>
    </xf>
    <xf numFmtId="192" fontId="67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70" fillId="0" borderId="0" xfId="0" applyFont="1" applyAlignment="1">
      <alignment horizontal="center" vertical="center"/>
    </xf>
    <xf numFmtId="0" fontId="5" fillId="0" borderId="60" xfId="0" applyFont="1" applyBorder="1" applyAlignment="1">
      <alignment horizontal="left" vertical="center"/>
    </xf>
    <xf numFmtId="190" fontId="31" fillId="0" borderId="60" xfId="0" applyNumberFormat="1" applyFont="1" applyBorder="1" applyAlignment="1">
      <alignment horizontal="left" vertical="center"/>
    </xf>
    <xf numFmtId="191" fontId="6" fillId="0" borderId="51" xfId="0" applyNumberFormat="1" applyFont="1" applyBorder="1" applyAlignment="1">
      <alignment horizontal="center" vertical="center"/>
    </xf>
    <xf numFmtId="191" fontId="6" fillId="0" borderId="45" xfId="0" applyNumberFormat="1" applyFont="1" applyBorder="1" applyAlignment="1">
      <alignment horizontal="center" vertical="center"/>
    </xf>
    <xf numFmtId="0" fontId="86" fillId="0" borderId="62" xfId="0" applyFont="1" applyBorder="1" applyAlignment="1">
      <alignment horizontal="center" vertical="center" wrapText="1"/>
    </xf>
    <xf numFmtId="180" fontId="73" fillId="0" borderId="22" xfId="0" applyNumberFormat="1" applyFont="1" applyBorder="1" applyAlignment="1">
      <alignment vertical="center"/>
    </xf>
    <xf numFmtId="180" fontId="73" fillId="0" borderId="23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4" fillId="0" borderId="0" xfId="0" applyFont="1" applyAlignment="1">
      <alignment horizontal="center"/>
    </xf>
    <xf numFmtId="178" fontId="0" fillId="0" borderId="0" xfId="0" applyNumberForma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2" fontId="0" fillId="0" borderId="30" xfId="0" applyNumberFormat="1" applyBorder="1" applyAlignment="1">
      <alignment horizontal="center" vertical="center"/>
    </xf>
    <xf numFmtId="182" fontId="0" fillId="0" borderId="2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16" xfId="0" applyBorder="1" applyAlignment="1">
      <alignment horizontal="right" vertical="center" wrapText="1"/>
    </xf>
    <xf numFmtId="182" fontId="0" fillId="0" borderId="27" xfId="0" applyNumberFormat="1" applyBorder="1" applyAlignment="1">
      <alignment horizontal="center" vertical="center"/>
    </xf>
    <xf numFmtId="182" fontId="0" fillId="0" borderId="28" xfId="0" applyNumberFormat="1" applyBorder="1" applyAlignment="1">
      <alignment horizontal="center" vertical="center"/>
    </xf>
    <xf numFmtId="182" fontId="0" fillId="0" borderId="29" xfId="0" applyNumberFormat="1" applyBorder="1" applyAlignment="1">
      <alignment horizontal="center" vertical="center"/>
    </xf>
    <xf numFmtId="182" fontId="0" fillId="0" borderId="3" xfId="0" applyNumberFormat="1" applyBorder="1" applyAlignment="1">
      <alignment horizontal="center" vertical="center"/>
    </xf>
    <xf numFmtId="182" fontId="0" fillId="0" borderId="25" xfId="0" applyNumberFormat="1" applyBorder="1" applyAlignment="1">
      <alignment horizontal="center" vertical="center"/>
    </xf>
    <xf numFmtId="182" fontId="0" fillId="0" borderId="17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4" fillId="11" borderId="42" xfId="0" applyFont="1" applyFill="1" applyBorder="1" applyAlignment="1">
      <alignment vertical="center" wrapText="1"/>
    </xf>
    <xf numFmtId="0" fontId="105" fillId="11" borderId="42" xfId="0" applyFont="1" applyFill="1" applyBorder="1" applyAlignment="1">
      <alignment vertical="center" wrapText="1"/>
    </xf>
    <xf numFmtId="0" fontId="105" fillId="0" borderId="42" xfId="0" applyFont="1" applyBorder="1" applyAlignment="1">
      <alignment vertical="center" wrapText="1"/>
    </xf>
    <xf numFmtId="0" fontId="105" fillId="4" borderId="42" xfId="0" applyFont="1" applyFill="1" applyBorder="1" applyAlignment="1">
      <alignment vertical="center" wrapText="1"/>
    </xf>
  </cellXfs>
  <cellStyles count="5">
    <cellStyle name="一般" xfId="0" builtinId="0"/>
    <cellStyle name="一般 2" xfId="1" xr:uid="{00000000-0005-0000-0000-000001000000}"/>
    <cellStyle name="一般 2 2" xfId="4" xr:uid="{151A3C0E-68FA-4624-92F7-E2CAC790D341}"/>
    <cellStyle name="千分位" xfId="2" builtinId="3"/>
    <cellStyle name="超連結" xfId="3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276</xdr:row>
      <xdr:rowOff>0</xdr:rowOff>
    </xdr:from>
    <xdr:to>
      <xdr:col>14</xdr:col>
      <xdr:colOff>1081878</xdr:colOff>
      <xdr:row>287</xdr:row>
      <xdr:rowOff>223266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03351AD-D4BE-40D4-978C-B8E3E8B30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3941" y="85142294"/>
          <a:ext cx="3379084" cy="34648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209341</xdr:colOff>
      <xdr:row>0</xdr:row>
      <xdr:rowOff>41869</xdr:rowOff>
    </xdr:from>
    <xdr:to>
      <xdr:col>6</xdr:col>
      <xdr:colOff>383858</xdr:colOff>
      <xdr:row>34</xdr:row>
      <xdr:rowOff>103682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CF498C44-A16B-A8B5-00D3-D0F70D5D8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341" y="41869"/>
          <a:ext cx="3817044" cy="5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131348</xdr:colOff>
      <xdr:row>11</xdr:row>
      <xdr:rowOff>86847</xdr:rowOff>
    </xdr:from>
    <xdr:to>
      <xdr:col>15</xdr:col>
      <xdr:colOff>377107</xdr:colOff>
      <xdr:row>40</xdr:row>
      <xdr:rowOff>133112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C16EDCB-8FBF-466D-AD99-B5A7E47B6C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228" t="25709" r="23981" b="23089"/>
        <a:stretch/>
      </xdr:blipFill>
      <xdr:spPr>
        <a:xfrm>
          <a:off x="11685173" y="9173697"/>
          <a:ext cx="5122559" cy="33323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@&#19977;&#21512;&#27211;\2-&#30435;&#36896;\&#38515;&#21191;&#26234;\&#21191;&#26234;&#32102;&#30340;&#36039;&#26009;\11307-&#25976;&#37327;&#35336;&#31639;(&#19977;&#21512;&#27211;&#33267;&#22855;&#23721;&#25277;&#27700;&#31449;)-&#29790;&#20581;V9.xlsx" TargetMode="External"/><Relationship Id="rId1" Type="http://schemas.openxmlformats.org/officeDocument/2006/relationships/externalLinkPath" Target="file:///D:\@&#19977;&#21512;&#27211;\2-&#30435;&#36896;\&#38515;&#21191;&#26234;\&#21191;&#26234;&#32102;&#30340;&#36039;&#26009;\11307-&#25976;&#37327;&#35336;&#31639;(&#19977;&#21512;&#27211;&#33267;&#22855;&#23721;&#25277;&#27700;&#31449;)-&#29790;&#20581;V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@&#19977;&#21512;&#27211;\2-&#30435;&#36896;\&#38515;&#21191;&#26234;\&#32102;&#21191;&#26234;\&#32102;&#21191;&#26234;-&#22238;&#22635;1130912.xlsx" TargetMode="External"/><Relationship Id="rId1" Type="http://schemas.openxmlformats.org/officeDocument/2006/relationships/externalLinkPath" Target="file:///D:\@&#19977;&#21512;&#27211;\2-&#30435;&#36896;\&#38515;&#21191;&#26234;\&#32102;&#21191;&#26234;\&#32102;&#21191;&#26234;-&#22238;&#22635;11309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契約"/>
      <sheetName val="數量計算"/>
      <sheetName val="鋼筋-箱涵"/>
      <sheetName val="鋼筋-橋"/>
      <sheetName val="鋼筋-河道"/>
      <sheetName val="圍籬"/>
      <sheetName val="臨時工"/>
      <sheetName val="工作表2"/>
      <sheetName val="工作表3"/>
      <sheetName val="工作表4"/>
    </sheetNames>
    <sheetDataSet>
      <sheetData sheetId="0"/>
      <sheetData sheetId="1"/>
      <sheetData sheetId="2">
        <row r="16">
          <cell r="E16">
            <v>78778.139999999985</v>
          </cell>
        </row>
        <row r="19">
          <cell r="M19">
            <v>322.90887999999995</v>
          </cell>
        </row>
        <row r="20">
          <cell r="M20">
            <v>3961.692</v>
          </cell>
        </row>
        <row r="35">
          <cell r="E35">
            <v>114704.03728</v>
          </cell>
        </row>
        <row r="36">
          <cell r="E36">
            <v>154193.98400000003</v>
          </cell>
        </row>
      </sheetData>
      <sheetData sheetId="3"/>
      <sheetData sheetId="4">
        <row r="13">
          <cell r="E13">
            <v>10263.4352832</v>
          </cell>
        </row>
        <row r="22">
          <cell r="M22">
            <v>2177.6439999999998</v>
          </cell>
        </row>
        <row r="23">
          <cell r="M23">
            <v>6767.5920000000006</v>
          </cell>
        </row>
        <row r="31">
          <cell r="E31">
            <v>1027.4277999999999</v>
          </cell>
        </row>
        <row r="32">
          <cell r="E32">
            <v>1526.2874999999999</v>
          </cell>
        </row>
        <row r="41">
          <cell r="M41">
            <v>2548.8910125000002</v>
          </cell>
        </row>
        <row r="42">
          <cell r="M42">
            <v>4562.2254375000011</v>
          </cell>
        </row>
        <row r="47">
          <cell r="E47">
            <v>718.00959999999998</v>
          </cell>
        </row>
        <row r="48">
          <cell r="E48">
            <v>2709.45</v>
          </cell>
        </row>
        <row r="63">
          <cell r="E63">
            <v>3276.0793179245284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30912"/>
      <sheetName val="1130909"/>
      <sheetName val="1130812"/>
      <sheetName val="高程及工密"/>
    </sheetNames>
    <sheetDataSet>
      <sheetData sheetId="0" refreshError="1"/>
      <sheetData sheetId="1" refreshError="1"/>
      <sheetData sheetId="2" refreshError="1"/>
      <sheetData sheetId="3">
        <row r="2">
          <cell r="H2">
            <v>4.0999999999999996</v>
          </cell>
          <cell r="K2">
            <v>6.8</v>
          </cell>
          <cell r="L2">
            <v>2.7</v>
          </cell>
          <cell r="M2">
            <v>3.5</v>
          </cell>
        </row>
        <row r="3">
          <cell r="H3">
            <v>4.1400000000000006</v>
          </cell>
          <cell r="K3">
            <v>6.89</v>
          </cell>
          <cell r="L3">
            <v>2.7499999999999991</v>
          </cell>
          <cell r="M3">
            <v>3.55</v>
          </cell>
        </row>
        <row r="4">
          <cell r="H4">
            <v>4.45</v>
          </cell>
          <cell r="K4">
            <v>6.56</v>
          </cell>
          <cell r="L4">
            <v>2.1099999999999994</v>
          </cell>
          <cell r="M4">
            <v>2.7099999999999995</v>
          </cell>
        </row>
        <row r="5">
          <cell r="H5">
            <v>4.49</v>
          </cell>
          <cell r="K5">
            <v>5.7</v>
          </cell>
          <cell r="L5">
            <v>1.21</v>
          </cell>
          <cell r="M5">
            <v>1.7600000000000002</v>
          </cell>
        </row>
        <row r="6">
          <cell r="L6">
            <v>0.47000000000000064</v>
          </cell>
          <cell r="M6">
            <v>0.87000000000000099</v>
          </cell>
        </row>
        <row r="7">
          <cell r="M7">
            <v>0.37999999999999989</v>
          </cell>
        </row>
        <row r="8">
          <cell r="M8">
            <v>0.27999999999999936</v>
          </cell>
        </row>
        <row r="9">
          <cell r="M9">
            <v>0.29999999999999982</v>
          </cell>
        </row>
        <row r="10">
          <cell r="M10">
            <v>0.29000000000000004</v>
          </cell>
        </row>
        <row r="11">
          <cell r="M11">
            <v>0.29999999999999982</v>
          </cell>
        </row>
        <row r="12">
          <cell r="M12">
            <v>0.33999999999999986</v>
          </cell>
        </row>
        <row r="13">
          <cell r="M13">
            <v>0.25999999999999979</v>
          </cell>
        </row>
        <row r="14">
          <cell r="M14">
            <v>0.5</v>
          </cell>
        </row>
        <row r="15">
          <cell r="L15">
            <v>0.55000000000000071</v>
          </cell>
          <cell r="M15">
            <v>0.76999999999999957</v>
          </cell>
        </row>
        <row r="16">
          <cell r="L16">
            <v>1.1200000000000001</v>
          </cell>
          <cell r="M16">
            <v>1.3100000000000005</v>
          </cell>
        </row>
        <row r="17">
          <cell r="M17">
            <v>0.82000000000000028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健 瑞" id="{73D37375-8D78-430B-AACC-C6707D42A002}" userId="6b96b5403f9436a5" providerId="Windows Live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53" dT="2024-09-11T02:44:12.94" personId="{73D37375-8D78-430B-AACC-C6707D42A002}" id="{4BE8F794-9C65-4DD8-8FC2-E1E29A25B91C}">
    <text>112.11.13-113.5.31止每日5H*3人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616" dT="2024-09-11T02:44:12.94" personId="{73D37375-8D78-430B-AACC-C6707D42A002}" id="{064C7B3E-620D-492F-AE77-2DDD2A42495B}">
    <text>112.11.13-113.5.31止每日5H*3人
112.11.23北市工水工字第1126063128號(三合橋-檢送1115第2次施工疑義會議紀錄)
112.09.01-北市工水工字第1126048706號-百齡抽水站暫置會勘紀錄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0" dT="2024-11-21T08:14:55.17" personId="{73D37375-8D78-430B-AACC-C6707D42A002}" id="{86F3637F-E7E0-4D65-93A4-AAA516D62A97}">
    <text>113.11.11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D336-24C6-4CB2-8425-B0784093958B}">
  <dimension ref="A1:T926"/>
  <sheetViews>
    <sheetView view="pageBreakPreview" zoomScale="96" zoomScaleNormal="115" zoomScaleSheetLayoutView="96" workbookViewId="0">
      <pane ySplit="4" topLeftCell="A38" activePane="bottomLeft" state="frozen"/>
      <selection pane="bottomLeft" activeCell="F42" sqref="F42"/>
    </sheetView>
  </sheetViews>
  <sheetFormatPr defaultRowHeight="12.75"/>
  <cols>
    <col min="1" max="1" width="4.85546875" style="115" customWidth="1"/>
    <col min="2" max="2" width="36.28515625" style="82" customWidth="1"/>
    <col min="3" max="3" width="6.5703125" style="82" customWidth="1"/>
    <col min="4" max="4" width="9.140625" style="82"/>
    <col min="5" max="7" width="10.7109375" style="82" customWidth="1"/>
    <col min="8" max="9" width="14.5703125" style="82" customWidth="1"/>
    <col min="10" max="11" width="14.5703125" style="393" customWidth="1"/>
    <col min="12" max="12" width="12.42578125" style="82" customWidth="1"/>
    <col min="13" max="13" width="13" style="82" hidden="1" customWidth="1"/>
    <col min="14" max="14" width="13.42578125" style="82" customWidth="1"/>
    <col min="15" max="15" width="14.7109375" style="82" hidden="1" customWidth="1"/>
    <col min="16" max="16" width="13.7109375" style="82" customWidth="1"/>
    <col min="17" max="17" width="17.28515625" style="82" customWidth="1"/>
    <col min="18" max="18" width="1" style="82" customWidth="1"/>
    <col min="19" max="19" width="6.140625" style="82" customWidth="1"/>
    <col min="20" max="20" width="9.42578125" style="82" bestFit="1" customWidth="1"/>
    <col min="21" max="16384" width="9.140625" style="82"/>
  </cols>
  <sheetData>
    <row r="1" spans="1:18" ht="36.75" customHeight="1">
      <c r="A1" s="667" t="s">
        <v>230</v>
      </c>
      <c r="B1" s="668"/>
      <c r="C1" s="668"/>
      <c r="D1" s="668"/>
      <c r="E1" s="668"/>
      <c r="F1" s="668"/>
      <c r="G1" s="668"/>
      <c r="H1" s="668"/>
      <c r="I1" s="668"/>
      <c r="J1" s="668"/>
      <c r="K1" s="668"/>
      <c r="L1" s="668"/>
      <c r="M1" s="668"/>
      <c r="N1" s="668"/>
      <c r="O1" s="668"/>
      <c r="P1" s="668"/>
      <c r="Q1" s="668"/>
    </row>
    <row r="2" spans="1:18" ht="30" customHeight="1">
      <c r="A2" s="669" t="s">
        <v>2506</v>
      </c>
      <c r="B2" s="668"/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8"/>
      <c r="N2" s="668"/>
      <c r="O2" s="668"/>
      <c r="P2" s="668"/>
      <c r="Q2" s="668"/>
    </row>
    <row r="3" spans="1:18" ht="27.75" customHeight="1" thickBot="1">
      <c r="A3" s="670" t="s">
        <v>2274</v>
      </c>
      <c r="B3" s="671"/>
      <c r="C3" s="671"/>
      <c r="D3" s="671"/>
      <c r="E3" s="671"/>
      <c r="F3" s="671"/>
      <c r="G3" s="671"/>
      <c r="H3" s="671"/>
      <c r="I3" s="671"/>
      <c r="J3" s="671"/>
      <c r="K3" s="671"/>
      <c r="L3" s="671"/>
      <c r="M3" s="671"/>
      <c r="N3" s="671"/>
      <c r="O3" s="376" t="s">
        <v>2275</v>
      </c>
      <c r="P3" s="672">
        <v>45596</v>
      </c>
      <c r="Q3" s="673"/>
    </row>
    <row r="4" spans="1:18" ht="33">
      <c r="A4" s="377" t="s">
        <v>235</v>
      </c>
      <c r="B4" s="378" t="s">
        <v>2276</v>
      </c>
      <c r="C4" s="378" t="s">
        <v>237</v>
      </c>
      <c r="D4" s="378" t="s">
        <v>2277</v>
      </c>
      <c r="E4" s="378" t="s">
        <v>2817</v>
      </c>
      <c r="F4" s="378" t="s">
        <v>2818</v>
      </c>
      <c r="G4" s="386" t="s">
        <v>2740</v>
      </c>
      <c r="H4" s="386" t="s">
        <v>2278</v>
      </c>
      <c r="I4" s="386" t="s">
        <v>2279</v>
      </c>
      <c r="J4" s="391" t="s">
        <v>2404</v>
      </c>
      <c r="K4" s="391" t="s">
        <v>2405</v>
      </c>
      <c r="L4" s="378" t="s">
        <v>2280</v>
      </c>
      <c r="M4" s="378" t="s">
        <v>2281</v>
      </c>
      <c r="N4" s="378" t="s">
        <v>2282</v>
      </c>
      <c r="O4" s="378" t="s">
        <v>2283</v>
      </c>
      <c r="P4" s="378" t="s">
        <v>2284</v>
      </c>
      <c r="Q4" s="379" t="s">
        <v>2285</v>
      </c>
      <c r="R4" s="380"/>
    </row>
    <row r="5" spans="1:18" ht="36.75" customHeight="1">
      <c r="A5" s="381" t="s">
        <v>10</v>
      </c>
      <c r="B5" s="382" t="s">
        <v>12</v>
      </c>
      <c r="C5" s="383" t="s">
        <v>4</v>
      </c>
      <c r="D5" s="384">
        <v>1</v>
      </c>
      <c r="E5" s="384"/>
      <c r="F5" s="384"/>
      <c r="G5" s="384"/>
      <c r="H5" s="384"/>
      <c r="I5" s="384"/>
      <c r="J5" s="392"/>
      <c r="K5" s="392"/>
      <c r="L5" s="384">
        <v>304975279</v>
      </c>
      <c r="M5" s="384">
        <v>1</v>
      </c>
      <c r="N5" s="384">
        <v>1</v>
      </c>
      <c r="O5" s="384">
        <v>7397700</v>
      </c>
      <c r="P5" s="384">
        <v>191886300</v>
      </c>
      <c r="Q5" s="385" t="s">
        <v>242</v>
      </c>
      <c r="R5" s="380" t="s">
        <v>243</v>
      </c>
    </row>
    <row r="6" spans="1:18" ht="36.75" customHeight="1">
      <c r="A6" s="381" t="s">
        <v>2286</v>
      </c>
      <c r="B6" s="382" t="s">
        <v>2</v>
      </c>
      <c r="C6" s="383" t="s">
        <v>4</v>
      </c>
      <c r="D6" s="384">
        <v>1</v>
      </c>
      <c r="E6" s="384"/>
      <c r="F6" s="384"/>
      <c r="G6" s="384"/>
      <c r="H6" s="384"/>
      <c r="I6" s="384"/>
      <c r="J6" s="392"/>
      <c r="K6" s="392"/>
      <c r="L6" s="384">
        <v>232868088.53</v>
      </c>
      <c r="M6" s="384">
        <v>1</v>
      </c>
      <c r="N6" s="384">
        <v>1</v>
      </c>
      <c r="O6" s="384">
        <v>5673978.8499999996</v>
      </c>
      <c r="P6" s="384">
        <v>140200014.53999999</v>
      </c>
      <c r="Q6" s="385" t="s">
        <v>242</v>
      </c>
      <c r="R6" s="380" t="s">
        <v>243</v>
      </c>
    </row>
    <row r="7" spans="1:18" ht="36.75" customHeight="1">
      <c r="A7" s="381" t="s">
        <v>2287</v>
      </c>
      <c r="B7" s="382" t="s">
        <v>244</v>
      </c>
      <c r="C7" s="383" t="s">
        <v>4</v>
      </c>
      <c r="D7" s="384">
        <v>1</v>
      </c>
      <c r="E7" s="384"/>
      <c r="F7" s="384"/>
      <c r="G7" s="384"/>
      <c r="H7" s="384"/>
      <c r="I7" s="384"/>
      <c r="J7" s="392"/>
      <c r="K7" s="392"/>
      <c r="L7" s="384">
        <v>61233815.539999999</v>
      </c>
      <c r="M7" s="384">
        <v>1</v>
      </c>
      <c r="N7" s="384">
        <v>1</v>
      </c>
      <c r="O7" s="384">
        <v>927832.41</v>
      </c>
      <c r="P7" s="384">
        <v>44630848.060000002</v>
      </c>
      <c r="Q7" s="385" t="s">
        <v>242</v>
      </c>
      <c r="R7" s="380" t="s">
        <v>243</v>
      </c>
    </row>
    <row r="8" spans="1:18" ht="36.75" customHeight="1">
      <c r="A8" s="381" t="s">
        <v>2288</v>
      </c>
      <c r="B8" s="382" t="s">
        <v>245</v>
      </c>
      <c r="C8" s="383" t="s">
        <v>6</v>
      </c>
      <c r="D8" s="384">
        <v>720.24</v>
      </c>
      <c r="E8" s="384"/>
      <c r="F8" s="384">
        <v>720.24</v>
      </c>
      <c r="G8" s="384"/>
      <c r="H8" s="384"/>
      <c r="I8" s="384"/>
      <c r="J8" s="392"/>
      <c r="K8" s="392"/>
      <c r="L8" s="384">
        <v>193.11</v>
      </c>
      <c r="M8" s="384">
        <v>18.75</v>
      </c>
      <c r="N8" s="384">
        <v>148.93</v>
      </c>
      <c r="O8" s="384">
        <v>3620.81</v>
      </c>
      <c r="P8" s="384">
        <v>28759.87</v>
      </c>
      <c r="Q8" s="385" t="s">
        <v>242</v>
      </c>
      <c r="R8" s="380" t="s">
        <v>243</v>
      </c>
    </row>
    <row r="9" spans="1:18" ht="36.75" customHeight="1">
      <c r="A9" s="381" t="s">
        <v>2289</v>
      </c>
      <c r="B9" s="382" t="s">
        <v>247</v>
      </c>
      <c r="C9" s="383" t="s">
        <v>6</v>
      </c>
      <c r="D9" s="384">
        <v>4813.4399999999996</v>
      </c>
      <c r="E9" s="384"/>
      <c r="F9" s="384">
        <v>4813.4399999999996</v>
      </c>
      <c r="G9" s="384"/>
      <c r="H9" s="384"/>
      <c r="I9" s="384"/>
      <c r="J9" s="392"/>
      <c r="K9" s="392"/>
      <c r="L9" s="384">
        <v>1046.1600000000001</v>
      </c>
      <c r="M9" s="384">
        <v>0</v>
      </c>
      <c r="N9" s="384">
        <v>4091.17</v>
      </c>
      <c r="O9" s="384">
        <v>0</v>
      </c>
      <c r="P9" s="384">
        <v>4280018.41</v>
      </c>
      <c r="Q9" s="385" t="s">
        <v>242</v>
      </c>
      <c r="R9" s="380" t="s">
        <v>243</v>
      </c>
    </row>
    <row r="10" spans="1:18" ht="36.75" customHeight="1">
      <c r="A10" s="381" t="s">
        <v>2290</v>
      </c>
      <c r="B10" s="382" t="s">
        <v>249</v>
      </c>
      <c r="C10" s="383" t="s">
        <v>8</v>
      </c>
      <c r="D10" s="384">
        <v>1743</v>
      </c>
      <c r="E10" s="384"/>
      <c r="F10" s="384">
        <v>1743</v>
      </c>
      <c r="G10" s="384"/>
      <c r="H10" s="384"/>
      <c r="I10" s="384"/>
      <c r="J10" s="392"/>
      <c r="K10" s="392"/>
      <c r="L10" s="384">
        <v>6199.66</v>
      </c>
      <c r="M10" s="384">
        <v>0</v>
      </c>
      <c r="N10" s="384">
        <v>1741.3</v>
      </c>
      <c r="O10" s="384">
        <v>0</v>
      </c>
      <c r="P10" s="384">
        <v>10795467.960000001</v>
      </c>
      <c r="Q10" s="385" t="s">
        <v>242</v>
      </c>
      <c r="R10" s="380" t="s">
        <v>243</v>
      </c>
    </row>
    <row r="11" spans="1:18" ht="36.75" customHeight="1">
      <c r="A11" s="381" t="s">
        <v>2291</v>
      </c>
      <c r="B11" s="382" t="s">
        <v>194</v>
      </c>
      <c r="C11" s="383" t="s">
        <v>23</v>
      </c>
      <c r="D11" s="384">
        <v>26370</v>
      </c>
      <c r="E11" s="384">
        <v>28009.56</v>
      </c>
      <c r="F11" s="384">
        <v>28009.56</v>
      </c>
      <c r="G11" s="384"/>
      <c r="H11" s="384"/>
      <c r="I11" s="384"/>
      <c r="J11" s="392"/>
      <c r="K11" s="392"/>
      <c r="L11" s="384">
        <v>48.28</v>
      </c>
      <c r="M11" s="384">
        <v>75</v>
      </c>
      <c r="N11" s="384">
        <v>26684</v>
      </c>
      <c r="O11" s="384">
        <v>3621</v>
      </c>
      <c r="P11" s="384">
        <v>1288303.52</v>
      </c>
      <c r="Q11" s="385" t="s">
        <v>242</v>
      </c>
      <c r="R11" s="380" t="s">
        <v>243</v>
      </c>
    </row>
    <row r="12" spans="1:18" ht="36.75" customHeight="1">
      <c r="A12" s="381" t="s">
        <v>2292</v>
      </c>
      <c r="B12" s="382" t="s">
        <v>252</v>
      </c>
      <c r="C12" s="383" t="s">
        <v>6</v>
      </c>
      <c r="D12" s="384">
        <v>4726.67</v>
      </c>
      <c r="E12" s="384"/>
      <c r="F12" s="384">
        <v>4726.67</v>
      </c>
      <c r="G12" s="384"/>
      <c r="H12" s="384"/>
      <c r="I12" s="384"/>
      <c r="J12" s="392"/>
      <c r="K12" s="392"/>
      <c r="L12" s="384">
        <v>599.71</v>
      </c>
      <c r="M12" s="384">
        <v>0</v>
      </c>
      <c r="N12" s="384">
        <v>569.4</v>
      </c>
      <c r="O12" s="384">
        <v>0</v>
      </c>
      <c r="P12" s="384">
        <v>341474.87</v>
      </c>
      <c r="Q12" s="385" t="s">
        <v>242</v>
      </c>
      <c r="R12" s="380" t="s">
        <v>243</v>
      </c>
    </row>
    <row r="13" spans="1:18" ht="36.75" customHeight="1">
      <c r="A13" s="381" t="s">
        <v>2293</v>
      </c>
      <c r="B13" s="382" t="s">
        <v>255</v>
      </c>
      <c r="C13" s="383" t="s">
        <v>6</v>
      </c>
      <c r="D13" s="384">
        <v>13120</v>
      </c>
      <c r="E13" s="384"/>
      <c r="F13" s="384">
        <v>13120</v>
      </c>
      <c r="G13" s="384"/>
      <c r="H13" s="384"/>
      <c r="I13" s="384"/>
      <c r="J13" s="392"/>
      <c r="K13" s="392"/>
      <c r="L13" s="384">
        <v>104.64</v>
      </c>
      <c r="M13" s="384">
        <v>864</v>
      </c>
      <c r="N13" s="384">
        <v>8670.2199999999993</v>
      </c>
      <c r="O13" s="384">
        <v>90408.960000000006</v>
      </c>
      <c r="P13" s="384">
        <v>907251.82</v>
      </c>
      <c r="Q13" s="385" t="s">
        <v>242</v>
      </c>
      <c r="R13" s="380" t="s">
        <v>243</v>
      </c>
    </row>
    <row r="14" spans="1:18" ht="36.75" customHeight="1">
      <c r="A14" s="381" t="s">
        <v>2294</v>
      </c>
      <c r="B14" s="382" t="s">
        <v>258</v>
      </c>
      <c r="C14" s="383" t="s">
        <v>23</v>
      </c>
      <c r="D14" s="384">
        <v>13251</v>
      </c>
      <c r="E14" s="384"/>
      <c r="F14" s="384">
        <v>13251</v>
      </c>
      <c r="G14" s="384"/>
      <c r="H14" s="384"/>
      <c r="I14" s="384"/>
      <c r="J14" s="392"/>
      <c r="K14" s="392"/>
      <c r="L14" s="384">
        <v>1027.3699999999999</v>
      </c>
      <c r="M14" s="384">
        <v>156</v>
      </c>
      <c r="N14" s="384">
        <v>10560</v>
      </c>
      <c r="O14" s="384">
        <v>160269.72</v>
      </c>
      <c r="P14" s="384">
        <v>10849027.199999999</v>
      </c>
      <c r="Q14" s="385" t="s">
        <v>242</v>
      </c>
      <c r="R14" s="380" t="s">
        <v>243</v>
      </c>
    </row>
    <row r="15" spans="1:18" ht="36.75" customHeight="1">
      <c r="A15" s="381" t="s">
        <v>2295</v>
      </c>
      <c r="B15" s="382" t="s">
        <v>261</v>
      </c>
      <c r="C15" s="383" t="s">
        <v>6</v>
      </c>
      <c r="D15" s="384">
        <v>4601.4399999999996</v>
      </c>
      <c r="E15" s="384"/>
      <c r="F15" s="384">
        <v>4601.4399999999996</v>
      </c>
      <c r="G15" s="384"/>
      <c r="H15" s="387"/>
      <c r="I15" s="387"/>
      <c r="J15" s="392"/>
      <c r="K15" s="392"/>
      <c r="L15" s="384">
        <v>1084.98</v>
      </c>
      <c r="M15" s="384">
        <v>0</v>
      </c>
      <c r="N15" s="384">
        <v>0</v>
      </c>
      <c r="O15" s="384">
        <v>0</v>
      </c>
      <c r="P15" s="384">
        <v>0</v>
      </c>
      <c r="Q15" s="385" t="s">
        <v>242</v>
      </c>
      <c r="R15" s="380" t="s">
        <v>243</v>
      </c>
    </row>
    <row r="16" spans="1:18" ht="36.75" customHeight="1">
      <c r="A16" s="381" t="s">
        <v>2296</v>
      </c>
      <c r="B16" s="382" t="s">
        <v>264</v>
      </c>
      <c r="C16" s="383" t="s">
        <v>13</v>
      </c>
      <c r="D16" s="384">
        <v>2588.5</v>
      </c>
      <c r="E16" s="384"/>
      <c r="F16" s="384">
        <v>2588.5</v>
      </c>
      <c r="G16" s="384"/>
      <c r="H16" s="384"/>
      <c r="I16" s="384"/>
      <c r="J16" s="392"/>
      <c r="K16" s="392"/>
      <c r="L16" s="384">
        <v>30.45</v>
      </c>
      <c r="M16" s="384">
        <v>0</v>
      </c>
      <c r="N16" s="384">
        <v>0</v>
      </c>
      <c r="O16" s="384">
        <v>0</v>
      </c>
      <c r="P16" s="384">
        <v>0</v>
      </c>
      <c r="Q16" s="385" t="s">
        <v>242</v>
      </c>
      <c r="R16" s="380" t="s">
        <v>243</v>
      </c>
    </row>
    <row r="17" spans="1:18" ht="36.75" customHeight="1">
      <c r="A17" s="381" t="s">
        <v>2297</v>
      </c>
      <c r="B17" s="382" t="s">
        <v>267</v>
      </c>
      <c r="C17" s="383" t="s">
        <v>13</v>
      </c>
      <c r="D17" s="384">
        <v>9177</v>
      </c>
      <c r="E17" s="384"/>
      <c r="F17" s="384">
        <v>9177</v>
      </c>
      <c r="G17" s="384"/>
      <c r="H17" s="384"/>
      <c r="I17" s="384"/>
      <c r="J17" s="392"/>
      <c r="K17" s="392"/>
      <c r="L17" s="384">
        <v>28.48</v>
      </c>
      <c r="M17" s="384">
        <v>0</v>
      </c>
      <c r="N17" s="384">
        <v>4745</v>
      </c>
      <c r="O17" s="384">
        <v>0</v>
      </c>
      <c r="P17" s="384">
        <v>135137.60000000001</v>
      </c>
      <c r="Q17" s="385" t="s">
        <v>242</v>
      </c>
      <c r="R17" s="380" t="s">
        <v>243</v>
      </c>
    </row>
    <row r="18" spans="1:18" ht="36.75" customHeight="1">
      <c r="A18" s="381" t="s">
        <v>2298</v>
      </c>
      <c r="B18" s="382" t="s">
        <v>270</v>
      </c>
      <c r="C18" s="383" t="s">
        <v>8</v>
      </c>
      <c r="D18" s="384">
        <v>162.5</v>
      </c>
      <c r="E18" s="384"/>
      <c r="F18" s="384">
        <v>162.5</v>
      </c>
      <c r="G18" s="384"/>
      <c r="H18" s="384"/>
      <c r="I18" s="384"/>
      <c r="J18" s="392"/>
      <c r="K18" s="392"/>
      <c r="L18" s="384">
        <v>65.400000000000006</v>
      </c>
      <c r="M18" s="384">
        <v>0</v>
      </c>
      <c r="N18" s="384">
        <v>52.1</v>
      </c>
      <c r="O18" s="384">
        <v>0</v>
      </c>
      <c r="P18" s="384">
        <v>3407.34</v>
      </c>
      <c r="Q18" s="385" t="s">
        <v>242</v>
      </c>
      <c r="R18" s="380" t="s">
        <v>243</v>
      </c>
    </row>
    <row r="19" spans="1:18" ht="36.75" customHeight="1">
      <c r="A19" s="381" t="s">
        <v>2299</v>
      </c>
      <c r="B19" s="382" t="s">
        <v>273</v>
      </c>
      <c r="C19" s="383" t="s">
        <v>13</v>
      </c>
      <c r="D19" s="384">
        <v>5217.7</v>
      </c>
      <c r="E19" s="384"/>
      <c r="F19" s="384">
        <v>5217.7</v>
      </c>
      <c r="G19" s="384"/>
      <c r="H19" s="384"/>
      <c r="I19" s="384"/>
      <c r="J19" s="392"/>
      <c r="K19" s="392"/>
      <c r="L19" s="384">
        <v>20.190000000000001</v>
      </c>
      <c r="M19" s="384">
        <v>0</v>
      </c>
      <c r="N19" s="384">
        <v>3717</v>
      </c>
      <c r="O19" s="384">
        <v>0</v>
      </c>
      <c r="P19" s="384">
        <v>75046.23</v>
      </c>
      <c r="Q19" s="385" t="s">
        <v>242</v>
      </c>
      <c r="R19" s="380" t="s">
        <v>243</v>
      </c>
    </row>
    <row r="20" spans="1:18" ht="36.75" customHeight="1">
      <c r="A20" s="381" t="s">
        <v>2300</v>
      </c>
      <c r="B20" s="382" t="s">
        <v>276</v>
      </c>
      <c r="C20" s="383" t="s">
        <v>6</v>
      </c>
      <c r="D20" s="384">
        <v>782.66</v>
      </c>
      <c r="E20" s="384"/>
      <c r="F20" s="384">
        <v>782.66</v>
      </c>
      <c r="G20" s="384"/>
      <c r="H20" s="384"/>
      <c r="I20" s="384"/>
      <c r="J20" s="392"/>
      <c r="K20" s="392"/>
      <c r="L20" s="384">
        <v>2286.6799999999998</v>
      </c>
      <c r="M20" s="384">
        <v>0</v>
      </c>
      <c r="N20" s="384">
        <v>108</v>
      </c>
      <c r="O20" s="384">
        <v>0</v>
      </c>
      <c r="P20" s="384">
        <v>246961.44</v>
      </c>
      <c r="Q20" s="385" t="s">
        <v>242</v>
      </c>
      <c r="R20" s="380" t="s">
        <v>243</v>
      </c>
    </row>
    <row r="21" spans="1:18" ht="36.75" customHeight="1">
      <c r="A21" s="381" t="s">
        <v>2301</v>
      </c>
      <c r="B21" s="382" t="s">
        <v>279</v>
      </c>
      <c r="C21" s="383" t="s">
        <v>14</v>
      </c>
      <c r="D21" s="384">
        <v>425</v>
      </c>
      <c r="E21" s="384"/>
      <c r="F21" s="384">
        <v>425</v>
      </c>
      <c r="G21" s="384"/>
      <c r="H21" s="384"/>
      <c r="I21" s="384"/>
      <c r="J21" s="392"/>
      <c r="K21" s="392"/>
      <c r="L21" s="384">
        <v>521.15</v>
      </c>
      <c r="M21" s="384">
        <v>0</v>
      </c>
      <c r="N21" s="384">
        <v>425</v>
      </c>
      <c r="O21" s="384">
        <v>0</v>
      </c>
      <c r="P21" s="384">
        <v>221488.75</v>
      </c>
      <c r="Q21" s="385" t="s">
        <v>242</v>
      </c>
      <c r="R21" s="380" t="s">
        <v>243</v>
      </c>
    </row>
    <row r="22" spans="1:18" s="273" customFormat="1" ht="36.75" customHeight="1">
      <c r="A22" s="481" t="s">
        <v>2302</v>
      </c>
      <c r="B22" s="482" t="s">
        <v>282</v>
      </c>
      <c r="C22" s="483" t="s">
        <v>8</v>
      </c>
      <c r="D22" s="484">
        <v>255.5</v>
      </c>
      <c r="E22" s="484"/>
      <c r="F22" s="484">
        <f>G22</f>
        <v>314.3</v>
      </c>
      <c r="G22" s="484">
        <f>'數量計算(FOR4變)'!I66</f>
        <v>314.3</v>
      </c>
      <c r="H22" s="484">
        <f>G22-D22</f>
        <v>58.800000000000011</v>
      </c>
      <c r="I22" s="484">
        <f>ROUND(H22*L22,2)</f>
        <v>17032.599999999999</v>
      </c>
      <c r="J22" s="485"/>
      <c r="K22" s="485"/>
      <c r="L22" s="484">
        <v>289.67</v>
      </c>
      <c r="M22" s="484">
        <v>0</v>
      </c>
      <c r="N22" s="484">
        <v>255.5</v>
      </c>
      <c r="O22" s="484">
        <v>0</v>
      </c>
      <c r="P22" s="484">
        <v>74010.69</v>
      </c>
      <c r="Q22" s="486" t="s">
        <v>242</v>
      </c>
      <c r="R22" s="487" t="s">
        <v>243</v>
      </c>
    </row>
    <row r="23" spans="1:18" ht="36.75" customHeight="1">
      <c r="A23" s="381" t="s">
        <v>2303</v>
      </c>
      <c r="B23" s="382" t="s">
        <v>285</v>
      </c>
      <c r="C23" s="383" t="s">
        <v>286</v>
      </c>
      <c r="D23" s="384">
        <v>2204</v>
      </c>
      <c r="E23" s="384"/>
      <c r="F23" s="384">
        <v>2204</v>
      </c>
      <c r="G23" s="384"/>
      <c r="H23" s="384"/>
      <c r="I23" s="384"/>
      <c r="J23" s="392"/>
      <c r="K23" s="392"/>
      <c r="L23" s="384">
        <v>3082.11</v>
      </c>
      <c r="M23" s="384">
        <v>72</v>
      </c>
      <c r="N23" s="384">
        <v>2107</v>
      </c>
      <c r="O23" s="384">
        <v>221911.92</v>
      </c>
      <c r="P23" s="384">
        <v>6494005.7699999996</v>
      </c>
      <c r="Q23" s="385" t="s">
        <v>242</v>
      </c>
      <c r="R23" s="380" t="s">
        <v>243</v>
      </c>
    </row>
    <row r="24" spans="1:18" ht="36.75" customHeight="1">
      <c r="A24" s="381" t="s">
        <v>2304</v>
      </c>
      <c r="B24" s="382" t="s">
        <v>289</v>
      </c>
      <c r="C24" s="383" t="s">
        <v>290</v>
      </c>
      <c r="D24" s="384">
        <v>66</v>
      </c>
      <c r="E24" s="384"/>
      <c r="F24" s="384">
        <v>66</v>
      </c>
      <c r="G24" s="384"/>
      <c r="H24" s="384"/>
      <c r="I24" s="384"/>
      <c r="J24" s="392"/>
      <c r="K24" s="392"/>
      <c r="L24" s="384">
        <v>3311.26</v>
      </c>
      <c r="M24" s="384">
        <v>0</v>
      </c>
      <c r="N24" s="384">
        <v>65</v>
      </c>
      <c r="O24" s="384">
        <v>0</v>
      </c>
      <c r="P24" s="384">
        <v>215231.9</v>
      </c>
      <c r="Q24" s="385" t="s">
        <v>242</v>
      </c>
      <c r="R24" s="380" t="s">
        <v>243</v>
      </c>
    </row>
    <row r="25" spans="1:18" ht="36.75" customHeight="1">
      <c r="A25" s="381" t="s">
        <v>2305</v>
      </c>
      <c r="B25" s="382" t="s">
        <v>293</v>
      </c>
      <c r="C25" s="383" t="s">
        <v>0</v>
      </c>
      <c r="D25" s="384">
        <v>18</v>
      </c>
      <c r="E25" s="384"/>
      <c r="F25" s="384">
        <v>18</v>
      </c>
      <c r="G25" s="384"/>
      <c r="H25" s="384"/>
      <c r="I25" s="384"/>
      <c r="J25" s="392"/>
      <c r="K25" s="392"/>
      <c r="L25" s="384">
        <v>1199.93</v>
      </c>
      <c r="M25" s="384">
        <v>0</v>
      </c>
      <c r="N25" s="384">
        <v>18</v>
      </c>
      <c r="O25" s="384">
        <v>0</v>
      </c>
      <c r="P25" s="384">
        <v>21598.74</v>
      </c>
      <c r="Q25" s="385" t="s">
        <v>242</v>
      </c>
      <c r="R25" s="380" t="s">
        <v>243</v>
      </c>
    </row>
    <row r="26" spans="1:18" ht="36.75" customHeight="1">
      <c r="A26" s="381" t="s">
        <v>2306</v>
      </c>
      <c r="B26" s="382" t="s">
        <v>296</v>
      </c>
      <c r="C26" s="383" t="s">
        <v>0</v>
      </c>
      <c r="D26" s="384">
        <v>4</v>
      </c>
      <c r="E26" s="384"/>
      <c r="F26" s="384">
        <v>4</v>
      </c>
      <c r="G26" s="384"/>
      <c r="H26" s="384"/>
      <c r="I26" s="384"/>
      <c r="J26" s="392"/>
      <c r="K26" s="392"/>
      <c r="L26" s="384">
        <v>2999.84</v>
      </c>
      <c r="M26" s="384">
        <v>0</v>
      </c>
      <c r="N26" s="384">
        <v>4</v>
      </c>
      <c r="O26" s="384">
        <v>0</v>
      </c>
      <c r="P26" s="384">
        <v>11999.36</v>
      </c>
      <c r="Q26" s="385" t="s">
        <v>242</v>
      </c>
      <c r="R26" s="380" t="s">
        <v>243</v>
      </c>
    </row>
    <row r="27" spans="1:18" ht="36.75" customHeight="1">
      <c r="A27" s="381" t="s">
        <v>2307</v>
      </c>
      <c r="B27" s="382" t="s">
        <v>299</v>
      </c>
      <c r="C27" s="383" t="s">
        <v>0</v>
      </c>
      <c r="D27" s="384">
        <v>20</v>
      </c>
      <c r="E27" s="384"/>
      <c r="F27" s="384">
        <v>20</v>
      </c>
      <c r="G27" s="384"/>
      <c r="H27" s="384"/>
      <c r="I27" s="384"/>
      <c r="J27" s="392"/>
      <c r="K27" s="392"/>
      <c r="L27" s="384">
        <v>2999.84</v>
      </c>
      <c r="M27" s="384">
        <v>0</v>
      </c>
      <c r="N27" s="384">
        <v>20</v>
      </c>
      <c r="O27" s="384">
        <v>0</v>
      </c>
      <c r="P27" s="384">
        <v>59996.800000000003</v>
      </c>
      <c r="Q27" s="385" t="s">
        <v>242</v>
      </c>
      <c r="R27" s="380" t="s">
        <v>243</v>
      </c>
    </row>
    <row r="28" spans="1:18" ht="36.75" customHeight="1">
      <c r="A28" s="381" t="s">
        <v>2308</v>
      </c>
      <c r="B28" s="382" t="s">
        <v>302</v>
      </c>
      <c r="C28" s="383" t="s">
        <v>0</v>
      </c>
      <c r="D28" s="384">
        <v>15</v>
      </c>
      <c r="E28" s="384"/>
      <c r="F28" s="384">
        <v>15</v>
      </c>
      <c r="G28" s="384"/>
      <c r="H28" s="384"/>
      <c r="I28" s="384"/>
      <c r="J28" s="392"/>
      <c r="K28" s="392"/>
      <c r="L28" s="384">
        <v>2999.84</v>
      </c>
      <c r="M28" s="384">
        <v>0</v>
      </c>
      <c r="N28" s="384">
        <v>15</v>
      </c>
      <c r="O28" s="384">
        <v>0</v>
      </c>
      <c r="P28" s="384">
        <v>44997.599999999999</v>
      </c>
      <c r="Q28" s="385" t="s">
        <v>242</v>
      </c>
      <c r="R28" s="380" t="s">
        <v>243</v>
      </c>
    </row>
    <row r="29" spans="1:18" ht="36.75" customHeight="1">
      <c r="A29" s="381" t="s">
        <v>2309</v>
      </c>
      <c r="B29" s="382" t="s">
        <v>305</v>
      </c>
      <c r="C29" s="383" t="s">
        <v>4</v>
      </c>
      <c r="D29" s="384">
        <v>1</v>
      </c>
      <c r="E29" s="384"/>
      <c r="F29" s="384">
        <v>1</v>
      </c>
      <c r="G29" s="384"/>
      <c r="H29" s="384"/>
      <c r="I29" s="384"/>
      <c r="J29" s="392"/>
      <c r="K29" s="392"/>
      <c r="L29" s="384">
        <v>399978.19</v>
      </c>
      <c r="M29" s="384">
        <v>0</v>
      </c>
      <c r="N29" s="384">
        <v>1</v>
      </c>
      <c r="O29" s="384">
        <v>0</v>
      </c>
      <c r="P29" s="384">
        <v>399978.19</v>
      </c>
      <c r="Q29" s="385" t="s">
        <v>2310</v>
      </c>
      <c r="R29" s="380" t="s">
        <v>243</v>
      </c>
    </row>
    <row r="30" spans="1:18" ht="36.75" customHeight="1">
      <c r="A30" s="381" t="s">
        <v>2311</v>
      </c>
      <c r="B30" s="382" t="s">
        <v>31</v>
      </c>
      <c r="C30" s="383" t="s">
        <v>16</v>
      </c>
      <c r="D30" s="384">
        <v>30800</v>
      </c>
      <c r="E30" s="384"/>
      <c r="F30" s="384">
        <v>30800</v>
      </c>
      <c r="G30" s="384"/>
      <c r="H30" s="384"/>
      <c r="I30" s="384"/>
      <c r="J30" s="392"/>
      <c r="K30" s="392"/>
      <c r="L30" s="384">
        <v>280</v>
      </c>
      <c r="M30" s="384">
        <v>1600</v>
      </c>
      <c r="N30" s="384">
        <v>21303.5</v>
      </c>
      <c r="O30" s="384">
        <v>448000</v>
      </c>
      <c r="P30" s="384">
        <v>5964980</v>
      </c>
      <c r="Q30" s="385" t="s">
        <v>242</v>
      </c>
      <c r="R30" s="380" t="s">
        <v>243</v>
      </c>
    </row>
    <row r="31" spans="1:18" ht="36.75" customHeight="1">
      <c r="A31" s="381" t="s">
        <v>2312</v>
      </c>
      <c r="B31" s="382" t="s">
        <v>1312</v>
      </c>
      <c r="C31" s="383" t="s">
        <v>13</v>
      </c>
      <c r="D31" s="384">
        <v>0</v>
      </c>
      <c r="E31" s="384">
        <v>2150</v>
      </c>
      <c r="F31" s="384">
        <v>2150</v>
      </c>
      <c r="G31" s="384"/>
      <c r="H31" s="384"/>
      <c r="I31" s="384"/>
      <c r="J31" s="392"/>
      <c r="K31" s="392"/>
      <c r="L31" s="384">
        <v>70.56</v>
      </c>
      <c r="M31" s="384">
        <v>0</v>
      </c>
      <c r="N31" s="384">
        <v>2150</v>
      </c>
      <c r="O31" s="384">
        <v>0</v>
      </c>
      <c r="P31" s="384">
        <v>151704</v>
      </c>
      <c r="Q31" s="385" t="s">
        <v>242</v>
      </c>
      <c r="R31" s="380" t="s">
        <v>243</v>
      </c>
    </row>
    <row r="32" spans="1:18" ht="36.75" customHeight="1">
      <c r="A32" s="381" t="s">
        <v>2313</v>
      </c>
      <c r="B32" s="382" t="s">
        <v>1314</v>
      </c>
      <c r="C32" s="383" t="s">
        <v>1315</v>
      </c>
      <c r="D32" s="384">
        <v>0</v>
      </c>
      <c r="E32" s="384">
        <v>111</v>
      </c>
      <c r="F32" s="384">
        <v>111</v>
      </c>
      <c r="G32" s="384"/>
      <c r="H32" s="384"/>
      <c r="I32" s="384"/>
      <c r="J32" s="392"/>
      <c r="K32" s="392"/>
      <c r="L32" s="384">
        <v>20000</v>
      </c>
      <c r="M32" s="384">
        <v>0</v>
      </c>
      <c r="N32" s="384">
        <v>101</v>
      </c>
      <c r="O32" s="384">
        <v>0</v>
      </c>
      <c r="P32" s="384">
        <v>2020000</v>
      </c>
      <c r="Q32" s="385" t="s">
        <v>242</v>
      </c>
      <c r="R32" s="380" t="s">
        <v>243</v>
      </c>
    </row>
    <row r="33" spans="1:18" ht="36.75" customHeight="1">
      <c r="A33" s="381" t="s">
        <v>2314</v>
      </c>
      <c r="B33" s="382" t="s">
        <v>309</v>
      </c>
      <c r="C33" s="383" t="s">
        <v>4</v>
      </c>
      <c r="D33" s="384">
        <v>1</v>
      </c>
      <c r="E33" s="384"/>
      <c r="F33" s="384"/>
      <c r="G33" s="384"/>
      <c r="H33" s="384"/>
      <c r="I33" s="384"/>
      <c r="J33" s="392"/>
      <c r="K33" s="392"/>
      <c r="L33" s="384">
        <v>30807124.300000001</v>
      </c>
      <c r="M33" s="384">
        <v>1</v>
      </c>
      <c r="N33" s="384">
        <v>1</v>
      </c>
      <c r="O33" s="384">
        <v>140646.04</v>
      </c>
      <c r="P33" s="384">
        <v>1083872.94</v>
      </c>
      <c r="Q33" s="385" t="s">
        <v>242</v>
      </c>
      <c r="R33" s="380" t="s">
        <v>243</v>
      </c>
    </row>
    <row r="34" spans="1:18" ht="36.75" customHeight="1">
      <c r="A34" s="381" t="s">
        <v>2288</v>
      </c>
      <c r="B34" s="382" t="s">
        <v>310</v>
      </c>
      <c r="C34" s="383" t="s">
        <v>223</v>
      </c>
      <c r="D34" s="384">
        <v>1887.64</v>
      </c>
      <c r="E34" s="384"/>
      <c r="F34" s="384">
        <f>D34</f>
        <v>1887.64</v>
      </c>
      <c r="G34" s="384"/>
      <c r="H34" s="384"/>
      <c r="I34" s="384"/>
      <c r="J34" s="392"/>
      <c r="K34" s="392"/>
      <c r="L34" s="384">
        <v>320.72000000000003</v>
      </c>
      <c r="M34" s="384">
        <v>0</v>
      </c>
      <c r="N34" s="384">
        <v>0</v>
      </c>
      <c r="O34" s="384">
        <v>0</v>
      </c>
      <c r="P34" s="384">
        <v>0</v>
      </c>
      <c r="Q34" s="385" t="s">
        <v>242</v>
      </c>
      <c r="R34" s="380" t="s">
        <v>243</v>
      </c>
    </row>
    <row r="35" spans="1:18" ht="36.75" customHeight="1">
      <c r="A35" s="381" t="s">
        <v>2289</v>
      </c>
      <c r="B35" s="382" t="s">
        <v>312</v>
      </c>
      <c r="C35" s="383" t="s">
        <v>223</v>
      </c>
      <c r="D35" s="384">
        <v>402.21</v>
      </c>
      <c r="E35" s="384"/>
      <c r="F35" s="384">
        <f t="shared" ref="F35:F69" si="0">D35</f>
        <v>402.21</v>
      </c>
      <c r="G35" s="384"/>
      <c r="H35" s="384"/>
      <c r="I35" s="384"/>
      <c r="J35" s="392"/>
      <c r="K35" s="392"/>
      <c r="L35" s="384">
        <v>346.06</v>
      </c>
      <c r="M35" s="384">
        <v>0</v>
      </c>
      <c r="N35" s="384">
        <v>0</v>
      </c>
      <c r="O35" s="384">
        <v>0</v>
      </c>
      <c r="P35" s="384">
        <v>0</v>
      </c>
      <c r="Q35" s="385" t="s">
        <v>242</v>
      </c>
      <c r="R35" s="380" t="s">
        <v>243</v>
      </c>
    </row>
    <row r="36" spans="1:18" ht="36.75" customHeight="1">
      <c r="A36" s="381" t="s">
        <v>2290</v>
      </c>
      <c r="B36" s="382" t="s">
        <v>192</v>
      </c>
      <c r="C36" s="383" t="s">
        <v>17</v>
      </c>
      <c r="D36" s="384">
        <v>18865.759999999998</v>
      </c>
      <c r="E36" s="384"/>
      <c r="F36" s="384">
        <f t="shared" si="0"/>
        <v>18865.759999999998</v>
      </c>
      <c r="G36" s="384"/>
      <c r="H36" s="384"/>
      <c r="I36" s="384"/>
      <c r="J36" s="392"/>
      <c r="K36" s="392"/>
      <c r="L36" s="384">
        <v>36.4</v>
      </c>
      <c r="M36" s="384">
        <v>0</v>
      </c>
      <c r="N36" s="384">
        <v>5167.4399999999996</v>
      </c>
      <c r="O36" s="384">
        <v>0</v>
      </c>
      <c r="P36" s="384">
        <v>188094.82</v>
      </c>
      <c r="Q36" s="385" t="s">
        <v>242</v>
      </c>
      <c r="R36" s="380" t="s">
        <v>243</v>
      </c>
    </row>
    <row r="37" spans="1:18" ht="36.75" customHeight="1">
      <c r="A37" s="381" t="s">
        <v>2291</v>
      </c>
      <c r="B37" s="382" t="s">
        <v>315</v>
      </c>
      <c r="C37" s="383" t="s">
        <v>6</v>
      </c>
      <c r="D37" s="384">
        <v>107.91</v>
      </c>
      <c r="E37" s="384"/>
      <c r="F37" s="384">
        <f t="shared" si="0"/>
        <v>107.91</v>
      </c>
      <c r="G37" s="384"/>
      <c r="H37" s="384"/>
      <c r="I37" s="384"/>
      <c r="J37" s="392"/>
      <c r="K37" s="392"/>
      <c r="L37" s="384">
        <v>3114.97</v>
      </c>
      <c r="M37" s="384">
        <v>0</v>
      </c>
      <c r="N37" s="384">
        <v>4.7300000000000004</v>
      </c>
      <c r="O37" s="384">
        <v>0</v>
      </c>
      <c r="P37" s="384">
        <v>14733.81</v>
      </c>
      <c r="Q37" s="385" t="s">
        <v>242</v>
      </c>
      <c r="R37" s="380" t="s">
        <v>243</v>
      </c>
    </row>
    <row r="38" spans="1:18" ht="36.75" customHeight="1">
      <c r="A38" s="381" t="s">
        <v>2292</v>
      </c>
      <c r="B38" s="382" t="s">
        <v>24</v>
      </c>
      <c r="C38" s="383" t="s">
        <v>6</v>
      </c>
      <c r="D38" s="384">
        <v>564.01</v>
      </c>
      <c r="E38" s="384"/>
      <c r="F38" s="384">
        <f t="shared" si="0"/>
        <v>564.01</v>
      </c>
      <c r="G38" s="384"/>
      <c r="H38" s="384"/>
      <c r="I38" s="384"/>
      <c r="J38" s="392"/>
      <c r="K38" s="392"/>
      <c r="L38" s="384">
        <v>3320.96</v>
      </c>
      <c r="M38" s="384">
        <v>0</v>
      </c>
      <c r="N38" s="384">
        <v>59.94</v>
      </c>
      <c r="O38" s="384">
        <v>0</v>
      </c>
      <c r="P38" s="384">
        <v>199058.34</v>
      </c>
      <c r="Q38" s="385" t="s">
        <v>242</v>
      </c>
      <c r="R38" s="380" t="s">
        <v>243</v>
      </c>
    </row>
    <row r="39" spans="1:18" ht="36.75" customHeight="1">
      <c r="A39" s="381" t="s">
        <v>2293</v>
      </c>
      <c r="B39" s="382" t="s">
        <v>193</v>
      </c>
      <c r="C39" s="383" t="s">
        <v>13</v>
      </c>
      <c r="D39" s="384">
        <v>1926.87</v>
      </c>
      <c r="E39" s="384"/>
      <c r="F39" s="384">
        <f t="shared" si="0"/>
        <v>1926.87</v>
      </c>
      <c r="G39" s="384"/>
      <c r="H39" s="384"/>
      <c r="I39" s="384"/>
      <c r="J39" s="392"/>
      <c r="K39" s="392"/>
      <c r="L39" s="384">
        <v>533.61</v>
      </c>
      <c r="M39" s="384">
        <v>0</v>
      </c>
      <c r="N39" s="384">
        <v>374.32</v>
      </c>
      <c r="O39" s="384">
        <v>0</v>
      </c>
      <c r="P39" s="384">
        <v>199740.9</v>
      </c>
      <c r="Q39" s="385" t="s">
        <v>242</v>
      </c>
      <c r="R39" s="380" t="s">
        <v>243</v>
      </c>
    </row>
    <row r="40" spans="1:18" ht="36.75" customHeight="1">
      <c r="A40" s="381" t="s">
        <v>2294</v>
      </c>
      <c r="B40" s="382" t="s">
        <v>319</v>
      </c>
      <c r="C40" s="383" t="s">
        <v>13</v>
      </c>
      <c r="D40" s="384">
        <v>301.33</v>
      </c>
      <c r="E40" s="384"/>
      <c r="F40" s="384">
        <f t="shared" si="0"/>
        <v>301.33</v>
      </c>
      <c r="G40" s="384"/>
      <c r="H40" s="384"/>
      <c r="I40" s="384"/>
      <c r="J40" s="392"/>
      <c r="K40" s="392"/>
      <c r="L40" s="384">
        <v>1299.82</v>
      </c>
      <c r="M40" s="384">
        <v>0</v>
      </c>
      <c r="N40" s="384">
        <v>0</v>
      </c>
      <c r="O40" s="384">
        <v>0</v>
      </c>
      <c r="P40" s="384">
        <v>0</v>
      </c>
      <c r="Q40" s="385" t="s">
        <v>242</v>
      </c>
      <c r="R40" s="380" t="s">
        <v>243</v>
      </c>
    </row>
    <row r="41" spans="1:18" ht="36.75" customHeight="1">
      <c r="A41" s="381" t="s">
        <v>2295</v>
      </c>
      <c r="B41" s="382" t="s">
        <v>321</v>
      </c>
      <c r="C41" s="383" t="s">
        <v>17</v>
      </c>
      <c r="D41" s="384">
        <v>5991.34</v>
      </c>
      <c r="E41" s="384"/>
      <c r="F41" s="384">
        <f>G41</f>
        <v>14260.384600000001</v>
      </c>
      <c r="G41" s="384">
        <f>'數量計算(FOR4變)'!I93</f>
        <v>14260.384600000001</v>
      </c>
      <c r="H41" s="384">
        <f>G41-D41</f>
        <v>8269.0446000000011</v>
      </c>
      <c r="I41" s="384"/>
      <c r="J41" s="392"/>
      <c r="K41" s="392"/>
      <c r="L41" s="384">
        <v>60</v>
      </c>
      <c r="M41" s="384">
        <v>0</v>
      </c>
      <c r="N41" s="384">
        <v>0</v>
      </c>
      <c r="O41" s="384">
        <v>0</v>
      </c>
      <c r="P41" s="384">
        <v>0</v>
      </c>
      <c r="Q41" s="385" t="s">
        <v>242</v>
      </c>
      <c r="R41" s="380" t="s">
        <v>243</v>
      </c>
    </row>
    <row r="42" spans="1:18" ht="36.75" customHeight="1">
      <c r="A42" s="381" t="s">
        <v>2296</v>
      </c>
      <c r="B42" s="382" t="s">
        <v>323</v>
      </c>
      <c r="C42" s="383" t="s">
        <v>17</v>
      </c>
      <c r="D42" s="384">
        <v>5991.34</v>
      </c>
      <c r="E42" s="384"/>
      <c r="F42" s="384">
        <f>G42</f>
        <v>14260.384600000001</v>
      </c>
      <c r="G42" s="384">
        <f>'數量計算(FOR4變)'!I98</f>
        <v>14260.384600000001</v>
      </c>
      <c r="H42" s="384">
        <f>G42-D42</f>
        <v>8269.0446000000011</v>
      </c>
      <c r="I42" s="384"/>
      <c r="J42" s="392"/>
      <c r="K42" s="392"/>
      <c r="L42" s="384">
        <v>31.9</v>
      </c>
      <c r="M42" s="384">
        <v>0</v>
      </c>
      <c r="N42" s="384">
        <v>0</v>
      </c>
      <c r="O42" s="384">
        <v>0</v>
      </c>
      <c r="P42" s="384">
        <v>0</v>
      </c>
      <c r="Q42" s="385" t="s">
        <v>242</v>
      </c>
      <c r="R42" s="380" t="s">
        <v>243</v>
      </c>
    </row>
    <row r="43" spans="1:18" ht="36.75" customHeight="1">
      <c r="A43" s="381" t="s">
        <v>2297</v>
      </c>
      <c r="B43" s="382" t="s">
        <v>325</v>
      </c>
      <c r="C43" s="383" t="s">
        <v>17</v>
      </c>
      <c r="D43" s="384">
        <v>1180.03</v>
      </c>
      <c r="E43" s="384"/>
      <c r="F43" s="384">
        <f t="shared" si="0"/>
        <v>1180.03</v>
      </c>
      <c r="G43" s="384"/>
      <c r="H43" s="384"/>
      <c r="I43" s="384"/>
      <c r="J43" s="392"/>
      <c r="K43" s="392"/>
      <c r="L43" s="384">
        <v>107.3</v>
      </c>
      <c r="M43" s="384">
        <v>0</v>
      </c>
      <c r="N43" s="384">
        <v>0</v>
      </c>
      <c r="O43" s="384">
        <v>0</v>
      </c>
      <c r="P43" s="384">
        <v>0</v>
      </c>
      <c r="Q43" s="385" t="s">
        <v>242</v>
      </c>
      <c r="R43" s="380" t="s">
        <v>243</v>
      </c>
    </row>
    <row r="44" spans="1:18" ht="36.75" customHeight="1">
      <c r="A44" s="381" t="s">
        <v>2298</v>
      </c>
      <c r="B44" s="382" t="s">
        <v>327</v>
      </c>
      <c r="C44" s="383" t="s">
        <v>13</v>
      </c>
      <c r="D44" s="384">
        <v>3879.21</v>
      </c>
      <c r="E44" s="384"/>
      <c r="F44" s="384">
        <f t="shared" si="0"/>
        <v>3879.21</v>
      </c>
      <c r="G44" s="384"/>
      <c r="H44" s="384"/>
      <c r="I44" s="384"/>
      <c r="J44" s="392"/>
      <c r="K44" s="392"/>
      <c r="L44" s="384">
        <v>3092.69</v>
      </c>
      <c r="M44" s="384">
        <v>0</v>
      </c>
      <c r="N44" s="384">
        <v>0</v>
      </c>
      <c r="O44" s="384">
        <v>0</v>
      </c>
      <c r="P44" s="384">
        <v>0</v>
      </c>
      <c r="Q44" s="385" t="s">
        <v>242</v>
      </c>
      <c r="R44" s="380" t="s">
        <v>243</v>
      </c>
    </row>
    <row r="45" spans="1:18" ht="36.75" customHeight="1">
      <c r="A45" s="381" t="s">
        <v>2299</v>
      </c>
      <c r="B45" s="382" t="s">
        <v>329</v>
      </c>
      <c r="C45" s="383" t="s">
        <v>13</v>
      </c>
      <c r="D45" s="384">
        <v>462.9</v>
      </c>
      <c r="E45" s="384"/>
      <c r="F45" s="384">
        <f t="shared" si="0"/>
        <v>462.9</v>
      </c>
      <c r="G45" s="384"/>
      <c r="H45" s="384"/>
      <c r="I45" s="384"/>
      <c r="J45" s="392"/>
      <c r="K45" s="392"/>
      <c r="L45" s="384">
        <v>3961.37</v>
      </c>
      <c r="M45" s="384">
        <v>0</v>
      </c>
      <c r="N45" s="384">
        <v>0</v>
      </c>
      <c r="O45" s="384">
        <v>0</v>
      </c>
      <c r="P45" s="384">
        <v>0</v>
      </c>
      <c r="Q45" s="385" t="s">
        <v>242</v>
      </c>
      <c r="R45" s="380" t="s">
        <v>243</v>
      </c>
    </row>
    <row r="46" spans="1:18" ht="36.75" customHeight="1">
      <c r="A46" s="381" t="s">
        <v>2300</v>
      </c>
      <c r="B46" s="382" t="s">
        <v>331</v>
      </c>
      <c r="C46" s="383" t="s">
        <v>13</v>
      </c>
      <c r="D46" s="384">
        <v>5.09</v>
      </c>
      <c r="E46" s="384"/>
      <c r="F46" s="384">
        <f>'數量計算(FOR4變)'!H106</f>
        <v>280.3</v>
      </c>
      <c r="G46" s="384"/>
      <c r="H46" s="384">
        <f>F46-D46</f>
        <v>275.21000000000004</v>
      </c>
      <c r="I46" s="384"/>
      <c r="J46" s="392"/>
      <c r="K46" s="392"/>
      <c r="L46" s="384">
        <v>3965.59</v>
      </c>
      <c r="M46" s="384">
        <v>0</v>
      </c>
      <c r="N46" s="384">
        <v>0</v>
      </c>
      <c r="O46" s="384">
        <v>0</v>
      </c>
      <c r="P46" s="384">
        <v>0</v>
      </c>
      <c r="Q46" s="385" t="s">
        <v>242</v>
      </c>
      <c r="R46" s="380" t="s">
        <v>243</v>
      </c>
    </row>
    <row r="47" spans="1:18" ht="36.75" customHeight="1">
      <c r="A47" s="381" t="s">
        <v>2301</v>
      </c>
      <c r="B47" s="382" t="s">
        <v>333</v>
      </c>
      <c r="C47" s="383" t="s">
        <v>13</v>
      </c>
      <c r="D47" s="384">
        <v>18.760000000000002</v>
      </c>
      <c r="E47" s="384"/>
      <c r="F47" s="384">
        <f t="shared" si="0"/>
        <v>18.760000000000002</v>
      </c>
      <c r="G47" s="384"/>
      <c r="H47" s="384"/>
      <c r="I47" s="384"/>
      <c r="J47" s="392"/>
      <c r="K47" s="392"/>
      <c r="L47" s="384">
        <v>3391.22</v>
      </c>
      <c r="M47" s="384">
        <v>0</v>
      </c>
      <c r="N47" s="384">
        <v>0</v>
      </c>
      <c r="O47" s="384">
        <v>0</v>
      </c>
      <c r="P47" s="384">
        <v>0</v>
      </c>
      <c r="Q47" s="385" t="s">
        <v>242</v>
      </c>
      <c r="R47" s="380" t="s">
        <v>243</v>
      </c>
    </row>
    <row r="48" spans="1:18" ht="36.75" customHeight="1">
      <c r="A48" s="381" t="s">
        <v>2302</v>
      </c>
      <c r="B48" s="382" t="s">
        <v>335</v>
      </c>
      <c r="C48" s="383" t="s">
        <v>13</v>
      </c>
      <c r="D48" s="384">
        <v>118.92</v>
      </c>
      <c r="E48" s="384"/>
      <c r="F48" s="384">
        <f t="shared" si="0"/>
        <v>118.92</v>
      </c>
      <c r="G48" s="384"/>
      <c r="H48" s="384"/>
      <c r="I48" s="384"/>
      <c r="J48" s="392"/>
      <c r="K48" s="392"/>
      <c r="L48" s="384">
        <v>773.85</v>
      </c>
      <c r="M48" s="384">
        <v>0</v>
      </c>
      <c r="N48" s="384">
        <v>0</v>
      </c>
      <c r="O48" s="384">
        <v>0</v>
      </c>
      <c r="P48" s="384">
        <v>0</v>
      </c>
      <c r="Q48" s="385" t="s">
        <v>242</v>
      </c>
      <c r="R48" s="380" t="s">
        <v>243</v>
      </c>
    </row>
    <row r="49" spans="1:18" ht="36.75" customHeight="1">
      <c r="A49" s="381" t="s">
        <v>2303</v>
      </c>
      <c r="B49" s="382" t="s">
        <v>337</v>
      </c>
      <c r="C49" s="383" t="s">
        <v>13</v>
      </c>
      <c r="D49" s="384">
        <v>173.3</v>
      </c>
      <c r="E49" s="384"/>
      <c r="F49" s="384">
        <f t="shared" si="0"/>
        <v>173.3</v>
      </c>
      <c r="G49" s="384"/>
      <c r="H49" s="384"/>
      <c r="I49" s="384"/>
      <c r="J49" s="392"/>
      <c r="K49" s="392"/>
      <c r="L49" s="384">
        <v>948.34</v>
      </c>
      <c r="M49" s="384">
        <v>0</v>
      </c>
      <c r="N49" s="384">
        <v>0</v>
      </c>
      <c r="O49" s="384">
        <v>0</v>
      </c>
      <c r="P49" s="384">
        <v>0</v>
      </c>
      <c r="Q49" s="385" t="s">
        <v>242</v>
      </c>
      <c r="R49" s="380" t="s">
        <v>243</v>
      </c>
    </row>
    <row r="50" spans="1:18" ht="36.75" customHeight="1">
      <c r="A50" s="381" t="s">
        <v>2304</v>
      </c>
      <c r="B50" s="382" t="s">
        <v>339</v>
      </c>
      <c r="C50" s="383" t="s">
        <v>0</v>
      </c>
      <c r="D50" s="384">
        <v>1</v>
      </c>
      <c r="E50" s="384"/>
      <c r="F50" s="384">
        <f t="shared" si="0"/>
        <v>1</v>
      </c>
      <c r="G50" s="384"/>
      <c r="H50" s="384"/>
      <c r="I50" s="384"/>
      <c r="J50" s="392"/>
      <c r="K50" s="392"/>
      <c r="L50" s="384">
        <v>144378.63</v>
      </c>
      <c r="M50" s="384">
        <v>0</v>
      </c>
      <c r="N50" s="384">
        <v>0</v>
      </c>
      <c r="O50" s="384">
        <v>0</v>
      </c>
      <c r="P50" s="384">
        <v>0</v>
      </c>
      <c r="Q50" s="385" t="s">
        <v>242</v>
      </c>
      <c r="R50" s="380" t="s">
        <v>243</v>
      </c>
    </row>
    <row r="51" spans="1:18" ht="36.75" customHeight="1">
      <c r="A51" s="381" t="s">
        <v>2305</v>
      </c>
      <c r="B51" s="382" t="s">
        <v>341</v>
      </c>
      <c r="C51" s="383" t="s">
        <v>223</v>
      </c>
      <c r="D51" s="384">
        <v>156.68</v>
      </c>
      <c r="E51" s="384"/>
      <c r="F51" s="384">
        <f t="shared" si="0"/>
        <v>156.68</v>
      </c>
      <c r="G51" s="384"/>
      <c r="H51" s="384"/>
      <c r="I51" s="384"/>
      <c r="J51" s="392"/>
      <c r="K51" s="392"/>
      <c r="L51" s="384">
        <v>145.21</v>
      </c>
      <c r="M51" s="384">
        <v>0</v>
      </c>
      <c r="N51" s="384">
        <v>0</v>
      </c>
      <c r="O51" s="384">
        <v>0</v>
      </c>
      <c r="P51" s="384">
        <v>0</v>
      </c>
      <c r="Q51" s="385" t="s">
        <v>242</v>
      </c>
      <c r="R51" s="380" t="s">
        <v>243</v>
      </c>
    </row>
    <row r="52" spans="1:18" ht="36.75" customHeight="1">
      <c r="A52" s="381" t="s">
        <v>2306</v>
      </c>
      <c r="B52" s="382" t="s">
        <v>343</v>
      </c>
      <c r="C52" s="383" t="s">
        <v>8</v>
      </c>
      <c r="D52" s="384">
        <v>689.86</v>
      </c>
      <c r="E52" s="384"/>
      <c r="F52" s="384">
        <f t="shared" si="0"/>
        <v>689.86</v>
      </c>
      <c r="G52" s="384"/>
      <c r="H52" s="384"/>
      <c r="I52" s="384"/>
      <c r="J52" s="392"/>
      <c r="K52" s="392"/>
      <c r="L52" s="384">
        <v>2755.78</v>
      </c>
      <c r="M52" s="384">
        <v>0</v>
      </c>
      <c r="N52" s="384">
        <v>0</v>
      </c>
      <c r="O52" s="384">
        <v>0</v>
      </c>
      <c r="P52" s="384">
        <v>0</v>
      </c>
      <c r="Q52" s="385" t="s">
        <v>242</v>
      </c>
      <c r="R52" s="380" t="s">
        <v>243</v>
      </c>
    </row>
    <row r="53" spans="1:18" ht="36.75" customHeight="1">
      <c r="A53" s="381" t="s">
        <v>2307</v>
      </c>
      <c r="B53" s="382" t="s">
        <v>345</v>
      </c>
      <c r="C53" s="383" t="s">
        <v>8</v>
      </c>
      <c r="D53" s="384">
        <v>12.91</v>
      </c>
      <c r="E53" s="384"/>
      <c r="F53" s="384">
        <f t="shared" si="0"/>
        <v>12.91</v>
      </c>
      <c r="G53" s="384"/>
      <c r="H53" s="384"/>
      <c r="I53" s="384"/>
      <c r="J53" s="392"/>
      <c r="K53" s="392"/>
      <c r="L53" s="384">
        <v>576.77</v>
      </c>
      <c r="M53" s="384">
        <v>0</v>
      </c>
      <c r="N53" s="384">
        <v>0</v>
      </c>
      <c r="O53" s="384">
        <v>0</v>
      </c>
      <c r="P53" s="384">
        <v>0</v>
      </c>
      <c r="Q53" s="385" t="s">
        <v>242</v>
      </c>
      <c r="R53" s="380" t="s">
        <v>243</v>
      </c>
    </row>
    <row r="54" spans="1:18" ht="36.75" customHeight="1">
      <c r="A54" s="381" t="s">
        <v>2308</v>
      </c>
      <c r="B54" s="382" t="s">
        <v>347</v>
      </c>
      <c r="C54" s="383" t="s">
        <v>8</v>
      </c>
      <c r="D54" s="384">
        <v>56.09</v>
      </c>
      <c r="E54" s="384"/>
      <c r="F54" s="384">
        <f t="shared" si="0"/>
        <v>56.09</v>
      </c>
      <c r="G54" s="384"/>
      <c r="H54" s="384"/>
      <c r="I54" s="384"/>
      <c r="J54" s="392"/>
      <c r="K54" s="392"/>
      <c r="L54" s="384">
        <v>615.30999999999995</v>
      </c>
      <c r="M54" s="384">
        <v>0</v>
      </c>
      <c r="N54" s="384">
        <v>0</v>
      </c>
      <c r="O54" s="384">
        <v>0</v>
      </c>
      <c r="P54" s="384">
        <v>0</v>
      </c>
      <c r="Q54" s="385" t="s">
        <v>242</v>
      </c>
      <c r="R54" s="380" t="s">
        <v>243</v>
      </c>
    </row>
    <row r="55" spans="1:18" ht="36.75" customHeight="1">
      <c r="A55" s="381" t="s">
        <v>2309</v>
      </c>
      <c r="B55" s="382" t="s">
        <v>349</v>
      </c>
      <c r="C55" s="383" t="s">
        <v>8</v>
      </c>
      <c r="D55" s="384">
        <v>656.91</v>
      </c>
      <c r="E55" s="384"/>
      <c r="F55" s="384">
        <f t="shared" si="0"/>
        <v>656.91</v>
      </c>
      <c r="G55" s="384"/>
      <c r="H55" s="384"/>
      <c r="I55" s="384"/>
      <c r="J55" s="392"/>
      <c r="K55" s="392"/>
      <c r="L55" s="384">
        <v>685.27</v>
      </c>
      <c r="M55" s="384">
        <v>0</v>
      </c>
      <c r="N55" s="384">
        <v>0</v>
      </c>
      <c r="O55" s="384">
        <v>0</v>
      </c>
      <c r="P55" s="384">
        <v>0</v>
      </c>
      <c r="Q55" s="385" t="s">
        <v>242</v>
      </c>
      <c r="R55" s="380" t="s">
        <v>243</v>
      </c>
    </row>
    <row r="56" spans="1:18" ht="36.75" customHeight="1">
      <c r="A56" s="381" t="s">
        <v>2311</v>
      </c>
      <c r="B56" s="382" t="s">
        <v>351</v>
      </c>
      <c r="C56" s="383" t="s">
        <v>8</v>
      </c>
      <c r="D56" s="384">
        <v>1254.1300000000001</v>
      </c>
      <c r="E56" s="384"/>
      <c r="F56" s="384">
        <f t="shared" si="0"/>
        <v>1254.1300000000001</v>
      </c>
      <c r="G56" s="384"/>
      <c r="H56" s="384"/>
      <c r="I56" s="384"/>
      <c r="J56" s="392"/>
      <c r="K56" s="392"/>
      <c r="L56" s="384">
        <v>699.69</v>
      </c>
      <c r="M56" s="384">
        <v>35</v>
      </c>
      <c r="N56" s="384">
        <v>35</v>
      </c>
      <c r="O56" s="384">
        <v>24489.15</v>
      </c>
      <c r="P56" s="384">
        <v>24489.15</v>
      </c>
      <c r="Q56" s="385" t="s">
        <v>242</v>
      </c>
      <c r="R56" s="380" t="s">
        <v>243</v>
      </c>
    </row>
    <row r="57" spans="1:18" ht="36.75" customHeight="1">
      <c r="A57" s="381" t="s">
        <v>2312</v>
      </c>
      <c r="B57" s="382" t="s">
        <v>353</v>
      </c>
      <c r="C57" s="383" t="s">
        <v>8</v>
      </c>
      <c r="D57" s="384">
        <v>44.64</v>
      </c>
      <c r="E57" s="384"/>
      <c r="F57" s="384">
        <f t="shared" si="0"/>
        <v>44.64</v>
      </c>
      <c r="G57" s="384"/>
      <c r="H57" s="384"/>
      <c r="I57" s="384"/>
      <c r="J57" s="392"/>
      <c r="K57" s="392"/>
      <c r="L57" s="384">
        <v>1199.27</v>
      </c>
      <c r="M57" s="384">
        <v>0</v>
      </c>
      <c r="N57" s="384">
        <v>0</v>
      </c>
      <c r="O57" s="384">
        <v>0</v>
      </c>
      <c r="P57" s="384">
        <v>0</v>
      </c>
      <c r="Q57" s="385" t="s">
        <v>242</v>
      </c>
      <c r="R57" s="380" t="s">
        <v>243</v>
      </c>
    </row>
    <row r="58" spans="1:18" ht="36.75" customHeight="1">
      <c r="A58" s="381" t="s">
        <v>2313</v>
      </c>
      <c r="B58" s="382" t="s">
        <v>355</v>
      </c>
      <c r="C58" s="383" t="s">
        <v>8</v>
      </c>
      <c r="D58" s="384">
        <v>142.26</v>
      </c>
      <c r="E58" s="384"/>
      <c r="F58" s="384">
        <f t="shared" si="0"/>
        <v>142.26</v>
      </c>
      <c r="G58" s="384"/>
      <c r="H58" s="384"/>
      <c r="I58" s="384"/>
      <c r="J58" s="392"/>
      <c r="K58" s="392"/>
      <c r="L58" s="384">
        <v>57.68</v>
      </c>
      <c r="M58" s="384">
        <v>0</v>
      </c>
      <c r="N58" s="384">
        <v>0</v>
      </c>
      <c r="O58" s="384">
        <v>0</v>
      </c>
      <c r="P58" s="384">
        <v>0</v>
      </c>
      <c r="Q58" s="385" t="s">
        <v>242</v>
      </c>
      <c r="R58" s="380" t="s">
        <v>243</v>
      </c>
    </row>
    <row r="59" spans="1:18" ht="36.75" customHeight="1">
      <c r="A59" s="381" t="s">
        <v>2315</v>
      </c>
      <c r="B59" s="382" t="s">
        <v>357</v>
      </c>
      <c r="C59" s="383" t="s">
        <v>8</v>
      </c>
      <c r="D59" s="384">
        <v>8.5</v>
      </c>
      <c r="E59" s="384"/>
      <c r="F59" s="384">
        <f t="shared" si="0"/>
        <v>8.5</v>
      </c>
      <c r="G59" s="384"/>
      <c r="H59" s="384"/>
      <c r="I59" s="384"/>
      <c r="J59" s="392"/>
      <c r="K59" s="392"/>
      <c r="L59" s="384">
        <v>138.84</v>
      </c>
      <c r="M59" s="384">
        <v>0</v>
      </c>
      <c r="N59" s="384">
        <v>0</v>
      </c>
      <c r="O59" s="384">
        <v>0</v>
      </c>
      <c r="P59" s="384">
        <v>0</v>
      </c>
      <c r="Q59" s="385" t="s">
        <v>242</v>
      </c>
      <c r="R59" s="380" t="s">
        <v>243</v>
      </c>
    </row>
    <row r="60" spans="1:18" ht="36.75" customHeight="1">
      <c r="A60" s="381" t="s">
        <v>2316</v>
      </c>
      <c r="B60" s="382" t="s">
        <v>359</v>
      </c>
      <c r="C60" s="383" t="s">
        <v>13</v>
      </c>
      <c r="D60" s="384">
        <v>20.48</v>
      </c>
      <c r="E60" s="384"/>
      <c r="F60" s="384">
        <f t="shared" si="0"/>
        <v>20.48</v>
      </c>
      <c r="G60" s="384"/>
      <c r="H60" s="384"/>
      <c r="I60" s="384"/>
      <c r="J60" s="392"/>
      <c r="K60" s="392"/>
      <c r="L60" s="384">
        <v>2145.31</v>
      </c>
      <c r="M60" s="384">
        <v>0</v>
      </c>
      <c r="N60" s="384">
        <v>0</v>
      </c>
      <c r="O60" s="384">
        <v>0</v>
      </c>
      <c r="P60" s="384">
        <v>0</v>
      </c>
      <c r="Q60" s="385" t="s">
        <v>242</v>
      </c>
      <c r="R60" s="380" t="s">
        <v>243</v>
      </c>
    </row>
    <row r="61" spans="1:18" ht="36.75" customHeight="1">
      <c r="A61" s="381" t="s">
        <v>2317</v>
      </c>
      <c r="B61" s="382" t="s">
        <v>361</v>
      </c>
      <c r="C61" s="383" t="s">
        <v>8</v>
      </c>
      <c r="D61" s="384">
        <v>56.1</v>
      </c>
      <c r="E61" s="384"/>
      <c r="F61" s="384">
        <f t="shared" si="0"/>
        <v>56.1</v>
      </c>
      <c r="G61" s="384"/>
      <c r="H61" s="384"/>
      <c r="I61" s="384"/>
      <c r="J61" s="392"/>
      <c r="K61" s="392"/>
      <c r="L61" s="384">
        <v>511.36</v>
      </c>
      <c r="M61" s="384">
        <v>0</v>
      </c>
      <c r="N61" s="384">
        <v>0</v>
      </c>
      <c r="O61" s="384">
        <v>0</v>
      </c>
      <c r="P61" s="384">
        <v>0</v>
      </c>
      <c r="Q61" s="385" t="s">
        <v>242</v>
      </c>
      <c r="R61" s="380" t="s">
        <v>243</v>
      </c>
    </row>
    <row r="62" spans="1:18" ht="36.75" customHeight="1">
      <c r="A62" s="381" t="s">
        <v>2318</v>
      </c>
      <c r="B62" s="382" t="s">
        <v>363</v>
      </c>
      <c r="C62" s="383" t="s">
        <v>8</v>
      </c>
      <c r="D62" s="384">
        <v>16.600000000000001</v>
      </c>
      <c r="E62" s="384"/>
      <c r="F62" s="384">
        <f t="shared" si="0"/>
        <v>16.600000000000001</v>
      </c>
      <c r="G62" s="384"/>
      <c r="H62" s="384"/>
      <c r="I62" s="384"/>
      <c r="J62" s="392"/>
      <c r="K62" s="392"/>
      <c r="L62" s="384">
        <v>829.1</v>
      </c>
      <c r="M62" s="384">
        <v>0</v>
      </c>
      <c r="N62" s="384">
        <v>0</v>
      </c>
      <c r="O62" s="384">
        <v>0</v>
      </c>
      <c r="P62" s="384">
        <v>0</v>
      </c>
      <c r="Q62" s="385" t="s">
        <v>242</v>
      </c>
      <c r="R62" s="380" t="s">
        <v>243</v>
      </c>
    </row>
    <row r="63" spans="1:18" ht="36.75" customHeight="1">
      <c r="A63" s="381" t="s">
        <v>2319</v>
      </c>
      <c r="B63" s="382" t="s">
        <v>365</v>
      </c>
      <c r="C63" s="383" t="s">
        <v>8</v>
      </c>
      <c r="D63" s="384">
        <v>2</v>
      </c>
      <c r="E63" s="384"/>
      <c r="F63" s="384">
        <f t="shared" si="0"/>
        <v>2</v>
      </c>
      <c r="G63" s="384"/>
      <c r="H63" s="384"/>
      <c r="I63" s="384"/>
      <c r="J63" s="392"/>
      <c r="K63" s="392"/>
      <c r="L63" s="384">
        <v>443.91</v>
      </c>
      <c r="M63" s="384">
        <v>0</v>
      </c>
      <c r="N63" s="384">
        <v>0</v>
      </c>
      <c r="O63" s="384">
        <v>0</v>
      </c>
      <c r="P63" s="384">
        <v>0</v>
      </c>
      <c r="Q63" s="385" t="s">
        <v>242</v>
      </c>
      <c r="R63" s="380" t="s">
        <v>243</v>
      </c>
    </row>
    <row r="64" spans="1:18" ht="36.75" customHeight="1">
      <c r="A64" s="381" t="s">
        <v>2320</v>
      </c>
      <c r="B64" s="382" t="s">
        <v>367</v>
      </c>
      <c r="C64" s="383" t="s">
        <v>0</v>
      </c>
      <c r="D64" s="384">
        <v>7</v>
      </c>
      <c r="E64" s="384"/>
      <c r="F64" s="384">
        <f t="shared" si="0"/>
        <v>7</v>
      </c>
      <c r="G64" s="384"/>
      <c r="H64" s="384"/>
      <c r="I64" s="384"/>
      <c r="J64" s="392"/>
      <c r="K64" s="392"/>
      <c r="L64" s="384">
        <v>26450.3</v>
      </c>
      <c r="M64" s="384">
        <v>0</v>
      </c>
      <c r="N64" s="384">
        <v>0</v>
      </c>
      <c r="O64" s="384">
        <v>0</v>
      </c>
      <c r="P64" s="384">
        <v>0</v>
      </c>
      <c r="Q64" s="385" t="s">
        <v>242</v>
      </c>
      <c r="R64" s="380" t="s">
        <v>243</v>
      </c>
    </row>
    <row r="65" spans="1:18" ht="36.75" customHeight="1">
      <c r="A65" s="381" t="s">
        <v>2321</v>
      </c>
      <c r="B65" s="382" t="s">
        <v>369</v>
      </c>
      <c r="C65" s="383" t="s">
        <v>8</v>
      </c>
      <c r="D65" s="384">
        <v>19.2</v>
      </c>
      <c r="E65" s="384"/>
      <c r="F65" s="384">
        <f t="shared" si="0"/>
        <v>19.2</v>
      </c>
      <c r="G65" s="384"/>
      <c r="H65" s="384"/>
      <c r="I65" s="384"/>
      <c r="J65" s="392"/>
      <c r="K65" s="392"/>
      <c r="L65" s="384">
        <v>443.91</v>
      </c>
      <c r="M65" s="384">
        <v>0</v>
      </c>
      <c r="N65" s="384">
        <v>0</v>
      </c>
      <c r="O65" s="384">
        <v>0</v>
      </c>
      <c r="P65" s="384">
        <v>0</v>
      </c>
      <c r="Q65" s="385" t="s">
        <v>242</v>
      </c>
      <c r="R65" s="380" t="s">
        <v>243</v>
      </c>
    </row>
    <row r="66" spans="1:18" ht="36.75" customHeight="1">
      <c r="A66" s="381" t="s">
        <v>2322</v>
      </c>
      <c r="B66" s="382" t="s">
        <v>372</v>
      </c>
      <c r="C66" s="383" t="s">
        <v>0</v>
      </c>
      <c r="D66" s="384">
        <v>2</v>
      </c>
      <c r="E66" s="384"/>
      <c r="F66" s="384">
        <f t="shared" si="0"/>
        <v>2</v>
      </c>
      <c r="G66" s="384"/>
      <c r="H66" s="384"/>
      <c r="I66" s="384"/>
      <c r="J66" s="392"/>
      <c r="K66" s="392"/>
      <c r="L66" s="384">
        <v>23899.56</v>
      </c>
      <c r="M66" s="384">
        <v>0</v>
      </c>
      <c r="N66" s="384">
        <v>0</v>
      </c>
      <c r="O66" s="384">
        <v>0</v>
      </c>
      <c r="P66" s="384">
        <v>0</v>
      </c>
      <c r="Q66" s="385" t="s">
        <v>242</v>
      </c>
      <c r="R66" s="380" t="s">
        <v>243</v>
      </c>
    </row>
    <row r="67" spans="1:18" ht="36.75" customHeight="1">
      <c r="A67" s="381" t="s">
        <v>2323</v>
      </c>
      <c r="B67" s="382" t="s">
        <v>374</v>
      </c>
      <c r="C67" s="383" t="s">
        <v>0</v>
      </c>
      <c r="D67" s="384">
        <v>8</v>
      </c>
      <c r="E67" s="384"/>
      <c r="F67" s="384">
        <f t="shared" si="0"/>
        <v>8</v>
      </c>
      <c r="G67" s="384"/>
      <c r="H67" s="384"/>
      <c r="I67" s="384"/>
      <c r="J67" s="392"/>
      <c r="K67" s="392"/>
      <c r="L67" s="384">
        <v>25125.57</v>
      </c>
      <c r="M67" s="384">
        <v>0</v>
      </c>
      <c r="N67" s="384">
        <v>0</v>
      </c>
      <c r="O67" s="384">
        <v>0</v>
      </c>
      <c r="P67" s="384">
        <v>0</v>
      </c>
      <c r="Q67" s="385" t="s">
        <v>242</v>
      </c>
      <c r="R67" s="380" t="s">
        <v>243</v>
      </c>
    </row>
    <row r="68" spans="1:18" ht="36.75" customHeight="1">
      <c r="A68" s="381" t="s">
        <v>2324</v>
      </c>
      <c r="B68" s="382" t="s">
        <v>376</v>
      </c>
      <c r="C68" s="383" t="s">
        <v>0</v>
      </c>
      <c r="D68" s="384">
        <v>3</v>
      </c>
      <c r="E68" s="384"/>
      <c r="F68" s="384">
        <f t="shared" si="0"/>
        <v>3</v>
      </c>
      <c r="G68" s="384"/>
      <c r="H68" s="384"/>
      <c r="I68" s="384"/>
      <c r="J68" s="392"/>
      <c r="K68" s="392"/>
      <c r="L68" s="384">
        <v>24022.04</v>
      </c>
      <c r="M68" s="384">
        <v>0</v>
      </c>
      <c r="N68" s="384">
        <v>0</v>
      </c>
      <c r="O68" s="384">
        <v>0</v>
      </c>
      <c r="P68" s="384">
        <v>0</v>
      </c>
      <c r="Q68" s="385" t="s">
        <v>242</v>
      </c>
      <c r="R68" s="380" t="s">
        <v>243</v>
      </c>
    </row>
    <row r="69" spans="1:18" ht="36.75" customHeight="1">
      <c r="A69" s="381" t="s">
        <v>2325</v>
      </c>
      <c r="B69" s="382" t="s">
        <v>378</v>
      </c>
      <c r="C69" s="383" t="s">
        <v>8</v>
      </c>
      <c r="D69" s="384">
        <v>30.1</v>
      </c>
      <c r="E69" s="384"/>
      <c r="F69" s="384">
        <f t="shared" si="0"/>
        <v>30.1</v>
      </c>
      <c r="G69" s="384"/>
      <c r="H69" s="384"/>
      <c r="I69" s="384"/>
      <c r="J69" s="392"/>
      <c r="K69" s="392"/>
      <c r="L69" s="384">
        <v>545.1</v>
      </c>
      <c r="M69" s="384">
        <v>0</v>
      </c>
      <c r="N69" s="384">
        <v>0</v>
      </c>
      <c r="O69" s="384">
        <v>0</v>
      </c>
      <c r="P69" s="384">
        <v>0</v>
      </c>
      <c r="Q69" s="385" t="s">
        <v>242</v>
      </c>
      <c r="R69" s="380" t="s">
        <v>243</v>
      </c>
    </row>
    <row r="70" spans="1:18" s="273" customFormat="1" ht="36.75" customHeight="1">
      <c r="A70" s="481" t="s">
        <v>2326</v>
      </c>
      <c r="B70" s="482" t="s">
        <v>380</v>
      </c>
      <c r="C70" s="483" t="s">
        <v>8</v>
      </c>
      <c r="D70" s="484">
        <v>31.2</v>
      </c>
      <c r="E70" s="484"/>
      <c r="F70" s="484">
        <f>'數量計算(FOR4變)'!H130</f>
        <v>35.200000000000003</v>
      </c>
      <c r="G70" s="484">
        <f>'數量計算(FOR4變)'!I130</f>
        <v>35.200000000000003</v>
      </c>
      <c r="H70" s="484">
        <f>G70-D70</f>
        <v>4.0000000000000036</v>
      </c>
      <c r="I70" s="484">
        <f>ROUND(H70*L70,2)</f>
        <v>33420.44</v>
      </c>
      <c r="J70" s="485"/>
      <c r="K70" s="485"/>
      <c r="L70" s="484">
        <v>8355.11</v>
      </c>
      <c r="M70" s="484">
        <v>0</v>
      </c>
      <c r="N70" s="484">
        <v>31.2</v>
      </c>
      <c r="O70" s="484">
        <v>0</v>
      </c>
      <c r="P70" s="484">
        <v>260679.43</v>
      </c>
      <c r="Q70" s="486" t="s">
        <v>242</v>
      </c>
      <c r="R70" s="487" t="s">
        <v>243</v>
      </c>
    </row>
    <row r="71" spans="1:18" s="273" customFormat="1" ht="36.75" customHeight="1">
      <c r="A71" s="481" t="s">
        <v>2327</v>
      </c>
      <c r="B71" s="482" t="s">
        <v>383</v>
      </c>
      <c r="C71" s="483" t="s">
        <v>8</v>
      </c>
      <c r="D71" s="484">
        <v>17.899999999999999</v>
      </c>
      <c r="E71" s="484"/>
      <c r="F71" s="484">
        <f>'數量計算(FOR4變)'!H131</f>
        <v>24.3</v>
      </c>
      <c r="G71" s="484">
        <f>'數量計算(FOR4變)'!I131</f>
        <v>24.3</v>
      </c>
      <c r="H71" s="484">
        <f>G71-D71</f>
        <v>6.4000000000000021</v>
      </c>
      <c r="I71" s="484">
        <f>ROUND(H71*L71,2)</f>
        <v>34525.699999999997</v>
      </c>
      <c r="J71" s="485"/>
      <c r="K71" s="485"/>
      <c r="L71" s="484">
        <v>5394.64</v>
      </c>
      <c r="M71" s="484">
        <v>2.9</v>
      </c>
      <c r="N71" s="484">
        <v>17.899999999999999</v>
      </c>
      <c r="O71" s="484">
        <v>15644.46</v>
      </c>
      <c r="P71" s="484">
        <v>96564.06</v>
      </c>
      <c r="Q71" s="486" t="s">
        <v>242</v>
      </c>
      <c r="R71" s="487" t="s">
        <v>243</v>
      </c>
    </row>
    <row r="72" spans="1:18" ht="36.75" customHeight="1">
      <c r="A72" s="381" t="s">
        <v>2328</v>
      </c>
      <c r="B72" s="382" t="s">
        <v>386</v>
      </c>
      <c r="C72" s="383" t="s">
        <v>8</v>
      </c>
      <c r="D72" s="384">
        <v>19.600000000000001</v>
      </c>
      <c r="E72" s="384"/>
      <c r="F72" s="384">
        <f>D72</f>
        <v>19.600000000000001</v>
      </c>
      <c r="G72" s="384"/>
      <c r="H72" s="384"/>
      <c r="I72" s="384"/>
      <c r="J72" s="392"/>
      <c r="K72" s="392"/>
      <c r="L72" s="384">
        <v>432.57</v>
      </c>
      <c r="M72" s="384">
        <v>0</v>
      </c>
      <c r="N72" s="384">
        <v>0</v>
      </c>
      <c r="O72" s="384">
        <v>0</v>
      </c>
      <c r="P72" s="384">
        <v>0</v>
      </c>
      <c r="Q72" s="385" t="s">
        <v>242</v>
      </c>
      <c r="R72" s="380" t="s">
        <v>243</v>
      </c>
    </row>
    <row r="73" spans="1:18" ht="36.75" customHeight="1">
      <c r="A73" s="381" t="s">
        <v>2329</v>
      </c>
      <c r="B73" s="382" t="s">
        <v>389</v>
      </c>
      <c r="C73" s="383" t="s">
        <v>8</v>
      </c>
      <c r="D73" s="384">
        <v>24.9</v>
      </c>
      <c r="E73" s="384"/>
      <c r="F73" s="384">
        <f t="shared" ref="F73:F103" si="1">D73</f>
        <v>24.9</v>
      </c>
      <c r="G73" s="384"/>
      <c r="H73" s="384"/>
      <c r="I73" s="384"/>
      <c r="J73" s="392"/>
      <c r="K73" s="392"/>
      <c r="L73" s="384">
        <v>1224.22</v>
      </c>
      <c r="M73" s="384">
        <v>0</v>
      </c>
      <c r="N73" s="384">
        <v>0</v>
      </c>
      <c r="O73" s="384">
        <v>0</v>
      </c>
      <c r="P73" s="384">
        <v>0</v>
      </c>
      <c r="Q73" s="385" t="s">
        <v>242</v>
      </c>
      <c r="R73" s="380" t="s">
        <v>243</v>
      </c>
    </row>
    <row r="74" spans="1:18" ht="36.75" customHeight="1">
      <c r="A74" s="381" t="s">
        <v>2330</v>
      </c>
      <c r="B74" s="382" t="s">
        <v>392</v>
      </c>
      <c r="C74" s="383" t="s">
        <v>8</v>
      </c>
      <c r="D74" s="384">
        <v>3.5</v>
      </c>
      <c r="E74" s="384"/>
      <c r="F74" s="384">
        <f t="shared" si="1"/>
        <v>3.5</v>
      </c>
      <c r="G74" s="384"/>
      <c r="H74" s="384"/>
      <c r="I74" s="384"/>
      <c r="J74" s="392"/>
      <c r="K74" s="392"/>
      <c r="L74" s="384">
        <v>1148.6300000000001</v>
      </c>
      <c r="M74" s="384">
        <v>0</v>
      </c>
      <c r="N74" s="384">
        <v>0</v>
      </c>
      <c r="O74" s="384">
        <v>0</v>
      </c>
      <c r="P74" s="384">
        <v>0</v>
      </c>
      <c r="Q74" s="385" t="s">
        <v>242</v>
      </c>
      <c r="R74" s="380" t="s">
        <v>243</v>
      </c>
    </row>
    <row r="75" spans="1:18" ht="36.75" customHeight="1">
      <c r="A75" s="381" t="s">
        <v>2331</v>
      </c>
      <c r="B75" s="382" t="s">
        <v>395</v>
      </c>
      <c r="C75" s="383" t="s">
        <v>0</v>
      </c>
      <c r="D75" s="384">
        <v>1</v>
      </c>
      <c r="E75" s="384"/>
      <c r="F75" s="384">
        <f t="shared" si="1"/>
        <v>1</v>
      </c>
      <c r="G75" s="384"/>
      <c r="H75" s="384"/>
      <c r="I75" s="384"/>
      <c r="J75" s="392"/>
      <c r="K75" s="392"/>
      <c r="L75" s="384">
        <v>5698.63</v>
      </c>
      <c r="M75" s="384">
        <v>0</v>
      </c>
      <c r="N75" s="384">
        <v>0</v>
      </c>
      <c r="O75" s="384">
        <v>0</v>
      </c>
      <c r="P75" s="384">
        <v>0</v>
      </c>
      <c r="Q75" s="385" t="s">
        <v>242</v>
      </c>
      <c r="R75" s="380" t="s">
        <v>243</v>
      </c>
    </row>
    <row r="76" spans="1:18" ht="36.75" customHeight="1">
      <c r="A76" s="381" t="s">
        <v>2332</v>
      </c>
      <c r="B76" s="382" t="s">
        <v>398</v>
      </c>
      <c r="C76" s="383" t="s">
        <v>0</v>
      </c>
      <c r="D76" s="384">
        <v>1</v>
      </c>
      <c r="E76" s="384"/>
      <c r="F76" s="384">
        <f t="shared" si="1"/>
        <v>1</v>
      </c>
      <c r="G76" s="384"/>
      <c r="H76" s="384"/>
      <c r="I76" s="384"/>
      <c r="J76" s="392"/>
      <c r="K76" s="392"/>
      <c r="L76" s="384">
        <v>5963.22</v>
      </c>
      <c r="M76" s="384">
        <v>0</v>
      </c>
      <c r="N76" s="384">
        <v>0</v>
      </c>
      <c r="O76" s="384">
        <v>0</v>
      </c>
      <c r="P76" s="384">
        <v>0</v>
      </c>
      <c r="Q76" s="385" t="s">
        <v>242</v>
      </c>
      <c r="R76" s="380" t="s">
        <v>243</v>
      </c>
    </row>
    <row r="77" spans="1:18" ht="36.75" customHeight="1">
      <c r="A77" s="381" t="s">
        <v>2333</v>
      </c>
      <c r="B77" s="382" t="s">
        <v>401</v>
      </c>
      <c r="C77" s="383" t="s">
        <v>0</v>
      </c>
      <c r="D77" s="384">
        <v>1</v>
      </c>
      <c r="E77" s="384"/>
      <c r="F77" s="384">
        <f t="shared" si="1"/>
        <v>1</v>
      </c>
      <c r="G77" s="384"/>
      <c r="H77" s="384"/>
      <c r="I77" s="384"/>
      <c r="J77" s="392"/>
      <c r="K77" s="392"/>
      <c r="L77" s="384">
        <v>1421.11</v>
      </c>
      <c r="M77" s="384">
        <v>0</v>
      </c>
      <c r="N77" s="384">
        <v>0</v>
      </c>
      <c r="O77" s="384">
        <v>0</v>
      </c>
      <c r="P77" s="384">
        <v>0</v>
      </c>
      <c r="Q77" s="385" t="s">
        <v>242</v>
      </c>
      <c r="R77" s="380" t="s">
        <v>243</v>
      </c>
    </row>
    <row r="78" spans="1:18" ht="36.75" customHeight="1">
      <c r="A78" s="381" t="s">
        <v>2334</v>
      </c>
      <c r="B78" s="382" t="s">
        <v>404</v>
      </c>
      <c r="C78" s="383" t="s">
        <v>0</v>
      </c>
      <c r="D78" s="384">
        <v>1</v>
      </c>
      <c r="E78" s="384"/>
      <c r="F78" s="384">
        <f t="shared" si="1"/>
        <v>1</v>
      </c>
      <c r="G78" s="384"/>
      <c r="H78" s="384"/>
      <c r="I78" s="384"/>
      <c r="J78" s="392"/>
      <c r="K78" s="392"/>
      <c r="L78" s="384">
        <v>4031.83</v>
      </c>
      <c r="M78" s="384">
        <v>0</v>
      </c>
      <c r="N78" s="384">
        <v>0</v>
      </c>
      <c r="O78" s="384">
        <v>0</v>
      </c>
      <c r="P78" s="384">
        <v>0</v>
      </c>
      <c r="Q78" s="385" t="s">
        <v>242</v>
      </c>
      <c r="R78" s="380" t="s">
        <v>243</v>
      </c>
    </row>
    <row r="79" spans="1:18" ht="36.75" customHeight="1">
      <c r="A79" s="381" t="s">
        <v>2335</v>
      </c>
      <c r="B79" s="382" t="s">
        <v>407</v>
      </c>
      <c r="C79" s="383" t="s">
        <v>0</v>
      </c>
      <c r="D79" s="384">
        <v>1</v>
      </c>
      <c r="E79" s="384"/>
      <c r="F79" s="384">
        <f t="shared" si="1"/>
        <v>1</v>
      </c>
      <c r="G79" s="384"/>
      <c r="H79" s="384"/>
      <c r="I79" s="384"/>
      <c r="J79" s="392"/>
      <c r="K79" s="392"/>
      <c r="L79" s="384">
        <v>3313.67</v>
      </c>
      <c r="M79" s="384">
        <v>0</v>
      </c>
      <c r="N79" s="384">
        <v>0</v>
      </c>
      <c r="O79" s="384">
        <v>0</v>
      </c>
      <c r="P79" s="384">
        <v>0</v>
      </c>
      <c r="Q79" s="385" t="s">
        <v>242</v>
      </c>
      <c r="R79" s="380" t="s">
        <v>243</v>
      </c>
    </row>
    <row r="80" spans="1:18" ht="36.75" customHeight="1">
      <c r="A80" s="381" t="s">
        <v>2336</v>
      </c>
      <c r="B80" s="382" t="s">
        <v>410</v>
      </c>
      <c r="C80" s="383" t="s">
        <v>8</v>
      </c>
      <c r="D80" s="384">
        <v>149.5</v>
      </c>
      <c r="E80" s="384"/>
      <c r="F80" s="384">
        <f t="shared" si="1"/>
        <v>149.5</v>
      </c>
      <c r="G80" s="384"/>
      <c r="H80" s="384"/>
      <c r="I80" s="384"/>
      <c r="J80" s="392"/>
      <c r="K80" s="392"/>
      <c r="L80" s="384">
        <v>1975.94</v>
      </c>
      <c r="M80" s="384">
        <v>0</v>
      </c>
      <c r="N80" s="384">
        <v>0</v>
      </c>
      <c r="O80" s="384">
        <v>0</v>
      </c>
      <c r="P80" s="384">
        <v>0</v>
      </c>
      <c r="Q80" s="385" t="s">
        <v>242</v>
      </c>
      <c r="R80" s="380" t="s">
        <v>243</v>
      </c>
    </row>
    <row r="81" spans="1:18" ht="36.75" customHeight="1">
      <c r="A81" s="381" t="s">
        <v>2337</v>
      </c>
      <c r="B81" s="382" t="s">
        <v>413</v>
      </c>
      <c r="C81" s="383" t="s">
        <v>8</v>
      </c>
      <c r="D81" s="384">
        <v>39.299999999999997</v>
      </c>
      <c r="E81" s="384"/>
      <c r="F81" s="384">
        <f t="shared" si="1"/>
        <v>39.299999999999997</v>
      </c>
      <c r="G81" s="384"/>
      <c r="H81" s="384"/>
      <c r="I81" s="384"/>
      <c r="J81" s="392"/>
      <c r="K81" s="392"/>
      <c r="L81" s="384">
        <v>4874.2299999999996</v>
      </c>
      <c r="M81" s="384">
        <v>0</v>
      </c>
      <c r="N81" s="384">
        <v>0</v>
      </c>
      <c r="O81" s="384">
        <v>0</v>
      </c>
      <c r="P81" s="384">
        <v>0</v>
      </c>
      <c r="Q81" s="385" t="s">
        <v>242</v>
      </c>
      <c r="R81" s="380" t="s">
        <v>243</v>
      </c>
    </row>
    <row r="82" spans="1:18" ht="36.75" customHeight="1">
      <c r="A82" s="381" t="s">
        <v>2338</v>
      </c>
      <c r="B82" s="382" t="s">
        <v>416</v>
      </c>
      <c r="C82" s="383" t="s">
        <v>8</v>
      </c>
      <c r="D82" s="384">
        <v>51.3</v>
      </c>
      <c r="E82" s="384"/>
      <c r="F82" s="384">
        <f t="shared" si="1"/>
        <v>51.3</v>
      </c>
      <c r="G82" s="384"/>
      <c r="H82" s="384"/>
      <c r="I82" s="384"/>
      <c r="J82" s="392"/>
      <c r="K82" s="392"/>
      <c r="L82" s="384">
        <v>2938.96</v>
      </c>
      <c r="M82" s="384">
        <v>34.200000000000003</v>
      </c>
      <c r="N82" s="384">
        <v>34.200000000000003</v>
      </c>
      <c r="O82" s="384">
        <v>100512.43</v>
      </c>
      <c r="P82" s="384">
        <v>100512.43</v>
      </c>
      <c r="Q82" s="385" t="s">
        <v>242</v>
      </c>
      <c r="R82" s="380" t="s">
        <v>243</v>
      </c>
    </row>
    <row r="83" spans="1:18" ht="36.75" customHeight="1">
      <c r="A83" s="381" t="s">
        <v>2339</v>
      </c>
      <c r="B83" s="382" t="s">
        <v>419</v>
      </c>
      <c r="C83" s="383" t="s">
        <v>0</v>
      </c>
      <c r="D83" s="384">
        <v>1</v>
      </c>
      <c r="E83" s="384"/>
      <c r="F83" s="384">
        <f t="shared" si="1"/>
        <v>1</v>
      </c>
      <c r="G83" s="384"/>
      <c r="H83" s="384"/>
      <c r="I83" s="384"/>
      <c r="J83" s="392"/>
      <c r="K83" s="392"/>
      <c r="L83" s="384">
        <v>23029.53</v>
      </c>
      <c r="M83" s="384">
        <v>0</v>
      </c>
      <c r="N83" s="384">
        <v>0</v>
      </c>
      <c r="O83" s="384">
        <v>0</v>
      </c>
      <c r="P83" s="384">
        <v>0</v>
      </c>
      <c r="Q83" s="385" t="s">
        <v>242</v>
      </c>
      <c r="R83" s="380" t="s">
        <v>243</v>
      </c>
    </row>
    <row r="84" spans="1:18" ht="36.75" customHeight="1">
      <c r="A84" s="381" t="s">
        <v>2340</v>
      </c>
      <c r="B84" s="382" t="s">
        <v>422</v>
      </c>
      <c r="C84" s="383" t="s">
        <v>0</v>
      </c>
      <c r="D84" s="384">
        <v>2</v>
      </c>
      <c r="E84" s="384"/>
      <c r="F84" s="384">
        <f t="shared" si="1"/>
        <v>2</v>
      </c>
      <c r="G84" s="384"/>
      <c r="H84" s="384"/>
      <c r="I84" s="384"/>
      <c r="J84" s="392"/>
      <c r="K84" s="392"/>
      <c r="L84" s="384">
        <v>18604.87</v>
      </c>
      <c r="M84" s="384">
        <v>0</v>
      </c>
      <c r="N84" s="384">
        <v>0</v>
      </c>
      <c r="O84" s="384">
        <v>0</v>
      </c>
      <c r="P84" s="384">
        <v>0</v>
      </c>
      <c r="Q84" s="385" t="s">
        <v>242</v>
      </c>
      <c r="R84" s="380" t="s">
        <v>243</v>
      </c>
    </row>
    <row r="85" spans="1:18" ht="36.75" customHeight="1">
      <c r="A85" s="381" t="s">
        <v>2341</v>
      </c>
      <c r="B85" s="382" t="s">
        <v>425</v>
      </c>
      <c r="C85" s="383" t="s">
        <v>0</v>
      </c>
      <c r="D85" s="384">
        <v>1</v>
      </c>
      <c r="E85" s="384"/>
      <c r="F85" s="384">
        <f t="shared" si="1"/>
        <v>1</v>
      </c>
      <c r="G85" s="384"/>
      <c r="H85" s="384"/>
      <c r="I85" s="384"/>
      <c r="J85" s="392"/>
      <c r="K85" s="392"/>
      <c r="L85" s="384">
        <v>18604.87</v>
      </c>
      <c r="M85" s="384">
        <v>0</v>
      </c>
      <c r="N85" s="384">
        <v>0</v>
      </c>
      <c r="O85" s="384">
        <v>0</v>
      </c>
      <c r="P85" s="384">
        <v>0</v>
      </c>
      <c r="Q85" s="385" t="s">
        <v>242</v>
      </c>
      <c r="R85" s="380" t="s">
        <v>243</v>
      </c>
    </row>
    <row r="86" spans="1:18" ht="36.75" customHeight="1">
      <c r="A86" s="381" t="s">
        <v>2342</v>
      </c>
      <c r="B86" s="382" t="s">
        <v>428</v>
      </c>
      <c r="C86" s="383" t="s">
        <v>0</v>
      </c>
      <c r="D86" s="384">
        <v>2</v>
      </c>
      <c r="E86" s="384"/>
      <c r="F86" s="384">
        <f t="shared" si="1"/>
        <v>2</v>
      </c>
      <c r="G86" s="384"/>
      <c r="H86" s="384"/>
      <c r="I86" s="384"/>
      <c r="J86" s="392"/>
      <c r="K86" s="392"/>
      <c r="L86" s="384">
        <v>11654.82</v>
      </c>
      <c r="M86" s="384">
        <v>0</v>
      </c>
      <c r="N86" s="384">
        <v>0</v>
      </c>
      <c r="O86" s="384">
        <v>0</v>
      </c>
      <c r="P86" s="384">
        <v>0</v>
      </c>
      <c r="Q86" s="385" t="s">
        <v>242</v>
      </c>
      <c r="R86" s="380" t="s">
        <v>243</v>
      </c>
    </row>
    <row r="87" spans="1:18" ht="36.75" customHeight="1">
      <c r="A87" s="381" t="s">
        <v>2343</v>
      </c>
      <c r="B87" s="382" t="s">
        <v>431</v>
      </c>
      <c r="C87" s="383" t="s">
        <v>0</v>
      </c>
      <c r="D87" s="384">
        <v>2</v>
      </c>
      <c r="E87" s="384"/>
      <c r="F87" s="384">
        <f t="shared" si="1"/>
        <v>2</v>
      </c>
      <c r="G87" s="384"/>
      <c r="H87" s="384"/>
      <c r="I87" s="384"/>
      <c r="J87" s="392"/>
      <c r="K87" s="392"/>
      <c r="L87" s="384">
        <v>25107.48</v>
      </c>
      <c r="M87" s="384">
        <v>0</v>
      </c>
      <c r="N87" s="384">
        <v>0</v>
      </c>
      <c r="O87" s="384">
        <v>0</v>
      </c>
      <c r="P87" s="384">
        <v>0</v>
      </c>
      <c r="Q87" s="385" t="s">
        <v>242</v>
      </c>
      <c r="R87" s="380" t="s">
        <v>243</v>
      </c>
    </row>
    <row r="88" spans="1:18" ht="36.75" customHeight="1">
      <c r="A88" s="381" t="s">
        <v>2344</v>
      </c>
      <c r="B88" s="382" t="s">
        <v>434</v>
      </c>
      <c r="C88" s="383" t="s">
        <v>0</v>
      </c>
      <c r="D88" s="384">
        <v>1</v>
      </c>
      <c r="E88" s="384"/>
      <c r="F88" s="384">
        <f t="shared" si="1"/>
        <v>1</v>
      </c>
      <c r="G88" s="384"/>
      <c r="H88" s="384"/>
      <c r="I88" s="384"/>
      <c r="J88" s="392"/>
      <c r="K88" s="392"/>
      <c r="L88" s="384">
        <v>22415.66</v>
      </c>
      <c r="M88" s="384">
        <v>0</v>
      </c>
      <c r="N88" s="384">
        <v>0</v>
      </c>
      <c r="O88" s="384">
        <v>0</v>
      </c>
      <c r="P88" s="384">
        <v>0</v>
      </c>
      <c r="Q88" s="385" t="s">
        <v>242</v>
      </c>
      <c r="R88" s="380" t="s">
        <v>243</v>
      </c>
    </row>
    <row r="89" spans="1:18" ht="36.75" customHeight="1">
      <c r="A89" s="381" t="s">
        <v>2345</v>
      </c>
      <c r="B89" s="382" t="s">
        <v>437</v>
      </c>
      <c r="C89" s="383" t="s">
        <v>0</v>
      </c>
      <c r="D89" s="384">
        <v>1</v>
      </c>
      <c r="E89" s="384"/>
      <c r="F89" s="384">
        <f t="shared" si="1"/>
        <v>1</v>
      </c>
      <c r="G89" s="384"/>
      <c r="H89" s="384"/>
      <c r="I89" s="384"/>
      <c r="J89" s="392"/>
      <c r="K89" s="392"/>
      <c r="L89" s="384">
        <v>21723.54</v>
      </c>
      <c r="M89" s="384">
        <v>0</v>
      </c>
      <c r="N89" s="384">
        <v>0</v>
      </c>
      <c r="O89" s="384">
        <v>0</v>
      </c>
      <c r="P89" s="384">
        <v>0</v>
      </c>
      <c r="Q89" s="385" t="s">
        <v>242</v>
      </c>
      <c r="R89" s="380" t="s">
        <v>243</v>
      </c>
    </row>
    <row r="90" spans="1:18" ht="36.75" customHeight="1">
      <c r="A90" s="381" t="s">
        <v>2346</v>
      </c>
      <c r="B90" s="382" t="s">
        <v>440</v>
      </c>
      <c r="C90" s="383" t="s">
        <v>0</v>
      </c>
      <c r="D90" s="384">
        <v>1</v>
      </c>
      <c r="E90" s="384"/>
      <c r="F90" s="384">
        <f t="shared" si="1"/>
        <v>1</v>
      </c>
      <c r="G90" s="384"/>
      <c r="H90" s="384"/>
      <c r="I90" s="384"/>
      <c r="J90" s="392"/>
      <c r="K90" s="392"/>
      <c r="L90" s="384">
        <v>22646.36</v>
      </c>
      <c r="M90" s="384">
        <v>0</v>
      </c>
      <c r="N90" s="384">
        <v>0</v>
      </c>
      <c r="O90" s="384">
        <v>0</v>
      </c>
      <c r="P90" s="384">
        <v>0</v>
      </c>
      <c r="Q90" s="385" t="s">
        <v>242</v>
      </c>
      <c r="R90" s="380" t="s">
        <v>243</v>
      </c>
    </row>
    <row r="91" spans="1:18" ht="36.75" customHeight="1">
      <c r="A91" s="381" t="s">
        <v>2347</v>
      </c>
      <c r="B91" s="382" t="s">
        <v>443</v>
      </c>
      <c r="C91" s="383" t="s">
        <v>0</v>
      </c>
      <c r="D91" s="384">
        <v>4</v>
      </c>
      <c r="E91" s="384"/>
      <c r="F91" s="384">
        <f t="shared" si="1"/>
        <v>4</v>
      </c>
      <c r="G91" s="384"/>
      <c r="H91" s="384"/>
      <c r="I91" s="384"/>
      <c r="J91" s="392"/>
      <c r="K91" s="392"/>
      <c r="L91" s="384">
        <v>17340.05</v>
      </c>
      <c r="M91" s="384">
        <v>0</v>
      </c>
      <c r="N91" s="384">
        <v>0</v>
      </c>
      <c r="O91" s="384">
        <v>0</v>
      </c>
      <c r="P91" s="384">
        <v>0</v>
      </c>
      <c r="Q91" s="385" t="s">
        <v>242</v>
      </c>
      <c r="R91" s="380" t="s">
        <v>243</v>
      </c>
    </row>
    <row r="92" spans="1:18" ht="36.75" customHeight="1">
      <c r="A92" s="381" t="s">
        <v>2348</v>
      </c>
      <c r="B92" s="382" t="s">
        <v>446</v>
      </c>
      <c r="C92" s="383" t="s">
        <v>0</v>
      </c>
      <c r="D92" s="384">
        <v>6</v>
      </c>
      <c r="E92" s="384"/>
      <c r="F92" s="384">
        <f t="shared" si="1"/>
        <v>6</v>
      </c>
      <c r="G92" s="384"/>
      <c r="H92" s="384"/>
      <c r="I92" s="384"/>
      <c r="J92" s="392"/>
      <c r="K92" s="392"/>
      <c r="L92" s="384">
        <v>17340.05</v>
      </c>
      <c r="M92" s="384">
        <v>0</v>
      </c>
      <c r="N92" s="384">
        <v>0</v>
      </c>
      <c r="O92" s="384">
        <v>0</v>
      </c>
      <c r="P92" s="384">
        <v>0</v>
      </c>
      <c r="Q92" s="385" t="s">
        <v>242</v>
      </c>
      <c r="R92" s="380" t="s">
        <v>243</v>
      </c>
    </row>
    <row r="93" spans="1:18" ht="36.75" customHeight="1">
      <c r="A93" s="381" t="s">
        <v>2349</v>
      </c>
      <c r="B93" s="382" t="s">
        <v>449</v>
      </c>
      <c r="C93" s="383" t="s">
        <v>0</v>
      </c>
      <c r="D93" s="384">
        <v>1</v>
      </c>
      <c r="E93" s="384"/>
      <c r="F93" s="384">
        <f t="shared" si="1"/>
        <v>1</v>
      </c>
      <c r="G93" s="384"/>
      <c r="H93" s="384"/>
      <c r="I93" s="384"/>
      <c r="J93" s="392"/>
      <c r="K93" s="392"/>
      <c r="L93" s="384">
        <v>17496.650000000001</v>
      </c>
      <c r="M93" s="384">
        <v>0</v>
      </c>
      <c r="N93" s="384">
        <v>0</v>
      </c>
      <c r="O93" s="384">
        <v>0</v>
      </c>
      <c r="P93" s="384">
        <v>0</v>
      </c>
      <c r="Q93" s="385" t="s">
        <v>242</v>
      </c>
      <c r="R93" s="380" t="s">
        <v>243</v>
      </c>
    </row>
    <row r="94" spans="1:18" ht="36.75" customHeight="1">
      <c r="A94" s="381" t="s">
        <v>2350</v>
      </c>
      <c r="B94" s="382" t="s">
        <v>452</v>
      </c>
      <c r="C94" s="383" t="s">
        <v>0</v>
      </c>
      <c r="D94" s="384">
        <v>1</v>
      </c>
      <c r="E94" s="384"/>
      <c r="F94" s="384">
        <f t="shared" si="1"/>
        <v>1</v>
      </c>
      <c r="G94" s="384"/>
      <c r="H94" s="384"/>
      <c r="I94" s="384"/>
      <c r="J94" s="392"/>
      <c r="K94" s="392"/>
      <c r="L94" s="384">
        <v>1501.66</v>
      </c>
      <c r="M94" s="384">
        <v>0</v>
      </c>
      <c r="N94" s="384">
        <v>0</v>
      </c>
      <c r="O94" s="384">
        <v>0</v>
      </c>
      <c r="P94" s="384">
        <v>0</v>
      </c>
      <c r="Q94" s="385" t="s">
        <v>242</v>
      </c>
      <c r="R94" s="380" t="s">
        <v>243</v>
      </c>
    </row>
    <row r="95" spans="1:18" ht="36.75" customHeight="1">
      <c r="A95" s="381" t="s">
        <v>2351</v>
      </c>
      <c r="B95" s="382" t="s">
        <v>455</v>
      </c>
      <c r="C95" s="383" t="s">
        <v>0</v>
      </c>
      <c r="D95" s="384">
        <v>1</v>
      </c>
      <c r="E95" s="384"/>
      <c r="F95" s="384">
        <f t="shared" si="1"/>
        <v>1</v>
      </c>
      <c r="G95" s="384"/>
      <c r="H95" s="384"/>
      <c r="I95" s="384"/>
      <c r="J95" s="392"/>
      <c r="K95" s="392"/>
      <c r="L95" s="384">
        <v>1240.05</v>
      </c>
      <c r="M95" s="384">
        <v>0</v>
      </c>
      <c r="N95" s="384">
        <v>0</v>
      </c>
      <c r="O95" s="384">
        <v>0</v>
      </c>
      <c r="P95" s="384">
        <v>0</v>
      </c>
      <c r="Q95" s="385" t="s">
        <v>242</v>
      </c>
      <c r="R95" s="380" t="s">
        <v>243</v>
      </c>
    </row>
    <row r="96" spans="1:18" ht="36.75" customHeight="1">
      <c r="A96" s="381" t="s">
        <v>2352</v>
      </c>
      <c r="B96" s="382" t="s">
        <v>458</v>
      </c>
      <c r="C96" s="383" t="s">
        <v>0</v>
      </c>
      <c r="D96" s="384">
        <v>1</v>
      </c>
      <c r="E96" s="384"/>
      <c r="F96" s="384">
        <f t="shared" si="1"/>
        <v>1</v>
      </c>
      <c r="G96" s="384"/>
      <c r="H96" s="384"/>
      <c r="I96" s="384"/>
      <c r="J96" s="392"/>
      <c r="K96" s="392"/>
      <c r="L96" s="384">
        <v>1470.75</v>
      </c>
      <c r="M96" s="384">
        <v>0</v>
      </c>
      <c r="N96" s="384">
        <v>0</v>
      </c>
      <c r="O96" s="384">
        <v>0</v>
      </c>
      <c r="P96" s="384">
        <v>0</v>
      </c>
      <c r="Q96" s="385" t="s">
        <v>242</v>
      </c>
      <c r="R96" s="380" t="s">
        <v>243</v>
      </c>
    </row>
    <row r="97" spans="1:18" ht="36.75" customHeight="1">
      <c r="A97" s="381" t="s">
        <v>2353</v>
      </c>
      <c r="B97" s="382" t="s">
        <v>461</v>
      </c>
      <c r="C97" s="383" t="s">
        <v>0</v>
      </c>
      <c r="D97" s="384">
        <v>1</v>
      </c>
      <c r="E97" s="384"/>
      <c r="F97" s="384">
        <f t="shared" si="1"/>
        <v>1</v>
      </c>
      <c r="G97" s="384"/>
      <c r="H97" s="384"/>
      <c r="I97" s="384"/>
      <c r="J97" s="392"/>
      <c r="K97" s="392"/>
      <c r="L97" s="384">
        <v>1326.56</v>
      </c>
      <c r="M97" s="384">
        <v>0</v>
      </c>
      <c r="N97" s="384">
        <v>0</v>
      </c>
      <c r="O97" s="384">
        <v>0</v>
      </c>
      <c r="P97" s="384">
        <v>0</v>
      </c>
      <c r="Q97" s="385" t="s">
        <v>242</v>
      </c>
      <c r="R97" s="380" t="s">
        <v>243</v>
      </c>
    </row>
    <row r="98" spans="1:18" ht="36.75" customHeight="1">
      <c r="A98" s="381" t="s">
        <v>2354</v>
      </c>
      <c r="B98" s="382" t="s">
        <v>464</v>
      </c>
      <c r="C98" s="383" t="s">
        <v>0</v>
      </c>
      <c r="D98" s="384">
        <v>3</v>
      </c>
      <c r="E98" s="384"/>
      <c r="F98" s="384">
        <f t="shared" si="1"/>
        <v>3</v>
      </c>
      <c r="G98" s="384"/>
      <c r="H98" s="384"/>
      <c r="I98" s="384"/>
      <c r="J98" s="392"/>
      <c r="K98" s="392"/>
      <c r="L98" s="384">
        <v>331.64</v>
      </c>
      <c r="M98" s="384">
        <v>0</v>
      </c>
      <c r="N98" s="384">
        <v>0</v>
      </c>
      <c r="O98" s="384">
        <v>0</v>
      </c>
      <c r="P98" s="384">
        <v>0</v>
      </c>
      <c r="Q98" s="385" t="s">
        <v>242</v>
      </c>
      <c r="R98" s="380" t="s">
        <v>243</v>
      </c>
    </row>
    <row r="99" spans="1:18" ht="36.75" customHeight="1">
      <c r="A99" s="381" t="s">
        <v>2355</v>
      </c>
      <c r="B99" s="382" t="s">
        <v>467</v>
      </c>
      <c r="C99" s="383" t="s">
        <v>0</v>
      </c>
      <c r="D99" s="384">
        <v>7</v>
      </c>
      <c r="E99" s="384"/>
      <c r="F99" s="384">
        <f t="shared" si="1"/>
        <v>7</v>
      </c>
      <c r="G99" s="384"/>
      <c r="H99" s="384"/>
      <c r="I99" s="384"/>
      <c r="J99" s="392"/>
      <c r="K99" s="392"/>
      <c r="L99" s="384">
        <v>952.18</v>
      </c>
      <c r="M99" s="384">
        <v>0</v>
      </c>
      <c r="N99" s="384">
        <v>0</v>
      </c>
      <c r="O99" s="384">
        <v>0</v>
      </c>
      <c r="P99" s="384">
        <v>0</v>
      </c>
      <c r="Q99" s="385" t="s">
        <v>242</v>
      </c>
      <c r="R99" s="380" t="s">
        <v>243</v>
      </c>
    </row>
    <row r="100" spans="1:18" ht="36.75" customHeight="1">
      <c r="A100" s="381" t="s">
        <v>2356</v>
      </c>
      <c r="B100" s="382" t="s">
        <v>470</v>
      </c>
      <c r="C100" s="383" t="s">
        <v>0</v>
      </c>
      <c r="D100" s="384">
        <v>1</v>
      </c>
      <c r="E100" s="384"/>
      <c r="F100" s="384">
        <f t="shared" si="1"/>
        <v>1</v>
      </c>
      <c r="G100" s="384"/>
      <c r="H100" s="384"/>
      <c r="I100" s="384"/>
      <c r="J100" s="392"/>
      <c r="K100" s="392"/>
      <c r="L100" s="384">
        <v>272825.21000000002</v>
      </c>
      <c r="M100" s="384">
        <v>0</v>
      </c>
      <c r="N100" s="384">
        <v>0</v>
      </c>
      <c r="O100" s="384">
        <v>0</v>
      </c>
      <c r="P100" s="384">
        <v>0</v>
      </c>
      <c r="Q100" s="385" t="s">
        <v>242</v>
      </c>
      <c r="R100" s="380" t="s">
        <v>243</v>
      </c>
    </row>
    <row r="101" spans="1:18" ht="36.75" customHeight="1">
      <c r="A101" s="381" t="s">
        <v>2357</v>
      </c>
      <c r="B101" s="382" t="s">
        <v>473</v>
      </c>
      <c r="C101" s="383" t="s">
        <v>13</v>
      </c>
      <c r="D101" s="384">
        <v>759.43</v>
      </c>
      <c r="E101" s="384"/>
      <c r="F101" s="384">
        <f t="shared" si="1"/>
        <v>759.43</v>
      </c>
      <c r="G101" s="384"/>
      <c r="H101" s="384"/>
      <c r="I101" s="384"/>
      <c r="J101" s="392"/>
      <c r="K101" s="392"/>
      <c r="L101" s="384">
        <v>647.65</v>
      </c>
      <c r="M101" s="384">
        <v>0</v>
      </c>
      <c r="N101" s="384">
        <v>0</v>
      </c>
      <c r="O101" s="384">
        <v>0</v>
      </c>
      <c r="P101" s="384">
        <v>0</v>
      </c>
      <c r="Q101" s="385" t="s">
        <v>242</v>
      </c>
      <c r="R101" s="380" t="s">
        <v>243</v>
      </c>
    </row>
    <row r="102" spans="1:18" ht="36.75" customHeight="1">
      <c r="A102" s="381" t="s">
        <v>2358</v>
      </c>
      <c r="B102" s="382" t="s">
        <v>476</v>
      </c>
      <c r="C102" s="383" t="s">
        <v>15</v>
      </c>
      <c r="D102" s="384">
        <v>1</v>
      </c>
      <c r="E102" s="384"/>
      <c r="F102" s="384">
        <f t="shared" si="1"/>
        <v>1</v>
      </c>
      <c r="G102" s="384"/>
      <c r="H102" s="384"/>
      <c r="I102" s="384"/>
      <c r="J102" s="392"/>
      <c r="K102" s="392"/>
      <c r="L102" s="384">
        <v>10412.73</v>
      </c>
      <c r="M102" s="384">
        <v>0</v>
      </c>
      <c r="N102" s="384">
        <v>0</v>
      </c>
      <c r="O102" s="384">
        <v>0</v>
      </c>
      <c r="P102" s="384">
        <v>0</v>
      </c>
      <c r="Q102" s="385" t="s">
        <v>242</v>
      </c>
      <c r="R102" s="380" t="s">
        <v>243</v>
      </c>
    </row>
    <row r="103" spans="1:18" ht="36.75" customHeight="1">
      <c r="A103" s="381" t="s">
        <v>2359</v>
      </c>
      <c r="B103" s="382" t="s">
        <v>479</v>
      </c>
      <c r="C103" s="383" t="s">
        <v>15</v>
      </c>
      <c r="D103" s="384">
        <v>3</v>
      </c>
      <c r="E103" s="384"/>
      <c r="F103" s="384">
        <f t="shared" si="1"/>
        <v>3</v>
      </c>
      <c r="G103" s="384"/>
      <c r="H103" s="384"/>
      <c r="I103" s="384"/>
      <c r="J103" s="392"/>
      <c r="K103" s="392"/>
      <c r="L103" s="384">
        <v>4575.03</v>
      </c>
      <c r="M103" s="384">
        <v>0</v>
      </c>
      <c r="N103" s="384">
        <v>0</v>
      </c>
      <c r="O103" s="384">
        <v>0</v>
      </c>
      <c r="P103" s="384">
        <v>0</v>
      </c>
      <c r="Q103" s="385" t="s">
        <v>242</v>
      </c>
      <c r="R103" s="380" t="s">
        <v>243</v>
      </c>
    </row>
    <row r="104" spans="1:18" s="273" customFormat="1" ht="36.75" customHeight="1">
      <c r="A104" s="481" t="s">
        <v>2360</v>
      </c>
      <c r="B104" s="482" t="s">
        <v>482</v>
      </c>
      <c r="C104" s="483" t="s">
        <v>483</v>
      </c>
      <c r="D104" s="484">
        <v>88.17</v>
      </c>
      <c r="E104" s="484"/>
      <c r="F104" s="484">
        <f>G104</f>
        <v>89.085999999999999</v>
      </c>
      <c r="G104" s="484">
        <f>'數量計算(FOR4變)'!I164</f>
        <v>89.085999999999999</v>
      </c>
      <c r="H104" s="484">
        <f>G104-D104</f>
        <v>0.91599999999999682</v>
      </c>
      <c r="I104" s="484">
        <f>ROUND(H104*L104,2)</f>
        <v>14014.04</v>
      </c>
      <c r="J104" s="485"/>
      <c r="K104" s="485"/>
      <c r="L104" s="484">
        <v>15299.17</v>
      </c>
      <c r="M104" s="484">
        <v>0</v>
      </c>
      <c r="N104" s="484">
        <v>0</v>
      </c>
      <c r="O104" s="484">
        <v>0</v>
      </c>
      <c r="P104" s="484">
        <v>0</v>
      </c>
      <c r="Q104" s="488" t="s">
        <v>2413</v>
      </c>
      <c r="R104" s="487" t="s">
        <v>243</v>
      </c>
    </row>
    <row r="105" spans="1:18" ht="36.75" customHeight="1">
      <c r="A105" s="381" t="s">
        <v>2361</v>
      </c>
      <c r="B105" s="382" t="s">
        <v>486</v>
      </c>
      <c r="C105" s="383" t="s">
        <v>0</v>
      </c>
      <c r="D105" s="384">
        <v>25</v>
      </c>
      <c r="E105" s="384"/>
      <c r="F105" s="384">
        <f>D105</f>
        <v>25</v>
      </c>
      <c r="G105" s="384"/>
      <c r="H105" s="384"/>
      <c r="I105" s="384"/>
      <c r="J105" s="392"/>
      <c r="K105" s="392"/>
      <c r="L105" s="384">
        <v>4498.3100000000004</v>
      </c>
      <c r="M105" s="384">
        <v>0</v>
      </c>
      <c r="N105" s="384">
        <v>0</v>
      </c>
      <c r="O105" s="384">
        <v>0</v>
      </c>
      <c r="P105" s="384">
        <v>0</v>
      </c>
      <c r="Q105" s="385" t="s">
        <v>242</v>
      </c>
      <c r="R105" s="380" t="s">
        <v>243</v>
      </c>
    </row>
    <row r="106" spans="1:18" ht="36.75" customHeight="1">
      <c r="A106" s="381" t="s">
        <v>2362</v>
      </c>
      <c r="B106" s="382" t="s">
        <v>489</v>
      </c>
      <c r="C106" s="383" t="s">
        <v>0</v>
      </c>
      <c r="D106" s="384">
        <v>13</v>
      </c>
      <c r="E106" s="384"/>
      <c r="F106" s="384">
        <f t="shared" ref="F106:F117" si="2">D106</f>
        <v>13</v>
      </c>
      <c r="G106" s="384"/>
      <c r="H106" s="384"/>
      <c r="I106" s="384"/>
      <c r="J106" s="392"/>
      <c r="K106" s="392"/>
      <c r="L106" s="384">
        <v>3353.5</v>
      </c>
      <c r="M106" s="384">
        <v>0</v>
      </c>
      <c r="N106" s="384">
        <v>0</v>
      </c>
      <c r="O106" s="384">
        <v>0</v>
      </c>
      <c r="P106" s="384">
        <v>0</v>
      </c>
      <c r="Q106" s="385" t="s">
        <v>242</v>
      </c>
      <c r="R106" s="380" t="s">
        <v>243</v>
      </c>
    </row>
    <row r="107" spans="1:18" ht="36.75" customHeight="1">
      <c r="A107" s="381" t="s">
        <v>2363</v>
      </c>
      <c r="B107" s="382" t="s">
        <v>492</v>
      </c>
      <c r="C107" s="383" t="s">
        <v>8</v>
      </c>
      <c r="D107" s="384">
        <v>9.8000000000000007</v>
      </c>
      <c r="E107" s="384"/>
      <c r="F107" s="384">
        <f t="shared" si="2"/>
        <v>9.8000000000000007</v>
      </c>
      <c r="G107" s="384"/>
      <c r="H107" s="384"/>
      <c r="I107" s="384"/>
      <c r="J107" s="392"/>
      <c r="K107" s="392"/>
      <c r="L107" s="384">
        <v>9873.85</v>
      </c>
      <c r="M107" s="384">
        <v>0</v>
      </c>
      <c r="N107" s="384">
        <v>0</v>
      </c>
      <c r="O107" s="384">
        <v>0</v>
      </c>
      <c r="P107" s="384">
        <v>0</v>
      </c>
      <c r="Q107" s="385" t="s">
        <v>242</v>
      </c>
      <c r="R107" s="380" t="s">
        <v>243</v>
      </c>
    </row>
    <row r="108" spans="1:18" ht="36.75" customHeight="1">
      <c r="A108" s="381" t="s">
        <v>2364</v>
      </c>
      <c r="B108" s="382" t="s">
        <v>495</v>
      </c>
      <c r="C108" s="383" t="s">
        <v>8</v>
      </c>
      <c r="D108" s="384">
        <v>6.2</v>
      </c>
      <c r="E108" s="384"/>
      <c r="F108" s="384">
        <f t="shared" si="2"/>
        <v>6.2</v>
      </c>
      <c r="G108" s="384"/>
      <c r="H108" s="384"/>
      <c r="I108" s="384"/>
      <c r="J108" s="392"/>
      <c r="K108" s="392"/>
      <c r="L108" s="384">
        <v>6554</v>
      </c>
      <c r="M108" s="384">
        <v>0</v>
      </c>
      <c r="N108" s="384">
        <v>0</v>
      </c>
      <c r="O108" s="384">
        <v>0</v>
      </c>
      <c r="P108" s="384">
        <v>0</v>
      </c>
      <c r="Q108" s="385" t="s">
        <v>242</v>
      </c>
      <c r="R108" s="380" t="s">
        <v>243</v>
      </c>
    </row>
    <row r="109" spans="1:18" ht="36.75" customHeight="1">
      <c r="A109" s="381" t="s">
        <v>2365</v>
      </c>
      <c r="B109" s="382" t="s">
        <v>498</v>
      </c>
      <c r="C109" s="383" t="s">
        <v>8</v>
      </c>
      <c r="D109" s="384">
        <v>3.3</v>
      </c>
      <c r="E109" s="384"/>
      <c r="F109" s="384">
        <f t="shared" si="2"/>
        <v>3.3</v>
      </c>
      <c r="G109" s="384"/>
      <c r="H109" s="384"/>
      <c r="I109" s="384"/>
      <c r="J109" s="392"/>
      <c r="K109" s="392"/>
      <c r="L109" s="384">
        <v>8390.27</v>
      </c>
      <c r="M109" s="384">
        <v>0</v>
      </c>
      <c r="N109" s="384">
        <v>0</v>
      </c>
      <c r="O109" s="384">
        <v>0</v>
      </c>
      <c r="P109" s="384">
        <v>0</v>
      </c>
      <c r="Q109" s="385" t="s">
        <v>242</v>
      </c>
      <c r="R109" s="380" t="s">
        <v>243</v>
      </c>
    </row>
    <row r="110" spans="1:18" ht="36.75" customHeight="1">
      <c r="A110" s="381" t="s">
        <v>2366</v>
      </c>
      <c r="B110" s="382" t="s">
        <v>501</v>
      </c>
      <c r="C110" s="383" t="s">
        <v>8</v>
      </c>
      <c r="D110" s="384">
        <v>40.6</v>
      </c>
      <c r="E110" s="384"/>
      <c r="F110" s="384">
        <f t="shared" si="2"/>
        <v>40.6</v>
      </c>
      <c r="G110" s="384"/>
      <c r="H110" s="384"/>
      <c r="I110" s="384"/>
      <c r="J110" s="392"/>
      <c r="K110" s="392"/>
      <c r="L110" s="384">
        <v>671.95</v>
      </c>
      <c r="M110" s="384">
        <v>0</v>
      </c>
      <c r="N110" s="384">
        <v>0</v>
      </c>
      <c r="O110" s="384">
        <v>0</v>
      </c>
      <c r="P110" s="384">
        <v>0</v>
      </c>
      <c r="Q110" s="385" t="s">
        <v>242</v>
      </c>
      <c r="R110" s="380" t="s">
        <v>243</v>
      </c>
    </row>
    <row r="111" spans="1:18" ht="36.75" customHeight="1">
      <c r="A111" s="381" t="s">
        <v>2367</v>
      </c>
      <c r="B111" s="382" t="s">
        <v>504</v>
      </c>
      <c r="C111" s="383" t="s">
        <v>8</v>
      </c>
      <c r="D111" s="384">
        <v>176.7</v>
      </c>
      <c r="E111" s="384"/>
      <c r="F111" s="384">
        <f t="shared" si="2"/>
        <v>176.7</v>
      </c>
      <c r="G111" s="384"/>
      <c r="H111" s="384"/>
      <c r="I111" s="384"/>
      <c r="J111" s="392"/>
      <c r="K111" s="392"/>
      <c r="L111" s="384">
        <v>658.27</v>
      </c>
      <c r="M111" s="384">
        <v>0</v>
      </c>
      <c r="N111" s="384">
        <v>0</v>
      </c>
      <c r="O111" s="384">
        <v>0</v>
      </c>
      <c r="P111" s="384">
        <v>0</v>
      </c>
      <c r="Q111" s="385" t="s">
        <v>242</v>
      </c>
      <c r="R111" s="380" t="s">
        <v>243</v>
      </c>
    </row>
    <row r="112" spans="1:18" ht="36.75" customHeight="1">
      <c r="A112" s="381" t="s">
        <v>2368</v>
      </c>
      <c r="B112" s="382" t="s">
        <v>507</v>
      </c>
      <c r="C112" s="383" t="s">
        <v>8</v>
      </c>
      <c r="D112" s="384">
        <v>251.7</v>
      </c>
      <c r="E112" s="384"/>
      <c r="F112" s="384">
        <f t="shared" si="2"/>
        <v>251.7</v>
      </c>
      <c r="G112" s="384"/>
      <c r="H112" s="384"/>
      <c r="I112" s="384"/>
      <c r="J112" s="392"/>
      <c r="K112" s="392"/>
      <c r="L112" s="384">
        <v>730.37</v>
      </c>
      <c r="M112" s="384">
        <v>0</v>
      </c>
      <c r="N112" s="384">
        <v>0</v>
      </c>
      <c r="O112" s="384">
        <v>0</v>
      </c>
      <c r="P112" s="384">
        <v>0</v>
      </c>
      <c r="Q112" s="385" t="s">
        <v>242</v>
      </c>
      <c r="R112" s="380" t="s">
        <v>243</v>
      </c>
    </row>
    <row r="113" spans="1:18" ht="36.75" customHeight="1">
      <c r="A113" s="381" t="s">
        <v>2369</v>
      </c>
      <c r="B113" s="382" t="s">
        <v>510</v>
      </c>
      <c r="C113" s="383" t="s">
        <v>8</v>
      </c>
      <c r="D113" s="384">
        <v>6.8</v>
      </c>
      <c r="E113" s="384"/>
      <c r="F113" s="384">
        <f t="shared" si="2"/>
        <v>6.8</v>
      </c>
      <c r="G113" s="384"/>
      <c r="H113" s="384"/>
      <c r="I113" s="384"/>
      <c r="J113" s="392"/>
      <c r="K113" s="392"/>
      <c r="L113" s="384">
        <v>406.38</v>
      </c>
      <c r="M113" s="384">
        <v>0</v>
      </c>
      <c r="N113" s="384">
        <v>0</v>
      </c>
      <c r="O113" s="384">
        <v>0</v>
      </c>
      <c r="P113" s="384">
        <v>0</v>
      </c>
      <c r="Q113" s="385" t="s">
        <v>242</v>
      </c>
      <c r="R113" s="380" t="s">
        <v>243</v>
      </c>
    </row>
    <row r="114" spans="1:18" ht="36.75" customHeight="1">
      <c r="A114" s="381" t="s">
        <v>2370</v>
      </c>
      <c r="B114" s="382" t="s">
        <v>513</v>
      </c>
      <c r="C114" s="383" t="s">
        <v>8</v>
      </c>
      <c r="D114" s="384">
        <v>44.2</v>
      </c>
      <c r="E114" s="384"/>
      <c r="F114" s="384">
        <f t="shared" si="2"/>
        <v>44.2</v>
      </c>
      <c r="G114" s="384"/>
      <c r="H114" s="384"/>
      <c r="I114" s="384"/>
      <c r="J114" s="392"/>
      <c r="K114" s="392"/>
      <c r="L114" s="384">
        <v>457.88</v>
      </c>
      <c r="M114" s="384">
        <v>0</v>
      </c>
      <c r="N114" s="384">
        <v>0</v>
      </c>
      <c r="O114" s="384">
        <v>0</v>
      </c>
      <c r="P114" s="384">
        <v>0</v>
      </c>
      <c r="Q114" s="385" t="s">
        <v>242</v>
      </c>
      <c r="R114" s="380" t="s">
        <v>243</v>
      </c>
    </row>
    <row r="115" spans="1:18" ht="36.75" customHeight="1">
      <c r="A115" s="381" t="s">
        <v>2371</v>
      </c>
      <c r="B115" s="382" t="s">
        <v>516</v>
      </c>
      <c r="C115" s="383" t="s">
        <v>8</v>
      </c>
      <c r="D115" s="384">
        <v>10.7</v>
      </c>
      <c r="E115" s="384"/>
      <c r="F115" s="384">
        <f t="shared" si="2"/>
        <v>10.7</v>
      </c>
      <c r="G115" s="384"/>
      <c r="H115" s="384"/>
      <c r="I115" s="384"/>
      <c r="J115" s="392"/>
      <c r="K115" s="392"/>
      <c r="L115" s="384">
        <v>499.08</v>
      </c>
      <c r="M115" s="384">
        <v>0</v>
      </c>
      <c r="N115" s="384">
        <v>0</v>
      </c>
      <c r="O115" s="384">
        <v>0</v>
      </c>
      <c r="P115" s="384">
        <v>0</v>
      </c>
      <c r="Q115" s="385" t="s">
        <v>242</v>
      </c>
      <c r="R115" s="380" t="s">
        <v>243</v>
      </c>
    </row>
    <row r="116" spans="1:18" ht="36.75" customHeight="1">
      <c r="A116" s="381" t="s">
        <v>2372</v>
      </c>
      <c r="B116" s="382" t="s">
        <v>519</v>
      </c>
      <c r="C116" s="383" t="s">
        <v>8</v>
      </c>
      <c r="D116" s="384">
        <v>62.5</v>
      </c>
      <c r="E116" s="384"/>
      <c r="F116" s="384">
        <f t="shared" si="2"/>
        <v>62.5</v>
      </c>
      <c r="G116" s="384"/>
      <c r="H116" s="384"/>
      <c r="I116" s="384"/>
      <c r="J116" s="392"/>
      <c r="K116" s="392"/>
      <c r="L116" s="384">
        <v>545.82000000000005</v>
      </c>
      <c r="M116" s="384">
        <v>0</v>
      </c>
      <c r="N116" s="384">
        <v>0</v>
      </c>
      <c r="O116" s="384">
        <v>0</v>
      </c>
      <c r="P116" s="384">
        <v>0</v>
      </c>
      <c r="Q116" s="385" t="s">
        <v>242</v>
      </c>
      <c r="R116" s="380" t="s">
        <v>243</v>
      </c>
    </row>
    <row r="117" spans="1:18" ht="36.75" customHeight="1">
      <c r="A117" s="381" t="s">
        <v>2373</v>
      </c>
      <c r="B117" s="382" t="s">
        <v>522</v>
      </c>
      <c r="C117" s="383" t="s">
        <v>8</v>
      </c>
      <c r="D117" s="384">
        <v>84.8</v>
      </c>
      <c r="E117" s="384"/>
      <c r="F117" s="384">
        <f t="shared" si="2"/>
        <v>84.8</v>
      </c>
      <c r="G117" s="384"/>
      <c r="H117" s="384"/>
      <c r="I117" s="384"/>
      <c r="J117" s="392"/>
      <c r="K117" s="392"/>
      <c r="L117" s="384">
        <v>7340.02</v>
      </c>
      <c r="M117" s="384">
        <v>0</v>
      </c>
      <c r="N117" s="384">
        <v>0</v>
      </c>
      <c r="O117" s="384">
        <v>0</v>
      </c>
      <c r="P117" s="384">
        <v>0</v>
      </c>
      <c r="Q117" s="385" t="s">
        <v>242</v>
      </c>
      <c r="R117" s="380" t="s">
        <v>243</v>
      </c>
    </row>
    <row r="118" spans="1:18" ht="36.75" customHeight="1">
      <c r="A118" s="381" t="s">
        <v>2374</v>
      </c>
      <c r="B118" s="382" t="s">
        <v>525</v>
      </c>
      <c r="C118" s="383" t="s">
        <v>0</v>
      </c>
      <c r="D118" s="384">
        <v>2</v>
      </c>
      <c r="E118" s="384"/>
      <c r="F118" s="384">
        <v>2</v>
      </c>
      <c r="G118" s="384">
        <f>'數量計算(FOR4變)'!I178</f>
        <v>3</v>
      </c>
      <c r="H118" s="384">
        <f>G118-D118</f>
        <v>1</v>
      </c>
      <c r="I118" s="384">
        <f>704273.82+1255553.18+1277917.6-(L118*D118)</f>
        <v>1411132.24</v>
      </c>
      <c r="J118" s="392"/>
      <c r="K118" s="392"/>
      <c r="L118" s="384">
        <v>913306.18</v>
      </c>
      <c r="M118" s="384">
        <v>0</v>
      </c>
      <c r="N118" s="384">
        <v>0</v>
      </c>
      <c r="O118" s="384">
        <v>0</v>
      </c>
      <c r="P118" s="384">
        <v>0</v>
      </c>
      <c r="Q118" s="388" t="s">
        <v>2414</v>
      </c>
      <c r="R118" s="380" t="s">
        <v>243</v>
      </c>
    </row>
    <row r="119" spans="1:18" ht="36.75" customHeight="1">
      <c r="A119" s="381" t="s">
        <v>2375</v>
      </c>
      <c r="B119" s="382" t="s">
        <v>527</v>
      </c>
      <c r="C119" s="383" t="s">
        <v>4</v>
      </c>
      <c r="D119" s="384">
        <v>1</v>
      </c>
      <c r="E119" s="384"/>
      <c r="F119" s="384"/>
      <c r="G119" s="384"/>
      <c r="H119" s="384"/>
      <c r="I119" s="384"/>
      <c r="J119" s="392"/>
      <c r="K119" s="392"/>
      <c r="L119" s="384">
        <v>45369259.609999999</v>
      </c>
      <c r="M119" s="384">
        <v>1</v>
      </c>
      <c r="N119" s="384">
        <v>1</v>
      </c>
      <c r="O119" s="384">
        <v>2140143.85</v>
      </c>
      <c r="P119" s="384">
        <v>22212626.170000002</v>
      </c>
      <c r="Q119" s="385" t="s">
        <v>242</v>
      </c>
      <c r="R119" s="380" t="s">
        <v>243</v>
      </c>
    </row>
    <row r="120" spans="1:18" ht="36.75" customHeight="1">
      <c r="A120" s="381" t="s">
        <v>2288</v>
      </c>
      <c r="B120" s="382" t="s">
        <v>310</v>
      </c>
      <c r="C120" s="383" t="s">
        <v>223</v>
      </c>
      <c r="D120" s="384">
        <v>185.59</v>
      </c>
      <c r="E120" s="384">
        <v>928.51</v>
      </c>
      <c r="F120" s="384">
        <f>E120</f>
        <v>928.51</v>
      </c>
      <c r="G120" s="384"/>
      <c r="H120" s="384"/>
      <c r="I120" s="384"/>
      <c r="J120" s="392"/>
      <c r="K120" s="392"/>
      <c r="L120" s="384">
        <v>320.72000000000003</v>
      </c>
      <c r="M120" s="384">
        <v>0</v>
      </c>
      <c r="N120" s="384">
        <v>839.39</v>
      </c>
      <c r="O120" s="384">
        <v>0</v>
      </c>
      <c r="P120" s="384">
        <v>269209.15999999997</v>
      </c>
      <c r="Q120" s="385" t="s">
        <v>242</v>
      </c>
      <c r="R120" s="380" t="s">
        <v>243</v>
      </c>
    </row>
    <row r="121" spans="1:18" ht="36.75" customHeight="1">
      <c r="A121" s="381" t="s">
        <v>2289</v>
      </c>
      <c r="B121" s="382" t="s">
        <v>315</v>
      </c>
      <c r="C121" s="383" t="s">
        <v>6</v>
      </c>
      <c r="D121" s="384">
        <v>26.33</v>
      </c>
      <c r="E121" s="384"/>
      <c r="F121" s="384">
        <f>D121</f>
        <v>26.33</v>
      </c>
      <c r="G121" s="384"/>
      <c r="H121" s="384"/>
      <c r="I121" s="384"/>
      <c r="J121" s="392"/>
      <c r="K121" s="392"/>
      <c r="L121" s="384">
        <v>3114.97</v>
      </c>
      <c r="M121" s="384">
        <v>0</v>
      </c>
      <c r="N121" s="384">
        <v>17.239999999999998</v>
      </c>
      <c r="O121" s="384">
        <v>0</v>
      </c>
      <c r="P121" s="384">
        <v>53702.080000000002</v>
      </c>
      <c r="Q121" s="385" t="s">
        <v>242</v>
      </c>
      <c r="R121" s="380" t="s">
        <v>243</v>
      </c>
    </row>
    <row r="122" spans="1:18" ht="36.75" customHeight="1">
      <c r="A122" s="381" t="s">
        <v>2290</v>
      </c>
      <c r="B122" s="382" t="s">
        <v>24</v>
      </c>
      <c r="C122" s="383" t="s">
        <v>6</v>
      </c>
      <c r="D122" s="384">
        <v>36.86</v>
      </c>
      <c r="E122" s="384"/>
      <c r="F122" s="384">
        <f t="shared" ref="F122:F126" si="3">D122</f>
        <v>36.86</v>
      </c>
      <c r="G122" s="384"/>
      <c r="H122" s="384"/>
      <c r="I122" s="384"/>
      <c r="J122" s="392"/>
      <c r="K122" s="392"/>
      <c r="L122" s="384">
        <v>3320.96</v>
      </c>
      <c r="M122" s="384">
        <v>0</v>
      </c>
      <c r="N122" s="384">
        <v>0</v>
      </c>
      <c r="O122" s="384">
        <v>0</v>
      </c>
      <c r="P122" s="384">
        <v>0</v>
      </c>
      <c r="Q122" s="385" t="s">
        <v>242</v>
      </c>
      <c r="R122" s="380" t="s">
        <v>243</v>
      </c>
    </row>
    <row r="123" spans="1:18" ht="36.75" customHeight="1">
      <c r="A123" s="381" t="s">
        <v>2291</v>
      </c>
      <c r="B123" s="382" t="s">
        <v>528</v>
      </c>
      <c r="C123" s="383" t="s">
        <v>6</v>
      </c>
      <c r="D123" s="384">
        <v>654.83000000000004</v>
      </c>
      <c r="E123" s="384"/>
      <c r="F123" s="384">
        <f t="shared" si="3"/>
        <v>654.83000000000004</v>
      </c>
      <c r="G123" s="384"/>
      <c r="H123" s="384"/>
      <c r="I123" s="384"/>
      <c r="J123" s="392"/>
      <c r="K123" s="392"/>
      <c r="L123" s="384">
        <v>3643.53</v>
      </c>
      <c r="M123" s="384">
        <v>0</v>
      </c>
      <c r="N123" s="384">
        <v>276.70999999999998</v>
      </c>
      <c r="O123" s="384">
        <v>0</v>
      </c>
      <c r="P123" s="384">
        <v>1008201.19</v>
      </c>
      <c r="Q123" s="385" t="s">
        <v>242</v>
      </c>
      <c r="R123" s="380" t="s">
        <v>243</v>
      </c>
    </row>
    <row r="124" spans="1:18" ht="36.75" customHeight="1">
      <c r="A124" s="381" t="s">
        <v>2292</v>
      </c>
      <c r="B124" s="382" t="s">
        <v>192</v>
      </c>
      <c r="C124" s="383" t="s">
        <v>17</v>
      </c>
      <c r="D124" s="384">
        <v>6240.88</v>
      </c>
      <c r="E124" s="384"/>
      <c r="F124" s="384">
        <f t="shared" si="3"/>
        <v>6240.88</v>
      </c>
      <c r="G124" s="384"/>
      <c r="H124" s="384"/>
      <c r="I124" s="384"/>
      <c r="J124" s="392"/>
      <c r="K124" s="392"/>
      <c r="L124" s="384">
        <v>36.4</v>
      </c>
      <c r="M124" s="384">
        <v>0</v>
      </c>
      <c r="N124" s="384">
        <v>0</v>
      </c>
      <c r="O124" s="384">
        <v>0</v>
      </c>
      <c r="P124" s="384">
        <v>0</v>
      </c>
      <c r="Q124" s="385" t="s">
        <v>242</v>
      </c>
      <c r="R124" s="380" t="s">
        <v>243</v>
      </c>
    </row>
    <row r="125" spans="1:18" ht="36.75" customHeight="1">
      <c r="A125" s="381" t="s">
        <v>2293</v>
      </c>
      <c r="B125" s="382" t="s">
        <v>530</v>
      </c>
      <c r="C125" s="383" t="s">
        <v>17</v>
      </c>
      <c r="D125" s="384">
        <v>102796.95</v>
      </c>
      <c r="E125" s="384"/>
      <c r="F125" s="384">
        <f t="shared" si="3"/>
        <v>102796.95</v>
      </c>
      <c r="G125" s="384"/>
      <c r="H125" s="384"/>
      <c r="I125" s="384"/>
      <c r="J125" s="392"/>
      <c r="K125" s="392"/>
      <c r="L125" s="384">
        <v>38.71</v>
      </c>
      <c r="M125" s="384">
        <v>0</v>
      </c>
      <c r="N125" s="384">
        <v>62095</v>
      </c>
      <c r="O125" s="384">
        <v>0</v>
      </c>
      <c r="P125" s="384">
        <v>2403697.4500000002</v>
      </c>
      <c r="Q125" s="385" t="s">
        <v>242</v>
      </c>
      <c r="R125" s="380" t="s">
        <v>243</v>
      </c>
    </row>
    <row r="126" spans="1:18" ht="36.75" customHeight="1">
      <c r="A126" s="381" t="s">
        <v>2294</v>
      </c>
      <c r="B126" s="382" t="s">
        <v>532</v>
      </c>
      <c r="C126" s="383" t="s">
        <v>13</v>
      </c>
      <c r="D126" s="384">
        <v>223.3</v>
      </c>
      <c r="E126" s="384"/>
      <c r="F126" s="384">
        <f t="shared" si="3"/>
        <v>223.3</v>
      </c>
      <c r="G126" s="384"/>
      <c r="H126" s="384"/>
      <c r="I126" s="384"/>
      <c r="J126" s="392"/>
      <c r="K126" s="392"/>
      <c r="L126" s="384">
        <v>1154.9100000000001</v>
      </c>
      <c r="M126" s="384">
        <v>0</v>
      </c>
      <c r="N126" s="384">
        <v>0</v>
      </c>
      <c r="O126" s="384">
        <v>0</v>
      </c>
      <c r="P126" s="384">
        <v>0</v>
      </c>
      <c r="Q126" s="385" t="s">
        <v>242</v>
      </c>
      <c r="R126" s="380" t="s">
        <v>243</v>
      </c>
    </row>
    <row r="127" spans="1:18" s="273" customFormat="1" ht="36.75" customHeight="1">
      <c r="A127" s="481" t="s">
        <v>2295</v>
      </c>
      <c r="B127" s="482" t="s">
        <v>534</v>
      </c>
      <c r="C127" s="483" t="s">
        <v>13</v>
      </c>
      <c r="D127" s="484">
        <v>450.04</v>
      </c>
      <c r="E127" s="484"/>
      <c r="F127" s="484">
        <f>G127</f>
        <v>484.31400000000008</v>
      </c>
      <c r="G127" s="484">
        <f>'數量計算(FOR4變)'!I215</f>
        <v>484.31400000000008</v>
      </c>
      <c r="H127" s="484">
        <f>G127-D127</f>
        <v>34.274000000000058</v>
      </c>
      <c r="I127" s="484">
        <f>ROUND(H127*L127,2)</f>
        <v>33688.94</v>
      </c>
      <c r="J127" s="485"/>
      <c r="K127" s="485"/>
      <c r="L127" s="484">
        <v>982.93</v>
      </c>
      <c r="M127" s="484">
        <v>0</v>
      </c>
      <c r="N127" s="484">
        <v>447.02</v>
      </c>
      <c r="O127" s="484">
        <v>0</v>
      </c>
      <c r="P127" s="484">
        <v>439389.37</v>
      </c>
      <c r="Q127" s="488" t="s">
        <v>2409</v>
      </c>
      <c r="R127" s="487" t="s">
        <v>243</v>
      </c>
    </row>
    <row r="128" spans="1:18" s="273" customFormat="1" ht="36.75" customHeight="1">
      <c r="A128" s="481" t="s">
        <v>2296</v>
      </c>
      <c r="B128" s="482" t="s">
        <v>536</v>
      </c>
      <c r="C128" s="483" t="s">
        <v>13</v>
      </c>
      <c r="D128" s="484">
        <v>28.27</v>
      </c>
      <c r="E128" s="484"/>
      <c r="F128" s="484">
        <f>G128</f>
        <v>42.534999999999997</v>
      </c>
      <c r="G128" s="484">
        <f>'數量計算(FOR4變)'!I220</f>
        <v>42.534999999999997</v>
      </c>
      <c r="H128" s="484">
        <f>G128-D128</f>
        <v>14.264999999999997</v>
      </c>
      <c r="I128" s="484">
        <f>ROUND(H128*L128,2)</f>
        <v>11479.76</v>
      </c>
      <c r="J128" s="485"/>
      <c r="K128" s="485"/>
      <c r="L128" s="484">
        <v>804.75</v>
      </c>
      <c r="M128" s="484">
        <v>0</v>
      </c>
      <c r="N128" s="484">
        <v>27</v>
      </c>
      <c r="O128" s="484">
        <v>0</v>
      </c>
      <c r="P128" s="484">
        <v>21728.25</v>
      </c>
      <c r="Q128" s="488" t="s">
        <v>2409</v>
      </c>
      <c r="R128" s="487" t="s">
        <v>243</v>
      </c>
    </row>
    <row r="129" spans="1:18" ht="36.75" customHeight="1">
      <c r="A129" s="381" t="s">
        <v>2297</v>
      </c>
      <c r="B129" s="382" t="s">
        <v>538</v>
      </c>
      <c r="C129" s="383" t="s">
        <v>539</v>
      </c>
      <c r="D129" s="384">
        <v>25655</v>
      </c>
      <c r="E129" s="384"/>
      <c r="F129" s="384">
        <f>D129</f>
        <v>25655</v>
      </c>
      <c r="G129" s="384"/>
      <c r="H129" s="384"/>
      <c r="I129" s="384"/>
      <c r="J129" s="392"/>
      <c r="K129" s="392"/>
      <c r="L129" s="384">
        <v>75</v>
      </c>
      <c r="M129" s="384">
        <v>0</v>
      </c>
      <c r="N129" s="384">
        <v>0</v>
      </c>
      <c r="O129" s="384">
        <v>0</v>
      </c>
      <c r="P129" s="384">
        <v>0</v>
      </c>
      <c r="Q129" s="385" t="s">
        <v>242</v>
      </c>
      <c r="R129" s="380" t="s">
        <v>243</v>
      </c>
    </row>
    <row r="130" spans="1:18" ht="36.75" customHeight="1">
      <c r="A130" s="381" t="s">
        <v>2298</v>
      </c>
      <c r="B130" s="382" t="s">
        <v>321</v>
      </c>
      <c r="C130" s="383" t="s">
        <v>17</v>
      </c>
      <c r="D130" s="384">
        <v>3691</v>
      </c>
      <c r="E130" s="384"/>
      <c r="F130" s="384">
        <f t="shared" ref="F130:F133" si="4">D130</f>
        <v>3691</v>
      </c>
      <c r="G130" s="384"/>
      <c r="H130" s="384"/>
      <c r="I130" s="384"/>
      <c r="J130" s="392"/>
      <c r="K130" s="392"/>
      <c r="L130" s="384">
        <v>60</v>
      </c>
      <c r="M130" s="384">
        <v>0</v>
      </c>
      <c r="N130" s="384">
        <v>0</v>
      </c>
      <c r="O130" s="384">
        <v>0</v>
      </c>
      <c r="P130" s="384">
        <v>0</v>
      </c>
      <c r="Q130" s="385" t="s">
        <v>242</v>
      </c>
      <c r="R130" s="380" t="s">
        <v>243</v>
      </c>
    </row>
    <row r="131" spans="1:18" ht="36.75" customHeight="1">
      <c r="A131" s="381" t="s">
        <v>2299</v>
      </c>
      <c r="B131" s="382" t="s">
        <v>323</v>
      </c>
      <c r="C131" s="383" t="s">
        <v>17</v>
      </c>
      <c r="D131" s="384">
        <v>3691</v>
      </c>
      <c r="E131" s="384"/>
      <c r="F131" s="384">
        <f t="shared" si="4"/>
        <v>3691</v>
      </c>
      <c r="G131" s="384"/>
      <c r="H131" s="384"/>
      <c r="I131" s="384"/>
      <c r="J131" s="392"/>
      <c r="K131" s="392"/>
      <c r="L131" s="384">
        <v>31.9</v>
      </c>
      <c r="M131" s="384">
        <v>0</v>
      </c>
      <c r="N131" s="384">
        <v>0</v>
      </c>
      <c r="O131" s="384">
        <v>0</v>
      </c>
      <c r="P131" s="384">
        <v>0</v>
      </c>
      <c r="Q131" s="385" t="s">
        <v>242</v>
      </c>
      <c r="R131" s="380" t="s">
        <v>243</v>
      </c>
    </row>
    <row r="132" spans="1:18" ht="36.75" customHeight="1">
      <c r="A132" s="381" t="s">
        <v>2300</v>
      </c>
      <c r="B132" s="382" t="s">
        <v>542</v>
      </c>
      <c r="C132" s="383" t="s">
        <v>17</v>
      </c>
      <c r="D132" s="384">
        <v>2162</v>
      </c>
      <c r="E132" s="384"/>
      <c r="F132" s="384">
        <f t="shared" si="4"/>
        <v>2162</v>
      </c>
      <c r="G132" s="384"/>
      <c r="H132" s="384"/>
      <c r="I132" s="384"/>
      <c r="J132" s="392"/>
      <c r="K132" s="392"/>
      <c r="L132" s="384">
        <v>278.08</v>
      </c>
      <c r="M132" s="384">
        <v>0</v>
      </c>
      <c r="N132" s="384">
        <v>0</v>
      </c>
      <c r="O132" s="384">
        <v>0</v>
      </c>
      <c r="P132" s="384">
        <v>0</v>
      </c>
      <c r="Q132" s="385" t="s">
        <v>242</v>
      </c>
      <c r="R132" s="380" t="s">
        <v>243</v>
      </c>
    </row>
    <row r="133" spans="1:18" ht="36.75" customHeight="1">
      <c r="A133" s="381" t="s">
        <v>2301</v>
      </c>
      <c r="B133" s="382" t="s">
        <v>544</v>
      </c>
      <c r="C133" s="383" t="s">
        <v>13</v>
      </c>
      <c r="D133" s="384">
        <v>99.7</v>
      </c>
      <c r="E133" s="384"/>
      <c r="F133" s="384">
        <f t="shared" si="4"/>
        <v>99.7</v>
      </c>
      <c r="G133" s="384"/>
      <c r="H133" s="384"/>
      <c r="I133" s="384"/>
      <c r="J133" s="392"/>
      <c r="K133" s="392"/>
      <c r="L133" s="384">
        <v>1399.92</v>
      </c>
      <c r="M133" s="384">
        <v>0</v>
      </c>
      <c r="N133" s="384">
        <v>0</v>
      </c>
      <c r="O133" s="384">
        <v>0</v>
      </c>
      <c r="P133" s="384">
        <v>0</v>
      </c>
      <c r="Q133" s="385" t="s">
        <v>242</v>
      </c>
      <c r="R133" s="380" t="s">
        <v>243</v>
      </c>
    </row>
    <row r="134" spans="1:18" s="273" customFormat="1" ht="36.75" customHeight="1">
      <c r="A134" s="481" t="s">
        <v>2302</v>
      </c>
      <c r="B134" s="482" t="s">
        <v>325</v>
      </c>
      <c r="C134" s="483" t="s">
        <v>17</v>
      </c>
      <c r="D134" s="484">
        <v>95900</v>
      </c>
      <c r="E134" s="484"/>
      <c r="F134" s="484">
        <f>G134</f>
        <v>96604.35</v>
      </c>
      <c r="G134" s="484">
        <f>'數量計算(FOR4變)'!I228</f>
        <v>96604.35</v>
      </c>
      <c r="H134" s="484">
        <f>G134-D134</f>
        <v>704.35000000000582</v>
      </c>
      <c r="I134" s="484">
        <f>ROUND(H134*L134,2)</f>
        <v>75576.759999999995</v>
      </c>
      <c r="J134" s="485"/>
      <c r="K134" s="485"/>
      <c r="L134" s="484">
        <v>107.3</v>
      </c>
      <c r="M134" s="484">
        <v>17135</v>
      </c>
      <c r="N134" s="484">
        <v>64228</v>
      </c>
      <c r="O134" s="484">
        <v>1838585.5</v>
      </c>
      <c r="P134" s="484">
        <v>6891664.4000000004</v>
      </c>
      <c r="Q134" s="486" t="s">
        <v>242</v>
      </c>
      <c r="R134" s="487" t="s">
        <v>243</v>
      </c>
    </row>
    <row r="135" spans="1:18" ht="36.75" customHeight="1">
      <c r="A135" s="481" t="s">
        <v>2303</v>
      </c>
      <c r="B135" s="482" t="s">
        <v>222</v>
      </c>
      <c r="C135" s="483" t="s">
        <v>13</v>
      </c>
      <c r="D135" s="484">
        <v>438.86</v>
      </c>
      <c r="E135" s="484"/>
      <c r="F135" s="484">
        <f>G135</f>
        <v>576</v>
      </c>
      <c r="G135" s="484">
        <f>'數量計算(FOR4變)'!I230</f>
        <v>576</v>
      </c>
      <c r="H135" s="484">
        <f>G135-D135</f>
        <v>137.13999999999999</v>
      </c>
      <c r="I135" s="484">
        <f>ROUND(H135*L135,2)</f>
        <v>94917.34</v>
      </c>
      <c r="J135" s="485"/>
      <c r="K135" s="485"/>
      <c r="L135" s="484">
        <v>692.12</v>
      </c>
      <c r="M135" s="484">
        <v>0</v>
      </c>
      <c r="N135" s="484">
        <v>385.16</v>
      </c>
      <c r="O135" s="484">
        <v>0</v>
      </c>
      <c r="P135" s="484">
        <v>266576.94</v>
      </c>
      <c r="Q135" s="486" t="s">
        <v>242</v>
      </c>
      <c r="R135" s="380" t="s">
        <v>243</v>
      </c>
    </row>
    <row r="136" spans="1:18" ht="36.75" customHeight="1">
      <c r="A136" s="381" t="s">
        <v>2304</v>
      </c>
      <c r="B136" s="382" t="s">
        <v>194</v>
      </c>
      <c r="C136" s="383" t="s">
        <v>23</v>
      </c>
      <c r="D136" s="384">
        <v>342.71</v>
      </c>
      <c r="E136" s="384"/>
      <c r="F136" s="384">
        <f t="shared" ref="F136:F137" si="5">D136</f>
        <v>342.71</v>
      </c>
      <c r="G136" s="384"/>
      <c r="H136" s="384"/>
      <c r="I136" s="384"/>
      <c r="J136" s="392"/>
      <c r="K136" s="392"/>
      <c r="L136" s="384">
        <v>48.28</v>
      </c>
      <c r="M136" s="384">
        <v>0</v>
      </c>
      <c r="N136" s="384">
        <v>336</v>
      </c>
      <c r="O136" s="384">
        <v>0</v>
      </c>
      <c r="P136" s="384">
        <v>16222.08</v>
      </c>
      <c r="Q136" s="385" t="s">
        <v>242</v>
      </c>
      <c r="R136" s="380" t="s">
        <v>243</v>
      </c>
    </row>
    <row r="137" spans="1:18" ht="36.75" customHeight="1">
      <c r="A137" s="381" t="s">
        <v>2305</v>
      </c>
      <c r="B137" s="382" t="s">
        <v>205</v>
      </c>
      <c r="C137" s="383" t="s">
        <v>23</v>
      </c>
      <c r="D137" s="384">
        <v>231.09</v>
      </c>
      <c r="E137" s="384"/>
      <c r="F137" s="384">
        <f t="shared" si="5"/>
        <v>231.09</v>
      </c>
      <c r="G137" s="384"/>
      <c r="H137" s="384"/>
      <c r="I137" s="384"/>
      <c r="J137" s="392"/>
      <c r="K137" s="392"/>
      <c r="L137" s="384">
        <v>721.02</v>
      </c>
      <c r="M137" s="384">
        <v>0</v>
      </c>
      <c r="N137" s="384">
        <v>0</v>
      </c>
      <c r="O137" s="384">
        <v>0</v>
      </c>
      <c r="P137" s="384">
        <v>0</v>
      </c>
      <c r="Q137" s="385" t="s">
        <v>242</v>
      </c>
      <c r="R137" s="380" t="s">
        <v>243</v>
      </c>
    </row>
    <row r="138" spans="1:18" ht="36.75" customHeight="1">
      <c r="A138" s="381" t="s">
        <v>2306</v>
      </c>
      <c r="B138" s="382" t="s">
        <v>548</v>
      </c>
      <c r="C138" s="383" t="s">
        <v>13</v>
      </c>
      <c r="D138" s="384">
        <v>183</v>
      </c>
      <c r="E138" s="384">
        <v>27956</v>
      </c>
      <c r="F138" s="384">
        <f>E138</f>
        <v>27956</v>
      </c>
      <c r="G138" s="384"/>
      <c r="H138" s="384"/>
      <c r="I138" s="384"/>
      <c r="J138" s="392"/>
      <c r="K138" s="392"/>
      <c r="L138" s="384">
        <v>28</v>
      </c>
      <c r="M138" s="384">
        <v>850</v>
      </c>
      <c r="N138" s="384">
        <v>18125</v>
      </c>
      <c r="O138" s="384">
        <v>23800</v>
      </c>
      <c r="P138" s="384">
        <v>507500</v>
      </c>
      <c r="Q138" s="385" t="s">
        <v>242</v>
      </c>
      <c r="R138" s="380" t="s">
        <v>243</v>
      </c>
    </row>
    <row r="139" spans="1:18" ht="36.75" customHeight="1">
      <c r="A139" s="381" t="s">
        <v>2307</v>
      </c>
      <c r="B139" s="382" t="s">
        <v>2376</v>
      </c>
      <c r="C139" s="383" t="s">
        <v>8</v>
      </c>
      <c r="D139" s="384">
        <v>322</v>
      </c>
      <c r="E139" s="384"/>
      <c r="F139" s="384">
        <f>D139</f>
        <v>322</v>
      </c>
      <c r="G139" s="384"/>
      <c r="H139" s="384"/>
      <c r="I139" s="384"/>
      <c r="J139" s="392"/>
      <c r="K139" s="392"/>
      <c r="L139" s="384">
        <v>19011.37</v>
      </c>
      <c r="M139" s="384">
        <v>0</v>
      </c>
      <c r="N139" s="384">
        <v>322</v>
      </c>
      <c r="O139" s="384">
        <v>0</v>
      </c>
      <c r="P139" s="384">
        <v>6121661.1399999997</v>
      </c>
      <c r="Q139" s="385" t="s">
        <v>242</v>
      </c>
      <c r="R139" s="380" t="s">
        <v>243</v>
      </c>
    </row>
    <row r="140" spans="1:18" ht="36.75" customHeight="1">
      <c r="A140" s="381" t="s">
        <v>2308</v>
      </c>
      <c r="B140" s="382" t="s">
        <v>552</v>
      </c>
      <c r="C140" s="383" t="s">
        <v>13</v>
      </c>
      <c r="D140" s="384">
        <v>100</v>
      </c>
      <c r="E140" s="384"/>
      <c r="F140" s="384">
        <f t="shared" ref="F140:F155" si="6">D140</f>
        <v>100</v>
      </c>
      <c r="G140" s="384"/>
      <c r="H140" s="384"/>
      <c r="I140" s="384"/>
      <c r="J140" s="392"/>
      <c r="K140" s="392"/>
      <c r="L140" s="384">
        <v>373.08</v>
      </c>
      <c r="M140" s="384">
        <v>0</v>
      </c>
      <c r="N140" s="384">
        <v>0</v>
      </c>
      <c r="O140" s="384">
        <v>0</v>
      </c>
      <c r="P140" s="384">
        <v>0</v>
      </c>
      <c r="Q140" s="385" t="s">
        <v>242</v>
      </c>
      <c r="R140" s="380" t="s">
        <v>243</v>
      </c>
    </row>
    <row r="141" spans="1:18" ht="36.75" customHeight="1">
      <c r="A141" s="381" t="s">
        <v>2309</v>
      </c>
      <c r="B141" s="382" t="s">
        <v>554</v>
      </c>
      <c r="C141" s="383" t="s">
        <v>13</v>
      </c>
      <c r="D141" s="384">
        <v>83</v>
      </c>
      <c r="E141" s="384"/>
      <c r="F141" s="384">
        <f t="shared" si="6"/>
        <v>83</v>
      </c>
      <c r="G141" s="384"/>
      <c r="H141" s="384"/>
      <c r="I141" s="384"/>
      <c r="J141" s="392"/>
      <c r="K141" s="392"/>
      <c r="L141" s="384">
        <v>616.49</v>
      </c>
      <c r="M141" s="384">
        <v>0</v>
      </c>
      <c r="N141" s="384">
        <v>0</v>
      </c>
      <c r="O141" s="384">
        <v>0</v>
      </c>
      <c r="P141" s="384">
        <v>0</v>
      </c>
      <c r="Q141" s="385" t="s">
        <v>242</v>
      </c>
      <c r="R141" s="380" t="s">
        <v>243</v>
      </c>
    </row>
    <row r="142" spans="1:18" ht="36.75" customHeight="1">
      <c r="A142" s="381" t="s">
        <v>2311</v>
      </c>
      <c r="B142" s="382" t="s">
        <v>556</v>
      </c>
      <c r="C142" s="383" t="s">
        <v>13</v>
      </c>
      <c r="D142" s="384">
        <v>2.1</v>
      </c>
      <c r="E142" s="384"/>
      <c r="F142" s="384">
        <f t="shared" si="6"/>
        <v>2.1</v>
      </c>
      <c r="G142" s="384"/>
      <c r="H142" s="384"/>
      <c r="I142" s="384"/>
      <c r="J142" s="392"/>
      <c r="K142" s="392"/>
      <c r="L142" s="384">
        <v>1874.26</v>
      </c>
      <c r="M142" s="384">
        <v>0</v>
      </c>
      <c r="N142" s="384">
        <v>0</v>
      </c>
      <c r="O142" s="384">
        <v>0</v>
      </c>
      <c r="P142" s="384">
        <v>0</v>
      </c>
      <c r="Q142" s="385" t="s">
        <v>242</v>
      </c>
      <c r="R142" s="380" t="s">
        <v>243</v>
      </c>
    </row>
    <row r="143" spans="1:18" ht="36.75" customHeight="1">
      <c r="A143" s="381" t="s">
        <v>2312</v>
      </c>
      <c r="B143" s="382" t="s">
        <v>558</v>
      </c>
      <c r="C143" s="383" t="s">
        <v>8</v>
      </c>
      <c r="D143" s="384">
        <v>62</v>
      </c>
      <c r="E143" s="384"/>
      <c r="F143" s="384">
        <f t="shared" si="6"/>
        <v>62</v>
      </c>
      <c r="G143" s="384"/>
      <c r="H143" s="384"/>
      <c r="I143" s="384"/>
      <c r="J143" s="392"/>
      <c r="K143" s="392"/>
      <c r="L143" s="384">
        <v>2388.4299999999998</v>
      </c>
      <c r="M143" s="384">
        <v>0</v>
      </c>
      <c r="N143" s="384">
        <v>0</v>
      </c>
      <c r="O143" s="384">
        <v>0</v>
      </c>
      <c r="P143" s="384">
        <v>0</v>
      </c>
      <c r="Q143" s="385" t="s">
        <v>242</v>
      </c>
      <c r="R143" s="380" t="s">
        <v>243</v>
      </c>
    </row>
    <row r="144" spans="1:18" ht="36.75" customHeight="1">
      <c r="A144" s="381" t="s">
        <v>2313</v>
      </c>
      <c r="B144" s="382" t="s">
        <v>560</v>
      </c>
      <c r="C144" s="383" t="s">
        <v>8</v>
      </c>
      <c r="D144" s="384">
        <v>33</v>
      </c>
      <c r="E144" s="384"/>
      <c r="F144" s="384">
        <f t="shared" si="6"/>
        <v>33</v>
      </c>
      <c r="G144" s="384"/>
      <c r="H144" s="384"/>
      <c r="I144" s="384"/>
      <c r="J144" s="392"/>
      <c r="K144" s="392"/>
      <c r="L144" s="384">
        <v>12777.68</v>
      </c>
      <c r="M144" s="384">
        <v>0</v>
      </c>
      <c r="N144" s="384">
        <v>0</v>
      </c>
      <c r="O144" s="384">
        <v>0</v>
      </c>
      <c r="P144" s="384">
        <v>0</v>
      </c>
      <c r="Q144" s="385" t="s">
        <v>242</v>
      </c>
      <c r="R144" s="380" t="s">
        <v>243</v>
      </c>
    </row>
    <row r="145" spans="1:18" ht="36.75" customHeight="1">
      <c r="A145" s="381" t="s">
        <v>2315</v>
      </c>
      <c r="B145" s="382" t="s">
        <v>562</v>
      </c>
      <c r="C145" s="383" t="s">
        <v>8</v>
      </c>
      <c r="D145" s="384">
        <v>32.6</v>
      </c>
      <c r="E145" s="384"/>
      <c r="F145" s="384">
        <f t="shared" si="6"/>
        <v>32.6</v>
      </c>
      <c r="G145" s="384"/>
      <c r="H145" s="384"/>
      <c r="I145" s="384"/>
      <c r="J145" s="392"/>
      <c r="K145" s="392"/>
      <c r="L145" s="384">
        <v>71914.34</v>
      </c>
      <c r="M145" s="384">
        <v>0</v>
      </c>
      <c r="N145" s="384">
        <v>0</v>
      </c>
      <c r="O145" s="384">
        <v>0</v>
      </c>
      <c r="P145" s="384">
        <v>0</v>
      </c>
      <c r="Q145" s="385" t="s">
        <v>242</v>
      </c>
      <c r="R145" s="380" t="s">
        <v>243</v>
      </c>
    </row>
    <row r="146" spans="1:18" ht="36.75" customHeight="1">
      <c r="A146" s="381" t="s">
        <v>2316</v>
      </c>
      <c r="B146" s="382" t="s">
        <v>564</v>
      </c>
      <c r="C146" s="383" t="s">
        <v>8</v>
      </c>
      <c r="D146" s="384">
        <v>32.6</v>
      </c>
      <c r="E146" s="384"/>
      <c r="F146" s="384">
        <f t="shared" si="6"/>
        <v>32.6</v>
      </c>
      <c r="G146" s="384"/>
      <c r="H146" s="384"/>
      <c r="I146" s="384"/>
      <c r="J146" s="392"/>
      <c r="K146" s="392"/>
      <c r="L146" s="384">
        <v>189793.78</v>
      </c>
      <c r="M146" s="384">
        <v>0</v>
      </c>
      <c r="N146" s="384">
        <v>0</v>
      </c>
      <c r="O146" s="384">
        <v>0</v>
      </c>
      <c r="P146" s="384">
        <v>0</v>
      </c>
      <c r="Q146" s="385" t="s">
        <v>242</v>
      </c>
      <c r="R146" s="380" t="s">
        <v>243</v>
      </c>
    </row>
    <row r="147" spans="1:18" ht="36.75" customHeight="1">
      <c r="A147" s="381" t="s">
        <v>2317</v>
      </c>
      <c r="B147" s="382" t="s">
        <v>567</v>
      </c>
      <c r="C147" s="383" t="s">
        <v>0</v>
      </c>
      <c r="D147" s="384">
        <v>1</v>
      </c>
      <c r="E147" s="384"/>
      <c r="F147" s="384">
        <f t="shared" si="6"/>
        <v>1</v>
      </c>
      <c r="G147" s="384"/>
      <c r="H147" s="384"/>
      <c r="I147" s="384"/>
      <c r="J147" s="392"/>
      <c r="K147" s="392"/>
      <c r="L147" s="384">
        <v>78208.240000000005</v>
      </c>
      <c r="M147" s="384">
        <v>0</v>
      </c>
      <c r="N147" s="384">
        <v>0</v>
      </c>
      <c r="O147" s="384">
        <v>0</v>
      </c>
      <c r="P147" s="384">
        <v>0</v>
      </c>
      <c r="Q147" s="385" t="s">
        <v>242</v>
      </c>
      <c r="R147" s="380" t="s">
        <v>243</v>
      </c>
    </row>
    <row r="148" spans="1:18" ht="36.75" customHeight="1">
      <c r="A148" s="381" t="s">
        <v>2318</v>
      </c>
      <c r="B148" s="382" t="s">
        <v>570</v>
      </c>
      <c r="C148" s="383" t="s">
        <v>8</v>
      </c>
      <c r="D148" s="384">
        <v>9.6</v>
      </c>
      <c r="E148" s="384"/>
      <c r="F148" s="384">
        <f t="shared" si="6"/>
        <v>9.6</v>
      </c>
      <c r="G148" s="384"/>
      <c r="H148" s="384"/>
      <c r="I148" s="384"/>
      <c r="J148" s="392"/>
      <c r="K148" s="392"/>
      <c r="L148" s="384">
        <v>4213.4799999999996</v>
      </c>
      <c r="M148" s="384">
        <v>0</v>
      </c>
      <c r="N148" s="384">
        <v>0</v>
      </c>
      <c r="O148" s="384">
        <v>0</v>
      </c>
      <c r="P148" s="384">
        <v>0</v>
      </c>
      <c r="Q148" s="385" t="s">
        <v>242</v>
      </c>
      <c r="R148" s="380" t="s">
        <v>243</v>
      </c>
    </row>
    <row r="149" spans="1:18" ht="36.75" customHeight="1">
      <c r="A149" s="381" t="s">
        <v>2319</v>
      </c>
      <c r="B149" s="382" t="s">
        <v>573</v>
      </c>
      <c r="C149" s="383" t="s">
        <v>0</v>
      </c>
      <c r="D149" s="384">
        <v>1</v>
      </c>
      <c r="E149" s="384"/>
      <c r="F149" s="384">
        <f t="shared" si="6"/>
        <v>1</v>
      </c>
      <c r="G149" s="384"/>
      <c r="H149" s="384"/>
      <c r="I149" s="384"/>
      <c r="J149" s="392"/>
      <c r="K149" s="392"/>
      <c r="L149" s="384">
        <v>2005.23</v>
      </c>
      <c r="M149" s="384">
        <v>0</v>
      </c>
      <c r="N149" s="384">
        <v>0</v>
      </c>
      <c r="O149" s="384">
        <v>0</v>
      </c>
      <c r="P149" s="384">
        <v>0</v>
      </c>
      <c r="Q149" s="385" t="s">
        <v>242</v>
      </c>
      <c r="R149" s="380" t="s">
        <v>243</v>
      </c>
    </row>
    <row r="150" spans="1:18" ht="36.75" customHeight="1">
      <c r="A150" s="381" t="s">
        <v>2320</v>
      </c>
      <c r="B150" s="382" t="s">
        <v>576</v>
      </c>
      <c r="C150" s="383" t="s">
        <v>8</v>
      </c>
      <c r="D150" s="384">
        <v>32.6</v>
      </c>
      <c r="E150" s="384"/>
      <c r="F150" s="384">
        <f t="shared" si="6"/>
        <v>32.6</v>
      </c>
      <c r="G150" s="384"/>
      <c r="H150" s="384"/>
      <c r="I150" s="384"/>
      <c r="J150" s="392"/>
      <c r="K150" s="392"/>
      <c r="L150" s="384">
        <v>21727.78</v>
      </c>
      <c r="M150" s="384">
        <v>0</v>
      </c>
      <c r="N150" s="384">
        <v>0</v>
      </c>
      <c r="O150" s="384">
        <v>0</v>
      </c>
      <c r="P150" s="384">
        <v>0</v>
      </c>
      <c r="Q150" s="385" t="s">
        <v>242</v>
      </c>
      <c r="R150" s="380" t="s">
        <v>243</v>
      </c>
    </row>
    <row r="151" spans="1:18" ht="36.75" customHeight="1">
      <c r="A151" s="381" t="s">
        <v>2321</v>
      </c>
      <c r="B151" s="382" t="s">
        <v>579</v>
      </c>
      <c r="C151" s="383" t="s">
        <v>8</v>
      </c>
      <c r="D151" s="384">
        <v>32.6</v>
      </c>
      <c r="E151" s="384"/>
      <c r="F151" s="384">
        <f t="shared" si="6"/>
        <v>32.6</v>
      </c>
      <c r="G151" s="384"/>
      <c r="H151" s="384"/>
      <c r="I151" s="384"/>
      <c r="J151" s="392"/>
      <c r="K151" s="392"/>
      <c r="L151" s="384">
        <v>15955.67</v>
      </c>
      <c r="M151" s="384">
        <v>0</v>
      </c>
      <c r="N151" s="384">
        <v>0</v>
      </c>
      <c r="O151" s="384">
        <v>0</v>
      </c>
      <c r="P151" s="384">
        <v>0</v>
      </c>
      <c r="Q151" s="385" t="s">
        <v>242</v>
      </c>
      <c r="R151" s="380" t="s">
        <v>243</v>
      </c>
    </row>
    <row r="152" spans="1:18" ht="36.75" customHeight="1">
      <c r="A152" s="381" t="s">
        <v>2322</v>
      </c>
      <c r="B152" s="382" t="s">
        <v>582</v>
      </c>
      <c r="C152" s="383" t="s">
        <v>583</v>
      </c>
      <c r="D152" s="384">
        <v>4</v>
      </c>
      <c r="E152" s="384"/>
      <c r="F152" s="384">
        <f t="shared" si="6"/>
        <v>4</v>
      </c>
      <c r="G152" s="384"/>
      <c r="H152" s="384"/>
      <c r="I152" s="384"/>
      <c r="J152" s="392"/>
      <c r="K152" s="392"/>
      <c r="L152" s="384">
        <v>299.98</v>
      </c>
      <c r="M152" s="384">
        <v>0</v>
      </c>
      <c r="N152" s="384">
        <v>4</v>
      </c>
      <c r="O152" s="384">
        <v>0</v>
      </c>
      <c r="P152" s="384">
        <v>1199.92</v>
      </c>
      <c r="Q152" s="385" t="s">
        <v>242</v>
      </c>
      <c r="R152" s="380" t="s">
        <v>243</v>
      </c>
    </row>
    <row r="153" spans="1:18" ht="36.75" customHeight="1">
      <c r="A153" s="381" t="s">
        <v>2323</v>
      </c>
      <c r="B153" s="382" t="s">
        <v>586</v>
      </c>
      <c r="C153" s="383" t="s">
        <v>8</v>
      </c>
      <c r="D153" s="384">
        <v>4.8</v>
      </c>
      <c r="E153" s="384"/>
      <c r="F153" s="384">
        <f t="shared" si="6"/>
        <v>4.8</v>
      </c>
      <c r="G153" s="384"/>
      <c r="H153" s="384"/>
      <c r="I153" s="384"/>
      <c r="J153" s="392"/>
      <c r="K153" s="392"/>
      <c r="L153" s="384">
        <v>119.99</v>
      </c>
      <c r="M153" s="384">
        <v>0</v>
      </c>
      <c r="N153" s="384">
        <v>0</v>
      </c>
      <c r="O153" s="384">
        <v>0</v>
      </c>
      <c r="P153" s="384">
        <v>0</v>
      </c>
      <c r="Q153" s="385" t="s">
        <v>242</v>
      </c>
      <c r="R153" s="380" t="s">
        <v>243</v>
      </c>
    </row>
    <row r="154" spans="1:18" ht="36.75" customHeight="1">
      <c r="A154" s="381" t="s">
        <v>2324</v>
      </c>
      <c r="B154" s="382" t="s">
        <v>589</v>
      </c>
      <c r="C154" s="383" t="s">
        <v>0</v>
      </c>
      <c r="D154" s="384">
        <v>1</v>
      </c>
      <c r="E154" s="384"/>
      <c r="F154" s="384">
        <f t="shared" si="6"/>
        <v>1</v>
      </c>
      <c r="G154" s="384"/>
      <c r="H154" s="384"/>
      <c r="I154" s="384"/>
      <c r="J154" s="392"/>
      <c r="K154" s="392"/>
      <c r="L154" s="384">
        <v>849172.02</v>
      </c>
      <c r="M154" s="384">
        <v>0</v>
      </c>
      <c r="N154" s="384">
        <v>0</v>
      </c>
      <c r="O154" s="384">
        <v>0</v>
      </c>
      <c r="P154" s="384">
        <v>0</v>
      </c>
      <c r="Q154" s="385" t="s">
        <v>242</v>
      </c>
      <c r="R154" s="380" t="s">
        <v>243</v>
      </c>
    </row>
    <row r="155" spans="1:18" ht="36.75" customHeight="1">
      <c r="A155" s="381" t="s">
        <v>2325</v>
      </c>
      <c r="B155" s="382" t="s">
        <v>592</v>
      </c>
      <c r="C155" s="383" t="s">
        <v>0</v>
      </c>
      <c r="D155" s="384">
        <v>1</v>
      </c>
      <c r="E155" s="384"/>
      <c r="F155" s="384">
        <f t="shared" si="6"/>
        <v>1</v>
      </c>
      <c r="G155" s="384"/>
      <c r="H155" s="384"/>
      <c r="I155" s="384"/>
      <c r="J155" s="392"/>
      <c r="K155" s="392"/>
      <c r="L155" s="384">
        <v>2066157.04</v>
      </c>
      <c r="M155" s="384">
        <v>0</v>
      </c>
      <c r="N155" s="384">
        <v>0.8</v>
      </c>
      <c r="O155" s="384">
        <v>0</v>
      </c>
      <c r="P155" s="384">
        <v>1652925.63</v>
      </c>
      <c r="Q155" s="385" t="s">
        <v>242</v>
      </c>
      <c r="R155" s="380" t="s">
        <v>243</v>
      </c>
    </row>
    <row r="156" spans="1:18" ht="36.75" customHeight="1">
      <c r="A156" s="381" t="s">
        <v>2326</v>
      </c>
      <c r="B156" s="382" t="s">
        <v>1360</v>
      </c>
      <c r="C156" s="383" t="s">
        <v>606</v>
      </c>
      <c r="D156" s="384">
        <v>0</v>
      </c>
      <c r="E156" s="384">
        <v>2</v>
      </c>
      <c r="F156" s="384">
        <f>E156</f>
        <v>2</v>
      </c>
      <c r="G156" s="384"/>
      <c r="H156" s="384"/>
      <c r="I156" s="384"/>
      <c r="J156" s="392"/>
      <c r="K156" s="392"/>
      <c r="L156" s="384">
        <v>201796.15</v>
      </c>
      <c r="M156" s="384">
        <v>0</v>
      </c>
      <c r="N156" s="384">
        <v>2</v>
      </c>
      <c r="O156" s="384">
        <v>0</v>
      </c>
      <c r="P156" s="384">
        <v>403592.3</v>
      </c>
      <c r="Q156" s="385" t="s">
        <v>242</v>
      </c>
      <c r="R156" s="380" t="s">
        <v>243</v>
      </c>
    </row>
    <row r="157" spans="1:18" s="273" customFormat="1" ht="36.75" customHeight="1">
      <c r="A157" s="481" t="s">
        <v>2327</v>
      </c>
      <c r="B157" s="482" t="s">
        <v>1362</v>
      </c>
      <c r="C157" s="483" t="s">
        <v>539</v>
      </c>
      <c r="D157" s="484">
        <v>0</v>
      </c>
      <c r="E157" s="484">
        <v>96850</v>
      </c>
      <c r="F157" s="484">
        <f>G157</f>
        <v>111711.59</v>
      </c>
      <c r="G157" s="484">
        <f>'數量計算(FOR4變)'!I255</f>
        <v>111711.59</v>
      </c>
      <c r="H157" s="484">
        <f>G157-E157</f>
        <v>14861.589999999997</v>
      </c>
      <c r="I157" s="484">
        <f>ROUND(H157*L157,2)</f>
        <v>240906.37</v>
      </c>
      <c r="J157" s="485"/>
      <c r="K157" s="485"/>
      <c r="L157" s="484">
        <v>16.21</v>
      </c>
      <c r="M157" s="484">
        <v>17135</v>
      </c>
      <c r="N157" s="484">
        <v>64228</v>
      </c>
      <c r="O157" s="484">
        <v>277758.34999999998</v>
      </c>
      <c r="P157" s="484">
        <v>1041135.88</v>
      </c>
      <c r="Q157" s="488" t="s">
        <v>2415</v>
      </c>
      <c r="R157" s="487" t="s">
        <v>243</v>
      </c>
    </row>
    <row r="158" spans="1:18" ht="36.75" customHeight="1">
      <c r="A158" s="381" t="s">
        <v>2328</v>
      </c>
      <c r="B158" s="382" t="s">
        <v>1364</v>
      </c>
      <c r="C158" s="383" t="s">
        <v>15</v>
      </c>
      <c r="D158" s="384">
        <v>0</v>
      </c>
      <c r="E158" s="384">
        <v>18</v>
      </c>
      <c r="F158" s="384">
        <f>E158</f>
        <v>18</v>
      </c>
      <c r="G158" s="384"/>
      <c r="H158" s="384"/>
      <c r="I158" s="384"/>
      <c r="J158" s="392"/>
      <c r="K158" s="392"/>
      <c r="L158" s="384">
        <v>79587.17</v>
      </c>
      <c r="M158" s="384">
        <v>0</v>
      </c>
      <c r="N158" s="384">
        <v>14</v>
      </c>
      <c r="O158" s="384">
        <v>0</v>
      </c>
      <c r="P158" s="384">
        <v>1114220.3799999999</v>
      </c>
      <c r="Q158" s="385" t="s">
        <v>242</v>
      </c>
      <c r="R158" s="380" t="s">
        <v>243</v>
      </c>
    </row>
    <row r="159" spans="1:18" ht="36.75" customHeight="1">
      <c r="A159" s="381" t="s">
        <v>2377</v>
      </c>
      <c r="B159" s="382" t="s">
        <v>594</v>
      </c>
      <c r="C159" s="383" t="s">
        <v>4</v>
      </c>
      <c r="D159" s="384">
        <v>1</v>
      </c>
      <c r="E159" s="384"/>
      <c r="F159" s="384"/>
      <c r="G159" s="384"/>
      <c r="H159" s="384"/>
      <c r="I159" s="384"/>
      <c r="J159" s="392"/>
      <c r="K159" s="392"/>
      <c r="L159" s="384">
        <v>31723888.27</v>
      </c>
      <c r="M159" s="384">
        <v>0</v>
      </c>
      <c r="N159" s="384">
        <v>1</v>
      </c>
      <c r="O159" s="384">
        <v>0</v>
      </c>
      <c r="P159" s="384">
        <v>29313064.390000001</v>
      </c>
      <c r="Q159" s="385" t="s">
        <v>242</v>
      </c>
      <c r="R159" s="380" t="s">
        <v>243</v>
      </c>
    </row>
    <row r="160" spans="1:18" s="273" customFormat="1" ht="36.75" customHeight="1">
      <c r="A160" s="481" t="s">
        <v>2288</v>
      </c>
      <c r="B160" s="482" t="s">
        <v>315</v>
      </c>
      <c r="C160" s="483" t="s">
        <v>6</v>
      </c>
      <c r="D160" s="484">
        <v>22</v>
      </c>
      <c r="E160" s="484"/>
      <c r="F160" s="484">
        <f>G160</f>
        <v>22.16375</v>
      </c>
      <c r="G160" s="484">
        <f>'數量計算(FOR4變)'!I258</f>
        <v>22.16375</v>
      </c>
      <c r="H160" s="484">
        <f>G160-D160</f>
        <v>0.16375000000000028</v>
      </c>
      <c r="I160" s="484">
        <f>ROUND(H160*L160,2)</f>
        <v>510.08</v>
      </c>
      <c r="J160" s="485"/>
      <c r="K160" s="485"/>
      <c r="L160" s="484">
        <v>3114.97</v>
      </c>
      <c r="M160" s="484">
        <v>0</v>
      </c>
      <c r="N160" s="484">
        <v>22</v>
      </c>
      <c r="O160" s="484">
        <v>0</v>
      </c>
      <c r="P160" s="484">
        <v>68529.34</v>
      </c>
      <c r="Q160" s="486" t="s">
        <v>242</v>
      </c>
      <c r="R160" s="487" t="s">
        <v>243</v>
      </c>
    </row>
    <row r="161" spans="1:20" s="273" customFormat="1" ht="36.75" customHeight="1">
      <c r="A161" s="481" t="s">
        <v>2289</v>
      </c>
      <c r="B161" s="482" t="s">
        <v>24</v>
      </c>
      <c r="C161" s="483" t="s">
        <v>6</v>
      </c>
      <c r="D161" s="484">
        <v>302</v>
      </c>
      <c r="E161" s="484"/>
      <c r="F161" s="484">
        <f>G161</f>
        <v>127.65557142857143</v>
      </c>
      <c r="G161" s="484">
        <f>'數量計算(FOR4變)'!I261</f>
        <v>127.65557142857143</v>
      </c>
      <c r="H161" s="484"/>
      <c r="I161" s="484"/>
      <c r="J161" s="485">
        <f>G161-D161</f>
        <v>-174.34442857142858</v>
      </c>
      <c r="K161" s="554">
        <f>ROUND(J161*L161,2)</f>
        <v>-578990.87</v>
      </c>
      <c r="L161" s="484">
        <v>3320.96</v>
      </c>
      <c r="M161" s="484">
        <v>0</v>
      </c>
      <c r="N161" s="484">
        <v>127.15</v>
      </c>
      <c r="O161" s="484">
        <v>0</v>
      </c>
      <c r="P161" s="484">
        <v>422260.06</v>
      </c>
      <c r="Q161" s="488" t="s">
        <v>2406</v>
      </c>
      <c r="R161" s="487" t="s">
        <v>243</v>
      </c>
    </row>
    <row r="162" spans="1:20" ht="36.75" customHeight="1">
      <c r="A162" s="381" t="s">
        <v>2290</v>
      </c>
      <c r="B162" s="382" t="s">
        <v>528</v>
      </c>
      <c r="C162" s="383" t="s">
        <v>6</v>
      </c>
      <c r="D162" s="384">
        <v>766</v>
      </c>
      <c r="E162" s="384">
        <v>0</v>
      </c>
      <c r="F162" s="384">
        <f>E162</f>
        <v>0</v>
      </c>
      <c r="G162" s="384"/>
      <c r="H162" s="384"/>
      <c r="I162" s="384"/>
      <c r="J162" s="392"/>
      <c r="K162" s="392"/>
      <c r="L162" s="384">
        <v>3643.53</v>
      </c>
      <c r="M162" s="384">
        <v>0</v>
      </c>
      <c r="N162" s="384">
        <v>0</v>
      </c>
      <c r="O162" s="384">
        <v>0</v>
      </c>
      <c r="P162" s="384">
        <v>0</v>
      </c>
      <c r="Q162" s="388" t="s">
        <v>2407</v>
      </c>
      <c r="R162" s="380" t="s">
        <v>243</v>
      </c>
    </row>
    <row r="163" spans="1:20" s="273" customFormat="1" ht="36.75" customHeight="1">
      <c r="A163" s="481" t="s">
        <v>2291</v>
      </c>
      <c r="B163" s="482" t="s">
        <v>595</v>
      </c>
      <c r="C163" s="483" t="s">
        <v>6</v>
      </c>
      <c r="D163" s="484">
        <v>1090</v>
      </c>
      <c r="E163" s="484"/>
      <c r="F163" s="484">
        <f>G163</f>
        <v>1366.8133214285715</v>
      </c>
      <c r="G163" s="484">
        <f>'數量計算(FOR4變)'!I267</f>
        <v>1366.8133214285715</v>
      </c>
      <c r="H163" s="484">
        <f>G163-D163</f>
        <v>276.8133214285715</v>
      </c>
      <c r="I163" s="484">
        <f>ROUND(H163*L163,2)</f>
        <v>55359.9</v>
      </c>
      <c r="J163" s="485"/>
      <c r="K163" s="485"/>
      <c r="L163" s="484">
        <v>199.99</v>
      </c>
      <c r="M163" s="484">
        <v>0</v>
      </c>
      <c r="N163" s="484">
        <v>1090</v>
      </c>
      <c r="O163" s="484">
        <v>0</v>
      </c>
      <c r="P163" s="484">
        <v>217989.1</v>
      </c>
      <c r="Q163" s="486" t="s">
        <v>242</v>
      </c>
      <c r="R163" s="487" t="s">
        <v>243</v>
      </c>
      <c r="T163" s="489">
        <f>D160+D161+E186</f>
        <v>1501.9</v>
      </c>
    </row>
    <row r="164" spans="1:20" s="273" customFormat="1" ht="36.75" customHeight="1">
      <c r="A164" s="481" t="s">
        <v>2292</v>
      </c>
      <c r="B164" s="482" t="s">
        <v>534</v>
      </c>
      <c r="C164" s="483" t="s">
        <v>13</v>
      </c>
      <c r="D164" s="484">
        <v>1203</v>
      </c>
      <c r="E164" s="484"/>
      <c r="F164" s="484">
        <f t="shared" ref="F164:F167" si="7">G164</f>
        <v>1274.9890000000003</v>
      </c>
      <c r="G164" s="484">
        <f>'數量計算(FOR4變)'!I268</f>
        <v>1274.9890000000003</v>
      </c>
      <c r="H164" s="484">
        <f>G164-D164</f>
        <v>71.98900000000026</v>
      </c>
      <c r="I164" s="484">
        <f>ROUND(H164*L164,2)</f>
        <v>70760.149999999994</v>
      </c>
      <c r="J164" s="485"/>
      <c r="K164" s="485"/>
      <c r="L164" s="484">
        <v>982.93</v>
      </c>
      <c r="M164" s="484">
        <v>0</v>
      </c>
      <c r="N164" s="484">
        <v>1203</v>
      </c>
      <c r="O164" s="484">
        <v>0</v>
      </c>
      <c r="P164" s="484">
        <v>1182464.79</v>
      </c>
      <c r="Q164" s="486" t="s">
        <v>242</v>
      </c>
      <c r="R164" s="487" t="s">
        <v>243</v>
      </c>
    </row>
    <row r="165" spans="1:20" s="273" customFormat="1" ht="36.75" customHeight="1">
      <c r="A165" s="481" t="s">
        <v>2293</v>
      </c>
      <c r="B165" s="482" t="s">
        <v>536</v>
      </c>
      <c r="C165" s="483" t="s">
        <v>13</v>
      </c>
      <c r="D165" s="484">
        <v>393</v>
      </c>
      <c r="E165" s="484"/>
      <c r="F165" s="484">
        <f t="shared" si="7"/>
        <v>788.3735999999999</v>
      </c>
      <c r="G165" s="484">
        <f>'數量計算(FOR4變)'!I275</f>
        <v>788.3735999999999</v>
      </c>
      <c r="H165" s="484">
        <f t="shared" ref="H165:H167" si="8">G165-D165</f>
        <v>395.3735999999999</v>
      </c>
      <c r="I165" s="484">
        <f t="shared" ref="I165:I167" si="9">ROUND(H165*L165,2)</f>
        <v>318176.90000000002</v>
      </c>
      <c r="J165" s="485"/>
      <c r="K165" s="485"/>
      <c r="L165" s="484">
        <v>804.75</v>
      </c>
      <c r="M165" s="484">
        <v>0</v>
      </c>
      <c r="N165" s="484">
        <v>393</v>
      </c>
      <c r="O165" s="484">
        <v>0</v>
      </c>
      <c r="P165" s="484">
        <v>316266.75</v>
      </c>
      <c r="Q165" s="486" t="s">
        <v>242</v>
      </c>
      <c r="R165" s="487" t="s">
        <v>243</v>
      </c>
    </row>
    <row r="166" spans="1:20" s="273" customFormat="1" ht="36.75" customHeight="1">
      <c r="A166" s="481" t="s">
        <v>2294</v>
      </c>
      <c r="B166" s="482" t="s">
        <v>192</v>
      </c>
      <c r="C166" s="483" t="s">
        <v>17</v>
      </c>
      <c r="D166" s="484">
        <v>13138</v>
      </c>
      <c r="E166" s="484"/>
      <c r="F166" s="484">
        <f t="shared" si="7"/>
        <v>34725.806255700001</v>
      </c>
      <c r="G166" s="484">
        <f>'數量計算(FOR4變)'!I283</f>
        <v>34725.806255700001</v>
      </c>
      <c r="H166" s="484">
        <f t="shared" si="8"/>
        <v>21587.806255700001</v>
      </c>
      <c r="I166" s="484">
        <f t="shared" si="9"/>
        <v>785796.15</v>
      </c>
      <c r="J166" s="485"/>
      <c r="K166" s="485"/>
      <c r="L166" s="484">
        <v>36.4</v>
      </c>
      <c r="M166" s="484">
        <v>0</v>
      </c>
      <c r="N166" s="484">
        <v>13138</v>
      </c>
      <c r="O166" s="484">
        <v>0</v>
      </c>
      <c r="P166" s="484">
        <v>478223.2</v>
      </c>
      <c r="Q166" s="486" t="s">
        <v>242</v>
      </c>
      <c r="R166" s="487" t="s">
        <v>243</v>
      </c>
    </row>
    <row r="167" spans="1:20" s="273" customFormat="1" ht="36.75" customHeight="1">
      <c r="A167" s="481" t="s">
        <v>2295</v>
      </c>
      <c r="B167" s="482" t="s">
        <v>530</v>
      </c>
      <c r="C167" s="483" t="s">
        <v>17</v>
      </c>
      <c r="D167" s="484">
        <v>15589</v>
      </c>
      <c r="E167" s="484"/>
      <c r="F167" s="484">
        <f t="shared" si="7"/>
        <v>23923.6749375</v>
      </c>
      <c r="G167" s="484">
        <f>'數量計算(FOR4變)'!I295</f>
        <v>23923.6749375</v>
      </c>
      <c r="H167" s="484">
        <f t="shared" si="8"/>
        <v>8334.6749374999999</v>
      </c>
      <c r="I167" s="484">
        <f t="shared" si="9"/>
        <v>322635.27</v>
      </c>
      <c r="J167" s="485"/>
      <c r="K167" s="485"/>
      <c r="L167" s="484">
        <v>38.71</v>
      </c>
      <c r="M167" s="484">
        <v>0</v>
      </c>
      <c r="N167" s="484">
        <v>15561</v>
      </c>
      <c r="O167" s="484">
        <v>0</v>
      </c>
      <c r="P167" s="484">
        <v>602366.31000000006</v>
      </c>
      <c r="Q167" s="486" t="s">
        <v>242</v>
      </c>
      <c r="R167" s="487" t="s">
        <v>243</v>
      </c>
    </row>
    <row r="168" spans="1:20" ht="36.75" customHeight="1">
      <c r="A168" s="381" t="s">
        <v>2296</v>
      </c>
      <c r="B168" s="382" t="s">
        <v>597</v>
      </c>
      <c r="C168" s="383" t="s">
        <v>13</v>
      </c>
      <c r="D168" s="384">
        <v>776</v>
      </c>
      <c r="E168" s="384"/>
      <c r="F168" s="384">
        <f>D168</f>
        <v>776</v>
      </c>
      <c r="G168" s="384"/>
      <c r="H168" s="384"/>
      <c r="I168" s="384"/>
      <c r="J168" s="392"/>
      <c r="K168" s="392"/>
      <c r="L168" s="384">
        <v>2510.64</v>
      </c>
      <c r="M168" s="384">
        <v>0</v>
      </c>
      <c r="N168" s="384">
        <v>776</v>
      </c>
      <c r="O168" s="384">
        <v>0</v>
      </c>
      <c r="P168" s="384">
        <v>1948256.64</v>
      </c>
      <c r="Q168" s="385" t="s">
        <v>242</v>
      </c>
      <c r="R168" s="380" t="s">
        <v>243</v>
      </c>
    </row>
    <row r="169" spans="1:20" s="273" customFormat="1" ht="36.75" customHeight="1">
      <c r="A169" s="481" t="s">
        <v>2297</v>
      </c>
      <c r="B169" s="482" t="s">
        <v>599</v>
      </c>
      <c r="C169" s="483" t="s">
        <v>223</v>
      </c>
      <c r="D169" s="484">
        <v>235</v>
      </c>
      <c r="E169" s="484"/>
      <c r="F169" s="484">
        <f>G169</f>
        <v>251.85</v>
      </c>
      <c r="G169" s="484">
        <f>'數量計算(FOR4變)'!I300</f>
        <v>251.85</v>
      </c>
      <c r="H169" s="484">
        <f t="shared" ref="H169" si="10">G169-D169</f>
        <v>16.849999999999994</v>
      </c>
      <c r="I169" s="484">
        <f t="shared" ref="I169" si="11">ROUND(H169*L169,2)</f>
        <v>55568.94</v>
      </c>
      <c r="J169" s="485"/>
      <c r="K169" s="485"/>
      <c r="L169" s="484">
        <v>3297.86</v>
      </c>
      <c r="M169" s="484">
        <v>0</v>
      </c>
      <c r="N169" s="484">
        <v>235</v>
      </c>
      <c r="O169" s="484">
        <v>0</v>
      </c>
      <c r="P169" s="484">
        <v>774997.1</v>
      </c>
      <c r="Q169" s="486" t="s">
        <v>242</v>
      </c>
      <c r="R169" s="487" t="s">
        <v>243</v>
      </c>
    </row>
    <row r="170" spans="1:20" s="273" customFormat="1" ht="36.75" customHeight="1">
      <c r="A170" s="481" t="s">
        <v>2298</v>
      </c>
      <c r="B170" s="482" t="s">
        <v>601</v>
      </c>
      <c r="C170" s="483" t="s">
        <v>13</v>
      </c>
      <c r="D170" s="484">
        <v>102</v>
      </c>
      <c r="E170" s="484"/>
      <c r="F170" s="484">
        <f t="shared" ref="F170:F171" si="12">G170</f>
        <v>173.82</v>
      </c>
      <c r="G170" s="484">
        <f>'數量計算(FOR4變)'!I301</f>
        <v>173.82</v>
      </c>
      <c r="H170" s="484">
        <f t="shared" ref="H170:H171" si="13">G170-D170</f>
        <v>71.819999999999993</v>
      </c>
      <c r="I170" s="484">
        <f t="shared" ref="I170:I171" si="14">ROUND(H170*L170,2)</f>
        <v>212013.36</v>
      </c>
      <c r="J170" s="485"/>
      <c r="K170" s="485"/>
      <c r="L170" s="484">
        <v>2952.01</v>
      </c>
      <c r="M170" s="484">
        <v>0</v>
      </c>
      <c r="N170" s="484">
        <v>102</v>
      </c>
      <c r="O170" s="484">
        <v>0</v>
      </c>
      <c r="P170" s="484">
        <v>301105.02</v>
      </c>
      <c r="Q170" s="486" t="s">
        <v>242</v>
      </c>
      <c r="R170" s="487" t="s">
        <v>243</v>
      </c>
    </row>
    <row r="171" spans="1:20" s="273" customFormat="1" ht="36.75" customHeight="1">
      <c r="A171" s="481" t="s">
        <v>2299</v>
      </c>
      <c r="B171" s="482" t="s">
        <v>603</v>
      </c>
      <c r="C171" s="483" t="s">
        <v>13</v>
      </c>
      <c r="D171" s="484">
        <v>400</v>
      </c>
      <c r="E171" s="484"/>
      <c r="F171" s="484">
        <f t="shared" si="12"/>
        <v>618.4325</v>
      </c>
      <c r="G171" s="484">
        <f>'數量計算(FOR4變)'!I302</f>
        <v>618.4325</v>
      </c>
      <c r="H171" s="484">
        <f t="shared" si="13"/>
        <v>218.4325</v>
      </c>
      <c r="I171" s="484">
        <f t="shared" si="14"/>
        <v>317707.89</v>
      </c>
      <c r="J171" s="485"/>
      <c r="K171" s="485"/>
      <c r="L171" s="484">
        <v>1454.49</v>
      </c>
      <c r="M171" s="484">
        <v>0</v>
      </c>
      <c r="N171" s="484">
        <v>0</v>
      </c>
      <c r="O171" s="484">
        <v>0</v>
      </c>
      <c r="P171" s="484">
        <v>0</v>
      </c>
      <c r="Q171" s="486" t="s">
        <v>242</v>
      </c>
      <c r="R171" s="487" t="s">
        <v>243</v>
      </c>
    </row>
    <row r="172" spans="1:20" ht="36.75" customHeight="1">
      <c r="A172" s="381" t="s">
        <v>2300</v>
      </c>
      <c r="B172" s="382" t="s">
        <v>605</v>
      </c>
      <c r="C172" s="383" t="s">
        <v>606</v>
      </c>
      <c r="D172" s="384">
        <v>333</v>
      </c>
      <c r="E172" s="384"/>
      <c r="F172" s="384">
        <f>D172</f>
        <v>333</v>
      </c>
      <c r="G172" s="384"/>
      <c r="H172" s="384"/>
      <c r="I172" s="384"/>
      <c r="J172" s="392"/>
      <c r="K172" s="392"/>
      <c r="L172" s="384">
        <v>434.98</v>
      </c>
      <c r="M172" s="384">
        <v>0</v>
      </c>
      <c r="N172" s="384">
        <v>333</v>
      </c>
      <c r="O172" s="384">
        <v>0</v>
      </c>
      <c r="P172" s="384">
        <v>144848.34</v>
      </c>
      <c r="Q172" s="385" t="s">
        <v>242</v>
      </c>
      <c r="R172" s="380" t="s">
        <v>243</v>
      </c>
    </row>
    <row r="173" spans="1:20" ht="36.75" customHeight="1">
      <c r="A173" s="481" t="s">
        <v>2301</v>
      </c>
      <c r="B173" s="482" t="s">
        <v>608</v>
      </c>
      <c r="C173" s="483" t="s">
        <v>13</v>
      </c>
      <c r="D173" s="484">
        <v>1702</v>
      </c>
      <c r="E173" s="484"/>
      <c r="F173" s="484">
        <f>D173</f>
        <v>1702</v>
      </c>
      <c r="G173" s="484">
        <f>'數量計算(FOR4變)'!I312</f>
        <v>1365.0950000000003</v>
      </c>
      <c r="H173" s="484"/>
      <c r="I173" s="484"/>
      <c r="J173" s="485">
        <f>G173-F173</f>
        <v>-336.90499999999975</v>
      </c>
      <c r="K173" s="554">
        <f>ROUND(J173*L173,2)</f>
        <v>-298416.96999999997</v>
      </c>
      <c r="L173" s="484">
        <v>885.76</v>
      </c>
      <c r="M173" s="484">
        <v>0</v>
      </c>
      <c r="N173" s="484">
        <v>1182.83</v>
      </c>
      <c r="O173" s="484">
        <v>0</v>
      </c>
      <c r="P173" s="484">
        <v>1047703.5</v>
      </c>
      <c r="Q173" s="486" t="s">
        <v>242</v>
      </c>
      <c r="R173" s="380" t="s">
        <v>243</v>
      </c>
    </row>
    <row r="174" spans="1:20" s="273" customFormat="1" ht="36.75" customHeight="1">
      <c r="A174" s="481" t="s">
        <v>2302</v>
      </c>
      <c r="B174" s="482" t="s">
        <v>357</v>
      </c>
      <c r="C174" s="483" t="s">
        <v>8</v>
      </c>
      <c r="D174" s="484">
        <v>49</v>
      </c>
      <c r="E174" s="484"/>
      <c r="F174" s="484">
        <f>G174</f>
        <v>51.150000000000006</v>
      </c>
      <c r="G174" s="484">
        <f>'數量計算(FOR4變)'!I313</f>
        <v>51.150000000000006</v>
      </c>
      <c r="H174" s="484">
        <f t="shared" ref="H174" si="15">G174-D174</f>
        <v>2.1500000000000057</v>
      </c>
      <c r="I174" s="484">
        <f t="shared" ref="I174" si="16">ROUND(H174*L174,2)</f>
        <v>298.51</v>
      </c>
      <c r="J174" s="485"/>
      <c r="K174" s="485"/>
      <c r="L174" s="484">
        <v>138.84</v>
      </c>
      <c r="M174" s="484">
        <v>0</v>
      </c>
      <c r="N174" s="484">
        <v>49</v>
      </c>
      <c r="O174" s="484">
        <v>0</v>
      </c>
      <c r="P174" s="484">
        <v>6803.16</v>
      </c>
      <c r="Q174" s="486" t="s">
        <v>242</v>
      </c>
      <c r="R174" s="487" t="s">
        <v>243</v>
      </c>
    </row>
    <row r="175" spans="1:20" s="273" customFormat="1" ht="36.75" customHeight="1">
      <c r="A175" s="481" t="s">
        <v>2303</v>
      </c>
      <c r="B175" s="482" t="s">
        <v>611</v>
      </c>
      <c r="C175" s="483" t="s">
        <v>8</v>
      </c>
      <c r="D175" s="484">
        <v>85</v>
      </c>
      <c r="E175" s="484"/>
      <c r="F175" s="484">
        <f>G175</f>
        <v>85.8</v>
      </c>
      <c r="G175" s="484">
        <f>'數量計算(FOR4變)'!I314</f>
        <v>85.8</v>
      </c>
      <c r="H175" s="484">
        <f t="shared" ref="H175" si="17">G175-D175</f>
        <v>0.79999999999999716</v>
      </c>
      <c r="I175" s="484">
        <f t="shared" ref="I175" si="18">ROUND(H175*L175,2)</f>
        <v>261.02</v>
      </c>
      <c r="J175" s="485"/>
      <c r="K175" s="485"/>
      <c r="L175" s="484">
        <v>326.27999999999997</v>
      </c>
      <c r="M175" s="484">
        <v>0</v>
      </c>
      <c r="N175" s="484">
        <v>85</v>
      </c>
      <c r="O175" s="484">
        <v>0</v>
      </c>
      <c r="P175" s="484">
        <v>27733.8</v>
      </c>
      <c r="Q175" s="486" t="s">
        <v>242</v>
      </c>
      <c r="R175" s="487" t="s">
        <v>243</v>
      </c>
    </row>
    <row r="176" spans="1:20" ht="36.75" customHeight="1">
      <c r="A176" s="628" t="s">
        <v>2304</v>
      </c>
      <c r="B176" s="629" t="s">
        <v>222</v>
      </c>
      <c r="C176" s="630" t="s">
        <v>13</v>
      </c>
      <c r="D176" s="631">
        <v>385</v>
      </c>
      <c r="E176" s="631"/>
      <c r="F176" s="631">
        <f>G176</f>
        <v>898.56000000000006</v>
      </c>
      <c r="G176" s="631">
        <f>'數量計算(FOR4變)'!I315</f>
        <v>898.56000000000006</v>
      </c>
      <c r="H176" s="631"/>
      <c r="I176" s="631"/>
      <c r="J176" s="632"/>
      <c r="K176" s="632"/>
      <c r="L176" s="631">
        <v>692.12</v>
      </c>
      <c r="M176" s="631">
        <v>0</v>
      </c>
      <c r="N176" s="631">
        <v>385</v>
      </c>
      <c r="O176" s="631">
        <v>0</v>
      </c>
      <c r="P176" s="631">
        <v>266466.2</v>
      </c>
      <c r="Q176" s="633" t="s">
        <v>242</v>
      </c>
      <c r="R176" s="380" t="s">
        <v>243</v>
      </c>
    </row>
    <row r="177" spans="1:18" ht="36.75" customHeight="1">
      <c r="A177" s="381" t="s">
        <v>2305</v>
      </c>
      <c r="B177" s="382" t="s">
        <v>615</v>
      </c>
      <c r="C177" s="383" t="s">
        <v>8</v>
      </c>
      <c r="D177" s="384">
        <v>686</v>
      </c>
      <c r="E177" s="384">
        <v>0</v>
      </c>
      <c r="F177" s="384">
        <f>E177</f>
        <v>0</v>
      </c>
      <c r="G177" s="384"/>
      <c r="H177" s="384"/>
      <c r="I177" s="384"/>
      <c r="J177" s="392"/>
      <c r="K177" s="392"/>
      <c r="L177" s="384">
        <v>1706.44</v>
      </c>
      <c r="M177" s="384">
        <v>0</v>
      </c>
      <c r="N177" s="384">
        <v>0</v>
      </c>
      <c r="O177" s="384">
        <v>0</v>
      </c>
      <c r="P177" s="384">
        <v>0</v>
      </c>
      <c r="Q177" s="385" t="s">
        <v>242</v>
      </c>
      <c r="R177" s="380" t="s">
        <v>243</v>
      </c>
    </row>
    <row r="178" spans="1:18" ht="36.75" customHeight="1">
      <c r="A178" s="381" t="s">
        <v>2306</v>
      </c>
      <c r="B178" s="382" t="s">
        <v>618</v>
      </c>
      <c r="C178" s="383" t="s">
        <v>23</v>
      </c>
      <c r="D178" s="384">
        <v>1070.5</v>
      </c>
      <c r="E178" s="384"/>
      <c r="F178" s="384">
        <f>D178</f>
        <v>1070.5</v>
      </c>
      <c r="G178" s="384"/>
      <c r="H178" s="384"/>
      <c r="I178" s="384"/>
      <c r="J178" s="392"/>
      <c r="K178" s="392"/>
      <c r="L178" s="384">
        <v>49</v>
      </c>
      <c r="M178" s="384">
        <v>0</v>
      </c>
      <c r="N178" s="384">
        <v>1070.5</v>
      </c>
      <c r="O178" s="384">
        <v>0</v>
      </c>
      <c r="P178" s="384">
        <v>52454.5</v>
      </c>
      <c r="Q178" s="385" t="s">
        <v>242</v>
      </c>
      <c r="R178" s="380" t="s">
        <v>243</v>
      </c>
    </row>
    <row r="179" spans="1:18" ht="36.75" customHeight="1">
      <c r="A179" s="381" t="s">
        <v>2307</v>
      </c>
      <c r="B179" s="382" t="s">
        <v>621</v>
      </c>
      <c r="C179" s="383" t="s">
        <v>19</v>
      </c>
      <c r="D179" s="384">
        <v>2</v>
      </c>
      <c r="E179" s="384"/>
      <c r="F179" s="384">
        <f>D179</f>
        <v>2</v>
      </c>
      <c r="G179" s="384"/>
      <c r="H179" s="384"/>
      <c r="I179" s="384"/>
      <c r="J179" s="392"/>
      <c r="K179" s="392"/>
      <c r="L179" s="384">
        <v>5349708.26</v>
      </c>
      <c r="M179" s="384">
        <v>0</v>
      </c>
      <c r="N179" s="384">
        <v>1.9</v>
      </c>
      <c r="O179" s="384">
        <v>0</v>
      </c>
      <c r="P179" s="384">
        <v>10164445.689999999</v>
      </c>
      <c r="Q179" s="385" t="s">
        <v>242</v>
      </c>
      <c r="R179" s="380" t="s">
        <v>243</v>
      </c>
    </row>
    <row r="180" spans="1:18" ht="36.75" customHeight="1">
      <c r="A180" s="381" t="s">
        <v>2308</v>
      </c>
      <c r="B180" s="382" t="s">
        <v>1368</v>
      </c>
      <c r="C180" s="383" t="s">
        <v>8</v>
      </c>
      <c r="D180" s="384">
        <v>0</v>
      </c>
      <c r="E180" s="384">
        <v>571.08000000000004</v>
      </c>
      <c r="F180" s="384">
        <f>E180</f>
        <v>571.08000000000004</v>
      </c>
      <c r="G180" s="384"/>
      <c r="H180" s="384"/>
      <c r="I180" s="384"/>
      <c r="J180" s="392"/>
      <c r="K180" s="392"/>
      <c r="L180" s="384">
        <v>5456.33</v>
      </c>
      <c r="M180" s="384">
        <v>0</v>
      </c>
      <c r="N180" s="384">
        <v>571</v>
      </c>
      <c r="O180" s="384">
        <v>0</v>
      </c>
      <c r="P180" s="384">
        <v>3115564.43</v>
      </c>
      <c r="Q180" s="385" t="s">
        <v>242</v>
      </c>
      <c r="R180" s="380" t="s">
        <v>243</v>
      </c>
    </row>
    <row r="181" spans="1:18" ht="36.75" customHeight="1">
      <c r="A181" s="381" t="s">
        <v>2309</v>
      </c>
      <c r="B181" s="382" t="s">
        <v>1370</v>
      </c>
      <c r="C181" s="383" t="s">
        <v>6</v>
      </c>
      <c r="D181" s="384">
        <v>0</v>
      </c>
      <c r="E181" s="384">
        <v>161.38999999999999</v>
      </c>
      <c r="F181" s="384">
        <f>E181</f>
        <v>161.38999999999999</v>
      </c>
      <c r="G181" s="384"/>
      <c r="H181" s="384"/>
      <c r="I181" s="384"/>
      <c r="J181" s="392"/>
      <c r="K181" s="392"/>
      <c r="L181" s="384">
        <v>1481.84</v>
      </c>
      <c r="M181" s="384">
        <v>0</v>
      </c>
      <c r="N181" s="384">
        <v>0</v>
      </c>
      <c r="O181" s="384">
        <v>0</v>
      </c>
      <c r="P181" s="384">
        <v>0</v>
      </c>
      <c r="Q181" s="385" t="s">
        <v>242</v>
      </c>
      <c r="R181" s="380" t="s">
        <v>243</v>
      </c>
    </row>
    <row r="182" spans="1:18" s="273" customFormat="1" ht="36.75" customHeight="1">
      <c r="A182" s="481" t="s">
        <v>2311</v>
      </c>
      <c r="B182" s="482" t="s">
        <v>1372</v>
      </c>
      <c r="C182" s="483" t="s">
        <v>13</v>
      </c>
      <c r="D182" s="484">
        <v>0</v>
      </c>
      <c r="E182" s="484">
        <v>634.14</v>
      </c>
      <c r="F182" s="484">
        <f>G182</f>
        <v>776.79333333333329</v>
      </c>
      <c r="G182" s="484">
        <f>'數量計算(FOR4變)'!I321</f>
        <v>776.79333333333329</v>
      </c>
      <c r="H182" s="484">
        <f>G182-E182</f>
        <v>142.65333333333331</v>
      </c>
      <c r="I182" s="484">
        <f t="shared" ref="I182" si="19">ROUND(H182*L182,2)</f>
        <v>445171.12</v>
      </c>
      <c r="J182" s="485"/>
      <c r="K182" s="485"/>
      <c r="L182" s="484">
        <v>3120.65</v>
      </c>
      <c r="M182" s="484">
        <v>0</v>
      </c>
      <c r="N182" s="484">
        <v>632</v>
      </c>
      <c r="O182" s="484">
        <v>0</v>
      </c>
      <c r="P182" s="484">
        <v>1972250.8</v>
      </c>
      <c r="Q182" s="486" t="s">
        <v>242</v>
      </c>
      <c r="R182" s="487" t="s">
        <v>243</v>
      </c>
    </row>
    <row r="183" spans="1:18" ht="36.75" customHeight="1">
      <c r="A183" s="381" t="s">
        <v>2312</v>
      </c>
      <c r="B183" s="382" t="s">
        <v>586</v>
      </c>
      <c r="C183" s="383" t="s">
        <v>8</v>
      </c>
      <c r="D183" s="384">
        <v>0</v>
      </c>
      <c r="E183" s="384">
        <v>343.5</v>
      </c>
      <c r="F183" s="384">
        <f>E183</f>
        <v>343.5</v>
      </c>
      <c r="G183" s="384">
        <f>'數量計算(FOR4變)'!I323</f>
        <v>347.1</v>
      </c>
      <c r="H183" s="384">
        <f t="shared" ref="H183:H184" si="20">G183-E183</f>
        <v>3.6000000000000227</v>
      </c>
      <c r="I183" s="384">
        <f t="shared" ref="I183:I184" si="21">ROUND(H183*L183,2)</f>
        <v>431.96</v>
      </c>
      <c r="J183" s="392"/>
      <c r="K183" s="392"/>
      <c r="L183" s="384">
        <v>119.99</v>
      </c>
      <c r="M183" s="384">
        <v>0</v>
      </c>
      <c r="N183" s="384">
        <v>343.5</v>
      </c>
      <c r="O183" s="384">
        <v>0</v>
      </c>
      <c r="P183" s="384">
        <v>41216.57</v>
      </c>
      <c r="Q183" s="552" t="s">
        <v>2742</v>
      </c>
      <c r="R183" s="380" t="s">
        <v>243</v>
      </c>
    </row>
    <row r="184" spans="1:18" ht="36.75" customHeight="1">
      <c r="A184" s="381" t="s">
        <v>2313</v>
      </c>
      <c r="B184" s="382" t="s">
        <v>1375</v>
      </c>
      <c r="C184" s="383" t="s">
        <v>7</v>
      </c>
      <c r="D184" s="384">
        <v>0</v>
      </c>
      <c r="E184" s="384">
        <v>451</v>
      </c>
      <c r="F184" s="384">
        <f>E184</f>
        <v>451</v>
      </c>
      <c r="G184" s="384">
        <f>'數量計算(FOR4變)'!I324</f>
        <v>463</v>
      </c>
      <c r="H184" s="384">
        <f t="shared" si="20"/>
        <v>12</v>
      </c>
      <c r="I184" s="384">
        <f t="shared" si="21"/>
        <v>3899.64</v>
      </c>
      <c r="J184" s="392"/>
      <c r="K184" s="392"/>
      <c r="L184" s="384">
        <v>324.97000000000003</v>
      </c>
      <c r="M184" s="384">
        <v>0</v>
      </c>
      <c r="N184" s="384">
        <v>432</v>
      </c>
      <c r="O184" s="384">
        <v>0</v>
      </c>
      <c r="P184" s="384">
        <v>140387.04</v>
      </c>
      <c r="Q184" s="553" t="s">
        <v>2742</v>
      </c>
      <c r="R184" s="380" t="s">
        <v>243</v>
      </c>
    </row>
    <row r="185" spans="1:18" ht="36.75" customHeight="1">
      <c r="A185" s="381" t="s">
        <v>2315</v>
      </c>
      <c r="B185" s="382" t="s">
        <v>1377</v>
      </c>
      <c r="C185" s="383" t="s">
        <v>6</v>
      </c>
      <c r="D185" s="384">
        <v>0</v>
      </c>
      <c r="E185" s="384">
        <v>1513</v>
      </c>
      <c r="F185" s="384">
        <f>E185</f>
        <v>1513</v>
      </c>
      <c r="G185" s="384"/>
      <c r="H185" s="384"/>
      <c r="I185" s="384"/>
      <c r="J185" s="392"/>
      <c r="K185" s="392"/>
      <c r="L185" s="384">
        <v>926.62</v>
      </c>
      <c r="M185" s="384">
        <v>0</v>
      </c>
      <c r="N185" s="384">
        <v>1513</v>
      </c>
      <c r="O185" s="384">
        <v>0</v>
      </c>
      <c r="P185" s="384">
        <v>1401976.06</v>
      </c>
      <c r="Q185" s="385" t="s">
        <v>242</v>
      </c>
      <c r="R185" s="380" t="s">
        <v>243</v>
      </c>
    </row>
    <row r="186" spans="1:18" s="273" customFormat="1" ht="36.75" customHeight="1">
      <c r="A186" s="481" t="s">
        <v>2316</v>
      </c>
      <c r="B186" s="482" t="s">
        <v>1365</v>
      </c>
      <c r="C186" s="483" t="s">
        <v>6</v>
      </c>
      <c r="D186" s="484">
        <v>0</v>
      </c>
      <c r="E186" s="484">
        <v>1177.9000000000001</v>
      </c>
      <c r="F186" s="484">
        <f>G186</f>
        <v>1216.9940000000001</v>
      </c>
      <c r="G186" s="484">
        <f>'數量計算(FOR4變)'!I326</f>
        <v>1216.9940000000001</v>
      </c>
      <c r="H186" s="484">
        <f t="shared" ref="H186" si="22">G186-E186</f>
        <v>39.094000000000051</v>
      </c>
      <c r="I186" s="484">
        <f t="shared" ref="I186" si="23">ROUND(H186*L186,2)</f>
        <v>149843.39000000001</v>
      </c>
      <c r="J186" s="485"/>
      <c r="K186" s="485"/>
      <c r="L186" s="484">
        <v>3832.9</v>
      </c>
      <c r="M186" s="484">
        <v>0</v>
      </c>
      <c r="N186" s="484">
        <v>1177.9000000000001</v>
      </c>
      <c r="O186" s="484">
        <v>0</v>
      </c>
      <c r="P186" s="484">
        <v>4514772.91</v>
      </c>
      <c r="Q186" s="486" t="s">
        <v>242</v>
      </c>
      <c r="R186" s="487" t="s">
        <v>243</v>
      </c>
    </row>
    <row r="187" spans="1:18" s="273" customFormat="1" ht="36.75" customHeight="1">
      <c r="A187" s="481" t="s">
        <v>2317</v>
      </c>
      <c r="B187" s="482" t="s">
        <v>1380</v>
      </c>
      <c r="C187" s="483" t="s">
        <v>13</v>
      </c>
      <c r="D187" s="484">
        <v>0</v>
      </c>
      <c r="E187" s="484">
        <v>442.5</v>
      </c>
      <c r="F187" s="484">
        <f>G187</f>
        <v>734.29600000000005</v>
      </c>
      <c r="G187" s="484">
        <f>'數量計算(FOR4變)'!I333</f>
        <v>734.29600000000005</v>
      </c>
      <c r="H187" s="484">
        <f t="shared" ref="H187" si="24">G187-E187</f>
        <v>291.79600000000005</v>
      </c>
      <c r="I187" s="484">
        <f t="shared" ref="I187" si="25">ROUND(H187*L187,2)</f>
        <v>68569.14</v>
      </c>
      <c r="J187" s="485"/>
      <c r="K187" s="485"/>
      <c r="L187" s="484">
        <v>234.99</v>
      </c>
      <c r="M187" s="484">
        <v>0</v>
      </c>
      <c r="N187" s="484">
        <v>442.5</v>
      </c>
      <c r="O187" s="484">
        <v>0</v>
      </c>
      <c r="P187" s="484">
        <v>103983.08</v>
      </c>
      <c r="Q187" s="486" t="s">
        <v>242</v>
      </c>
      <c r="R187" s="487" t="s">
        <v>243</v>
      </c>
    </row>
    <row r="188" spans="1:18" ht="36.75" customHeight="1">
      <c r="A188" s="381" t="s">
        <v>2378</v>
      </c>
      <c r="B188" s="382" t="s">
        <v>623</v>
      </c>
      <c r="C188" s="383" t="s">
        <v>4</v>
      </c>
      <c r="D188" s="384">
        <v>1</v>
      </c>
      <c r="E188" s="384"/>
      <c r="F188" s="384"/>
      <c r="G188" s="384"/>
      <c r="H188" s="384"/>
      <c r="I188" s="384"/>
      <c r="J188" s="392"/>
      <c r="K188" s="392"/>
      <c r="L188" s="384">
        <v>28004421.199999999</v>
      </c>
      <c r="M188" s="384">
        <v>1</v>
      </c>
      <c r="N188" s="384">
        <v>1</v>
      </c>
      <c r="O188" s="384">
        <v>261564.57</v>
      </c>
      <c r="P188" s="384">
        <v>25597466.719999999</v>
      </c>
      <c r="Q188" s="385" t="s">
        <v>242</v>
      </c>
      <c r="R188" s="380" t="s">
        <v>243</v>
      </c>
    </row>
    <row r="189" spans="1:18" s="273" customFormat="1" ht="36.75" customHeight="1">
      <c r="A189" s="481" t="s">
        <v>2288</v>
      </c>
      <c r="B189" s="482" t="s">
        <v>315</v>
      </c>
      <c r="C189" s="483" t="s">
        <v>6</v>
      </c>
      <c r="D189" s="484">
        <v>252</v>
      </c>
      <c r="E189" s="484"/>
      <c r="F189" s="484">
        <f>G189</f>
        <v>109.328</v>
      </c>
      <c r="G189" s="484">
        <f>'數量計算(FOR4變)'!I337</f>
        <v>109.328</v>
      </c>
      <c r="H189" s="484"/>
      <c r="I189" s="484"/>
      <c r="J189" s="485">
        <f>G189-D189</f>
        <v>-142.672</v>
      </c>
      <c r="K189" s="554">
        <f>ROUND(J189*L189,2)</f>
        <v>-444419</v>
      </c>
      <c r="L189" s="484">
        <v>3114.97</v>
      </c>
      <c r="M189" s="484">
        <v>0</v>
      </c>
      <c r="N189" s="484">
        <v>109.23</v>
      </c>
      <c r="O189" s="484">
        <v>0</v>
      </c>
      <c r="P189" s="484">
        <v>340248.17</v>
      </c>
      <c r="Q189" s="486" t="s">
        <v>242</v>
      </c>
      <c r="R189" s="487" t="s">
        <v>243</v>
      </c>
    </row>
    <row r="190" spans="1:18" s="273" customFormat="1" ht="36.75" customHeight="1">
      <c r="A190" s="481" t="s">
        <v>2289</v>
      </c>
      <c r="B190" s="482" t="s">
        <v>24</v>
      </c>
      <c r="C190" s="483" t="s">
        <v>6</v>
      </c>
      <c r="D190" s="484">
        <v>2490</v>
      </c>
      <c r="E190" s="484"/>
      <c r="F190" s="484">
        <f>G190</f>
        <v>2673.7048824999997</v>
      </c>
      <c r="G190" s="484">
        <f>'數量計算(FOR4變)'!I338</f>
        <v>2673.7048824999997</v>
      </c>
      <c r="H190" s="484">
        <f>G190-D190</f>
        <v>183.70488249999971</v>
      </c>
      <c r="I190" s="484">
        <f t="shared" ref="I190" si="26">ROUND(H190*L190,2)</f>
        <v>610076.56999999995</v>
      </c>
      <c r="J190" s="485"/>
      <c r="K190" s="485"/>
      <c r="L190" s="484">
        <v>3320.96</v>
      </c>
      <c r="M190" s="484">
        <v>0</v>
      </c>
      <c r="N190" s="484">
        <v>2490</v>
      </c>
      <c r="O190" s="484">
        <v>0</v>
      </c>
      <c r="P190" s="484">
        <v>8269190.4000000004</v>
      </c>
      <c r="Q190" s="486" t="s">
        <v>242</v>
      </c>
      <c r="R190" s="487" t="s">
        <v>243</v>
      </c>
    </row>
    <row r="191" spans="1:18" ht="36.75" customHeight="1">
      <c r="A191" s="381" t="s">
        <v>2290</v>
      </c>
      <c r="B191" s="382" t="s">
        <v>624</v>
      </c>
      <c r="C191" s="383" t="s">
        <v>6</v>
      </c>
      <c r="D191" s="384">
        <v>998</v>
      </c>
      <c r="E191" s="384"/>
      <c r="F191" s="384">
        <f>D191</f>
        <v>998</v>
      </c>
      <c r="G191" s="384"/>
      <c r="H191" s="384"/>
      <c r="I191" s="384"/>
      <c r="J191" s="392"/>
      <c r="K191" s="392"/>
      <c r="L191" s="384">
        <v>1749.16</v>
      </c>
      <c r="M191" s="384">
        <v>0</v>
      </c>
      <c r="N191" s="384">
        <v>520.55999999999995</v>
      </c>
      <c r="O191" s="384">
        <v>0</v>
      </c>
      <c r="P191" s="384">
        <v>910542.73</v>
      </c>
      <c r="Q191" s="552" t="s">
        <v>2417</v>
      </c>
      <c r="R191" s="380" t="s">
        <v>243</v>
      </c>
    </row>
    <row r="192" spans="1:18" ht="36.75" customHeight="1">
      <c r="A192" s="381" t="s">
        <v>2291</v>
      </c>
      <c r="B192" s="382" t="s">
        <v>595</v>
      </c>
      <c r="C192" s="383" t="s">
        <v>6</v>
      </c>
      <c r="D192" s="384">
        <v>3740</v>
      </c>
      <c r="E192" s="384"/>
      <c r="F192" s="384">
        <f>'數量計算(FOR4變)'!I348</f>
        <v>3559.6211824999996</v>
      </c>
      <c r="G192" s="384"/>
      <c r="H192" s="384"/>
      <c r="I192" s="384"/>
      <c r="J192" s="392"/>
      <c r="K192" s="392"/>
      <c r="L192" s="384">
        <v>199.99</v>
      </c>
      <c r="M192" s="384">
        <v>0</v>
      </c>
      <c r="N192" s="384">
        <v>3119.79</v>
      </c>
      <c r="O192" s="384">
        <v>0</v>
      </c>
      <c r="P192" s="384">
        <v>623926.80000000005</v>
      </c>
      <c r="Q192" s="553" t="s">
        <v>2417</v>
      </c>
      <c r="R192" s="380" t="s">
        <v>243</v>
      </c>
    </row>
    <row r="193" spans="1:18" s="273" customFormat="1" ht="36.75" customHeight="1">
      <c r="A193" s="481" t="s">
        <v>2292</v>
      </c>
      <c r="B193" s="482" t="s">
        <v>534</v>
      </c>
      <c r="C193" s="483" t="s">
        <v>13</v>
      </c>
      <c r="D193" s="484">
        <v>3740</v>
      </c>
      <c r="E193" s="484">
        <v>4240</v>
      </c>
      <c r="F193" s="484">
        <f>G193</f>
        <v>4949.6072000000013</v>
      </c>
      <c r="G193" s="484">
        <f>'數量計算(FOR4變)'!I349</f>
        <v>4949.6072000000013</v>
      </c>
      <c r="H193" s="484">
        <f>G193-D193</f>
        <v>1209.6072000000013</v>
      </c>
      <c r="I193" s="484">
        <f t="shared" ref="I193" si="27">ROUND(H193*L193,2)</f>
        <v>1188959.21</v>
      </c>
      <c r="J193" s="485"/>
      <c r="K193" s="485"/>
      <c r="L193" s="484">
        <v>982.93</v>
      </c>
      <c r="M193" s="484">
        <v>0</v>
      </c>
      <c r="N193" s="484">
        <v>4240</v>
      </c>
      <c r="O193" s="484">
        <v>0</v>
      </c>
      <c r="P193" s="484">
        <v>4167623.2</v>
      </c>
      <c r="Q193" s="486" t="s">
        <v>242</v>
      </c>
      <c r="R193" s="487" t="s">
        <v>243</v>
      </c>
    </row>
    <row r="194" spans="1:18" s="273" customFormat="1" ht="36.75" customHeight="1">
      <c r="A194" s="481" t="s">
        <v>2293</v>
      </c>
      <c r="B194" s="482" t="s">
        <v>626</v>
      </c>
      <c r="C194" s="483" t="s">
        <v>13</v>
      </c>
      <c r="D194" s="484">
        <v>38</v>
      </c>
      <c r="E194" s="484"/>
      <c r="F194" s="484">
        <f t="shared" ref="F194:F198" si="28">G194</f>
        <v>49.359999999999992</v>
      </c>
      <c r="G194" s="484">
        <f>'數量計算(FOR4變)'!I352</f>
        <v>49.359999999999992</v>
      </c>
      <c r="H194" s="484">
        <f t="shared" ref="H194:H198" si="29">G194-D194</f>
        <v>11.359999999999992</v>
      </c>
      <c r="I194" s="484">
        <f t="shared" ref="I194:I198" si="30">ROUND(H194*L194,2)</f>
        <v>7932.46</v>
      </c>
      <c r="J194" s="485"/>
      <c r="K194" s="485"/>
      <c r="L194" s="484">
        <v>698.28</v>
      </c>
      <c r="M194" s="484">
        <v>0</v>
      </c>
      <c r="N194" s="484">
        <v>38</v>
      </c>
      <c r="O194" s="484">
        <v>0</v>
      </c>
      <c r="P194" s="484">
        <v>26534.639999999999</v>
      </c>
      <c r="Q194" s="486" t="s">
        <v>242</v>
      </c>
      <c r="R194" s="487" t="s">
        <v>243</v>
      </c>
    </row>
    <row r="195" spans="1:18" s="273" customFormat="1" ht="36.75" customHeight="1">
      <c r="A195" s="481" t="s">
        <v>2294</v>
      </c>
      <c r="B195" s="482" t="s">
        <v>536</v>
      </c>
      <c r="C195" s="483" t="s">
        <v>13</v>
      </c>
      <c r="D195" s="484">
        <v>783</v>
      </c>
      <c r="E195" s="484"/>
      <c r="F195" s="484">
        <f t="shared" si="28"/>
        <v>1409.35</v>
      </c>
      <c r="G195" s="484">
        <f>'數量計算(FOR4變)'!I353</f>
        <v>1409.35</v>
      </c>
      <c r="H195" s="484">
        <f t="shared" si="29"/>
        <v>626.34999999999991</v>
      </c>
      <c r="I195" s="484">
        <f t="shared" si="30"/>
        <v>504055.16</v>
      </c>
      <c r="J195" s="485"/>
      <c r="K195" s="485"/>
      <c r="L195" s="484">
        <v>804.75</v>
      </c>
      <c r="M195" s="484">
        <v>0</v>
      </c>
      <c r="N195" s="484">
        <v>783</v>
      </c>
      <c r="O195" s="484">
        <v>0</v>
      </c>
      <c r="P195" s="484">
        <v>630119.25</v>
      </c>
      <c r="Q195" s="486" t="s">
        <v>242</v>
      </c>
      <c r="R195" s="487" t="s">
        <v>243</v>
      </c>
    </row>
    <row r="196" spans="1:18" s="273" customFormat="1" ht="36.75" customHeight="1">
      <c r="A196" s="481" t="s">
        <v>2295</v>
      </c>
      <c r="B196" s="482" t="s">
        <v>193</v>
      </c>
      <c r="C196" s="483" t="s">
        <v>13</v>
      </c>
      <c r="D196" s="484">
        <v>300</v>
      </c>
      <c r="E196" s="484"/>
      <c r="F196" s="484">
        <f t="shared" si="28"/>
        <v>761.34</v>
      </c>
      <c r="G196" s="484">
        <f>'數量計算(FOR4變)'!I355</f>
        <v>761.34</v>
      </c>
      <c r="H196" s="484">
        <f t="shared" si="29"/>
        <v>461.34000000000003</v>
      </c>
      <c r="I196" s="484">
        <f t="shared" si="30"/>
        <v>246175.64</v>
      </c>
      <c r="J196" s="485"/>
      <c r="K196" s="485"/>
      <c r="L196" s="484">
        <v>533.61</v>
      </c>
      <c r="M196" s="484">
        <v>0</v>
      </c>
      <c r="N196" s="484">
        <v>300</v>
      </c>
      <c r="O196" s="484">
        <v>0</v>
      </c>
      <c r="P196" s="484">
        <v>160083</v>
      </c>
      <c r="Q196" s="486" t="s">
        <v>242</v>
      </c>
      <c r="R196" s="487" t="s">
        <v>243</v>
      </c>
    </row>
    <row r="197" spans="1:18" s="273" customFormat="1" ht="36.75" customHeight="1">
      <c r="A197" s="481" t="s">
        <v>2296</v>
      </c>
      <c r="B197" s="482" t="s">
        <v>192</v>
      </c>
      <c r="C197" s="483" t="s">
        <v>17</v>
      </c>
      <c r="D197" s="484">
        <v>137462</v>
      </c>
      <c r="E197" s="484"/>
      <c r="F197" s="484">
        <f t="shared" si="28"/>
        <v>207085.17276800002</v>
      </c>
      <c r="G197" s="484">
        <f>'數量計算(FOR4變)'!I358</f>
        <v>207085.17276800002</v>
      </c>
      <c r="H197" s="484">
        <f t="shared" si="29"/>
        <v>69623.172768000019</v>
      </c>
      <c r="I197" s="484">
        <f t="shared" si="30"/>
        <v>2534283.4900000002</v>
      </c>
      <c r="J197" s="485"/>
      <c r="K197" s="485"/>
      <c r="L197" s="484">
        <v>36.4</v>
      </c>
      <c r="M197" s="484">
        <v>0</v>
      </c>
      <c r="N197" s="484">
        <v>137462</v>
      </c>
      <c r="O197" s="484">
        <v>0</v>
      </c>
      <c r="P197" s="484">
        <v>5003616.8</v>
      </c>
      <c r="Q197" s="486" t="s">
        <v>242</v>
      </c>
      <c r="R197" s="487" t="s">
        <v>243</v>
      </c>
    </row>
    <row r="198" spans="1:18" s="273" customFormat="1" ht="36.75" customHeight="1">
      <c r="A198" s="481" t="s">
        <v>2297</v>
      </c>
      <c r="B198" s="482" t="s">
        <v>530</v>
      </c>
      <c r="C198" s="483" t="s">
        <v>17</v>
      </c>
      <c r="D198" s="484">
        <v>116638</v>
      </c>
      <c r="E198" s="484"/>
      <c r="F198" s="484">
        <f t="shared" si="28"/>
        <v>168230.73</v>
      </c>
      <c r="G198" s="484">
        <f>'數量計算(FOR4變)'!I363</f>
        <v>168230.73</v>
      </c>
      <c r="H198" s="484">
        <f t="shared" si="29"/>
        <v>51592.73000000001</v>
      </c>
      <c r="I198" s="484">
        <f t="shared" si="30"/>
        <v>1997154.58</v>
      </c>
      <c r="J198" s="485"/>
      <c r="K198" s="485"/>
      <c r="L198" s="484">
        <v>38.71</v>
      </c>
      <c r="M198" s="484">
        <v>0</v>
      </c>
      <c r="N198" s="484">
        <v>116638</v>
      </c>
      <c r="O198" s="484">
        <v>0</v>
      </c>
      <c r="P198" s="484">
        <v>4515056.9800000004</v>
      </c>
      <c r="Q198" s="486" t="s">
        <v>242</v>
      </c>
      <c r="R198" s="487" t="s">
        <v>243</v>
      </c>
    </row>
    <row r="199" spans="1:18" s="273" customFormat="1" ht="36.75" customHeight="1">
      <c r="A199" s="481" t="s">
        <v>2298</v>
      </c>
      <c r="B199" s="482" t="s">
        <v>628</v>
      </c>
      <c r="C199" s="483" t="s">
        <v>8</v>
      </c>
      <c r="D199" s="484">
        <v>112</v>
      </c>
      <c r="E199" s="484"/>
      <c r="F199" s="484">
        <f>G199</f>
        <v>0</v>
      </c>
      <c r="G199" s="484">
        <v>0</v>
      </c>
      <c r="H199" s="484"/>
      <c r="I199" s="484"/>
      <c r="J199" s="485">
        <f>G199-D199</f>
        <v>-112</v>
      </c>
      <c r="K199" s="554">
        <f>ROUND(J199*L199,2)</f>
        <v>-320969.59999999998</v>
      </c>
      <c r="L199" s="484">
        <v>2865.8</v>
      </c>
      <c r="M199" s="484">
        <v>0</v>
      </c>
      <c r="N199" s="484">
        <v>0</v>
      </c>
      <c r="O199" s="484">
        <v>0</v>
      </c>
      <c r="P199" s="484">
        <v>0</v>
      </c>
      <c r="Q199" s="486" t="s">
        <v>242</v>
      </c>
      <c r="R199" s="487" t="s">
        <v>243</v>
      </c>
    </row>
    <row r="200" spans="1:18" ht="36.75" customHeight="1">
      <c r="A200" s="381" t="s">
        <v>2299</v>
      </c>
      <c r="B200" s="382" t="s">
        <v>630</v>
      </c>
      <c r="C200" s="383" t="s">
        <v>0</v>
      </c>
      <c r="D200" s="384">
        <v>47</v>
      </c>
      <c r="E200" s="384"/>
      <c r="F200" s="384">
        <f>D200</f>
        <v>47</v>
      </c>
      <c r="G200" s="384"/>
      <c r="H200" s="384"/>
      <c r="I200" s="384"/>
      <c r="J200" s="392"/>
      <c r="K200" s="392"/>
      <c r="L200" s="384">
        <v>1477.97</v>
      </c>
      <c r="M200" s="384">
        <v>0</v>
      </c>
      <c r="N200" s="384">
        <v>2</v>
      </c>
      <c r="O200" s="384">
        <v>0</v>
      </c>
      <c r="P200" s="384">
        <v>2955.94</v>
      </c>
      <c r="Q200" s="385" t="s">
        <v>242</v>
      </c>
      <c r="R200" s="380" t="s">
        <v>243</v>
      </c>
    </row>
    <row r="201" spans="1:18" ht="36.75" customHeight="1">
      <c r="A201" s="381" t="s">
        <v>2300</v>
      </c>
      <c r="B201" s="382" t="s">
        <v>632</v>
      </c>
      <c r="C201" s="383" t="s">
        <v>8</v>
      </c>
      <c r="D201" s="384">
        <v>148</v>
      </c>
      <c r="E201" s="384"/>
      <c r="F201" s="384">
        <f t="shared" ref="F201:F202" si="31">D201</f>
        <v>148</v>
      </c>
      <c r="G201" s="384"/>
      <c r="H201" s="384"/>
      <c r="I201" s="384"/>
      <c r="J201" s="392"/>
      <c r="K201" s="392"/>
      <c r="L201" s="384">
        <v>151.71</v>
      </c>
      <c r="M201" s="384">
        <v>0</v>
      </c>
      <c r="N201" s="384">
        <v>3.76</v>
      </c>
      <c r="O201" s="384">
        <v>0</v>
      </c>
      <c r="P201" s="384">
        <v>570.42999999999995</v>
      </c>
      <c r="Q201" s="385" t="s">
        <v>242</v>
      </c>
      <c r="R201" s="380" t="s">
        <v>243</v>
      </c>
    </row>
    <row r="202" spans="1:18" ht="36.75" customHeight="1">
      <c r="A202" s="381" t="s">
        <v>2301</v>
      </c>
      <c r="B202" s="382" t="s">
        <v>634</v>
      </c>
      <c r="C202" s="383" t="s">
        <v>15</v>
      </c>
      <c r="D202" s="384">
        <v>6</v>
      </c>
      <c r="E202" s="384"/>
      <c r="F202" s="384">
        <f t="shared" si="31"/>
        <v>6</v>
      </c>
      <c r="G202" s="384"/>
      <c r="H202" s="384"/>
      <c r="I202" s="384"/>
      <c r="J202" s="392"/>
      <c r="K202" s="392"/>
      <c r="L202" s="384">
        <v>15778.75</v>
      </c>
      <c r="M202" s="384">
        <v>3</v>
      </c>
      <c r="N202" s="384">
        <v>3</v>
      </c>
      <c r="O202" s="384">
        <v>47336.25</v>
      </c>
      <c r="P202" s="384">
        <v>47336.25</v>
      </c>
      <c r="Q202" s="385" t="s">
        <v>242</v>
      </c>
      <c r="R202" s="380" t="s">
        <v>243</v>
      </c>
    </row>
    <row r="203" spans="1:18" s="273" customFormat="1" ht="36.75" customHeight="1">
      <c r="A203" s="481" t="s">
        <v>2302</v>
      </c>
      <c r="B203" s="482" t="s">
        <v>357</v>
      </c>
      <c r="C203" s="483" t="s">
        <v>8</v>
      </c>
      <c r="D203" s="484">
        <v>746</v>
      </c>
      <c r="E203" s="484"/>
      <c r="F203" s="484">
        <f>G203</f>
        <v>400.19999999999993</v>
      </c>
      <c r="G203" s="484">
        <f>'數量計算(FOR4變)'!I371</f>
        <v>400.19999999999993</v>
      </c>
      <c r="H203" s="484"/>
      <c r="I203" s="484"/>
      <c r="J203" s="485">
        <f>G203-D203</f>
        <v>-345.80000000000007</v>
      </c>
      <c r="K203" s="554">
        <f>ROUND(J203*L203,2)</f>
        <v>-48010.87</v>
      </c>
      <c r="L203" s="484">
        <v>138.84</v>
      </c>
      <c r="M203" s="484">
        <v>0</v>
      </c>
      <c r="N203" s="484">
        <v>400.2</v>
      </c>
      <c r="O203" s="484">
        <v>0</v>
      </c>
      <c r="P203" s="484">
        <v>55563.77</v>
      </c>
      <c r="Q203" s="486" t="s">
        <v>242</v>
      </c>
      <c r="R203" s="487" t="s">
        <v>243</v>
      </c>
    </row>
    <row r="204" spans="1:18" s="273" customFormat="1" ht="36.75" customHeight="1">
      <c r="A204" s="481" t="s">
        <v>2303</v>
      </c>
      <c r="B204" s="482" t="s">
        <v>611</v>
      </c>
      <c r="C204" s="483" t="s">
        <v>8</v>
      </c>
      <c r="D204" s="484">
        <v>1740</v>
      </c>
      <c r="E204" s="484">
        <v>1740</v>
      </c>
      <c r="F204" s="484">
        <f>G204</f>
        <v>1440</v>
      </c>
      <c r="G204" s="484">
        <f>'數量計算(FOR4變)'!I372</f>
        <v>1440</v>
      </c>
      <c r="H204" s="484"/>
      <c r="I204" s="484"/>
      <c r="J204" s="485">
        <f>G204-D204</f>
        <v>-300</v>
      </c>
      <c r="K204" s="554">
        <f>ROUND(J204*L204,2)</f>
        <v>-97884</v>
      </c>
      <c r="L204" s="484">
        <v>326.27999999999997</v>
      </c>
      <c r="M204" s="484">
        <v>0</v>
      </c>
      <c r="N204" s="484">
        <v>1240.2</v>
      </c>
      <c r="O204" s="484">
        <v>0</v>
      </c>
      <c r="P204" s="484">
        <v>404652.46</v>
      </c>
      <c r="Q204" s="486" t="s">
        <v>242</v>
      </c>
      <c r="R204" s="487" t="s">
        <v>243</v>
      </c>
    </row>
    <row r="205" spans="1:18" ht="36.75" customHeight="1">
      <c r="A205" s="381" t="s">
        <v>2304</v>
      </c>
      <c r="B205" s="382" t="s">
        <v>222</v>
      </c>
      <c r="C205" s="383" t="s">
        <v>13</v>
      </c>
      <c r="D205" s="384">
        <v>783</v>
      </c>
      <c r="E205" s="384">
        <v>783</v>
      </c>
      <c r="F205" s="384">
        <f>D205</f>
        <v>783</v>
      </c>
      <c r="G205" s="384"/>
      <c r="H205" s="384"/>
      <c r="I205" s="384"/>
      <c r="J205" s="392"/>
      <c r="K205" s="392"/>
      <c r="L205" s="384">
        <v>692.12</v>
      </c>
      <c r="M205" s="384">
        <v>0</v>
      </c>
      <c r="N205" s="384">
        <v>313.2</v>
      </c>
      <c r="O205" s="384">
        <v>0</v>
      </c>
      <c r="P205" s="384">
        <v>216771.98</v>
      </c>
      <c r="Q205" s="385" t="s">
        <v>242</v>
      </c>
      <c r="R205" s="380" t="s">
        <v>243</v>
      </c>
    </row>
    <row r="206" spans="1:18" ht="36.75" customHeight="1">
      <c r="A206" s="381" t="s">
        <v>2305</v>
      </c>
      <c r="B206" s="382" t="s">
        <v>640</v>
      </c>
      <c r="C206" s="383" t="s">
        <v>15</v>
      </c>
      <c r="D206" s="384">
        <v>1</v>
      </c>
      <c r="E206" s="384">
        <v>1</v>
      </c>
      <c r="F206" s="384">
        <f t="shared" ref="F206:F210" si="32">D206</f>
        <v>1</v>
      </c>
      <c r="G206" s="384"/>
      <c r="H206" s="384"/>
      <c r="I206" s="384"/>
      <c r="J206" s="392"/>
      <c r="K206" s="392"/>
      <c r="L206" s="384">
        <v>214228.32</v>
      </c>
      <c r="M206" s="384">
        <v>1</v>
      </c>
      <c r="N206" s="384">
        <v>1</v>
      </c>
      <c r="O206" s="384">
        <v>214228.32</v>
      </c>
      <c r="P206" s="384">
        <v>214228.32</v>
      </c>
      <c r="Q206" s="385" t="s">
        <v>242</v>
      </c>
      <c r="R206" s="380" t="s">
        <v>243</v>
      </c>
    </row>
    <row r="207" spans="1:18" ht="36.75" customHeight="1">
      <c r="A207" s="381" t="s">
        <v>2306</v>
      </c>
      <c r="B207" s="382" t="s">
        <v>643</v>
      </c>
      <c r="C207" s="383" t="s">
        <v>5</v>
      </c>
      <c r="D207" s="384">
        <v>44</v>
      </c>
      <c r="E207" s="384">
        <v>44</v>
      </c>
      <c r="F207" s="384">
        <f t="shared" si="32"/>
        <v>44</v>
      </c>
      <c r="G207" s="384"/>
      <c r="H207" s="384"/>
      <c r="I207" s="384"/>
      <c r="J207" s="392"/>
      <c r="K207" s="392"/>
      <c r="L207" s="384">
        <v>422.28</v>
      </c>
      <c r="M207" s="384">
        <v>0</v>
      </c>
      <c r="N207" s="384">
        <v>20</v>
      </c>
      <c r="O207" s="384">
        <v>0</v>
      </c>
      <c r="P207" s="384">
        <v>8445.6</v>
      </c>
      <c r="Q207" s="385" t="s">
        <v>242</v>
      </c>
      <c r="R207" s="380" t="s">
        <v>243</v>
      </c>
    </row>
    <row r="208" spans="1:18" ht="36.75" customHeight="1">
      <c r="A208" s="381" t="s">
        <v>2379</v>
      </c>
      <c r="B208" s="382" t="s">
        <v>645</v>
      </c>
      <c r="C208" s="383" t="s">
        <v>4</v>
      </c>
      <c r="D208" s="384">
        <v>1</v>
      </c>
      <c r="E208" s="384">
        <v>1</v>
      </c>
      <c r="F208" s="384">
        <f t="shared" si="32"/>
        <v>1</v>
      </c>
      <c r="G208" s="384"/>
      <c r="H208" s="384"/>
      <c r="I208" s="384"/>
      <c r="J208" s="392"/>
      <c r="K208" s="392"/>
      <c r="L208" s="384">
        <v>13631722.119999999</v>
      </c>
      <c r="M208" s="384">
        <v>1</v>
      </c>
      <c r="N208" s="384">
        <v>1</v>
      </c>
      <c r="O208" s="384">
        <v>1970607.98</v>
      </c>
      <c r="P208" s="384">
        <v>1993281.34</v>
      </c>
      <c r="Q208" s="385" t="s">
        <v>242</v>
      </c>
      <c r="R208" s="380" t="s">
        <v>243</v>
      </c>
    </row>
    <row r="209" spans="1:18" ht="36.75" customHeight="1">
      <c r="A209" s="381" t="s">
        <v>2288</v>
      </c>
      <c r="B209" s="382" t="s">
        <v>646</v>
      </c>
      <c r="C209" s="383" t="s">
        <v>6</v>
      </c>
      <c r="D209" s="384">
        <v>230</v>
      </c>
      <c r="E209" s="384">
        <v>230</v>
      </c>
      <c r="F209" s="384">
        <f t="shared" si="32"/>
        <v>230</v>
      </c>
      <c r="G209" s="384"/>
      <c r="H209" s="384"/>
      <c r="I209" s="384"/>
      <c r="J209" s="392"/>
      <c r="K209" s="392"/>
      <c r="L209" s="384">
        <v>7517.15</v>
      </c>
      <c r="M209" s="384">
        <v>0</v>
      </c>
      <c r="N209" s="384">
        <v>0</v>
      </c>
      <c r="O209" s="384">
        <v>0</v>
      </c>
      <c r="P209" s="384">
        <v>0</v>
      </c>
      <c r="Q209" s="385" t="s">
        <v>242</v>
      </c>
      <c r="R209" s="380" t="s">
        <v>243</v>
      </c>
    </row>
    <row r="210" spans="1:18" ht="36.75" customHeight="1">
      <c r="A210" s="381" t="s">
        <v>2289</v>
      </c>
      <c r="B210" s="382" t="s">
        <v>648</v>
      </c>
      <c r="C210" s="383" t="s">
        <v>6</v>
      </c>
      <c r="D210" s="384">
        <v>689</v>
      </c>
      <c r="E210" s="384">
        <v>689</v>
      </c>
      <c r="F210" s="384">
        <f t="shared" si="32"/>
        <v>689</v>
      </c>
      <c r="G210" s="384"/>
      <c r="H210" s="384"/>
      <c r="I210" s="384"/>
      <c r="J210" s="392"/>
      <c r="K210" s="392"/>
      <c r="L210" s="384">
        <v>7496.55</v>
      </c>
      <c r="M210" s="384">
        <v>0</v>
      </c>
      <c r="N210" s="384">
        <v>0</v>
      </c>
      <c r="O210" s="384">
        <v>0</v>
      </c>
      <c r="P210" s="384">
        <v>0</v>
      </c>
      <c r="Q210" s="385" t="s">
        <v>242</v>
      </c>
      <c r="R210" s="380" t="s">
        <v>243</v>
      </c>
    </row>
    <row r="211" spans="1:18" s="273" customFormat="1" ht="36.75" customHeight="1">
      <c r="A211" s="481" t="s">
        <v>2290</v>
      </c>
      <c r="B211" s="482" t="s">
        <v>650</v>
      </c>
      <c r="C211" s="483" t="s">
        <v>13</v>
      </c>
      <c r="D211" s="484">
        <v>4589</v>
      </c>
      <c r="E211" s="484">
        <v>4589</v>
      </c>
      <c r="F211" s="484">
        <f>G211</f>
        <v>5389.42</v>
      </c>
      <c r="G211" s="484">
        <f>'數量計算(FOR4變)'!I381</f>
        <v>5389.42</v>
      </c>
      <c r="H211" s="484">
        <f>G211-D211</f>
        <v>800.42000000000007</v>
      </c>
      <c r="I211" s="484">
        <f t="shared" ref="I211" si="33">ROUND(H211*L211,2)</f>
        <v>9284.8700000000008</v>
      </c>
      <c r="J211" s="485"/>
      <c r="K211" s="485"/>
      <c r="L211" s="484">
        <v>11.6</v>
      </c>
      <c r="M211" s="484">
        <v>0</v>
      </c>
      <c r="N211" s="484">
        <v>1954.6</v>
      </c>
      <c r="O211" s="484">
        <v>0</v>
      </c>
      <c r="P211" s="484">
        <v>22673.360000000001</v>
      </c>
      <c r="Q211" s="486" t="s">
        <v>242</v>
      </c>
      <c r="R211" s="487" t="s">
        <v>243</v>
      </c>
    </row>
    <row r="212" spans="1:18" ht="36.75" customHeight="1">
      <c r="A212" s="381" t="s">
        <v>2291</v>
      </c>
      <c r="B212" s="382" t="s">
        <v>652</v>
      </c>
      <c r="C212" s="383" t="s">
        <v>13</v>
      </c>
      <c r="D212" s="384">
        <v>4589</v>
      </c>
      <c r="E212" s="384">
        <v>4589</v>
      </c>
      <c r="F212" s="384">
        <f>D212</f>
        <v>4589</v>
      </c>
      <c r="G212" s="384"/>
      <c r="H212" s="384"/>
      <c r="I212" s="384"/>
      <c r="J212" s="392"/>
      <c r="K212" s="392"/>
      <c r="L212" s="384">
        <v>42.46</v>
      </c>
      <c r="M212" s="384">
        <v>0</v>
      </c>
      <c r="N212" s="384">
        <v>0</v>
      </c>
      <c r="O212" s="384">
        <v>0</v>
      </c>
      <c r="P212" s="384">
        <v>0</v>
      </c>
      <c r="Q212" s="385" t="s">
        <v>242</v>
      </c>
      <c r="R212" s="380" t="s">
        <v>243</v>
      </c>
    </row>
    <row r="213" spans="1:18" ht="36.75" customHeight="1">
      <c r="A213" s="381" t="s">
        <v>2292</v>
      </c>
      <c r="B213" s="382" t="s">
        <v>204</v>
      </c>
      <c r="C213" s="383" t="s">
        <v>13</v>
      </c>
      <c r="D213" s="384">
        <v>13765</v>
      </c>
      <c r="E213" s="384">
        <v>13765</v>
      </c>
      <c r="F213" s="384">
        <f>D213</f>
        <v>13765</v>
      </c>
      <c r="G213" s="384"/>
      <c r="H213" s="384"/>
      <c r="I213" s="384"/>
      <c r="J213" s="392"/>
      <c r="K213" s="392"/>
      <c r="L213" s="384">
        <v>15.96</v>
      </c>
      <c r="M213" s="384">
        <v>0</v>
      </c>
      <c r="N213" s="384">
        <v>0</v>
      </c>
      <c r="O213" s="384">
        <v>0</v>
      </c>
      <c r="P213" s="384">
        <v>0</v>
      </c>
      <c r="Q213" s="385" t="s">
        <v>242</v>
      </c>
      <c r="R213" s="380" t="s">
        <v>243</v>
      </c>
    </row>
    <row r="214" spans="1:18" ht="36.75" customHeight="1">
      <c r="A214" s="381" t="s">
        <v>2293</v>
      </c>
      <c r="B214" s="585" t="s">
        <v>315</v>
      </c>
      <c r="C214" s="383" t="s">
        <v>6</v>
      </c>
      <c r="D214" s="384">
        <v>49</v>
      </c>
      <c r="E214" s="384">
        <v>49</v>
      </c>
      <c r="F214" s="384">
        <f>E214</f>
        <v>49</v>
      </c>
      <c r="G214" s="384"/>
      <c r="H214" s="384"/>
      <c r="I214" s="384"/>
      <c r="J214" s="392"/>
      <c r="K214" s="392"/>
      <c r="L214" s="384">
        <v>3114.97</v>
      </c>
      <c r="M214" s="384">
        <v>4.5</v>
      </c>
      <c r="N214" s="384">
        <v>4.5</v>
      </c>
      <c r="O214" s="384">
        <v>14017.37</v>
      </c>
      <c r="P214" s="384">
        <v>14017.37</v>
      </c>
      <c r="Q214" s="385" t="s">
        <v>242</v>
      </c>
      <c r="R214" s="380" t="s">
        <v>243</v>
      </c>
    </row>
    <row r="215" spans="1:18" ht="36.75" customHeight="1">
      <c r="A215" s="481" t="s">
        <v>2294</v>
      </c>
      <c r="B215" s="482" t="s">
        <v>24</v>
      </c>
      <c r="C215" s="483" t="s">
        <v>6</v>
      </c>
      <c r="D215" s="484">
        <v>328</v>
      </c>
      <c r="E215" s="484">
        <v>328</v>
      </c>
      <c r="F215" s="484">
        <f t="shared" ref="F215:F217" si="34">G215</f>
        <v>494.41999999999996</v>
      </c>
      <c r="G215" s="484">
        <f>'數量計算(FOR4變)'!I387</f>
        <v>494.41999999999996</v>
      </c>
      <c r="H215" s="484">
        <f>G215-D215</f>
        <v>166.41999999999996</v>
      </c>
      <c r="I215" s="484">
        <f t="shared" ref="I215:I216" si="35">ROUND(H215*L215,2)</f>
        <v>552674.16</v>
      </c>
      <c r="J215" s="485"/>
      <c r="K215" s="485"/>
      <c r="L215" s="484">
        <v>3320.96</v>
      </c>
      <c r="M215" s="484">
        <v>63.5</v>
      </c>
      <c r="N215" s="484">
        <v>63.5</v>
      </c>
      <c r="O215" s="484">
        <v>210880.96</v>
      </c>
      <c r="P215" s="484">
        <v>210880.96</v>
      </c>
      <c r="Q215" s="486" t="s">
        <v>242</v>
      </c>
      <c r="R215" s="380" t="s">
        <v>243</v>
      </c>
    </row>
    <row r="216" spans="1:18" ht="36.75" customHeight="1">
      <c r="A216" s="481" t="s">
        <v>2295</v>
      </c>
      <c r="B216" s="482" t="s">
        <v>595</v>
      </c>
      <c r="C216" s="483" t="s">
        <v>6</v>
      </c>
      <c r="D216" s="484">
        <v>377</v>
      </c>
      <c r="E216" s="484">
        <v>377</v>
      </c>
      <c r="F216" s="484">
        <f t="shared" si="34"/>
        <v>543.41999999999996</v>
      </c>
      <c r="G216" s="484">
        <f>'數量計算(FOR4變)'!I389</f>
        <v>543.41999999999996</v>
      </c>
      <c r="H216" s="484">
        <f>G216-D216</f>
        <v>166.41999999999996</v>
      </c>
      <c r="I216" s="484">
        <f t="shared" si="35"/>
        <v>33282.339999999997</v>
      </c>
      <c r="J216" s="485"/>
      <c r="K216" s="485"/>
      <c r="L216" s="484">
        <v>199.99</v>
      </c>
      <c r="M216" s="484">
        <v>68</v>
      </c>
      <c r="N216" s="484">
        <v>68</v>
      </c>
      <c r="O216" s="484">
        <v>13599.32</v>
      </c>
      <c r="P216" s="484">
        <v>13599.32</v>
      </c>
      <c r="Q216" s="486" t="s">
        <v>242</v>
      </c>
      <c r="R216" s="380" t="s">
        <v>243</v>
      </c>
    </row>
    <row r="217" spans="1:18" ht="36.75" customHeight="1">
      <c r="A217" s="481" t="s">
        <v>2296</v>
      </c>
      <c r="B217" s="482" t="s">
        <v>626</v>
      </c>
      <c r="C217" s="483" t="s">
        <v>13</v>
      </c>
      <c r="D217" s="484">
        <v>867</v>
      </c>
      <c r="E217" s="484">
        <v>867</v>
      </c>
      <c r="F217" s="484">
        <f t="shared" si="34"/>
        <v>889.83</v>
      </c>
      <c r="G217" s="484">
        <f>'數量計算(FOR4變)'!I390</f>
        <v>889.83</v>
      </c>
      <c r="H217" s="484">
        <f t="shared" ref="H217" si="36">G217-D217</f>
        <v>22.830000000000041</v>
      </c>
      <c r="I217" s="484">
        <f t="shared" ref="I217" si="37">ROUND(H217*L217,2)</f>
        <v>15941.73</v>
      </c>
      <c r="J217" s="485"/>
      <c r="K217" s="485"/>
      <c r="L217" s="484">
        <v>698.28</v>
      </c>
      <c r="M217" s="484">
        <v>120</v>
      </c>
      <c r="N217" s="484">
        <v>120</v>
      </c>
      <c r="O217" s="484">
        <v>83793.600000000006</v>
      </c>
      <c r="P217" s="484">
        <v>83793.600000000006</v>
      </c>
      <c r="Q217" s="486" t="s">
        <v>242</v>
      </c>
      <c r="R217" s="380" t="s">
        <v>243</v>
      </c>
    </row>
    <row r="218" spans="1:18" ht="36.75" customHeight="1">
      <c r="A218" s="381" t="s">
        <v>2297</v>
      </c>
      <c r="B218" s="585" t="s">
        <v>193</v>
      </c>
      <c r="C218" s="383" t="s">
        <v>13</v>
      </c>
      <c r="D218" s="384">
        <v>1257</v>
      </c>
      <c r="E218" s="384">
        <v>1257</v>
      </c>
      <c r="F218" s="384">
        <f>E218</f>
        <v>1257</v>
      </c>
      <c r="G218" s="384">
        <f>'數量計算(FOR4變)'!I392</f>
        <v>1208.78</v>
      </c>
      <c r="H218" s="384"/>
      <c r="I218" s="384"/>
      <c r="J218" s="392"/>
      <c r="K218" s="392"/>
      <c r="L218" s="384">
        <v>533.61</v>
      </c>
      <c r="M218" s="384">
        <v>185</v>
      </c>
      <c r="N218" s="384">
        <v>185</v>
      </c>
      <c r="O218" s="384">
        <v>98717.85</v>
      </c>
      <c r="P218" s="384">
        <v>98717.85</v>
      </c>
      <c r="Q218" s="553" t="s">
        <v>2741</v>
      </c>
      <c r="R218" s="380" t="s">
        <v>243</v>
      </c>
    </row>
    <row r="219" spans="1:18" ht="36.75" customHeight="1">
      <c r="A219" s="481" t="s">
        <v>2298</v>
      </c>
      <c r="B219" s="482" t="s">
        <v>192</v>
      </c>
      <c r="C219" s="483" t="s">
        <v>17</v>
      </c>
      <c r="D219" s="484">
        <v>12810</v>
      </c>
      <c r="E219" s="484">
        <v>12810</v>
      </c>
      <c r="F219" s="484">
        <f>G219</f>
        <v>46866.82</v>
      </c>
      <c r="G219" s="484">
        <f>'數量計算(FOR4變)'!I394</f>
        <v>46866.82</v>
      </c>
      <c r="H219" s="484">
        <f t="shared" ref="H219" si="38">G219-D219</f>
        <v>34056.82</v>
      </c>
      <c r="I219" s="484">
        <f t="shared" ref="I219" si="39">ROUND(H219*L219,2)</f>
        <v>1239668.25</v>
      </c>
      <c r="J219" s="485"/>
      <c r="K219" s="485"/>
      <c r="L219" s="484">
        <v>36.4</v>
      </c>
      <c r="M219" s="484">
        <v>7012</v>
      </c>
      <c r="N219" s="484">
        <v>7012</v>
      </c>
      <c r="O219" s="484">
        <v>255236.8</v>
      </c>
      <c r="P219" s="484">
        <v>255236.8</v>
      </c>
      <c r="Q219" s="486" t="s">
        <v>242</v>
      </c>
      <c r="R219" s="380" t="s">
        <v>243</v>
      </c>
    </row>
    <row r="220" spans="1:18" ht="36.75" customHeight="1">
      <c r="A220" s="381" t="s">
        <v>2299</v>
      </c>
      <c r="B220" s="382" t="s">
        <v>655</v>
      </c>
      <c r="C220" s="383" t="s">
        <v>15</v>
      </c>
      <c r="D220" s="384">
        <v>158</v>
      </c>
      <c r="E220" s="384">
        <v>158</v>
      </c>
      <c r="F220" s="384">
        <f>D220</f>
        <v>158</v>
      </c>
      <c r="G220" s="384"/>
      <c r="H220" s="384"/>
      <c r="I220" s="384"/>
      <c r="J220" s="392"/>
      <c r="K220" s="392"/>
      <c r="L220" s="384">
        <v>3615.1</v>
      </c>
      <c r="M220" s="384">
        <v>16</v>
      </c>
      <c r="N220" s="384">
        <v>16</v>
      </c>
      <c r="O220" s="384">
        <v>57841.599999999999</v>
      </c>
      <c r="P220" s="384">
        <v>57841.599999999999</v>
      </c>
      <c r="Q220" s="385" t="s">
        <v>242</v>
      </c>
      <c r="R220" s="380" t="s">
        <v>243</v>
      </c>
    </row>
    <row r="221" spans="1:18" ht="36.75" customHeight="1">
      <c r="A221" s="381" t="s">
        <v>2300</v>
      </c>
      <c r="B221" s="382" t="s">
        <v>657</v>
      </c>
      <c r="C221" s="383" t="s">
        <v>17</v>
      </c>
      <c r="D221" s="384">
        <v>3713</v>
      </c>
      <c r="E221" s="384">
        <v>3713</v>
      </c>
      <c r="F221" s="384">
        <f t="shared" ref="F221:F222" si="40">D221</f>
        <v>3713</v>
      </c>
      <c r="G221" s="384"/>
      <c r="H221" s="384"/>
      <c r="I221" s="384"/>
      <c r="J221" s="392"/>
      <c r="K221" s="392"/>
      <c r="L221" s="384">
        <v>107.44</v>
      </c>
      <c r="M221" s="384">
        <v>376</v>
      </c>
      <c r="N221" s="384">
        <v>376</v>
      </c>
      <c r="O221" s="384">
        <v>40397.440000000002</v>
      </c>
      <c r="P221" s="384">
        <v>40397.440000000002</v>
      </c>
      <c r="Q221" s="385" t="s">
        <v>242</v>
      </c>
      <c r="R221" s="380" t="s">
        <v>243</v>
      </c>
    </row>
    <row r="222" spans="1:18" ht="36.75" customHeight="1">
      <c r="A222" s="381" t="s">
        <v>2301</v>
      </c>
      <c r="B222" s="382" t="s">
        <v>357</v>
      </c>
      <c r="C222" s="383" t="s">
        <v>8</v>
      </c>
      <c r="D222" s="384">
        <v>155</v>
      </c>
      <c r="E222" s="384">
        <v>155</v>
      </c>
      <c r="F222" s="384">
        <f t="shared" si="40"/>
        <v>155</v>
      </c>
      <c r="G222" s="384"/>
      <c r="H222" s="384"/>
      <c r="I222" s="384"/>
      <c r="J222" s="392"/>
      <c r="K222" s="392"/>
      <c r="L222" s="384">
        <v>138.84</v>
      </c>
      <c r="M222" s="384">
        <v>0</v>
      </c>
      <c r="N222" s="384">
        <v>0</v>
      </c>
      <c r="O222" s="384">
        <v>0</v>
      </c>
      <c r="P222" s="384">
        <v>0</v>
      </c>
      <c r="Q222" s="385" t="s">
        <v>242</v>
      </c>
      <c r="R222" s="380" t="s">
        <v>243</v>
      </c>
    </row>
    <row r="223" spans="1:18" ht="36.75" customHeight="1">
      <c r="A223" s="381" t="s">
        <v>2302</v>
      </c>
      <c r="B223" s="382" t="s">
        <v>1497</v>
      </c>
      <c r="C223" s="383" t="s">
        <v>223</v>
      </c>
      <c r="D223" s="384">
        <v>0</v>
      </c>
      <c r="E223" s="384">
        <v>1376.7</v>
      </c>
      <c r="F223" s="384">
        <f>E223</f>
        <v>1376.7</v>
      </c>
      <c r="G223" s="384"/>
      <c r="H223" s="384"/>
      <c r="I223" s="384"/>
      <c r="J223" s="392"/>
      <c r="K223" s="392"/>
      <c r="L223" s="384">
        <v>1288.28</v>
      </c>
      <c r="M223" s="384">
        <v>888</v>
      </c>
      <c r="N223" s="384">
        <v>888</v>
      </c>
      <c r="O223" s="384">
        <v>1143992.6399999999</v>
      </c>
      <c r="P223" s="384">
        <v>1143992.6399999999</v>
      </c>
      <c r="Q223" s="385" t="s">
        <v>242</v>
      </c>
      <c r="R223" s="380" t="s">
        <v>243</v>
      </c>
    </row>
    <row r="224" spans="1:18" ht="36.75" customHeight="1">
      <c r="A224" s="381" t="s">
        <v>2303</v>
      </c>
      <c r="B224" s="585" t="s">
        <v>1498</v>
      </c>
      <c r="C224" s="383" t="s">
        <v>13</v>
      </c>
      <c r="D224" s="384">
        <v>0</v>
      </c>
      <c r="E224" s="384">
        <v>512.1</v>
      </c>
      <c r="F224" s="384">
        <f>E224</f>
        <v>512.1</v>
      </c>
      <c r="G224" s="384"/>
      <c r="H224" s="384"/>
      <c r="I224" s="384"/>
      <c r="J224" s="392"/>
      <c r="K224" s="392"/>
      <c r="L224" s="384">
        <v>868.84</v>
      </c>
      <c r="M224" s="384">
        <v>60</v>
      </c>
      <c r="N224" s="384">
        <v>60</v>
      </c>
      <c r="O224" s="384">
        <v>52130.400000000001</v>
      </c>
      <c r="P224" s="384">
        <v>52130.400000000001</v>
      </c>
      <c r="Q224" s="553" t="s">
        <v>2741</v>
      </c>
      <c r="R224" s="380" t="s">
        <v>243</v>
      </c>
    </row>
    <row r="225" spans="1:18" ht="36.75" customHeight="1">
      <c r="A225" s="381" t="s">
        <v>2380</v>
      </c>
      <c r="B225" s="382" t="s">
        <v>660</v>
      </c>
      <c r="C225" s="383" t="s">
        <v>4</v>
      </c>
      <c r="D225" s="384">
        <v>1</v>
      </c>
      <c r="E225" s="384"/>
      <c r="F225" s="384"/>
      <c r="G225" s="384"/>
      <c r="H225" s="384"/>
      <c r="I225" s="384"/>
      <c r="J225" s="392"/>
      <c r="K225" s="392"/>
      <c r="L225" s="384">
        <v>5797339.8099999996</v>
      </c>
      <c r="M225" s="384">
        <v>1</v>
      </c>
      <c r="N225" s="384">
        <v>1</v>
      </c>
      <c r="O225" s="384">
        <v>163188</v>
      </c>
      <c r="P225" s="384">
        <v>4259100.5199999996</v>
      </c>
      <c r="Q225" s="385" t="s">
        <v>242</v>
      </c>
      <c r="R225" s="380" t="s">
        <v>243</v>
      </c>
    </row>
    <row r="226" spans="1:18" s="273" customFormat="1" ht="36.75" customHeight="1">
      <c r="A226" s="481" t="s">
        <v>2288</v>
      </c>
      <c r="B226" s="482" t="s">
        <v>662</v>
      </c>
      <c r="C226" s="483" t="s">
        <v>223</v>
      </c>
      <c r="D226" s="484">
        <v>1</v>
      </c>
      <c r="E226" s="484">
        <v>1</v>
      </c>
      <c r="F226" s="484">
        <v>1</v>
      </c>
      <c r="G226" s="484">
        <f>'數量計算(FOR4變)'!I402</f>
        <v>2408.8100000000004</v>
      </c>
      <c r="H226" s="484">
        <f>G226-E226</f>
        <v>2407.8100000000004</v>
      </c>
      <c r="I226" s="484">
        <f t="shared" ref="I226" si="41">ROUND(H226*L226,2)</f>
        <v>1696253.99</v>
      </c>
      <c r="J226" s="485"/>
      <c r="K226" s="485"/>
      <c r="L226" s="484">
        <v>704.48</v>
      </c>
      <c r="M226" s="484">
        <v>0</v>
      </c>
      <c r="N226" s="484">
        <v>0</v>
      </c>
      <c r="O226" s="484">
        <v>0</v>
      </c>
      <c r="P226" s="484">
        <v>0</v>
      </c>
      <c r="Q226" s="488" t="s">
        <v>2680</v>
      </c>
      <c r="R226" s="487" t="s">
        <v>243</v>
      </c>
    </row>
    <row r="227" spans="1:18" ht="36.75" customHeight="1">
      <c r="A227" s="381" t="s">
        <v>2289</v>
      </c>
      <c r="B227" s="382" t="s">
        <v>665</v>
      </c>
      <c r="C227" s="383" t="s">
        <v>5</v>
      </c>
      <c r="D227" s="384">
        <v>1</v>
      </c>
      <c r="E227" s="384">
        <v>1</v>
      </c>
      <c r="F227" s="384">
        <f>D227</f>
        <v>1</v>
      </c>
      <c r="G227" s="384"/>
      <c r="H227" s="384"/>
      <c r="I227" s="384"/>
      <c r="J227" s="392"/>
      <c r="K227" s="392"/>
      <c r="L227" s="384">
        <v>399.98</v>
      </c>
      <c r="M227" s="384">
        <v>0</v>
      </c>
      <c r="N227" s="384">
        <v>0</v>
      </c>
      <c r="O227" s="384">
        <v>0</v>
      </c>
      <c r="P227" s="384">
        <v>0</v>
      </c>
      <c r="Q227" s="385" t="s">
        <v>242</v>
      </c>
      <c r="R227" s="380" t="s">
        <v>243</v>
      </c>
    </row>
    <row r="228" spans="1:18" ht="36.75" customHeight="1">
      <c r="A228" s="381" t="s">
        <v>2290</v>
      </c>
      <c r="B228" s="382" t="s">
        <v>668</v>
      </c>
      <c r="C228" s="383" t="s">
        <v>669</v>
      </c>
      <c r="D228" s="384">
        <v>1</v>
      </c>
      <c r="E228" s="384">
        <v>14</v>
      </c>
      <c r="F228" s="384">
        <f>E228</f>
        <v>14</v>
      </c>
      <c r="G228" s="384"/>
      <c r="H228" s="384"/>
      <c r="I228" s="384"/>
      <c r="J228" s="392"/>
      <c r="K228" s="392"/>
      <c r="L228" s="384">
        <v>3569.75</v>
      </c>
      <c r="M228" s="384">
        <v>0</v>
      </c>
      <c r="N228" s="384">
        <v>14</v>
      </c>
      <c r="O228" s="384">
        <v>0</v>
      </c>
      <c r="P228" s="384">
        <v>49976.5</v>
      </c>
      <c r="Q228" s="385" t="s">
        <v>242</v>
      </c>
      <c r="R228" s="380" t="s">
        <v>243</v>
      </c>
    </row>
    <row r="229" spans="1:18" ht="36.75" customHeight="1">
      <c r="A229" s="381" t="s">
        <v>2291</v>
      </c>
      <c r="B229" s="382" t="s">
        <v>672</v>
      </c>
      <c r="C229" s="383" t="s">
        <v>669</v>
      </c>
      <c r="D229" s="384">
        <v>1</v>
      </c>
      <c r="E229" s="384">
        <v>2</v>
      </c>
      <c r="F229" s="384">
        <f t="shared" ref="F229:F234" si="42">E229</f>
        <v>2</v>
      </c>
      <c r="G229" s="384"/>
      <c r="H229" s="384"/>
      <c r="I229" s="384"/>
      <c r="J229" s="392"/>
      <c r="K229" s="392"/>
      <c r="L229" s="384">
        <v>4082.87</v>
      </c>
      <c r="M229" s="384">
        <v>0</v>
      </c>
      <c r="N229" s="384">
        <v>2</v>
      </c>
      <c r="O229" s="384">
        <v>0</v>
      </c>
      <c r="P229" s="384">
        <v>8165.74</v>
      </c>
      <c r="Q229" s="385" t="s">
        <v>242</v>
      </c>
      <c r="R229" s="380" t="s">
        <v>243</v>
      </c>
    </row>
    <row r="230" spans="1:18" ht="36.75" customHeight="1">
      <c r="A230" s="381" t="s">
        <v>2292</v>
      </c>
      <c r="B230" s="382" t="s">
        <v>675</v>
      </c>
      <c r="C230" s="383" t="s">
        <v>669</v>
      </c>
      <c r="D230" s="384">
        <v>1</v>
      </c>
      <c r="E230" s="384">
        <v>6</v>
      </c>
      <c r="F230" s="384">
        <f t="shared" si="42"/>
        <v>6</v>
      </c>
      <c r="G230" s="384"/>
      <c r="H230" s="384"/>
      <c r="I230" s="384"/>
      <c r="J230" s="392"/>
      <c r="K230" s="392"/>
      <c r="L230" s="384">
        <v>7408.14</v>
      </c>
      <c r="M230" s="384">
        <v>0</v>
      </c>
      <c r="N230" s="384">
        <v>6</v>
      </c>
      <c r="O230" s="384">
        <v>0</v>
      </c>
      <c r="P230" s="384">
        <v>44448.84</v>
      </c>
      <c r="Q230" s="385" t="s">
        <v>242</v>
      </c>
      <c r="R230" s="380" t="s">
        <v>243</v>
      </c>
    </row>
    <row r="231" spans="1:18" ht="36.75" customHeight="1">
      <c r="A231" s="381" t="s">
        <v>2293</v>
      </c>
      <c r="B231" s="382" t="s">
        <v>678</v>
      </c>
      <c r="C231" s="383" t="s">
        <v>669</v>
      </c>
      <c r="D231" s="384">
        <v>1</v>
      </c>
      <c r="E231" s="384">
        <v>8</v>
      </c>
      <c r="F231" s="384">
        <f t="shared" si="42"/>
        <v>8</v>
      </c>
      <c r="G231" s="384"/>
      <c r="H231" s="384"/>
      <c r="I231" s="384"/>
      <c r="J231" s="392"/>
      <c r="K231" s="392"/>
      <c r="L231" s="384">
        <v>10318.74</v>
      </c>
      <c r="M231" s="384">
        <v>0</v>
      </c>
      <c r="N231" s="384">
        <v>8</v>
      </c>
      <c r="O231" s="384">
        <v>0</v>
      </c>
      <c r="P231" s="384">
        <v>82549.919999999998</v>
      </c>
      <c r="Q231" s="385" t="s">
        <v>242</v>
      </c>
      <c r="R231" s="380" t="s">
        <v>243</v>
      </c>
    </row>
    <row r="232" spans="1:18" ht="36.75" customHeight="1">
      <c r="A232" s="381" t="s">
        <v>2294</v>
      </c>
      <c r="B232" s="382" t="s">
        <v>681</v>
      </c>
      <c r="C232" s="383" t="s">
        <v>669</v>
      </c>
      <c r="D232" s="384">
        <v>1</v>
      </c>
      <c r="E232" s="384">
        <v>5</v>
      </c>
      <c r="F232" s="384">
        <f t="shared" si="42"/>
        <v>5</v>
      </c>
      <c r="G232" s="384"/>
      <c r="H232" s="384"/>
      <c r="I232" s="384"/>
      <c r="J232" s="392"/>
      <c r="K232" s="392"/>
      <c r="L232" s="384">
        <v>15163.34</v>
      </c>
      <c r="M232" s="384">
        <v>0</v>
      </c>
      <c r="N232" s="384">
        <v>5</v>
      </c>
      <c r="O232" s="384">
        <v>0</v>
      </c>
      <c r="P232" s="384">
        <v>75816.7</v>
      </c>
      <c r="Q232" s="385" t="s">
        <v>242</v>
      </c>
      <c r="R232" s="380" t="s">
        <v>243</v>
      </c>
    </row>
    <row r="233" spans="1:18" ht="36.75" customHeight="1">
      <c r="A233" s="381" t="s">
        <v>2295</v>
      </c>
      <c r="B233" s="382" t="s">
        <v>684</v>
      </c>
      <c r="C233" s="383" t="s">
        <v>669</v>
      </c>
      <c r="D233" s="384">
        <v>1</v>
      </c>
      <c r="E233" s="384">
        <v>3</v>
      </c>
      <c r="F233" s="384">
        <f t="shared" si="42"/>
        <v>3</v>
      </c>
      <c r="G233" s="384"/>
      <c r="H233" s="384"/>
      <c r="I233" s="384"/>
      <c r="J233" s="392"/>
      <c r="K233" s="392"/>
      <c r="L233" s="384">
        <v>21801.91</v>
      </c>
      <c r="M233" s="384">
        <v>0</v>
      </c>
      <c r="N233" s="384">
        <v>3</v>
      </c>
      <c r="O233" s="384">
        <v>0</v>
      </c>
      <c r="P233" s="384">
        <v>65405.73</v>
      </c>
      <c r="Q233" s="385" t="s">
        <v>242</v>
      </c>
      <c r="R233" s="380" t="s">
        <v>243</v>
      </c>
    </row>
    <row r="234" spans="1:18" ht="36.75" customHeight="1">
      <c r="A234" s="381" t="s">
        <v>2296</v>
      </c>
      <c r="B234" s="382" t="s">
        <v>687</v>
      </c>
      <c r="C234" s="383" t="s">
        <v>669</v>
      </c>
      <c r="D234" s="384">
        <v>1</v>
      </c>
      <c r="E234" s="384">
        <v>2</v>
      </c>
      <c r="F234" s="384">
        <f t="shared" si="42"/>
        <v>2</v>
      </c>
      <c r="G234" s="384"/>
      <c r="H234" s="384"/>
      <c r="I234" s="384"/>
      <c r="J234" s="392"/>
      <c r="K234" s="392"/>
      <c r="L234" s="384">
        <v>29983.23</v>
      </c>
      <c r="M234" s="384">
        <v>0</v>
      </c>
      <c r="N234" s="384">
        <v>2</v>
      </c>
      <c r="O234" s="384">
        <v>0</v>
      </c>
      <c r="P234" s="384">
        <v>59966.46</v>
      </c>
      <c r="Q234" s="385" t="s">
        <v>242</v>
      </c>
      <c r="R234" s="380" t="s">
        <v>243</v>
      </c>
    </row>
    <row r="235" spans="1:18" ht="36.75" customHeight="1">
      <c r="A235" s="381" t="s">
        <v>2297</v>
      </c>
      <c r="B235" s="382" t="s">
        <v>690</v>
      </c>
      <c r="C235" s="383" t="s">
        <v>669</v>
      </c>
      <c r="D235" s="384">
        <v>1</v>
      </c>
      <c r="E235" s="384">
        <v>1</v>
      </c>
      <c r="F235" s="384">
        <f>D235</f>
        <v>1</v>
      </c>
      <c r="G235" s="384"/>
      <c r="H235" s="384"/>
      <c r="I235" s="384"/>
      <c r="J235" s="392"/>
      <c r="K235" s="392"/>
      <c r="L235" s="384">
        <v>28372.400000000001</v>
      </c>
      <c r="M235" s="384">
        <v>0</v>
      </c>
      <c r="N235" s="384">
        <v>1</v>
      </c>
      <c r="O235" s="384">
        <v>0</v>
      </c>
      <c r="P235" s="384">
        <v>28372.400000000001</v>
      </c>
      <c r="Q235" s="385" t="s">
        <v>242</v>
      </c>
      <c r="R235" s="380" t="s">
        <v>243</v>
      </c>
    </row>
    <row r="236" spans="1:18" ht="36.75" customHeight="1">
      <c r="A236" s="381" t="s">
        <v>2298</v>
      </c>
      <c r="B236" s="382" t="s">
        <v>693</v>
      </c>
      <c r="C236" s="383" t="s">
        <v>669</v>
      </c>
      <c r="D236" s="384">
        <v>1</v>
      </c>
      <c r="E236" s="384">
        <v>1</v>
      </c>
      <c r="F236" s="384">
        <f>D236</f>
        <v>1</v>
      </c>
      <c r="G236" s="384"/>
      <c r="H236" s="384"/>
      <c r="I236" s="384"/>
      <c r="J236" s="392"/>
      <c r="K236" s="392"/>
      <c r="L236" s="384">
        <v>73084.87</v>
      </c>
      <c r="M236" s="384">
        <v>0</v>
      </c>
      <c r="N236" s="384">
        <v>1</v>
      </c>
      <c r="O236" s="384">
        <v>0</v>
      </c>
      <c r="P236" s="384">
        <v>73084.87</v>
      </c>
      <c r="Q236" s="385" t="s">
        <v>242</v>
      </c>
      <c r="R236" s="380" t="s">
        <v>243</v>
      </c>
    </row>
    <row r="237" spans="1:18" ht="36.75" customHeight="1">
      <c r="A237" s="381" t="s">
        <v>2299</v>
      </c>
      <c r="B237" s="382" t="s">
        <v>696</v>
      </c>
      <c r="C237" s="383" t="s">
        <v>669</v>
      </c>
      <c r="D237" s="384">
        <v>1</v>
      </c>
      <c r="E237" s="384">
        <v>4</v>
      </c>
      <c r="F237" s="384">
        <f>E237</f>
        <v>4</v>
      </c>
      <c r="G237" s="384"/>
      <c r="H237" s="384"/>
      <c r="I237" s="384"/>
      <c r="J237" s="392"/>
      <c r="K237" s="392"/>
      <c r="L237" s="384">
        <v>22813.26</v>
      </c>
      <c r="M237" s="384">
        <v>0</v>
      </c>
      <c r="N237" s="384">
        <v>1</v>
      </c>
      <c r="O237" s="384">
        <v>0</v>
      </c>
      <c r="P237" s="384">
        <v>22813.26</v>
      </c>
      <c r="Q237" s="385" t="s">
        <v>242</v>
      </c>
      <c r="R237" s="380" t="s">
        <v>243</v>
      </c>
    </row>
    <row r="238" spans="1:18" ht="36.75" customHeight="1">
      <c r="A238" s="381" t="s">
        <v>2300</v>
      </c>
      <c r="B238" s="382" t="s">
        <v>699</v>
      </c>
      <c r="C238" s="383" t="s">
        <v>669</v>
      </c>
      <c r="D238" s="384">
        <v>1</v>
      </c>
      <c r="E238" s="384">
        <v>1</v>
      </c>
      <c r="F238" s="384">
        <f>'數量計算(FOR4變)'!E416</f>
        <v>1</v>
      </c>
      <c r="G238" s="384"/>
      <c r="H238" s="384"/>
      <c r="I238" s="384"/>
      <c r="J238" s="392"/>
      <c r="K238" s="392"/>
      <c r="L238" s="384">
        <v>1079.8499999999999</v>
      </c>
      <c r="M238" s="384">
        <v>0</v>
      </c>
      <c r="N238" s="384">
        <v>1</v>
      </c>
      <c r="O238" s="384">
        <v>0</v>
      </c>
      <c r="P238" s="384">
        <v>1079.8499999999999</v>
      </c>
      <c r="Q238" s="385" t="s">
        <v>242</v>
      </c>
      <c r="R238" s="380" t="s">
        <v>243</v>
      </c>
    </row>
    <row r="239" spans="1:18" ht="36.75" customHeight="1">
      <c r="A239" s="381" t="s">
        <v>2301</v>
      </c>
      <c r="B239" s="382" t="s">
        <v>702</v>
      </c>
      <c r="C239" s="383" t="s">
        <v>669</v>
      </c>
      <c r="D239" s="384">
        <v>1</v>
      </c>
      <c r="E239" s="384">
        <v>1</v>
      </c>
      <c r="F239" s="384">
        <v>1</v>
      </c>
      <c r="G239" s="384"/>
      <c r="H239" s="384"/>
      <c r="I239" s="384"/>
      <c r="J239" s="392"/>
      <c r="K239" s="392"/>
      <c r="L239" s="384">
        <v>1963.19</v>
      </c>
      <c r="M239" s="384">
        <v>0</v>
      </c>
      <c r="N239" s="384">
        <v>0</v>
      </c>
      <c r="O239" s="384">
        <v>0</v>
      </c>
      <c r="P239" s="384">
        <v>0</v>
      </c>
      <c r="Q239" s="385" t="s">
        <v>242</v>
      </c>
      <c r="R239" s="380" t="s">
        <v>243</v>
      </c>
    </row>
    <row r="240" spans="1:18" ht="36.75" customHeight="1">
      <c r="A240" s="381" t="s">
        <v>2302</v>
      </c>
      <c r="B240" s="382" t="s">
        <v>705</v>
      </c>
      <c r="C240" s="383" t="s">
        <v>669</v>
      </c>
      <c r="D240" s="384">
        <v>1</v>
      </c>
      <c r="E240" s="384">
        <v>1</v>
      </c>
      <c r="F240" s="384">
        <f>'數量計算(FOR4變)'!E418</f>
        <v>1</v>
      </c>
      <c r="G240" s="384"/>
      <c r="H240" s="384"/>
      <c r="I240" s="384"/>
      <c r="J240" s="392"/>
      <c r="K240" s="392"/>
      <c r="L240" s="384">
        <v>2216.48</v>
      </c>
      <c r="M240" s="384">
        <v>0</v>
      </c>
      <c r="N240" s="384">
        <v>1</v>
      </c>
      <c r="O240" s="384">
        <v>0</v>
      </c>
      <c r="P240" s="384">
        <v>2216.48</v>
      </c>
      <c r="Q240" s="385" t="s">
        <v>242</v>
      </c>
      <c r="R240" s="380" t="s">
        <v>243</v>
      </c>
    </row>
    <row r="241" spans="1:18" ht="36.75" customHeight="1">
      <c r="A241" s="381" t="s">
        <v>2303</v>
      </c>
      <c r="B241" s="382" t="s">
        <v>708</v>
      </c>
      <c r="C241" s="383" t="s">
        <v>669</v>
      </c>
      <c r="D241" s="384">
        <v>1</v>
      </c>
      <c r="E241" s="384">
        <v>1</v>
      </c>
      <c r="F241" s="384">
        <f>'數量計算(FOR4變)'!E419</f>
        <v>1</v>
      </c>
      <c r="G241" s="384"/>
      <c r="H241" s="384"/>
      <c r="I241" s="384"/>
      <c r="J241" s="392"/>
      <c r="K241" s="392"/>
      <c r="L241" s="384">
        <v>4720.3100000000004</v>
      </c>
      <c r="M241" s="384">
        <v>0</v>
      </c>
      <c r="N241" s="384">
        <v>1</v>
      </c>
      <c r="O241" s="384">
        <v>0</v>
      </c>
      <c r="P241" s="384">
        <v>4720.3100000000004</v>
      </c>
      <c r="Q241" s="385" t="s">
        <v>242</v>
      </c>
      <c r="R241" s="380" t="s">
        <v>243</v>
      </c>
    </row>
    <row r="242" spans="1:18" ht="36.75" customHeight="1">
      <c r="A242" s="381" t="s">
        <v>2304</v>
      </c>
      <c r="B242" s="382" t="s">
        <v>147</v>
      </c>
      <c r="C242" s="383" t="s">
        <v>8</v>
      </c>
      <c r="D242" s="384">
        <v>1</v>
      </c>
      <c r="E242" s="384">
        <v>162</v>
      </c>
      <c r="F242" s="384">
        <f>E242</f>
        <v>162</v>
      </c>
      <c r="G242" s="384"/>
      <c r="H242" s="384"/>
      <c r="I242" s="384"/>
      <c r="J242" s="392"/>
      <c r="K242" s="392"/>
      <c r="L242" s="384">
        <v>1859.79</v>
      </c>
      <c r="M242" s="384">
        <v>0</v>
      </c>
      <c r="N242" s="384">
        <v>90</v>
      </c>
      <c r="O242" s="384">
        <v>0</v>
      </c>
      <c r="P242" s="384">
        <v>167381.1</v>
      </c>
      <c r="Q242" s="385" t="s">
        <v>242</v>
      </c>
      <c r="R242" s="380" t="s">
        <v>243</v>
      </c>
    </row>
    <row r="243" spans="1:18" ht="36.75" customHeight="1">
      <c r="A243" s="381" t="s">
        <v>2305</v>
      </c>
      <c r="B243" s="382" t="s">
        <v>713</v>
      </c>
      <c r="C243" s="383" t="s">
        <v>15</v>
      </c>
      <c r="D243" s="384">
        <v>1</v>
      </c>
      <c r="E243" s="384">
        <v>1</v>
      </c>
      <c r="F243" s="384">
        <f>D243</f>
        <v>1</v>
      </c>
      <c r="G243" s="384"/>
      <c r="H243" s="384"/>
      <c r="I243" s="384"/>
      <c r="J243" s="392"/>
      <c r="K243" s="392"/>
      <c r="L243" s="384">
        <v>10254.44</v>
      </c>
      <c r="M243" s="384">
        <v>0</v>
      </c>
      <c r="N243" s="384">
        <v>0</v>
      </c>
      <c r="O243" s="384">
        <v>0</v>
      </c>
      <c r="P243" s="384">
        <v>0</v>
      </c>
      <c r="Q243" s="385" t="s">
        <v>242</v>
      </c>
      <c r="R243" s="380" t="s">
        <v>243</v>
      </c>
    </row>
    <row r="244" spans="1:18" ht="36.75" customHeight="1">
      <c r="A244" s="381" t="s">
        <v>2306</v>
      </c>
      <c r="B244" s="382" t="s">
        <v>716</v>
      </c>
      <c r="C244" s="383" t="s">
        <v>15</v>
      </c>
      <c r="D244" s="384">
        <v>1</v>
      </c>
      <c r="E244" s="384">
        <v>268</v>
      </c>
      <c r="F244" s="384">
        <f>E244</f>
        <v>268</v>
      </c>
      <c r="G244" s="384"/>
      <c r="H244" s="384"/>
      <c r="I244" s="384"/>
      <c r="J244" s="392"/>
      <c r="K244" s="392"/>
      <c r="L244" s="384">
        <v>40</v>
      </c>
      <c r="M244" s="384">
        <v>0</v>
      </c>
      <c r="N244" s="384">
        <v>0</v>
      </c>
      <c r="O244" s="384">
        <v>0</v>
      </c>
      <c r="P244" s="384">
        <v>0</v>
      </c>
      <c r="Q244" s="385" t="s">
        <v>242</v>
      </c>
      <c r="R244" s="380" t="s">
        <v>243</v>
      </c>
    </row>
    <row r="245" spans="1:18" ht="36.75" customHeight="1">
      <c r="A245" s="381" t="s">
        <v>2307</v>
      </c>
      <c r="B245" s="382" t="s">
        <v>719</v>
      </c>
      <c r="C245" s="383" t="s">
        <v>7</v>
      </c>
      <c r="D245" s="384">
        <v>1</v>
      </c>
      <c r="E245" s="384">
        <v>1340</v>
      </c>
      <c r="F245" s="384">
        <f>E245</f>
        <v>1340</v>
      </c>
      <c r="G245" s="384"/>
      <c r="H245" s="384"/>
      <c r="I245" s="384"/>
      <c r="J245" s="392"/>
      <c r="K245" s="392"/>
      <c r="L245" s="384">
        <v>35</v>
      </c>
      <c r="M245" s="384">
        <v>0</v>
      </c>
      <c r="N245" s="384">
        <v>520</v>
      </c>
      <c r="O245" s="384">
        <v>0</v>
      </c>
      <c r="P245" s="384">
        <v>18200</v>
      </c>
      <c r="Q245" s="385" t="s">
        <v>242</v>
      </c>
      <c r="R245" s="380" t="s">
        <v>243</v>
      </c>
    </row>
    <row r="246" spans="1:18" ht="36.75" customHeight="1">
      <c r="A246" s="381" t="s">
        <v>2308</v>
      </c>
      <c r="B246" s="382" t="s">
        <v>722</v>
      </c>
      <c r="C246" s="383" t="s">
        <v>8</v>
      </c>
      <c r="D246" s="384">
        <v>1</v>
      </c>
      <c r="E246" s="384">
        <v>1</v>
      </c>
      <c r="F246" s="384">
        <f>D246</f>
        <v>1</v>
      </c>
      <c r="G246" s="384"/>
      <c r="H246" s="384"/>
      <c r="I246" s="384"/>
      <c r="J246" s="392"/>
      <c r="K246" s="392"/>
      <c r="L246" s="384">
        <v>10</v>
      </c>
      <c r="M246" s="384">
        <v>0</v>
      </c>
      <c r="N246" s="384">
        <v>0</v>
      </c>
      <c r="O246" s="384">
        <v>0</v>
      </c>
      <c r="P246" s="384">
        <v>0</v>
      </c>
      <c r="Q246" s="385" t="s">
        <v>242</v>
      </c>
      <c r="R246" s="380" t="s">
        <v>243</v>
      </c>
    </row>
    <row r="247" spans="1:18" ht="36.75" customHeight="1">
      <c r="A247" s="381" t="s">
        <v>2309</v>
      </c>
      <c r="B247" s="382" t="s">
        <v>725</v>
      </c>
      <c r="C247" s="383" t="s">
        <v>13</v>
      </c>
      <c r="D247" s="384">
        <v>1</v>
      </c>
      <c r="E247" s="384">
        <v>1</v>
      </c>
      <c r="F247" s="384">
        <f>D247</f>
        <v>1</v>
      </c>
      <c r="G247" s="384"/>
      <c r="H247" s="384"/>
      <c r="I247" s="384"/>
      <c r="J247" s="392"/>
      <c r="K247" s="392"/>
      <c r="L247" s="384">
        <v>530.97</v>
      </c>
      <c r="M247" s="384">
        <v>0</v>
      </c>
      <c r="N247" s="384">
        <v>0</v>
      </c>
      <c r="O247" s="384">
        <v>0</v>
      </c>
      <c r="P247" s="384">
        <v>0</v>
      </c>
      <c r="Q247" s="385" t="s">
        <v>242</v>
      </c>
      <c r="R247" s="380" t="s">
        <v>243</v>
      </c>
    </row>
    <row r="248" spans="1:18" ht="36.75" customHeight="1">
      <c r="A248" s="381" t="s">
        <v>2311</v>
      </c>
      <c r="B248" s="382" t="s">
        <v>728</v>
      </c>
      <c r="C248" s="383" t="s">
        <v>6</v>
      </c>
      <c r="D248" s="384">
        <v>1</v>
      </c>
      <c r="E248" s="384">
        <v>11.31</v>
      </c>
      <c r="F248" s="384">
        <f>E248</f>
        <v>11.31</v>
      </c>
      <c r="G248" s="384"/>
      <c r="H248" s="384"/>
      <c r="I248" s="384"/>
      <c r="J248" s="392"/>
      <c r="K248" s="392"/>
      <c r="L248" s="384">
        <v>3386.34</v>
      </c>
      <c r="M248" s="384">
        <v>0</v>
      </c>
      <c r="N248" s="384">
        <v>5.2</v>
      </c>
      <c r="O248" s="384">
        <v>0</v>
      </c>
      <c r="P248" s="384">
        <v>17608.97</v>
      </c>
      <c r="Q248" s="385" t="s">
        <v>242</v>
      </c>
      <c r="R248" s="380" t="s">
        <v>243</v>
      </c>
    </row>
    <row r="249" spans="1:18" ht="36.75" customHeight="1">
      <c r="A249" s="381" t="s">
        <v>2312</v>
      </c>
      <c r="B249" s="382" t="s">
        <v>731</v>
      </c>
      <c r="C249" s="383" t="s">
        <v>4</v>
      </c>
      <c r="D249" s="384">
        <v>1</v>
      </c>
      <c r="E249" s="384">
        <v>1</v>
      </c>
      <c r="F249" s="384">
        <f>D249</f>
        <v>1</v>
      </c>
      <c r="G249" s="384"/>
      <c r="H249" s="384"/>
      <c r="I249" s="384"/>
      <c r="J249" s="392"/>
      <c r="K249" s="392"/>
      <c r="L249" s="384">
        <v>107994.11</v>
      </c>
      <c r="M249" s="384">
        <v>1</v>
      </c>
      <c r="N249" s="384">
        <v>1</v>
      </c>
      <c r="O249" s="384">
        <v>43196</v>
      </c>
      <c r="P249" s="384">
        <v>64796</v>
      </c>
      <c r="Q249" s="385" t="s">
        <v>2381</v>
      </c>
      <c r="R249" s="380" t="s">
        <v>243</v>
      </c>
    </row>
    <row r="250" spans="1:18" ht="36.75" customHeight="1">
      <c r="A250" s="381" t="s">
        <v>2313</v>
      </c>
      <c r="B250" s="382" t="s">
        <v>734</v>
      </c>
      <c r="C250" s="383" t="s">
        <v>13</v>
      </c>
      <c r="D250" s="384">
        <v>1</v>
      </c>
      <c r="E250" s="384">
        <v>1</v>
      </c>
      <c r="F250" s="384">
        <f>D250</f>
        <v>1</v>
      </c>
      <c r="G250" s="384"/>
      <c r="H250" s="384"/>
      <c r="I250" s="384"/>
      <c r="J250" s="392"/>
      <c r="K250" s="392"/>
      <c r="L250" s="384">
        <v>499.97</v>
      </c>
      <c r="M250" s="384">
        <v>0</v>
      </c>
      <c r="N250" s="384">
        <v>0</v>
      </c>
      <c r="O250" s="384">
        <v>0</v>
      </c>
      <c r="P250" s="384">
        <v>0</v>
      </c>
      <c r="Q250" s="385" t="s">
        <v>242</v>
      </c>
      <c r="R250" s="380" t="s">
        <v>243</v>
      </c>
    </row>
    <row r="251" spans="1:18" ht="36.75" customHeight="1">
      <c r="A251" s="381" t="s">
        <v>2315</v>
      </c>
      <c r="B251" s="382" t="s">
        <v>737</v>
      </c>
      <c r="C251" s="383" t="s">
        <v>669</v>
      </c>
      <c r="D251" s="384">
        <v>1</v>
      </c>
      <c r="E251" s="384">
        <v>1</v>
      </c>
      <c r="F251" s="384">
        <f>E251</f>
        <v>1</v>
      </c>
      <c r="G251" s="384">
        <f>'數量計算(FOR4變)'!I429</f>
        <v>35</v>
      </c>
      <c r="H251" s="384">
        <f>G251-D251</f>
        <v>34</v>
      </c>
      <c r="I251" s="384">
        <f t="shared" ref="I251:I300" si="43">ROUND(H251*L251,2)</f>
        <v>342306.56</v>
      </c>
      <c r="J251" s="392"/>
      <c r="K251" s="392"/>
      <c r="L251" s="384">
        <v>10067.84</v>
      </c>
      <c r="M251" s="384">
        <v>0</v>
      </c>
      <c r="N251" s="384">
        <v>0</v>
      </c>
      <c r="O251" s="384">
        <v>0</v>
      </c>
      <c r="P251" s="384">
        <v>0</v>
      </c>
      <c r="Q251" s="555" t="s">
        <v>2743</v>
      </c>
      <c r="R251" s="380" t="s">
        <v>243</v>
      </c>
    </row>
    <row r="252" spans="1:18" ht="36.75" customHeight="1">
      <c r="A252" s="381" t="s">
        <v>2316</v>
      </c>
      <c r="B252" s="382" t="s">
        <v>740</v>
      </c>
      <c r="C252" s="383" t="s">
        <v>669</v>
      </c>
      <c r="D252" s="384">
        <v>1</v>
      </c>
      <c r="E252" s="384">
        <v>1</v>
      </c>
      <c r="F252" s="384">
        <f t="shared" ref="F252:F300" si="44">E252</f>
        <v>1</v>
      </c>
      <c r="G252" s="384">
        <f>'數量計算(FOR4變)'!I430</f>
        <v>27</v>
      </c>
      <c r="H252" s="384">
        <f t="shared" ref="H252:H300" si="45">G252-D252</f>
        <v>26</v>
      </c>
      <c r="I252" s="384">
        <f t="shared" si="43"/>
        <v>168676.82</v>
      </c>
      <c r="J252" s="392"/>
      <c r="K252" s="392"/>
      <c r="L252" s="384">
        <v>6487.57</v>
      </c>
      <c r="M252" s="384">
        <v>0</v>
      </c>
      <c r="N252" s="384">
        <v>0</v>
      </c>
      <c r="O252" s="384">
        <v>0</v>
      </c>
      <c r="P252" s="384">
        <v>0</v>
      </c>
      <c r="Q252" s="385" t="s">
        <v>242</v>
      </c>
      <c r="R252" s="380" t="s">
        <v>243</v>
      </c>
    </row>
    <row r="253" spans="1:18" ht="36.75" customHeight="1">
      <c r="A253" s="381" t="s">
        <v>2317</v>
      </c>
      <c r="B253" s="382" t="s">
        <v>743</v>
      </c>
      <c r="C253" s="383" t="s">
        <v>669</v>
      </c>
      <c r="D253" s="384">
        <v>1</v>
      </c>
      <c r="E253" s="384">
        <v>1</v>
      </c>
      <c r="F253" s="384">
        <f t="shared" si="44"/>
        <v>1</v>
      </c>
      <c r="G253" s="384">
        <f>'數量計算(FOR4變)'!I431</f>
        <v>29</v>
      </c>
      <c r="H253" s="384">
        <f t="shared" si="45"/>
        <v>28</v>
      </c>
      <c r="I253" s="384">
        <f t="shared" si="43"/>
        <v>237252.4</v>
      </c>
      <c r="J253" s="392"/>
      <c r="K253" s="392"/>
      <c r="L253" s="384">
        <v>8473.2999999999993</v>
      </c>
      <c r="M253" s="384">
        <v>0</v>
      </c>
      <c r="N253" s="384">
        <v>0</v>
      </c>
      <c r="O253" s="384">
        <v>0</v>
      </c>
      <c r="P253" s="384">
        <v>0</v>
      </c>
      <c r="Q253" s="385" t="s">
        <v>242</v>
      </c>
      <c r="R253" s="380" t="s">
        <v>243</v>
      </c>
    </row>
    <row r="254" spans="1:18" ht="36.75" customHeight="1">
      <c r="A254" s="381" t="s">
        <v>2318</v>
      </c>
      <c r="B254" s="382" t="s">
        <v>746</v>
      </c>
      <c r="C254" s="383" t="s">
        <v>669</v>
      </c>
      <c r="D254" s="384">
        <v>1</v>
      </c>
      <c r="E254" s="384">
        <v>1</v>
      </c>
      <c r="F254" s="384">
        <f t="shared" si="44"/>
        <v>1</v>
      </c>
      <c r="G254" s="384">
        <f>'數量計算(FOR4變)'!I432</f>
        <v>12</v>
      </c>
      <c r="H254" s="384">
        <f t="shared" si="45"/>
        <v>11</v>
      </c>
      <c r="I254" s="384">
        <f t="shared" si="43"/>
        <v>195170.69</v>
      </c>
      <c r="J254" s="392"/>
      <c r="K254" s="392"/>
      <c r="L254" s="384">
        <v>17742.79</v>
      </c>
      <c r="M254" s="384">
        <v>0</v>
      </c>
      <c r="N254" s="384">
        <v>0</v>
      </c>
      <c r="O254" s="384">
        <v>0</v>
      </c>
      <c r="P254" s="384">
        <v>0</v>
      </c>
      <c r="Q254" s="385" t="s">
        <v>242</v>
      </c>
      <c r="R254" s="380" t="s">
        <v>243</v>
      </c>
    </row>
    <row r="255" spans="1:18" ht="36.75" customHeight="1">
      <c r="A255" s="381" t="s">
        <v>2319</v>
      </c>
      <c r="B255" s="382" t="s">
        <v>749</v>
      </c>
      <c r="C255" s="383" t="s">
        <v>669</v>
      </c>
      <c r="D255" s="384">
        <v>1</v>
      </c>
      <c r="E255" s="384">
        <v>1</v>
      </c>
      <c r="F255" s="384">
        <f t="shared" si="44"/>
        <v>1</v>
      </c>
      <c r="G255" s="384">
        <f>'數量計算(FOR4變)'!I433</f>
        <v>3</v>
      </c>
      <c r="H255" s="384">
        <f t="shared" si="45"/>
        <v>2</v>
      </c>
      <c r="I255" s="384">
        <f t="shared" si="43"/>
        <v>10328.18</v>
      </c>
      <c r="J255" s="392"/>
      <c r="K255" s="392"/>
      <c r="L255" s="384">
        <v>5164.09</v>
      </c>
      <c r="M255" s="384">
        <v>0</v>
      </c>
      <c r="N255" s="384">
        <v>0</v>
      </c>
      <c r="O255" s="384">
        <v>0</v>
      </c>
      <c r="P255" s="384">
        <v>0</v>
      </c>
      <c r="Q255" s="385" t="s">
        <v>242</v>
      </c>
      <c r="R255" s="380" t="s">
        <v>243</v>
      </c>
    </row>
    <row r="256" spans="1:18" ht="36.75" customHeight="1">
      <c r="A256" s="381" t="s">
        <v>2320</v>
      </c>
      <c r="B256" s="382" t="s">
        <v>752</v>
      </c>
      <c r="C256" s="383" t="s">
        <v>669</v>
      </c>
      <c r="D256" s="384">
        <v>1</v>
      </c>
      <c r="E256" s="384">
        <v>1</v>
      </c>
      <c r="F256" s="384">
        <f t="shared" si="44"/>
        <v>1</v>
      </c>
      <c r="G256" s="384">
        <f>'數量計算(FOR4變)'!I434</f>
        <v>17</v>
      </c>
      <c r="H256" s="384">
        <f t="shared" si="45"/>
        <v>16</v>
      </c>
      <c r="I256" s="384">
        <f t="shared" si="43"/>
        <v>82625.440000000002</v>
      </c>
      <c r="J256" s="392"/>
      <c r="K256" s="392"/>
      <c r="L256" s="384">
        <v>5164.09</v>
      </c>
      <c r="M256" s="384">
        <v>0</v>
      </c>
      <c r="N256" s="384">
        <v>0</v>
      </c>
      <c r="O256" s="384">
        <v>0</v>
      </c>
      <c r="P256" s="384">
        <v>0</v>
      </c>
      <c r="Q256" s="385" t="s">
        <v>242</v>
      </c>
      <c r="R256" s="380" t="s">
        <v>243</v>
      </c>
    </row>
    <row r="257" spans="1:18" ht="36.75" customHeight="1">
      <c r="A257" s="381" t="s">
        <v>2321</v>
      </c>
      <c r="B257" s="382" t="s">
        <v>755</v>
      </c>
      <c r="C257" s="383" t="s">
        <v>669</v>
      </c>
      <c r="D257" s="384">
        <v>1</v>
      </c>
      <c r="E257" s="384">
        <v>1</v>
      </c>
      <c r="F257" s="384">
        <f t="shared" si="44"/>
        <v>1</v>
      </c>
      <c r="G257" s="384">
        <f>'數量計算(FOR4變)'!I435</f>
        <v>3</v>
      </c>
      <c r="H257" s="384">
        <f t="shared" si="45"/>
        <v>2</v>
      </c>
      <c r="I257" s="384">
        <f t="shared" si="43"/>
        <v>11461.12</v>
      </c>
      <c r="J257" s="392"/>
      <c r="K257" s="392"/>
      <c r="L257" s="384">
        <v>5730.56</v>
      </c>
      <c r="M257" s="384">
        <v>0</v>
      </c>
      <c r="N257" s="384">
        <v>0</v>
      </c>
      <c r="O257" s="384">
        <v>0</v>
      </c>
      <c r="P257" s="384">
        <v>0</v>
      </c>
      <c r="Q257" s="385" t="s">
        <v>242</v>
      </c>
      <c r="R257" s="380" t="s">
        <v>243</v>
      </c>
    </row>
    <row r="258" spans="1:18" ht="36.75" customHeight="1">
      <c r="A258" s="381" t="s">
        <v>2322</v>
      </c>
      <c r="B258" s="382" t="s">
        <v>758</v>
      </c>
      <c r="C258" s="383" t="s">
        <v>669</v>
      </c>
      <c r="D258" s="384">
        <v>1</v>
      </c>
      <c r="E258" s="384">
        <v>1</v>
      </c>
      <c r="F258" s="384">
        <f t="shared" si="44"/>
        <v>1</v>
      </c>
      <c r="G258" s="384">
        <f>'數量計算(FOR4變)'!I436</f>
        <v>6</v>
      </c>
      <c r="H258" s="384">
        <f t="shared" si="45"/>
        <v>5</v>
      </c>
      <c r="I258" s="384">
        <f t="shared" si="43"/>
        <v>35405</v>
      </c>
      <c r="J258" s="392"/>
      <c r="K258" s="392"/>
      <c r="L258" s="384">
        <v>7081</v>
      </c>
      <c r="M258" s="384">
        <v>0</v>
      </c>
      <c r="N258" s="384">
        <v>0</v>
      </c>
      <c r="O258" s="384">
        <v>0</v>
      </c>
      <c r="P258" s="384">
        <v>0</v>
      </c>
      <c r="Q258" s="385" t="s">
        <v>242</v>
      </c>
      <c r="R258" s="380" t="s">
        <v>243</v>
      </c>
    </row>
    <row r="259" spans="1:18" ht="36.75" customHeight="1">
      <c r="A259" s="381" t="s">
        <v>2323</v>
      </c>
      <c r="B259" s="382" t="s">
        <v>761</v>
      </c>
      <c r="C259" s="383" t="s">
        <v>669</v>
      </c>
      <c r="D259" s="384">
        <v>1</v>
      </c>
      <c r="E259" s="384">
        <v>1</v>
      </c>
      <c r="F259" s="384">
        <f t="shared" si="44"/>
        <v>1</v>
      </c>
      <c r="G259" s="384">
        <f>'數量計算(FOR4變)'!I437</f>
        <v>25</v>
      </c>
      <c r="H259" s="384">
        <f t="shared" si="45"/>
        <v>24</v>
      </c>
      <c r="I259" s="384">
        <f t="shared" si="43"/>
        <v>114050.64</v>
      </c>
      <c r="J259" s="392"/>
      <c r="K259" s="392"/>
      <c r="L259" s="384">
        <v>4752.1099999999997</v>
      </c>
      <c r="M259" s="384">
        <v>0</v>
      </c>
      <c r="N259" s="384">
        <v>0</v>
      </c>
      <c r="O259" s="384">
        <v>0</v>
      </c>
      <c r="P259" s="384">
        <v>0</v>
      </c>
      <c r="Q259" s="385" t="s">
        <v>242</v>
      </c>
      <c r="R259" s="380" t="s">
        <v>243</v>
      </c>
    </row>
    <row r="260" spans="1:18" ht="36.75" customHeight="1">
      <c r="A260" s="381" t="s">
        <v>2324</v>
      </c>
      <c r="B260" s="382" t="s">
        <v>764</v>
      </c>
      <c r="C260" s="383" t="s">
        <v>669</v>
      </c>
      <c r="D260" s="384">
        <v>1</v>
      </c>
      <c r="E260" s="384">
        <v>1</v>
      </c>
      <c r="F260" s="384">
        <f t="shared" si="44"/>
        <v>1</v>
      </c>
      <c r="G260" s="384">
        <f>'數量計算(FOR4變)'!I438</f>
        <v>2</v>
      </c>
      <c r="H260" s="384">
        <f t="shared" si="45"/>
        <v>1</v>
      </c>
      <c r="I260" s="384">
        <f t="shared" si="43"/>
        <v>14691.08</v>
      </c>
      <c r="J260" s="392"/>
      <c r="K260" s="392"/>
      <c r="L260" s="384">
        <v>14691.08</v>
      </c>
      <c r="M260" s="384">
        <v>0</v>
      </c>
      <c r="N260" s="384">
        <v>0</v>
      </c>
      <c r="O260" s="384">
        <v>0</v>
      </c>
      <c r="P260" s="384">
        <v>0</v>
      </c>
      <c r="Q260" s="385" t="s">
        <v>242</v>
      </c>
      <c r="R260" s="380" t="s">
        <v>243</v>
      </c>
    </row>
    <row r="261" spans="1:18" ht="36.75" customHeight="1">
      <c r="A261" s="381" t="s">
        <v>2325</v>
      </c>
      <c r="B261" s="382" t="s">
        <v>767</v>
      </c>
      <c r="C261" s="383" t="s">
        <v>669</v>
      </c>
      <c r="D261" s="384">
        <v>1</v>
      </c>
      <c r="E261" s="384">
        <v>1</v>
      </c>
      <c r="F261" s="384">
        <f t="shared" si="44"/>
        <v>1</v>
      </c>
      <c r="G261" s="384">
        <f>'數量計算(FOR4變)'!I439</f>
        <v>215</v>
      </c>
      <c r="H261" s="384">
        <f t="shared" si="45"/>
        <v>214</v>
      </c>
      <c r="I261" s="384">
        <f t="shared" si="43"/>
        <v>48000.2</v>
      </c>
      <c r="J261" s="392"/>
      <c r="K261" s="392"/>
      <c r="L261" s="384">
        <v>224.3</v>
      </c>
      <c r="M261" s="384">
        <v>0</v>
      </c>
      <c r="N261" s="384">
        <v>0</v>
      </c>
      <c r="O261" s="384">
        <v>0</v>
      </c>
      <c r="P261" s="384">
        <v>0</v>
      </c>
      <c r="Q261" s="385" t="s">
        <v>242</v>
      </c>
      <c r="R261" s="380" t="s">
        <v>243</v>
      </c>
    </row>
    <row r="262" spans="1:18" ht="36.75" customHeight="1">
      <c r="A262" s="381" t="s">
        <v>2326</v>
      </c>
      <c r="B262" s="382" t="s">
        <v>770</v>
      </c>
      <c r="C262" s="383" t="s">
        <v>669</v>
      </c>
      <c r="D262" s="384">
        <v>1</v>
      </c>
      <c r="E262" s="384">
        <v>1</v>
      </c>
      <c r="F262" s="384">
        <f t="shared" si="44"/>
        <v>1</v>
      </c>
      <c r="G262" s="384">
        <f>'數量計算(FOR4變)'!I440</f>
        <v>501</v>
      </c>
      <c r="H262" s="384">
        <f t="shared" si="45"/>
        <v>500</v>
      </c>
      <c r="I262" s="384">
        <f t="shared" si="43"/>
        <v>137820</v>
      </c>
      <c r="J262" s="392"/>
      <c r="K262" s="392"/>
      <c r="L262" s="384">
        <v>275.64</v>
      </c>
      <c r="M262" s="384">
        <v>0</v>
      </c>
      <c r="N262" s="384">
        <v>0</v>
      </c>
      <c r="O262" s="384">
        <v>0</v>
      </c>
      <c r="P262" s="384">
        <v>0</v>
      </c>
      <c r="Q262" s="385" t="s">
        <v>242</v>
      </c>
      <c r="R262" s="380" t="s">
        <v>243</v>
      </c>
    </row>
    <row r="263" spans="1:18" ht="36.75" customHeight="1">
      <c r="A263" s="381" t="s">
        <v>2327</v>
      </c>
      <c r="B263" s="382" t="s">
        <v>773</v>
      </c>
      <c r="C263" s="383" t="s">
        <v>669</v>
      </c>
      <c r="D263" s="384">
        <v>1</v>
      </c>
      <c r="E263" s="384">
        <v>1</v>
      </c>
      <c r="F263" s="384">
        <f t="shared" si="44"/>
        <v>1</v>
      </c>
      <c r="G263" s="384">
        <f>'數量計算(FOR4變)'!I441</f>
        <v>770</v>
      </c>
      <c r="H263" s="384">
        <f t="shared" si="45"/>
        <v>769</v>
      </c>
      <c r="I263" s="384">
        <f t="shared" si="43"/>
        <v>218034.57</v>
      </c>
      <c r="J263" s="392"/>
      <c r="K263" s="392"/>
      <c r="L263" s="384">
        <v>283.52999999999997</v>
      </c>
      <c r="M263" s="384">
        <v>0</v>
      </c>
      <c r="N263" s="384">
        <v>0</v>
      </c>
      <c r="O263" s="384">
        <v>0</v>
      </c>
      <c r="P263" s="384">
        <v>0</v>
      </c>
      <c r="Q263" s="385" t="s">
        <v>242</v>
      </c>
      <c r="R263" s="380" t="s">
        <v>243</v>
      </c>
    </row>
    <row r="264" spans="1:18" ht="36.75" customHeight="1">
      <c r="A264" s="381" t="s">
        <v>2328</v>
      </c>
      <c r="B264" s="382" t="s">
        <v>776</v>
      </c>
      <c r="C264" s="383" t="s">
        <v>669</v>
      </c>
      <c r="D264" s="384">
        <v>1</v>
      </c>
      <c r="E264" s="384">
        <v>1</v>
      </c>
      <c r="F264" s="384">
        <f t="shared" si="44"/>
        <v>1</v>
      </c>
      <c r="G264" s="384">
        <f>'數量計算(FOR4變)'!I442</f>
        <v>563</v>
      </c>
      <c r="H264" s="384">
        <f t="shared" si="45"/>
        <v>562</v>
      </c>
      <c r="I264" s="384">
        <f t="shared" si="43"/>
        <v>49989.9</v>
      </c>
      <c r="J264" s="392"/>
      <c r="K264" s="392"/>
      <c r="L264" s="384">
        <v>88.95</v>
      </c>
      <c r="M264" s="384">
        <v>0</v>
      </c>
      <c r="N264" s="384">
        <v>0</v>
      </c>
      <c r="O264" s="384">
        <v>0</v>
      </c>
      <c r="P264" s="384">
        <v>0</v>
      </c>
      <c r="Q264" s="385" t="s">
        <v>242</v>
      </c>
      <c r="R264" s="380" t="s">
        <v>243</v>
      </c>
    </row>
    <row r="265" spans="1:18" ht="36.75" customHeight="1">
      <c r="A265" s="381" t="s">
        <v>2329</v>
      </c>
      <c r="B265" s="382" t="s">
        <v>779</v>
      </c>
      <c r="C265" s="383" t="s">
        <v>669</v>
      </c>
      <c r="D265" s="384">
        <v>1</v>
      </c>
      <c r="E265" s="384">
        <v>1</v>
      </c>
      <c r="F265" s="384">
        <f t="shared" si="44"/>
        <v>1</v>
      </c>
      <c r="G265" s="384">
        <f>'數量計算(FOR4變)'!I443</f>
        <v>3032</v>
      </c>
      <c r="H265" s="384">
        <f t="shared" si="45"/>
        <v>3031</v>
      </c>
      <c r="I265" s="384">
        <f t="shared" si="43"/>
        <v>374995.32</v>
      </c>
      <c r="J265" s="392"/>
      <c r="K265" s="392"/>
      <c r="L265" s="384">
        <v>123.72</v>
      </c>
      <c r="M265" s="384">
        <v>0</v>
      </c>
      <c r="N265" s="384">
        <v>0</v>
      </c>
      <c r="O265" s="384">
        <v>0</v>
      </c>
      <c r="P265" s="384">
        <v>0</v>
      </c>
      <c r="Q265" s="385" t="s">
        <v>242</v>
      </c>
      <c r="R265" s="380" t="s">
        <v>243</v>
      </c>
    </row>
    <row r="266" spans="1:18" ht="36.75" customHeight="1">
      <c r="A266" s="381" t="s">
        <v>2330</v>
      </c>
      <c r="B266" s="382" t="s">
        <v>782</v>
      </c>
      <c r="C266" s="383" t="s">
        <v>669</v>
      </c>
      <c r="D266" s="384">
        <v>1</v>
      </c>
      <c r="E266" s="384">
        <v>1</v>
      </c>
      <c r="F266" s="384">
        <f t="shared" si="44"/>
        <v>1</v>
      </c>
      <c r="G266" s="384">
        <f>'數量計算(FOR4變)'!I444</f>
        <v>578</v>
      </c>
      <c r="H266" s="384">
        <f t="shared" si="45"/>
        <v>577</v>
      </c>
      <c r="I266" s="384">
        <f t="shared" si="43"/>
        <v>70053.570000000007</v>
      </c>
      <c r="J266" s="392"/>
      <c r="K266" s="392"/>
      <c r="L266" s="384">
        <v>121.41</v>
      </c>
      <c r="M266" s="384">
        <v>0</v>
      </c>
      <c r="N266" s="384">
        <v>0</v>
      </c>
      <c r="O266" s="384">
        <v>0</v>
      </c>
      <c r="P266" s="384">
        <v>0</v>
      </c>
      <c r="Q266" s="385" t="s">
        <v>242</v>
      </c>
      <c r="R266" s="380" t="s">
        <v>243</v>
      </c>
    </row>
    <row r="267" spans="1:18" ht="36.75" customHeight="1">
      <c r="A267" s="381" t="s">
        <v>2331</v>
      </c>
      <c r="B267" s="382" t="s">
        <v>785</v>
      </c>
      <c r="C267" s="383" t="s">
        <v>669</v>
      </c>
      <c r="D267" s="384">
        <v>1</v>
      </c>
      <c r="E267" s="384">
        <v>1</v>
      </c>
      <c r="F267" s="384">
        <f t="shared" si="44"/>
        <v>1</v>
      </c>
      <c r="G267" s="384">
        <f>'數量計算(FOR4變)'!I445</f>
        <v>2540</v>
      </c>
      <c r="H267" s="384">
        <f t="shared" si="45"/>
        <v>2539</v>
      </c>
      <c r="I267" s="384">
        <f t="shared" si="43"/>
        <v>340936.92</v>
      </c>
      <c r="J267" s="392"/>
      <c r="K267" s="392"/>
      <c r="L267" s="384">
        <v>134.28</v>
      </c>
      <c r="M267" s="384">
        <v>0</v>
      </c>
      <c r="N267" s="384">
        <v>0</v>
      </c>
      <c r="O267" s="384">
        <v>0</v>
      </c>
      <c r="P267" s="384">
        <v>0</v>
      </c>
      <c r="Q267" s="385" t="s">
        <v>242</v>
      </c>
      <c r="R267" s="380" t="s">
        <v>243</v>
      </c>
    </row>
    <row r="268" spans="1:18" ht="36.75" customHeight="1">
      <c r="A268" s="381" t="s">
        <v>2332</v>
      </c>
      <c r="B268" s="382" t="s">
        <v>788</v>
      </c>
      <c r="C268" s="383" t="s">
        <v>669</v>
      </c>
      <c r="D268" s="384">
        <v>1</v>
      </c>
      <c r="E268" s="384">
        <v>1</v>
      </c>
      <c r="F268" s="384">
        <f t="shared" si="44"/>
        <v>1</v>
      </c>
      <c r="G268" s="384">
        <f>'數量計算(FOR4變)'!I446</f>
        <v>6995</v>
      </c>
      <c r="H268" s="384">
        <f t="shared" si="45"/>
        <v>6994</v>
      </c>
      <c r="I268" s="384">
        <f t="shared" si="43"/>
        <v>255630.7</v>
      </c>
      <c r="J268" s="392"/>
      <c r="K268" s="392"/>
      <c r="L268" s="384">
        <v>36.549999999999997</v>
      </c>
      <c r="M268" s="384">
        <v>0</v>
      </c>
      <c r="N268" s="384">
        <v>0</v>
      </c>
      <c r="O268" s="384">
        <v>0</v>
      </c>
      <c r="P268" s="384">
        <v>0</v>
      </c>
      <c r="Q268" s="385" t="s">
        <v>242</v>
      </c>
      <c r="R268" s="380" t="s">
        <v>243</v>
      </c>
    </row>
    <row r="269" spans="1:18" ht="36.75" customHeight="1">
      <c r="A269" s="381" t="s">
        <v>2333</v>
      </c>
      <c r="B269" s="382" t="s">
        <v>791</v>
      </c>
      <c r="C269" s="383" t="s">
        <v>669</v>
      </c>
      <c r="D269" s="384">
        <v>1</v>
      </c>
      <c r="E269" s="384">
        <v>1</v>
      </c>
      <c r="F269" s="384">
        <f t="shared" si="44"/>
        <v>1</v>
      </c>
      <c r="G269" s="384">
        <f>'數量計算(FOR4變)'!I447</f>
        <v>7875</v>
      </c>
      <c r="H269" s="384">
        <f t="shared" si="45"/>
        <v>7874</v>
      </c>
      <c r="I269" s="384">
        <f t="shared" si="43"/>
        <v>817006.24</v>
      </c>
      <c r="J269" s="392"/>
      <c r="K269" s="392"/>
      <c r="L269" s="384">
        <v>103.76</v>
      </c>
      <c r="M269" s="384">
        <v>0</v>
      </c>
      <c r="N269" s="384">
        <v>0</v>
      </c>
      <c r="O269" s="384">
        <v>0</v>
      </c>
      <c r="P269" s="384">
        <v>0</v>
      </c>
      <c r="Q269" s="385" t="s">
        <v>242</v>
      </c>
      <c r="R269" s="380" t="s">
        <v>243</v>
      </c>
    </row>
    <row r="270" spans="1:18" ht="36.75" customHeight="1">
      <c r="A270" s="381" t="s">
        <v>2334</v>
      </c>
      <c r="B270" s="382" t="s">
        <v>794</v>
      </c>
      <c r="C270" s="383" t="s">
        <v>669</v>
      </c>
      <c r="D270" s="384">
        <v>1</v>
      </c>
      <c r="E270" s="384">
        <v>1</v>
      </c>
      <c r="F270" s="384">
        <f t="shared" si="44"/>
        <v>1</v>
      </c>
      <c r="G270" s="384">
        <f>'數量計算(FOR4變)'!I448</f>
        <v>2013</v>
      </c>
      <c r="H270" s="384">
        <f t="shared" si="45"/>
        <v>2012</v>
      </c>
      <c r="I270" s="384">
        <f t="shared" si="43"/>
        <v>283370.08</v>
      </c>
      <c r="J270" s="392"/>
      <c r="K270" s="392"/>
      <c r="L270" s="384">
        <v>140.84</v>
      </c>
      <c r="M270" s="384">
        <v>0</v>
      </c>
      <c r="N270" s="384">
        <v>0</v>
      </c>
      <c r="O270" s="384">
        <v>0</v>
      </c>
      <c r="P270" s="384">
        <v>0</v>
      </c>
      <c r="Q270" s="385" t="s">
        <v>242</v>
      </c>
      <c r="R270" s="380" t="s">
        <v>243</v>
      </c>
    </row>
    <row r="271" spans="1:18" ht="36.75" customHeight="1">
      <c r="A271" s="381" t="s">
        <v>2335</v>
      </c>
      <c r="B271" s="382" t="s">
        <v>797</v>
      </c>
      <c r="C271" s="383" t="s">
        <v>669</v>
      </c>
      <c r="D271" s="384">
        <v>1</v>
      </c>
      <c r="E271" s="384">
        <v>1</v>
      </c>
      <c r="F271" s="384">
        <f t="shared" si="44"/>
        <v>1</v>
      </c>
      <c r="G271" s="384">
        <f>'數量計算(FOR4變)'!I449</f>
        <v>1643</v>
      </c>
      <c r="H271" s="384">
        <f t="shared" si="45"/>
        <v>1642</v>
      </c>
      <c r="I271" s="384">
        <f t="shared" si="43"/>
        <v>84973.5</v>
      </c>
      <c r="J271" s="392"/>
      <c r="K271" s="392"/>
      <c r="L271" s="384">
        <v>51.75</v>
      </c>
      <c r="M271" s="384">
        <v>0</v>
      </c>
      <c r="N271" s="384">
        <v>0</v>
      </c>
      <c r="O271" s="384">
        <v>0</v>
      </c>
      <c r="P271" s="384">
        <v>0</v>
      </c>
      <c r="Q271" s="385" t="s">
        <v>242</v>
      </c>
      <c r="R271" s="380" t="s">
        <v>243</v>
      </c>
    </row>
    <row r="272" spans="1:18" ht="36.75" customHeight="1">
      <c r="A272" s="381" t="s">
        <v>2336</v>
      </c>
      <c r="B272" s="382" t="s">
        <v>800</v>
      </c>
      <c r="C272" s="383" t="s">
        <v>669</v>
      </c>
      <c r="D272" s="384">
        <v>1</v>
      </c>
      <c r="E272" s="384">
        <v>1</v>
      </c>
      <c r="F272" s="384">
        <f t="shared" si="44"/>
        <v>1</v>
      </c>
      <c r="G272" s="384">
        <f>'數量計算(FOR4變)'!I450</f>
        <v>985</v>
      </c>
      <c r="H272" s="384">
        <f t="shared" si="45"/>
        <v>984</v>
      </c>
      <c r="I272" s="384">
        <f t="shared" si="43"/>
        <v>34449.839999999997</v>
      </c>
      <c r="J272" s="392"/>
      <c r="K272" s="392"/>
      <c r="L272" s="384">
        <v>35.01</v>
      </c>
      <c r="M272" s="384">
        <v>0</v>
      </c>
      <c r="N272" s="384">
        <v>0</v>
      </c>
      <c r="O272" s="384">
        <v>0</v>
      </c>
      <c r="P272" s="384">
        <v>0</v>
      </c>
      <c r="Q272" s="385" t="s">
        <v>242</v>
      </c>
      <c r="R272" s="380" t="s">
        <v>243</v>
      </c>
    </row>
    <row r="273" spans="1:18" ht="36.75" customHeight="1">
      <c r="A273" s="381" t="s">
        <v>2337</v>
      </c>
      <c r="B273" s="382" t="s">
        <v>803</v>
      </c>
      <c r="C273" s="383" t="s">
        <v>669</v>
      </c>
      <c r="D273" s="384">
        <v>1</v>
      </c>
      <c r="E273" s="384">
        <v>1</v>
      </c>
      <c r="F273" s="384">
        <f t="shared" si="44"/>
        <v>1</v>
      </c>
      <c r="G273" s="384">
        <f>'數量計算(FOR4變)'!I451</f>
        <v>1100</v>
      </c>
      <c r="H273" s="384">
        <f t="shared" si="45"/>
        <v>1099</v>
      </c>
      <c r="I273" s="384">
        <f t="shared" si="43"/>
        <v>64148.63</v>
      </c>
      <c r="J273" s="392"/>
      <c r="K273" s="392"/>
      <c r="L273" s="384">
        <v>58.37</v>
      </c>
      <c r="M273" s="384">
        <v>0</v>
      </c>
      <c r="N273" s="384">
        <v>0</v>
      </c>
      <c r="O273" s="384">
        <v>0</v>
      </c>
      <c r="P273" s="384">
        <v>0</v>
      </c>
      <c r="Q273" s="385" t="s">
        <v>242</v>
      </c>
      <c r="R273" s="380" t="s">
        <v>243</v>
      </c>
    </row>
    <row r="274" spans="1:18" ht="36.75" customHeight="1">
      <c r="A274" s="381" t="s">
        <v>2338</v>
      </c>
      <c r="B274" s="382" t="s">
        <v>806</v>
      </c>
      <c r="C274" s="383" t="s">
        <v>669</v>
      </c>
      <c r="D274" s="384">
        <v>1</v>
      </c>
      <c r="E274" s="384">
        <v>1</v>
      </c>
      <c r="F274" s="384">
        <f t="shared" si="44"/>
        <v>1</v>
      </c>
      <c r="G274" s="384">
        <f>'數量計算(FOR4變)'!I452</f>
        <v>733</v>
      </c>
      <c r="H274" s="384">
        <f t="shared" si="45"/>
        <v>732</v>
      </c>
      <c r="I274" s="384">
        <f t="shared" si="43"/>
        <v>57857.279999999999</v>
      </c>
      <c r="J274" s="392"/>
      <c r="K274" s="392"/>
      <c r="L274" s="384">
        <v>79.040000000000006</v>
      </c>
      <c r="M274" s="384">
        <v>0</v>
      </c>
      <c r="N274" s="384">
        <v>0</v>
      </c>
      <c r="O274" s="384">
        <v>0</v>
      </c>
      <c r="P274" s="384">
        <v>0</v>
      </c>
      <c r="Q274" s="385" t="s">
        <v>242</v>
      </c>
      <c r="R274" s="380" t="s">
        <v>243</v>
      </c>
    </row>
    <row r="275" spans="1:18" ht="36.75" customHeight="1">
      <c r="A275" s="381" t="s">
        <v>2339</v>
      </c>
      <c r="B275" s="382" t="s">
        <v>809</v>
      </c>
      <c r="C275" s="383" t="s">
        <v>669</v>
      </c>
      <c r="D275" s="384">
        <v>1</v>
      </c>
      <c r="E275" s="384">
        <v>1</v>
      </c>
      <c r="F275" s="384">
        <f t="shared" si="44"/>
        <v>1</v>
      </c>
      <c r="G275" s="384">
        <f>'數量計算(FOR4變)'!I453</f>
        <v>16048</v>
      </c>
      <c r="H275" s="384">
        <f t="shared" si="45"/>
        <v>16047</v>
      </c>
      <c r="I275" s="384">
        <f t="shared" si="43"/>
        <v>1020428.73</v>
      </c>
      <c r="J275" s="392"/>
      <c r="K275" s="392"/>
      <c r="L275" s="384">
        <v>63.59</v>
      </c>
      <c r="M275" s="384">
        <v>0</v>
      </c>
      <c r="N275" s="384">
        <v>0</v>
      </c>
      <c r="O275" s="384">
        <v>0</v>
      </c>
      <c r="P275" s="384">
        <v>0</v>
      </c>
      <c r="Q275" s="385" t="s">
        <v>242</v>
      </c>
      <c r="R275" s="380" t="s">
        <v>243</v>
      </c>
    </row>
    <row r="276" spans="1:18" ht="36.75" customHeight="1">
      <c r="A276" s="381" t="s">
        <v>2340</v>
      </c>
      <c r="B276" s="382" t="s">
        <v>812</v>
      </c>
      <c r="C276" s="383" t="s">
        <v>669</v>
      </c>
      <c r="D276" s="384">
        <v>1</v>
      </c>
      <c r="E276" s="384">
        <v>1</v>
      </c>
      <c r="F276" s="384">
        <f t="shared" si="44"/>
        <v>1</v>
      </c>
      <c r="G276" s="384">
        <f>'數量計算(FOR4變)'!I454</f>
        <v>1238</v>
      </c>
      <c r="H276" s="384">
        <f t="shared" si="45"/>
        <v>1237</v>
      </c>
      <c r="I276" s="384">
        <f t="shared" si="43"/>
        <v>116884.13</v>
      </c>
      <c r="J276" s="392"/>
      <c r="K276" s="392"/>
      <c r="L276" s="384">
        <v>94.49</v>
      </c>
      <c r="M276" s="384">
        <v>0</v>
      </c>
      <c r="N276" s="384">
        <v>0</v>
      </c>
      <c r="O276" s="384">
        <v>0</v>
      </c>
      <c r="P276" s="384">
        <v>0</v>
      </c>
      <c r="Q276" s="385" t="s">
        <v>242</v>
      </c>
      <c r="R276" s="380" t="s">
        <v>243</v>
      </c>
    </row>
    <row r="277" spans="1:18" ht="36.75" customHeight="1">
      <c r="A277" s="381" t="s">
        <v>2341</v>
      </c>
      <c r="B277" s="382" t="s">
        <v>815</v>
      </c>
      <c r="C277" s="383" t="s">
        <v>669</v>
      </c>
      <c r="D277" s="384">
        <v>1</v>
      </c>
      <c r="E277" s="384">
        <v>1</v>
      </c>
      <c r="F277" s="384">
        <f t="shared" si="44"/>
        <v>1</v>
      </c>
      <c r="G277" s="384">
        <f>'數量計算(FOR4變)'!I455</f>
        <v>410</v>
      </c>
      <c r="H277" s="384">
        <f t="shared" si="45"/>
        <v>409</v>
      </c>
      <c r="I277" s="384">
        <f t="shared" si="43"/>
        <v>30221.01</v>
      </c>
      <c r="J277" s="392"/>
      <c r="K277" s="392"/>
      <c r="L277" s="384">
        <v>73.89</v>
      </c>
      <c r="M277" s="384">
        <v>0</v>
      </c>
      <c r="N277" s="384">
        <v>0</v>
      </c>
      <c r="O277" s="384">
        <v>0</v>
      </c>
      <c r="P277" s="384">
        <v>0</v>
      </c>
      <c r="Q277" s="385" t="s">
        <v>242</v>
      </c>
      <c r="R277" s="380" t="s">
        <v>243</v>
      </c>
    </row>
    <row r="278" spans="1:18" ht="36.75" customHeight="1">
      <c r="A278" s="381" t="s">
        <v>2342</v>
      </c>
      <c r="B278" s="382" t="s">
        <v>818</v>
      </c>
      <c r="C278" s="383" t="s">
        <v>669</v>
      </c>
      <c r="D278" s="384">
        <v>1</v>
      </c>
      <c r="E278" s="384">
        <v>1</v>
      </c>
      <c r="F278" s="384">
        <f t="shared" si="44"/>
        <v>1</v>
      </c>
      <c r="G278" s="384">
        <f>'數量計算(FOR4變)'!I456</f>
        <v>2058</v>
      </c>
      <c r="H278" s="384">
        <f t="shared" si="45"/>
        <v>2057</v>
      </c>
      <c r="I278" s="384">
        <f t="shared" si="43"/>
        <v>190128.51</v>
      </c>
      <c r="J278" s="392"/>
      <c r="K278" s="392"/>
      <c r="L278" s="384">
        <v>92.43</v>
      </c>
      <c r="M278" s="384">
        <v>0</v>
      </c>
      <c r="N278" s="384">
        <v>0</v>
      </c>
      <c r="O278" s="384">
        <v>0</v>
      </c>
      <c r="P278" s="384">
        <v>0</v>
      </c>
      <c r="Q278" s="385" t="s">
        <v>242</v>
      </c>
      <c r="R278" s="380" t="s">
        <v>243</v>
      </c>
    </row>
    <row r="279" spans="1:18" ht="36.75" customHeight="1">
      <c r="A279" s="381" t="s">
        <v>2343</v>
      </c>
      <c r="B279" s="382" t="s">
        <v>821</v>
      </c>
      <c r="C279" s="383" t="s">
        <v>669</v>
      </c>
      <c r="D279" s="384">
        <v>1</v>
      </c>
      <c r="E279" s="384">
        <v>1</v>
      </c>
      <c r="F279" s="384">
        <f t="shared" si="44"/>
        <v>1</v>
      </c>
      <c r="G279" s="384">
        <f>'數量計算(FOR4變)'!I457</f>
        <v>735</v>
      </c>
      <c r="H279" s="384">
        <f t="shared" si="45"/>
        <v>734</v>
      </c>
      <c r="I279" s="384">
        <f t="shared" si="43"/>
        <v>45493.32</v>
      </c>
      <c r="J279" s="392"/>
      <c r="K279" s="392"/>
      <c r="L279" s="384">
        <v>61.98</v>
      </c>
      <c r="M279" s="384">
        <v>0</v>
      </c>
      <c r="N279" s="384">
        <v>0</v>
      </c>
      <c r="O279" s="384">
        <v>0</v>
      </c>
      <c r="P279" s="384">
        <v>0</v>
      </c>
      <c r="Q279" s="385" t="s">
        <v>242</v>
      </c>
      <c r="R279" s="380" t="s">
        <v>243</v>
      </c>
    </row>
    <row r="280" spans="1:18" ht="36.75" customHeight="1">
      <c r="A280" s="381" t="s">
        <v>2344</v>
      </c>
      <c r="B280" s="382" t="s">
        <v>824</v>
      </c>
      <c r="C280" s="383" t="s">
        <v>669</v>
      </c>
      <c r="D280" s="384">
        <v>1</v>
      </c>
      <c r="E280" s="384">
        <v>1</v>
      </c>
      <c r="F280" s="384">
        <f t="shared" si="44"/>
        <v>1</v>
      </c>
      <c r="G280" s="384">
        <f>'數量計算(FOR4變)'!I458</f>
        <v>248</v>
      </c>
      <c r="H280" s="384">
        <f t="shared" si="45"/>
        <v>247</v>
      </c>
      <c r="I280" s="384">
        <f t="shared" si="43"/>
        <v>38201.019999999997</v>
      </c>
      <c r="J280" s="392"/>
      <c r="K280" s="392"/>
      <c r="L280" s="384">
        <v>154.66</v>
      </c>
      <c r="M280" s="384">
        <v>0</v>
      </c>
      <c r="N280" s="384">
        <v>0</v>
      </c>
      <c r="O280" s="384">
        <v>0</v>
      </c>
      <c r="P280" s="384">
        <v>0</v>
      </c>
      <c r="Q280" s="385" t="s">
        <v>242</v>
      </c>
      <c r="R280" s="380" t="s">
        <v>243</v>
      </c>
    </row>
    <row r="281" spans="1:18" ht="36.75" customHeight="1">
      <c r="A281" s="381" t="s">
        <v>2345</v>
      </c>
      <c r="B281" s="382" t="s">
        <v>827</v>
      </c>
      <c r="C281" s="383" t="s">
        <v>669</v>
      </c>
      <c r="D281" s="384">
        <v>1</v>
      </c>
      <c r="E281" s="384">
        <v>1</v>
      </c>
      <c r="F281" s="384">
        <f t="shared" si="44"/>
        <v>1</v>
      </c>
      <c r="G281" s="384">
        <f>'數量計算(FOR4變)'!I459</f>
        <v>1673</v>
      </c>
      <c r="H281" s="384">
        <f t="shared" si="45"/>
        <v>1672</v>
      </c>
      <c r="I281" s="384">
        <f t="shared" si="43"/>
        <v>113211.12</v>
      </c>
      <c r="J281" s="392"/>
      <c r="K281" s="392"/>
      <c r="L281" s="384">
        <v>67.709999999999994</v>
      </c>
      <c r="M281" s="384">
        <v>0</v>
      </c>
      <c r="N281" s="384">
        <v>0</v>
      </c>
      <c r="O281" s="384">
        <v>0</v>
      </c>
      <c r="P281" s="384">
        <v>0</v>
      </c>
      <c r="Q281" s="385" t="s">
        <v>242</v>
      </c>
      <c r="R281" s="380" t="s">
        <v>243</v>
      </c>
    </row>
    <row r="282" spans="1:18" ht="36.75" customHeight="1">
      <c r="A282" s="381" t="s">
        <v>2346</v>
      </c>
      <c r="B282" s="382" t="s">
        <v>830</v>
      </c>
      <c r="C282" s="383" t="s">
        <v>669</v>
      </c>
      <c r="D282" s="384">
        <v>1</v>
      </c>
      <c r="E282" s="384">
        <v>1</v>
      </c>
      <c r="F282" s="384">
        <f t="shared" si="44"/>
        <v>1</v>
      </c>
      <c r="G282" s="384">
        <f>'數量計算(FOR4變)'!I460</f>
        <v>530</v>
      </c>
      <c r="H282" s="384">
        <f t="shared" si="45"/>
        <v>529</v>
      </c>
      <c r="I282" s="384">
        <f t="shared" si="43"/>
        <v>28698.25</v>
      </c>
      <c r="J282" s="392"/>
      <c r="K282" s="392"/>
      <c r="L282" s="384">
        <v>54.25</v>
      </c>
      <c r="M282" s="384">
        <v>0</v>
      </c>
      <c r="N282" s="384">
        <v>0</v>
      </c>
      <c r="O282" s="384">
        <v>0</v>
      </c>
      <c r="P282" s="384">
        <v>0</v>
      </c>
      <c r="Q282" s="385" t="s">
        <v>242</v>
      </c>
      <c r="R282" s="380" t="s">
        <v>243</v>
      </c>
    </row>
    <row r="283" spans="1:18" ht="36.75" customHeight="1">
      <c r="A283" s="381" t="s">
        <v>2347</v>
      </c>
      <c r="B283" s="382" t="s">
        <v>833</v>
      </c>
      <c r="C283" s="383" t="s">
        <v>669</v>
      </c>
      <c r="D283" s="384">
        <v>1</v>
      </c>
      <c r="E283" s="384">
        <v>1</v>
      </c>
      <c r="F283" s="384">
        <f t="shared" si="44"/>
        <v>1</v>
      </c>
      <c r="G283" s="384">
        <f>'數量計算(FOR4變)'!I461</f>
        <v>343</v>
      </c>
      <c r="H283" s="384">
        <f t="shared" si="45"/>
        <v>342</v>
      </c>
      <c r="I283" s="384">
        <f t="shared" si="43"/>
        <v>30882.6</v>
      </c>
      <c r="J283" s="392"/>
      <c r="K283" s="392"/>
      <c r="L283" s="384">
        <v>90.3</v>
      </c>
      <c r="M283" s="384">
        <v>0</v>
      </c>
      <c r="N283" s="384">
        <v>0</v>
      </c>
      <c r="O283" s="384">
        <v>0</v>
      </c>
      <c r="P283" s="384">
        <v>0</v>
      </c>
      <c r="Q283" s="385" t="s">
        <v>242</v>
      </c>
      <c r="R283" s="380" t="s">
        <v>243</v>
      </c>
    </row>
    <row r="284" spans="1:18" ht="36.75" customHeight="1">
      <c r="A284" s="381" t="s">
        <v>2348</v>
      </c>
      <c r="B284" s="382" t="s">
        <v>836</v>
      </c>
      <c r="C284" s="383" t="s">
        <v>669</v>
      </c>
      <c r="D284" s="384">
        <v>1</v>
      </c>
      <c r="E284" s="384">
        <v>1</v>
      </c>
      <c r="F284" s="384">
        <f t="shared" si="44"/>
        <v>1</v>
      </c>
      <c r="G284" s="384">
        <f>'數量計算(FOR4變)'!I462</f>
        <v>1060</v>
      </c>
      <c r="H284" s="384">
        <f t="shared" si="45"/>
        <v>1059</v>
      </c>
      <c r="I284" s="384">
        <f t="shared" si="43"/>
        <v>71090.67</v>
      </c>
      <c r="J284" s="392"/>
      <c r="K284" s="392"/>
      <c r="L284" s="384">
        <v>67.13</v>
      </c>
      <c r="M284" s="384">
        <v>0</v>
      </c>
      <c r="N284" s="384">
        <v>0</v>
      </c>
      <c r="O284" s="384">
        <v>0</v>
      </c>
      <c r="P284" s="384">
        <v>0</v>
      </c>
      <c r="Q284" s="385" t="s">
        <v>242</v>
      </c>
      <c r="R284" s="380" t="s">
        <v>243</v>
      </c>
    </row>
    <row r="285" spans="1:18" ht="36.75" customHeight="1">
      <c r="A285" s="381" t="s">
        <v>2349</v>
      </c>
      <c r="B285" s="382" t="s">
        <v>839</v>
      </c>
      <c r="C285" s="383" t="s">
        <v>669</v>
      </c>
      <c r="D285" s="384">
        <v>1</v>
      </c>
      <c r="E285" s="384">
        <v>1</v>
      </c>
      <c r="F285" s="384">
        <f t="shared" si="44"/>
        <v>1</v>
      </c>
      <c r="G285" s="384">
        <f>'數量計算(FOR4變)'!I463</f>
        <v>1607</v>
      </c>
      <c r="H285" s="384">
        <f t="shared" si="45"/>
        <v>1606</v>
      </c>
      <c r="I285" s="384">
        <f t="shared" si="43"/>
        <v>91268.98</v>
      </c>
      <c r="J285" s="392"/>
      <c r="K285" s="392"/>
      <c r="L285" s="384">
        <v>56.83</v>
      </c>
      <c r="M285" s="384">
        <v>0</v>
      </c>
      <c r="N285" s="384">
        <v>0</v>
      </c>
      <c r="O285" s="384">
        <v>0</v>
      </c>
      <c r="P285" s="384">
        <v>0</v>
      </c>
      <c r="Q285" s="385" t="s">
        <v>242</v>
      </c>
      <c r="R285" s="380" t="s">
        <v>243</v>
      </c>
    </row>
    <row r="286" spans="1:18" ht="36.75" customHeight="1">
      <c r="A286" s="381" t="s">
        <v>2350</v>
      </c>
      <c r="B286" s="382" t="s">
        <v>842</v>
      </c>
      <c r="C286" s="383" t="s">
        <v>669</v>
      </c>
      <c r="D286" s="384">
        <v>1</v>
      </c>
      <c r="E286" s="384">
        <v>1</v>
      </c>
      <c r="F286" s="384">
        <f t="shared" si="44"/>
        <v>1</v>
      </c>
      <c r="G286" s="384">
        <f>'數量計算(FOR4變)'!I464</f>
        <v>815</v>
      </c>
      <c r="H286" s="384">
        <f t="shared" si="45"/>
        <v>814</v>
      </c>
      <c r="I286" s="384">
        <f t="shared" si="43"/>
        <v>55897.38</v>
      </c>
      <c r="J286" s="392"/>
      <c r="K286" s="392"/>
      <c r="L286" s="384">
        <v>68.67</v>
      </c>
      <c r="M286" s="384">
        <v>0</v>
      </c>
      <c r="N286" s="384">
        <v>0</v>
      </c>
      <c r="O286" s="384">
        <v>0</v>
      </c>
      <c r="P286" s="384">
        <v>0</v>
      </c>
      <c r="Q286" s="385" t="s">
        <v>242</v>
      </c>
      <c r="R286" s="380" t="s">
        <v>243</v>
      </c>
    </row>
    <row r="287" spans="1:18" ht="36.75" customHeight="1">
      <c r="A287" s="381" t="s">
        <v>2351</v>
      </c>
      <c r="B287" s="382" t="s">
        <v>845</v>
      </c>
      <c r="C287" s="383" t="s">
        <v>669</v>
      </c>
      <c r="D287" s="384">
        <v>1</v>
      </c>
      <c r="E287" s="384">
        <v>1</v>
      </c>
      <c r="F287" s="384">
        <f t="shared" si="44"/>
        <v>1</v>
      </c>
      <c r="G287" s="384">
        <f>'數量計算(FOR4變)'!I465</f>
        <v>833</v>
      </c>
      <c r="H287" s="384">
        <f t="shared" si="45"/>
        <v>832</v>
      </c>
      <c r="I287" s="384">
        <f t="shared" si="43"/>
        <v>49853.440000000002</v>
      </c>
      <c r="J287" s="392"/>
      <c r="K287" s="392"/>
      <c r="L287" s="384">
        <v>59.92</v>
      </c>
      <c r="M287" s="384">
        <v>0</v>
      </c>
      <c r="N287" s="384">
        <v>0</v>
      </c>
      <c r="O287" s="384">
        <v>0</v>
      </c>
      <c r="P287" s="384">
        <v>0</v>
      </c>
      <c r="Q287" s="385" t="s">
        <v>242</v>
      </c>
      <c r="R287" s="380" t="s">
        <v>243</v>
      </c>
    </row>
    <row r="288" spans="1:18" ht="36.75" customHeight="1">
      <c r="A288" s="381" t="s">
        <v>2352</v>
      </c>
      <c r="B288" s="382" t="s">
        <v>848</v>
      </c>
      <c r="C288" s="383" t="s">
        <v>669</v>
      </c>
      <c r="D288" s="384">
        <v>1</v>
      </c>
      <c r="E288" s="384">
        <v>1</v>
      </c>
      <c r="F288" s="384">
        <f t="shared" si="44"/>
        <v>1</v>
      </c>
      <c r="G288" s="384">
        <f>'數量計算(FOR4變)'!I466</f>
        <v>510</v>
      </c>
      <c r="H288" s="384">
        <f t="shared" si="45"/>
        <v>509</v>
      </c>
      <c r="I288" s="384">
        <f t="shared" si="43"/>
        <v>29710.33</v>
      </c>
      <c r="J288" s="392"/>
      <c r="K288" s="392"/>
      <c r="L288" s="384">
        <v>58.37</v>
      </c>
      <c r="M288" s="384">
        <v>0</v>
      </c>
      <c r="N288" s="384">
        <v>0</v>
      </c>
      <c r="O288" s="384">
        <v>0</v>
      </c>
      <c r="P288" s="384">
        <v>0</v>
      </c>
      <c r="Q288" s="385" t="s">
        <v>242</v>
      </c>
      <c r="R288" s="380" t="s">
        <v>243</v>
      </c>
    </row>
    <row r="289" spans="1:18" ht="36.75" customHeight="1">
      <c r="A289" s="381" t="s">
        <v>2353</v>
      </c>
      <c r="B289" s="382" t="s">
        <v>851</v>
      </c>
      <c r="C289" s="383" t="s">
        <v>669</v>
      </c>
      <c r="D289" s="384">
        <v>1</v>
      </c>
      <c r="E289" s="384">
        <v>1</v>
      </c>
      <c r="F289" s="384">
        <f t="shared" si="44"/>
        <v>1</v>
      </c>
      <c r="G289" s="384">
        <f>'數量計算(FOR4變)'!I467</f>
        <v>501</v>
      </c>
      <c r="H289" s="384">
        <f t="shared" si="45"/>
        <v>500</v>
      </c>
      <c r="I289" s="384">
        <f t="shared" si="43"/>
        <v>34105</v>
      </c>
      <c r="J289" s="392"/>
      <c r="K289" s="392"/>
      <c r="L289" s="384">
        <v>68.209999999999994</v>
      </c>
      <c r="M289" s="384">
        <v>0</v>
      </c>
      <c r="N289" s="384">
        <v>0</v>
      </c>
      <c r="O289" s="384">
        <v>0</v>
      </c>
      <c r="P289" s="384">
        <v>0</v>
      </c>
      <c r="Q289" s="385" t="s">
        <v>242</v>
      </c>
      <c r="R289" s="380" t="s">
        <v>243</v>
      </c>
    </row>
    <row r="290" spans="1:18" ht="36.75" customHeight="1">
      <c r="A290" s="381" t="s">
        <v>2354</v>
      </c>
      <c r="B290" s="382" t="s">
        <v>854</v>
      </c>
      <c r="C290" s="383" t="s">
        <v>669</v>
      </c>
      <c r="D290" s="384">
        <v>1</v>
      </c>
      <c r="E290" s="384">
        <v>1</v>
      </c>
      <c r="F290" s="384">
        <f t="shared" si="44"/>
        <v>1</v>
      </c>
      <c r="G290" s="384">
        <f>'數量計算(FOR4變)'!I468</f>
        <v>933</v>
      </c>
      <c r="H290" s="384">
        <f t="shared" si="45"/>
        <v>932</v>
      </c>
      <c r="I290" s="384">
        <f t="shared" si="43"/>
        <v>67411.56</v>
      </c>
      <c r="J290" s="392"/>
      <c r="K290" s="392"/>
      <c r="L290" s="384">
        <v>72.33</v>
      </c>
      <c r="M290" s="384">
        <v>0</v>
      </c>
      <c r="N290" s="384">
        <v>0</v>
      </c>
      <c r="O290" s="384">
        <v>0</v>
      </c>
      <c r="P290" s="384">
        <v>0</v>
      </c>
      <c r="Q290" s="385" t="s">
        <v>242</v>
      </c>
      <c r="R290" s="380" t="s">
        <v>243</v>
      </c>
    </row>
    <row r="291" spans="1:18" ht="36.75" customHeight="1">
      <c r="A291" s="381" t="s">
        <v>2355</v>
      </c>
      <c r="B291" s="382" t="s">
        <v>857</v>
      </c>
      <c r="C291" s="383" t="s">
        <v>669</v>
      </c>
      <c r="D291" s="384">
        <v>1</v>
      </c>
      <c r="E291" s="384">
        <v>1</v>
      </c>
      <c r="F291" s="384">
        <f t="shared" si="44"/>
        <v>1</v>
      </c>
      <c r="G291" s="384">
        <f>'數量計算(FOR4變)'!I469</f>
        <v>1010</v>
      </c>
      <c r="H291" s="384">
        <f t="shared" si="45"/>
        <v>1009</v>
      </c>
      <c r="I291" s="384">
        <f t="shared" si="43"/>
        <v>112473.23</v>
      </c>
      <c r="J291" s="392"/>
      <c r="K291" s="392"/>
      <c r="L291" s="384">
        <v>111.47</v>
      </c>
      <c r="M291" s="384">
        <v>0</v>
      </c>
      <c r="N291" s="384">
        <v>0</v>
      </c>
      <c r="O291" s="384">
        <v>0</v>
      </c>
      <c r="P291" s="384">
        <v>0</v>
      </c>
      <c r="Q291" s="385" t="s">
        <v>242</v>
      </c>
      <c r="R291" s="380" t="s">
        <v>243</v>
      </c>
    </row>
    <row r="292" spans="1:18" ht="36.75" customHeight="1">
      <c r="A292" s="381" t="s">
        <v>2356</v>
      </c>
      <c r="B292" s="382" t="s">
        <v>860</v>
      </c>
      <c r="C292" s="383" t="s">
        <v>669</v>
      </c>
      <c r="D292" s="384">
        <v>1</v>
      </c>
      <c r="E292" s="384">
        <v>1</v>
      </c>
      <c r="F292" s="384">
        <f t="shared" si="44"/>
        <v>1</v>
      </c>
      <c r="G292" s="384">
        <f>'數量計算(FOR4變)'!I470</f>
        <v>1142</v>
      </c>
      <c r="H292" s="384">
        <f t="shared" si="45"/>
        <v>1141</v>
      </c>
      <c r="I292" s="384">
        <f t="shared" si="43"/>
        <v>115434.97</v>
      </c>
      <c r="J292" s="392"/>
      <c r="K292" s="392"/>
      <c r="L292" s="384">
        <v>101.17</v>
      </c>
      <c r="M292" s="384">
        <v>0</v>
      </c>
      <c r="N292" s="384">
        <v>0</v>
      </c>
      <c r="O292" s="384">
        <v>0</v>
      </c>
      <c r="P292" s="384">
        <v>0</v>
      </c>
      <c r="Q292" s="385" t="s">
        <v>242</v>
      </c>
      <c r="R292" s="380" t="s">
        <v>243</v>
      </c>
    </row>
    <row r="293" spans="1:18" ht="36.75" customHeight="1">
      <c r="A293" s="381" t="s">
        <v>2357</v>
      </c>
      <c r="B293" s="382" t="s">
        <v>863</v>
      </c>
      <c r="C293" s="383" t="s">
        <v>669</v>
      </c>
      <c r="D293" s="384">
        <v>1</v>
      </c>
      <c r="E293" s="384">
        <v>1</v>
      </c>
      <c r="F293" s="384">
        <f t="shared" si="44"/>
        <v>1</v>
      </c>
      <c r="G293" s="384">
        <f>'數量計算(FOR4變)'!I471</f>
        <v>5132</v>
      </c>
      <c r="H293" s="384">
        <f t="shared" si="45"/>
        <v>5131</v>
      </c>
      <c r="I293" s="384">
        <f t="shared" si="43"/>
        <v>418792.22</v>
      </c>
      <c r="J293" s="392"/>
      <c r="K293" s="392"/>
      <c r="L293" s="384">
        <v>81.62</v>
      </c>
      <c r="M293" s="384">
        <v>0</v>
      </c>
      <c r="N293" s="384">
        <v>0</v>
      </c>
      <c r="O293" s="384">
        <v>0</v>
      </c>
      <c r="P293" s="384">
        <v>0</v>
      </c>
      <c r="Q293" s="385" t="s">
        <v>242</v>
      </c>
      <c r="R293" s="380" t="s">
        <v>243</v>
      </c>
    </row>
    <row r="294" spans="1:18" ht="36.75" customHeight="1">
      <c r="A294" s="381" t="s">
        <v>2358</v>
      </c>
      <c r="B294" s="382" t="s">
        <v>866</v>
      </c>
      <c r="C294" s="383" t="s">
        <v>669</v>
      </c>
      <c r="D294" s="384">
        <v>1</v>
      </c>
      <c r="E294" s="384">
        <v>1</v>
      </c>
      <c r="F294" s="384">
        <f t="shared" si="44"/>
        <v>1</v>
      </c>
      <c r="G294" s="384">
        <f>'數量計算(FOR4變)'!I472</f>
        <v>194</v>
      </c>
      <c r="H294" s="384">
        <f t="shared" si="45"/>
        <v>193</v>
      </c>
      <c r="I294" s="384">
        <f t="shared" si="43"/>
        <v>15254.72</v>
      </c>
      <c r="J294" s="392"/>
      <c r="K294" s="392"/>
      <c r="L294" s="384">
        <v>79.040000000000006</v>
      </c>
      <c r="M294" s="384">
        <v>0</v>
      </c>
      <c r="N294" s="384">
        <v>0</v>
      </c>
      <c r="O294" s="384">
        <v>0</v>
      </c>
      <c r="P294" s="384">
        <v>0</v>
      </c>
      <c r="Q294" s="385" t="s">
        <v>242</v>
      </c>
      <c r="R294" s="380" t="s">
        <v>243</v>
      </c>
    </row>
    <row r="295" spans="1:18" ht="36.75" customHeight="1">
      <c r="A295" s="381" t="s">
        <v>2359</v>
      </c>
      <c r="B295" s="382" t="s">
        <v>869</v>
      </c>
      <c r="C295" s="383" t="s">
        <v>669</v>
      </c>
      <c r="D295" s="384">
        <v>1</v>
      </c>
      <c r="E295" s="384">
        <v>1</v>
      </c>
      <c r="F295" s="384">
        <f t="shared" si="44"/>
        <v>1</v>
      </c>
      <c r="G295" s="384">
        <f>'數量計算(FOR4變)'!I473</f>
        <v>755</v>
      </c>
      <c r="H295" s="384">
        <f t="shared" si="45"/>
        <v>754</v>
      </c>
      <c r="I295" s="384">
        <f t="shared" si="43"/>
        <v>75128.56</v>
      </c>
      <c r="J295" s="392"/>
      <c r="K295" s="392"/>
      <c r="L295" s="384">
        <v>99.64</v>
      </c>
      <c r="M295" s="384">
        <v>0</v>
      </c>
      <c r="N295" s="384">
        <v>0</v>
      </c>
      <c r="O295" s="384">
        <v>0</v>
      </c>
      <c r="P295" s="384">
        <v>0</v>
      </c>
      <c r="Q295" s="385" t="s">
        <v>242</v>
      </c>
      <c r="R295" s="380" t="s">
        <v>243</v>
      </c>
    </row>
    <row r="296" spans="1:18" ht="36.75" customHeight="1">
      <c r="A296" s="381" t="s">
        <v>2360</v>
      </c>
      <c r="B296" s="382" t="s">
        <v>872</v>
      </c>
      <c r="C296" s="383" t="s">
        <v>669</v>
      </c>
      <c r="D296" s="384">
        <v>1</v>
      </c>
      <c r="E296" s="384">
        <v>1</v>
      </c>
      <c r="F296" s="384">
        <f t="shared" si="44"/>
        <v>1</v>
      </c>
      <c r="G296" s="384">
        <f>'數量計算(FOR4變)'!I474</f>
        <v>640</v>
      </c>
      <c r="H296" s="384">
        <f t="shared" si="45"/>
        <v>639</v>
      </c>
      <c r="I296" s="384">
        <f t="shared" si="43"/>
        <v>47873.88</v>
      </c>
      <c r="J296" s="392"/>
      <c r="K296" s="392"/>
      <c r="L296" s="384">
        <v>74.92</v>
      </c>
      <c r="M296" s="384">
        <v>0</v>
      </c>
      <c r="N296" s="384">
        <v>0</v>
      </c>
      <c r="O296" s="384">
        <v>0</v>
      </c>
      <c r="P296" s="384">
        <v>0</v>
      </c>
      <c r="Q296" s="385" t="s">
        <v>242</v>
      </c>
      <c r="R296" s="380" t="s">
        <v>243</v>
      </c>
    </row>
    <row r="297" spans="1:18" ht="36.75" customHeight="1">
      <c r="A297" s="381" t="s">
        <v>2361</v>
      </c>
      <c r="B297" s="382" t="s">
        <v>875</v>
      </c>
      <c r="C297" s="383" t="s">
        <v>669</v>
      </c>
      <c r="D297" s="384">
        <v>1</v>
      </c>
      <c r="E297" s="384">
        <v>1</v>
      </c>
      <c r="F297" s="384">
        <f>E297</f>
        <v>1</v>
      </c>
      <c r="G297" s="384">
        <f>'數量計算(FOR4變)'!I475</f>
        <v>202</v>
      </c>
      <c r="H297" s="384">
        <f t="shared" si="45"/>
        <v>201</v>
      </c>
      <c r="I297" s="384">
        <f t="shared" si="43"/>
        <v>14528.28</v>
      </c>
      <c r="J297" s="392"/>
      <c r="K297" s="392"/>
      <c r="L297" s="384">
        <v>72.28</v>
      </c>
      <c r="M297" s="384">
        <v>0</v>
      </c>
      <c r="N297" s="384">
        <v>0</v>
      </c>
      <c r="O297" s="384">
        <v>0</v>
      </c>
      <c r="P297" s="384">
        <v>0</v>
      </c>
      <c r="Q297" s="385" t="s">
        <v>242</v>
      </c>
      <c r="R297" s="380" t="s">
        <v>243</v>
      </c>
    </row>
    <row r="298" spans="1:18" ht="36.75" customHeight="1">
      <c r="A298" s="381" t="s">
        <v>2362</v>
      </c>
      <c r="B298" s="382" t="s">
        <v>878</v>
      </c>
      <c r="C298" s="383" t="s">
        <v>13</v>
      </c>
      <c r="D298" s="384">
        <v>1</v>
      </c>
      <c r="E298" s="384">
        <v>1</v>
      </c>
      <c r="F298" s="384">
        <f t="shared" si="44"/>
        <v>1</v>
      </c>
      <c r="G298" s="384">
        <f>'數量計算(FOR4變)'!I476</f>
        <v>1435.1</v>
      </c>
      <c r="H298" s="384">
        <f t="shared" si="45"/>
        <v>1434.1</v>
      </c>
      <c r="I298" s="384">
        <f t="shared" si="43"/>
        <v>62770.559999999998</v>
      </c>
      <c r="J298" s="392"/>
      <c r="K298" s="392"/>
      <c r="L298" s="384">
        <v>43.77</v>
      </c>
      <c r="M298" s="384">
        <v>0</v>
      </c>
      <c r="N298" s="384">
        <v>0</v>
      </c>
      <c r="O298" s="384">
        <v>0</v>
      </c>
      <c r="P298" s="384">
        <v>0</v>
      </c>
      <c r="Q298" s="385" t="s">
        <v>242</v>
      </c>
      <c r="R298" s="380" t="s">
        <v>243</v>
      </c>
    </row>
    <row r="299" spans="1:18" ht="36.75" customHeight="1">
      <c r="A299" s="381" t="s">
        <v>2363</v>
      </c>
      <c r="B299" s="382" t="s">
        <v>881</v>
      </c>
      <c r="C299" s="383" t="s">
        <v>882</v>
      </c>
      <c r="D299" s="384">
        <v>1</v>
      </c>
      <c r="E299" s="384">
        <v>1</v>
      </c>
      <c r="F299" s="384">
        <f t="shared" si="44"/>
        <v>1</v>
      </c>
      <c r="G299" s="384">
        <f>'數量計算(FOR4變)'!I477</f>
        <v>34800</v>
      </c>
      <c r="H299" s="384">
        <f t="shared" si="45"/>
        <v>34799</v>
      </c>
      <c r="I299" s="384">
        <f t="shared" si="43"/>
        <v>978199.89</v>
      </c>
      <c r="J299" s="392"/>
      <c r="K299" s="392"/>
      <c r="L299" s="384">
        <v>28.11</v>
      </c>
      <c r="M299" s="384">
        <v>0</v>
      </c>
      <c r="N299" s="384">
        <v>0</v>
      </c>
      <c r="O299" s="384">
        <v>0</v>
      </c>
      <c r="P299" s="384">
        <v>0</v>
      </c>
      <c r="Q299" s="385" t="s">
        <v>242</v>
      </c>
      <c r="R299" s="380" t="s">
        <v>243</v>
      </c>
    </row>
    <row r="300" spans="1:18" ht="36.75" customHeight="1">
      <c r="A300" s="381" t="s">
        <v>2364</v>
      </c>
      <c r="B300" s="382" t="s">
        <v>885</v>
      </c>
      <c r="C300" s="383" t="s">
        <v>13</v>
      </c>
      <c r="D300" s="384">
        <v>1</v>
      </c>
      <c r="E300" s="384">
        <v>1</v>
      </c>
      <c r="F300" s="384">
        <f t="shared" si="44"/>
        <v>1</v>
      </c>
      <c r="G300" s="384">
        <f>'數量計算(FOR4變)'!I478</f>
        <v>6496.5</v>
      </c>
      <c r="H300" s="384">
        <f t="shared" si="45"/>
        <v>6495.5</v>
      </c>
      <c r="I300" s="384">
        <f t="shared" si="43"/>
        <v>1558010.63</v>
      </c>
      <c r="J300" s="392"/>
      <c r="K300" s="392"/>
      <c r="L300" s="384">
        <v>239.86</v>
      </c>
      <c r="M300" s="384">
        <v>0</v>
      </c>
      <c r="N300" s="384">
        <v>0</v>
      </c>
      <c r="O300" s="384">
        <v>0</v>
      </c>
      <c r="P300" s="384">
        <v>0</v>
      </c>
      <c r="Q300" s="385" t="s">
        <v>242</v>
      </c>
      <c r="R300" s="380" t="s">
        <v>243</v>
      </c>
    </row>
    <row r="301" spans="1:18" ht="36.75" customHeight="1">
      <c r="A301" s="381" t="s">
        <v>2365</v>
      </c>
      <c r="B301" s="382" t="s">
        <v>1506</v>
      </c>
      <c r="C301" s="383" t="s">
        <v>8</v>
      </c>
      <c r="D301" s="384">
        <v>0</v>
      </c>
      <c r="E301" s="384">
        <v>1305</v>
      </c>
      <c r="F301" s="384">
        <f>E301</f>
        <v>1305</v>
      </c>
      <c r="G301" s="384"/>
      <c r="H301" s="384"/>
      <c r="I301" s="384"/>
      <c r="J301" s="392"/>
      <c r="K301" s="392"/>
      <c r="L301" s="384">
        <v>1765.46</v>
      </c>
      <c r="M301" s="384">
        <v>0</v>
      </c>
      <c r="N301" s="384">
        <v>1305</v>
      </c>
      <c r="O301" s="384">
        <v>0</v>
      </c>
      <c r="P301" s="384">
        <v>2303925.2999999998</v>
      </c>
      <c r="Q301" s="385" t="s">
        <v>242</v>
      </c>
      <c r="R301" s="380" t="s">
        <v>243</v>
      </c>
    </row>
    <row r="302" spans="1:18" ht="36.75" customHeight="1">
      <c r="A302" s="381" t="s">
        <v>2366</v>
      </c>
      <c r="B302" s="382" t="s">
        <v>1508</v>
      </c>
      <c r="C302" s="383" t="s">
        <v>1509</v>
      </c>
      <c r="D302" s="384">
        <v>0</v>
      </c>
      <c r="E302" s="384">
        <v>15318</v>
      </c>
      <c r="F302" s="384">
        <f>E302</f>
        <v>15318</v>
      </c>
      <c r="G302" s="384"/>
      <c r="H302" s="384"/>
      <c r="I302" s="384"/>
      <c r="J302" s="392"/>
      <c r="K302" s="392"/>
      <c r="L302" s="384">
        <v>149.99</v>
      </c>
      <c r="M302" s="384">
        <v>800</v>
      </c>
      <c r="N302" s="384">
        <v>7791</v>
      </c>
      <c r="O302" s="384">
        <v>119992</v>
      </c>
      <c r="P302" s="384">
        <v>1168572.0900000001</v>
      </c>
      <c r="Q302" s="385" t="s">
        <v>242</v>
      </c>
      <c r="R302" s="380" t="s">
        <v>243</v>
      </c>
    </row>
    <row r="303" spans="1:18" ht="36.75" customHeight="1">
      <c r="A303" s="381" t="s">
        <v>2382</v>
      </c>
      <c r="B303" s="382" t="s">
        <v>888</v>
      </c>
      <c r="C303" s="383" t="s">
        <v>4</v>
      </c>
      <c r="D303" s="384">
        <v>1</v>
      </c>
      <c r="E303" s="384">
        <v>1</v>
      </c>
      <c r="F303" s="384">
        <f>D303</f>
        <v>1</v>
      </c>
      <c r="G303" s="384"/>
      <c r="H303" s="384"/>
      <c r="I303" s="384"/>
      <c r="J303" s="392"/>
      <c r="K303" s="392"/>
      <c r="L303" s="384">
        <v>5050770.37</v>
      </c>
      <c r="M303" s="384">
        <v>0</v>
      </c>
      <c r="N303" s="384">
        <v>0</v>
      </c>
      <c r="O303" s="384">
        <v>0</v>
      </c>
      <c r="P303" s="384">
        <v>0</v>
      </c>
      <c r="Q303" s="385" t="s">
        <v>242</v>
      </c>
      <c r="R303" s="380" t="s">
        <v>243</v>
      </c>
    </row>
    <row r="304" spans="1:18" ht="36.75" customHeight="1">
      <c r="A304" s="381" t="s">
        <v>2288</v>
      </c>
      <c r="B304" s="382" t="s">
        <v>890</v>
      </c>
      <c r="C304" s="383" t="s">
        <v>4</v>
      </c>
      <c r="D304" s="384">
        <v>1</v>
      </c>
      <c r="E304" s="384">
        <v>1</v>
      </c>
      <c r="F304" s="384">
        <f t="shared" ref="F304:F336" si="46">D304</f>
        <v>1</v>
      </c>
      <c r="G304" s="384"/>
      <c r="H304" s="384"/>
      <c r="I304" s="384"/>
      <c r="J304" s="392"/>
      <c r="K304" s="392"/>
      <c r="L304" s="384">
        <v>88179.19</v>
      </c>
      <c r="M304" s="384">
        <v>0</v>
      </c>
      <c r="N304" s="384">
        <v>0</v>
      </c>
      <c r="O304" s="384">
        <v>0</v>
      </c>
      <c r="P304" s="384">
        <v>0</v>
      </c>
      <c r="Q304" s="385" t="s">
        <v>242</v>
      </c>
      <c r="R304" s="380" t="s">
        <v>243</v>
      </c>
    </row>
    <row r="305" spans="1:18" ht="36.75" customHeight="1">
      <c r="A305" s="381" t="s">
        <v>2289</v>
      </c>
      <c r="B305" s="382" t="s">
        <v>893</v>
      </c>
      <c r="C305" s="383" t="s">
        <v>4</v>
      </c>
      <c r="D305" s="384">
        <v>1</v>
      </c>
      <c r="E305" s="384">
        <v>1</v>
      </c>
      <c r="F305" s="384">
        <f t="shared" si="46"/>
        <v>1</v>
      </c>
      <c r="G305" s="384"/>
      <c r="H305" s="384"/>
      <c r="I305" s="384"/>
      <c r="J305" s="392"/>
      <c r="K305" s="392"/>
      <c r="L305" s="384">
        <v>149702.84</v>
      </c>
      <c r="M305" s="384">
        <v>0</v>
      </c>
      <c r="N305" s="384">
        <v>0</v>
      </c>
      <c r="O305" s="384">
        <v>0</v>
      </c>
      <c r="P305" s="384">
        <v>0</v>
      </c>
      <c r="Q305" s="385" t="s">
        <v>242</v>
      </c>
      <c r="R305" s="380" t="s">
        <v>243</v>
      </c>
    </row>
    <row r="306" spans="1:18" ht="36.75" customHeight="1">
      <c r="A306" s="381" t="s">
        <v>2290</v>
      </c>
      <c r="B306" s="382" t="s">
        <v>896</v>
      </c>
      <c r="C306" s="383" t="s">
        <v>4</v>
      </c>
      <c r="D306" s="384">
        <v>1</v>
      </c>
      <c r="E306" s="384">
        <v>1</v>
      </c>
      <c r="F306" s="384">
        <f t="shared" si="46"/>
        <v>1</v>
      </c>
      <c r="G306" s="384"/>
      <c r="H306" s="384"/>
      <c r="I306" s="384"/>
      <c r="J306" s="392"/>
      <c r="K306" s="392"/>
      <c r="L306" s="384">
        <v>168290.82</v>
      </c>
      <c r="M306" s="384">
        <v>0</v>
      </c>
      <c r="N306" s="384">
        <v>0</v>
      </c>
      <c r="O306" s="384">
        <v>0</v>
      </c>
      <c r="P306" s="384">
        <v>0</v>
      </c>
      <c r="Q306" s="385" t="s">
        <v>242</v>
      </c>
      <c r="R306" s="380" t="s">
        <v>243</v>
      </c>
    </row>
    <row r="307" spans="1:18" ht="36.75" customHeight="1">
      <c r="A307" s="381" t="s">
        <v>2291</v>
      </c>
      <c r="B307" s="382" t="s">
        <v>899</v>
      </c>
      <c r="C307" s="383" t="s">
        <v>4</v>
      </c>
      <c r="D307" s="384">
        <v>1</v>
      </c>
      <c r="E307" s="384">
        <v>1</v>
      </c>
      <c r="F307" s="384">
        <f t="shared" si="46"/>
        <v>1</v>
      </c>
      <c r="G307" s="384"/>
      <c r="H307" s="384"/>
      <c r="I307" s="384"/>
      <c r="J307" s="392"/>
      <c r="K307" s="392"/>
      <c r="L307" s="384">
        <v>23946.69</v>
      </c>
      <c r="M307" s="384">
        <v>0</v>
      </c>
      <c r="N307" s="384">
        <v>0</v>
      </c>
      <c r="O307" s="384">
        <v>0</v>
      </c>
      <c r="P307" s="384">
        <v>0</v>
      </c>
      <c r="Q307" s="385" t="s">
        <v>242</v>
      </c>
      <c r="R307" s="380" t="s">
        <v>243</v>
      </c>
    </row>
    <row r="308" spans="1:18" ht="36.75" customHeight="1">
      <c r="A308" s="381" t="s">
        <v>2292</v>
      </c>
      <c r="B308" s="382" t="s">
        <v>902</v>
      </c>
      <c r="C308" s="383" t="s">
        <v>0</v>
      </c>
      <c r="D308" s="384">
        <v>11</v>
      </c>
      <c r="E308" s="384">
        <v>11</v>
      </c>
      <c r="F308" s="384">
        <f t="shared" si="46"/>
        <v>11</v>
      </c>
      <c r="G308" s="384"/>
      <c r="H308" s="384"/>
      <c r="I308" s="384"/>
      <c r="J308" s="392"/>
      <c r="K308" s="392"/>
      <c r="L308" s="384">
        <v>42797.67</v>
      </c>
      <c r="M308" s="384">
        <v>0</v>
      </c>
      <c r="N308" s="384">
        <v>0</v>
      </c>
      <c r="O308" s="384">
        <v>0</v>
      </c>
      <c r="P308" s="384">
        <v>0</v>
      </c>
      <c r="Q308" s="385" t="s">
        <v>242</v>
      </c>
      <c r="R308" s="380" t="s">
        <v>243</v>
      </c>
    </row>
    <row r="309" spans="1:18" ht="36.75" customHeight="1">
      <c r="A309" s="381" t="s">
        <v>2293</v>
      </c>
      <c r="B309" s="382" t="s">
        <v>905</v>
      </c>
      <c r="C309" s="383" t="s">
        <v>0</v>
      </c>
      <c r="D309" s="384">
        <v>9</v>
      </c>
      <c r="E309" s="384">
        <v>9</v>
      </c>
      <c r="F309" s="384">
        <f t="shared" si="46"/>
        <v>9</v>
      </c>
      <c r="G309" s="384"/>
      <c r="H309" s="384"/>
      <c r="I309" s="384"/>
      <c r="J309" s="392"/>
      <c r="K309" s="392"/>
      <c r="L309" s="384">
        <v>60396.71</v>
      </c>
      <c r="M309" s="384">
        <v>0</v>
      </c>
      <c r="N309" s="384">
        <v>0</v>
      </c>
      <c r="O309" s="384">
        <v>0</v>
      </c>
      <c r="P309" s="384">
        <v>0</v>
      </c>
      <c r="Q309" s="385" t="s">
        <v>242</v>
      </c>
      <c r="R309" s="380" t="s">
        <v>243</v>
      </c>
    </row>
    <row r="310" spans="1:18" ht="36.75" customHeight="1">
      <c r="A310" s="381" t="s">
        <v>2294</v>
      </c>
      <c r="B310" s="382" t="s">
        <v>908</v>
      </c>
      <c r="C310" s="383" t="s">
        <v>0</v>
      </c>
      <c r="D310" s="384">
        <v>10</v>
      </c>
      <c r="E310" s="384">
        <v>10</v>
      </c>
      <c r="F310" s="384">
        <f t="shared" si="46"/>
        <v>10</v>
      </c>
      <c r="G310" s="384"/>
      <c r="H310" s="384"/>
      <c r="I310" s="384"/>
      <c r="J310" s="392"/>
      <c r="K310" s="392"/>
      <c r="L310" s="384">
        <v>34998.089999999997</v>
      </c>
      <c r="M310" s="384">
        <v>0</v>
      </c>
      <c r="N310" s="384">
        <v>0</v>
      </c>
      <c r="O310" s="384">
        <v>0</v>
      </c>
      <c r="P310" s="384">
        <v>0</v>
      </c>
      <c r="Q310" s="385" t="s">
        <v>242</v>
      </c>
      <c r="R310" s="380" t="s">
        <v>243</v>
      </c>
    </row>
    <row r="311" spans="1:18" ht="36.75" customHeight="1">
      <c r="A311" s="381" t="s">
        <v>2295</v>
      </c>
      <c r="B311" s="382" t="s">
        <v>911</v>
      </c>
      <c r="C311" s="383" t="s">
        <v>0</v>
      </c>
      <c r="D311" s="384">
        <v>8</v>
      </c>
      <c r="E311" s="384">
        <v>8</v>
      </c>
      <c r="F311" s="384">
        <f t="shared" si="46"/>
        <v>8</v>
      </c>
      <c r="G311" s="384"/>
      <c r="H311" s="384"/>
      <c r="I311" s="384"/>
      <c r="J311" s="392"/>
      <c r="K311" s="392"/>
      <c r="L311" s="384">
        <v>9999.4500000000007</v>
      </c>
      <c r="M311" s="384">
        <v>0</v>
      </c>
      <c r="N311" s="384">
        <v>0</v>
      </c>
      <c r="O311" s="384">
        <v>0</v>
      </c>
      <c r="P311" s="384">
        <v>0</v>
      </c>
      <c r="Q311" s="385" t="s">
        <v>242</v>
      </c>
      <c r="R311" s="380" t="s">
        <v>243</v>
      </c>
    </row>
    <row r="312" spans="1:18" ht="36.75" customHeight="1">
      <c r="A312" s="381" t="s">
        <v>2296</v>
      </c>
      <c r="B312" s="382" t="s">
        <v>914</v>
      </c>
      <c r="C312" s="383" t="s">
        <v>15</v>
      </c>
      <c r="D312" s="384">
        <v>2</v>
      </c>
      <c r="E312" s="384">
        <v>2</v>
      </c>
      <c r="F312" s="384">
        <f t="shared" si="46"/>
        <v>2</v>
      </c>
      <c r="G312" s="384"/>
      <c r="H312" s="384"/>
      <c r="I312" s="384"/>
      <c r="J312" s="392"/>
      <c r="K312" s="392"/>
      <c r="L312" s="384">
        <v>1499.92</v>
      </c>
      <c r="M312" s="384">
        <v>0</v>
      </c>
      <c r="N312" s="384">
        <v>0</v>
      </c>
      <c r="O312" s="384">
        <v>0</v>
      </c>
      <c r="P312" s="384">
        <v>0</v>
      </c>
      <c r="Q312" s="385" t="s">
        <v>242</v>
      </c>
      <c r="R312" s="380" t="s">
        <v>243</v>
      </c>
    </row>
    <row r="313" spans="1:18" ht="36.75" customHeight="1">
      <c r="A313" s="381" t="s">
        <v>2297</v>
      </c>
      <c r="B313" s="382" t="s">
        <v>917</v>
      </c>
      <c r="C313" s="383" t="s">
        <v>15</v>
      </c>
      <c r="D313" s="384">
        <v>2</v>
      </c>
      <c r="E313" s="384">
        <v>2</v>
      </c>
      <c r="F313" s="384">
        <f t="shared" si="46"/>
        <v>2</v>
      </c>
      <c r="G313" s="384"/>
      <c r="H313" s="384"/>
      <c r="I313" s="384"/>
      <c r="J313" s="392"/>
      <c r="K313" s="392"/>
      <c r="L313" s="384">
        <v>3999.78</v>
      </c>
      <c r="M313" s="384">
        <v>0</v>
      </c>
      <c r="N313" s="384">
        <v>0</v>
      </c>
      <c r="O313" s="384">
        <v>0</v>
      </c>
      <c r="P313" s="384">
        <v>0</v>
      </c>
      <c r="Q313" s="385" t="s">
        <v>242</v>
      </c>
      <c r="R313" s="380" t="s">
        <v>243</v>
      </c>
    </row>
    <row r="314" spans="1:18" ht="36.75" customHeight="1">
      <c r="A314" s="381" t="s">
        <v>2298</v>
      </c>
      <c r="B314" s="382" t="s">
        <v>920</v>
      </c>
      <c r="C314" s="383" t="s">
        <v>8</v>
      </c>
      <c r="D314" s="384">
        <v>44.6</v>
      </c>
      <c r="E314" s="384">
        <v>44.6</v>
      </c>
      <c r="F314" s="384">
        <f t="shared" si="46"/>
        <v>44.6</v>
      </c>
      <c r="G314" s="384"/>
      <c r="H314" s="384"/>
      <c r="I314" s="384"/>
      <c r="J314" s="392"/>
      <c r="K314" s="392"/>
      <c r="L314" s="384">
        <v>799.96</v>
      </c>
      <c r="M314" s="384">
        <v>0</v>
      </c>
      <c r="N314" s="384">
        <v>0</v>
      </c>
      <c r="O314" s="384">
        <v>0</v>
      </c>
      <c r="P314" s="384">
        <v>0</v>
      </c>
      <c r="Q314" s="385" t="s">
        <v>242</v>
      </c>
      <c r="R314" s="380" t="s">
        <v>243</v>
      </c>
    </row>
    <row r="315" spans="1:18" ht="36.75" customHeight="1">
      <c r="A315" s="381" t="s">
        <v>2299</v>
      </c>
      <c r="B315" s="382" t="s">
        <v>923</v>
      </c>
      <c r="C315" s="383" t="s">
        <v>15</v>
      </c>
      <c r="D315" s="384">
        <v>10</v>
      </c>
      <c r="E315" s="384">
        <v>10</v>
      </c>
      <c r="F315" s="384">
        <f t="shared" si="46"/>
        <v>10</v>
      </c>
      <c r="G315" s="384"/>
      <c r="H315" s="384"/>
      <c r="I315" s="384"/>
      <c r="J315" s="392"/>
      <c r="K315" s="392"/>
      <c r="L315" s="384">
        <v>11299.38</v>
      </c>
      <c r="M315" s="384">
        <v>0</v>
      </c>
      <c r="N315" s="384">
        <v>0</v>
      </c>
      <c r="O315" s="384">
        <v>0</v>
      </c>
      <c r="P315" s="384">
        <v>0</v>
      </c>
      <c r="Q315" s="385" t="s">
        <v>242</v>
      </c>
      <c r="R315" s="380" t="s">
        <v>243</v>
      </c>
    </row>
    <row r="316" spans="1:18" ht="36.75" customHeight="1">
      <c r="A316" s="381" t="s">
        <v>2300</v>
      </c>
      <c r="B316" s="382" t="s">
        <v>926</v>
      </c>
      <c r="C316" s="383" t="s">
        <v>15</v>
      </c>
      <c r="D316" s="384">
        <v>5</v>
      </c>
      <c r="E316" s="384">
        <v>5</v>
      </c>
      <c r="F316" s="384">
        <f t="shared" si="46"/>
        <v>5</v>
      </c>
      <c r="G316" s="384"/>
      <c r="H316" s="384"/>
      <c r="I316" s="384"/>
      <c r="J316" s="392"/>
      <c r="K316" s="392"/>
      <c r="L316" s="384">
        <v>17999.02</v>
      </c>
      <c r="M316" s="384">
        <v>0</v>
      </c>
      <c r="N316" s="384">
        <v>0</v>
      </c>
      <c r="O316" s="384">
        <v>0</v>
      </c>
      <c r="P316" s="384">
        <v>0</v>
      </c>
      <c r="Q316" s="385" t="s">
        <v>242</v>
      </c>
      <c r="R316" s="380" t="s">
        <v>243</v>
      </c>
    </row>
    <row r="317" spans="1:18" ht="36.75" customHeight="1">
      <c r="A317" s="381" t="s">
        <v>2301</v>
      </c>
      <c r="B317" s="382" t="s">
        <v>929</v>
      </c>
      <c r="C317" s="383" t="s">
        <v>15</v>
      </c>
      <c r="D317" s="384">
        <v>17</v>
      </c>
      <c r="E317" s="384">
        <v>17</v>
      </c>
      <c r="F317" s="384">
        <f t="shared" si="46"/>
        <v>17</v>
      </c>
      <c r="G317" s="384"/>
      <c r="H317" s="384"/>
      <c r="I317" s="384"/>
      <c r="J317" s="392"/>
      <c r="K317" s="392"/>
      <c r="L317" s="384">
        <v>4199.7700000000004</v>
      </c>
      <c r="M317" s="384">
        <v>0</v>
      </c>
      <c r="N317" s="384">
        <v>0</v>
      </c>
      <c r="O317" s="384">
        <v>0</v>
      </c>
      <c r="P317" s="384">
        <v>0</v>
      </c>
      <c r="Q317" s="385" t="s">
        <v>242</v>
      </c>
      <c r="R317" s="380" t="s">
        <v>243</v>
      </c>
    </row>
    <row r="318" spans="1:18" ht="36.75" customHeight="1">
      <c r="A318" s="381" t="s">
        <v>2302</v>
      </c>
      <c r="B318" s="382" t="s">
        <v>932</v>
      </c>
      <c r="C318" s="383" t="s">
        <v>290</v>
      </c>
      <c r="D318" s="384">
        <v>1</v>
      </c>
      <c r="E318" s="384">
        <v>1</v>
      </c>
      <c r="F318" s="384">
        <f t="shared" si="46"/>
        <v>1</v>
      </c>
      <c r="G318" s="384"/>
      <c r="H318" s="384"/>
      <c r="I318" s="384"/>
      <c r="J318" s="392"/>
      <c r="K318" s="392"/>
      <c r="L318" s="384">
        <v>112957.32</v>
      </c>
      <c r="M318" s="384">
        <v>0</v>
      </c>
      <c r="N318" s="384">
        <v>0</v>
      </c>
      <c r="O318" s="384">
        <v>0</v>
      </c>
      <c r="P318" s="384">
        <v>0</v>
      </c>
      <c r="Q318" s="385" t="s">
        <v>242</v>
      </c>
      <c r="R318" s="380" t="s">
        <v>243</v>
      </c>
    </row>
    <row r="319" spans="1:18" ht="36.75" customHeight="1">
      <c r="A319" s="381" t="s">
        <v>2303</v>
      </c>
      <c r="B319" s="382" t="s">
        <v>935</v>
      </c>
      <c r="C319" s="383" t="s">
        <v>4</v>
      </c>
      <c r="D319" s="384">
        <v>1</v>
      </c>
      <c r="E319" s="384">
        <v>1</v>
      </c>
      <c r="F319" s="384">
        <f t="shared" si="46"/>
        <v>1</v>
      </c>
      <c r="G319" s="384"/>
      <c r="H319" s="384"/>
      <c r="I319" s="384"/>
      <c r="J319" s="392"/>
      <c r="K319" s="392"/>
      <c r="L319" s="384">
        <v>322482.40999999997</v>
      </c>
      <c r="M319" s="384">
        <v>0</v>
      </c>
      <c r="N319" s="384">
        <v>0</v>
      </c>
      <c r="O319" s="384">
        <v>0</v>
      </c>
      <c r="P319" s="384">
        <v>0</v>
      </c>
      <c r="Q319" s="385" t="s">
        <v>242</v>
      </c>
      <c r="R319" s="380" t="s">
        <v>243</v>
      </c>
    </row>
    <row r="320" spans="1:18" ht="36.75" customHeight="1">
      <c r="A320" s="381" t="s">
        <v>2304</v>
      </c>
      <c r="B320" s="382" t="s">
        <v>938</v>
      </c>
      <c r="C320" s="383" t="s">
        <v>15</v>
      </c>
      <c r="D320" s="384">
        <v>17</v>
      </c>
      <c r="E320" s="384">
        <v>17</v>
      </c>
      <c r="F320" s="384">
        <f t="shared" si="46"/>
        <v>17</v>
      </c>
      <c r="G320" s="384"/>
      <c r="H320" s="384"/>
      <c r="I320" s="384"/>
      <c r="J320" s="392"/>
      <c r="K320" s="392"/>
      <c r="L320" s="384">
        <v>99994.55</v>
      </c>
      <c r="M320" s="384">
        <v>0</v>
      </c>
      <c r="N320" s="384">
        <v>0</v>
      </c>
      <c r="O320" s="384">
        <v>0</v>
      </c>
      <c r="P320" s="384">
        <v>0</v>
      </c>
      <c r="Q320" s="385" t="s">
        <v>242</v>
      </c>
      <c r="R320" s="380" t="s">
        <v>243</v>
      </c>
    </row>
    <row r="321" spans="1:18" ht="36.75" customHeight="1">
      <c r="A321" s="381" t="s">
        <v>2305</v>
      </c>
      <c r="B321" s="382" t="s">
        <v>941</v>
      </c>
      <c r="C321" s="383" t="s">
        <v>583</v>
      </c>
      <c r="D321" s="384">
        <v>2</v>
      </c>
      <c r="E321" s="384">
        <v>2</v>
      </c>
      <c r="F321" s="384">
        <f t="shared" si="46"/>
        <v>2</v>
      </c>
      <c r="G321" s="384"/>
      <c r="H321" s="384"/>
      <c r="I321" s="384"/>
      <c r="J321" s="392"/>
      <c r="K321" s="392"/>
      <c r="L321" s="384">
        <v>14999.18</v>
      </c>
      <c r="M321" s="384">
        <v>0</v>
      </c>
      <c r="N321" s="384">
        <v>0</v>
      </c>
      <c r="O321" s="384">
        <v>0</v>
      </c>
      <c r="P321" s="384">
        <v>0</v>
      </c>
      <c r="Q321" s="385" t="s">
        <v>242</v>
      </c>
      <c r="R321" s="380" t="s">
        <v>243</v>
      </c>
    </row>
    <row r="322" spans="1:18" ht="36.75" customHeight="1">
      <c r="A322" s="381" t="s">
        <v>2306</v>
      </c>
      <c r="B322" s="382" t="s">
        <v>944</v>
      </c>
      <c r="C322" s="383" t="s">
        <v>15</v>
      </c>
      <c r="D322" s="384">
        <v>1</v>
      </c>
      <c r="E322" s="384">
        <v>1</v>
      </c>
      <c r="F322" s="384">
        <f t="shared" si="46"/>
        <v>1</v>
      </c>
      <c r="G322" s="384"/>
      <c r="H322" s="384"/>
      <c r="I322" s="384"/>
      <c r="J322" s="392"/>
      <c r="K322" s="392"/>
      <c r="L322" s="384">
        <v>1499.92</v>
      </c>
      <c r="M322" s="384">
        <v>0</v>
      </c>
      <c r="N322" s="384">
        <v>0</v>
      </c>
      <c r="O322" s="384">
        <v>0</v>
      </c>
      <c r="P322" s="384">
        <v>0</v>
      </c>
      <c r="Q322" s="385" t="s">
        <v>242</v>
      </c>
      <c r="R322" s="380" t="s">
        <v>243</v>
      </c>
    </row>
    <row r="323" spans="1:18" ht="36.75" customHeight="1">
      <c r="A323" s="381" t="s">
        <v>2307</v>
      </c>
      <c r="B323" s="382" t="s">
        <v>947</v>
      </c>
      <c r="C323" s="383" t="s">
        <v>19</v>
      </c>
      <c r="D323" s="384">
        <v>2</v>
      </c>
      <c r="E323" s="384">
        <v>2</v>
      </c>
      <c r="F323" s="384">
        <f t="shared" si="46"/>
        <v>2</v>
      </c>
      <c r="G323" s="384"/>
      <c r="H323" s="384"/>
      <c r="I323" s="384"/>
      <c r="J323" s="392"/>
      <c r="K323" s="392"/>
      <c r="L323" s="384">
        <v>2599.86</v>
      </c>
      <c r="M323" s="384">
        <v>0</v>
      </c>
      <c r="N323" s="384">
        <v>0</v>
      </c>
      <c r="O323" s="384">
        <v>0</v>
      </c>
      <c r="P323" s="384">
        <v>0</v>
      </c>
      <c r="Q323" s="385" t="s">
        <v>242</v>
      </c>
      <c r="R323" s="380" t="s">
        <v>243</v>
      </c>
    </row>
    <row r="324" spans="1:18" ht="36.75" customHeight="1">
      <c r="A324" s="381" t="s">
        <v>2308</v>
      </c>
      <c r="B324" s="382" t="s">
        <v>950</v>
      </c>
      <c r="C324" s="383" t="s">
        <v>19</v>
      </c>
      <c r="D324" s="384">
        <v>9</v>
      </c>
      <c r="E324" s="384">
        <v>9</v>
      </c>
      <c r="F324" s="384">
        <f t="shared" si="46"/>
        <v>9</v>
      </c>
      <c r="G324" s="384"/>
      <c r="H324" s="384"/>
      <c r="I324" s="384"/>
      <c r="J324" s="392"/>
      <c r="K324" s="392"/>
      <c r="L324" s="384">
        <v>4459.76</v>
      </c>
      <c r="M324" s="384">
        <v>0</v>
      </c>
      <c r="N324" s="384">
        <v>0</v>
      </c>
      <c r="O324" s="384">
        <v>0</v>
      </c>
      <c r="P324" s="384">
        <v>0</v>
      </c>
      <c r="Q324" s="385" t="s">
        <v>242</v>
      </c>
      <c r="R324" s="380" t="s">
        <v>243</v>
      </c>
    </row>
    <row r="325" spans="1:18" ht="36.75" customHeight="1">
      <c r="A325" s="381" t="s">
        <v>2309</v>
      </c>
      <c r="B325" s="382" t="s">
        <v>953</v>
      </c>
      <c r="C325" s="383" t="s">
        <v>8</v>
      </c>
      <c r="D325" s="384">
        <v>180</v>
      </c>
      <c r="E325" s="384">
        <v>180</v>
      </c>
      <c r="F325" s="384">
        <f t="shared" si="46"/>
        <v>180</v>
      </c>
      <c r="G325" s="384"/>
      <c r="H325" s="384"/>
      <c r="I325" s="384"/>
      <c r="J325" s="392"/>
      <c r="K325" s="392"/>
      <c r="L325" s="384">
        <v>596.98</v>
      </c>
      <c r="M325" s="384">
        <v>0</v>
      </c>
      <c r="N325" s="384">
        <v>0</v>
      </c>
      <c r="O325" s="384">
        <v>0</v>
      </c>
      <c r="P325" s="384">
        <v>0</v>
      </c>
      <c r="Q325" s="385" t="s">
        <v>242</v>
      </c>
      <c r="R325" s="380" t="s">
        <v>243</v>
      </c>
    </row>
    <row r="326" spans="1:18" ht="36.75" customHeight="1">
      <c r="A326" s="381" t="s">
        <v>2311</v>
      </c>
      <c r="B326" s="382" t="s">
        <v>956</v>
      </c>
      <c r="C326" s="383" t="s">
        <v>8</v>
      </c>
      <c r="D326" s="384">
        <v>60</v>
      </c>
      <c r="E326" s="384">
        <v>60</v>
      </c>
      <c r="F326" s="384">
        <f t="shared" si="46"/>
        <v>60</v>
      </c>
      <c r="G326" s="384"/>
      <c r="H326" s="384"/>
      <c r="I326" s="384"/>
      <c r="J326" s="392"/>
      <c r="K326" s="392"/>
      <c r="L326" s="384">
        <v>67.42</v>
      </c>
      <c r="M326" s="384">
        <v>0</v>
      </c>
      <c r="N326" s="384">
        <v>0</v>
      </c>
      <c r="O326" s="384">
        <v>0</v>
      </c>
      <c r="P326" s="384">
        <v>0</v>
      </c>
      <c r="Q326" s="385" t="s">
        <v>242</v>
      </c>
      <c r="R326" s="380" t="s">
        <v>243</v>
      </c>
    </row>
    <row r="327" spans="1:18" ht="36.75" customHeight="1">
      <c r="A327" s="381" t="s">
        <v>2312</v>
      </c>
      <c r="B327" s="382" t="s">
        <v>959</v>
      </c>
      <c r="C327" s="383" t="s">
        <v>8</v>
      </c>
      <c r="D327" s="384">
        <v>1032</v>
      </c>
      <c r="E327" s="384">
        <v>1032</v>
      </c>
      <c r="F327" s="384">
        <f t="shared" si="46"/>
        <v>1032</v>
      </c>
      <c r="G327" s="384"/>
      <c r="H327" s="384"/>
      <c r="I327" s="384"/>
      <c r="J327" s="392"/>
      <c r="K327" s="392"/>
      <c r="L327" s="384">
        <v>29.42</v>
      </c>
      <c r="M327" s="384">
        <v>0</v>
      </c>
      <c r="N327" s="384">
        <v>0</v>
      </c>
      <c r="O327" s="384">
        <v>0</v>
      </c>
      <c r="P327" s="384">
        <v>0</v>
      </c>
      <c r="Q327" s="385" t="s">
        <v>242</v>
      </c>
      <c r="R327" s="380" t="s">
        <v>243</v>
      </c>
    </row>
    <row r="328" spans="1:18" ht="36.75" customHeight="1">
      <c r="A328" s="381" t="s">
        <v>2313</v>
      </c>
      <c r="B328" s="382" t="s">
        <v>962</v>
      </c>
      <c r="C328" s="383" t="s">
        <v>8</v>
      </c>
      <c r="D328" s="384">
        <v>1103</v>
      </c>
      <c r="E328" s="384">
        <v>1103</v>
      </c>
      <c r="F328" s="384">
        <f t="shared" si="46"/>
        <v>1103</v>
      </c>
      <c r="G328" s="384"/>
      <c r="H328" s="384"/>
      <c r="I328" s="384"/>
      <c r="J328" s="392"/>
      <c r="K328" s="392"/>
      <c r="L328" s="384">
        <v>147.1</v>
      </c>
      <c r="M328" s="384">
        <v>0</v>
      </c>
      <c r="N328" s="384">
        <v>0</v>
      </c>
      <c r="O328" s="384">
        <v>0</v>
      </c>
      <c r="P328" s="384">
        <v>0</v>
      </c>
      <c r="Q328" s="385" t="s">
        <v>242</v>
      </c>
      <c r="R328" s="380" t="s">
        <v>243</v>
      </c>
    </row>
    <row r="329" spans="1:18" ht="36.75" customHeight="1">
      <c r="A329" s="381" t="s">
        <v>2315</v>
      </c>
      <c r="B329" s="382" t="s">
        <v>219</v>
      </c>
      <c r="C329" s="383" t="s">
        <v>8</v>
      </c>
      <c r="D329" s="384">
        <v>2064</v>
      </c>
      <c r="E329" s="384">
        <v>2064</v>
      </c>
      <c r="F329" s="384">
        <f t="shared" si="46"/>
        <v>2064</v>
      </c>
      <c r="G329" s="384"/>
      <c r="H329" s="384"/>
      <c r="I329" s="384"/>
      <c r="J329" s="392"/>
      <c r="K329" s="392"/>
      <c r="L329" s="384">
        <v>78.459999999999994</v>
      </c>
      <c r="M329" s="384">
        <v>0</v>
      </c>
      <c r="N329" s="384">
        <v>0</v>
      </c>
      <c r="O329" s="384">
        <v>0</v>
      </c>
      <c r="P329" s="384">
        <v>0</v>
      </c>
      <c r="Q329" s="385" t="s">
        <v>242</v>
      </c>
      <c r="R329" s="380" t="s">
        <v>243</v>
      </c>
    </row>
    <row r="330" spans="1:18" ht="36.75" customHeight="1">
      <c r="A330" s="381" t="s">
        <v>2316</v>
      </c>
      <c r="B330" s="382" t="s">
        <v>967</v>
      </c>
      <c r="C330" s="383" t="s">
        <v>4</v>
      </c>
      <c r="D330" s="384">
        <v>1</v>
      </c>
      <c r="E330" s="384">
        <v>1</v>
      </c>
      <c r="F330" s="384">
        <f t="shared" si="46"/>
        <v>1</v>
      </c>
      <c r="G330" s="384"/>
      <c r="H330" s="384"/>
      <c r="I330" s="384"/>
      <c r="J330" s="392"/>
      <c r="K330" s="392"/>
      <c r="L330" s="384">
        <v>24062.69</v>
      </c>
      <c r="M330" s="384">
        <v>0</v>
      </c>
      <c r="N330" s="384">
        <v>0</v>
      </c>
      <c r="O330" s="384">
        <v>0</v>
      </c>
      <c r="P330" s="384">
        <v>0</v>
      </c>
      <c r="Q330" s="385" t="s">
        <v>242</v>
      </c>
      <c r="R330" s="380" t="s">
        <v>243</v>
      </c>
    </row>
    <row r="331" spans="1:18" ht="36.75" customHeight="1">
      <c r="A331" s="381" t="s">
        <v>2317</v>
      </c>
      <c r="B331" s="382" t="s">
        <v>970</v>
      </c>
      <c r="C331" s="383" t="s">
        <v>8</v>
      </c>
      <c r="D331" s="384">
        <v>1011</v>
      </c>
      <c r="E331" s="384">
        <v>1011</v>
      </c>
      <c r="F331" s="384">
        <f t="shared" si="46"/>
        <v>1011</v>
      </c>
      <c r="G331" s="384"/>
      <c r="H331" s="384"/>
      <c r="I331" s="384"/>
      <c r="J331" s="392"/>
      <c r="K331" s="392"/>
      <c r="L331" s="384">
        <v>35.549999999999997</v>
      </c>
      <c r="M331" s="384">
        <v>0</v>
      </c>
      <c r="N331" s="384">
        <v>0</v>
      </c>
      <c r="O331" s="384">
        <v>0</v>
      </c>
      <c r="P331" s="384">
        <v>0</v>
      </c>
      <c r="Q331" s="385" t="s">
        <v>242</v>
      </c>
      <c r="R331" s="380" t="s">
        <v>243</v>
      </c>
    </row>
    <row r="332" spans="1:18" ht="36.75" customHeight="1">
      <c r="A332" s="381" t="s">
        <v>2318</v>
      </c>
      <c r="B332" s="382" t="s">
        <v>220</v>
      </c>
      <c r="C332" s="383" t="s">
        <v>8</v>
      </c>
      <c r="D332" s="384">
        <v>946</v>
      </c>
      <c r="E332" s="384">
        <v>946</v>
      </c>
      <c r="F332" s="384">
        <f t="shared" si="46"/>
        <v>946</v>
      </c>
      <c r="G332" s="384"/>
      <c r="H332" s="384"/>
      <c r="I332" s="384"/>
      <c r="J332" s="392"/>
      <c r="K332" s="392"/>
      <c r="L332" s="384">
        <v>60.07</v>
      </c>
      <c r="M332" s="384">
        <v>0</v>
      </c>
      <c r="N332" s="384">
        <v>0</v>
      </c>
      <c r="O332" s="384">
        <v>0</v>
      </c>
      <c r="P332" s="384">
        <v>0</v>
      </c>
      <c r="Q332" s="385" t="s">
        <v>242</v>
      </c>
      <c r="R332" s="380" t="s">
        <v>243</v>
      </c>
    </row>
    <row r="333" spans="1:18" ht="36.75" customHeight="1">
      <c r="A333" s="381" t="s">
        <v>2319</v>
      </c>
      <c r="B333" s="382" t="s">
        <v>975</v>
      </c>
      <c r="C333" s="383" t="s">
        <v>8</v>
      </c>
      <c r="D333" s="384">
        <v>55</v>
      </c>
      <c r="E333" s="384">
        <v>55</v>
      </c>
      <c r="F333" s="384">
        <f t="shared" si="46"/>
        <v>55</v>
      </c>
      <c r="G333" s="384"/>
      <c r="H333" s="384"/>
      <c r="I333" s="384"/>
      <c r="J333" s="392"/>
      <c r="K333" s="392"/>
      <c r="L333" s="384">
        <v>125.03</v>
      </c>
      <c r="M333" s="384">
        <v>0</v>
      </c>
      <c r="N333" s="384">
        <v>0</v>
      </c>
      <c r="O333" s="384">
        <v>0</v>
      </c>
      <c r="P333" s="384">
        <v>0</v>
      </c>
      <c r="Q333" s="385" t="s">
        <v>242</v>
      </c>
      <c r="R333" s="380" t="s">
        <v>243</v>
      </c>
    </row>
    <row r="334" spans="1:18" ht="36.75" customHeight="1">
      <c r="A334" s="381" t="s">
        <v>2320</v>
      </c>
      <c r="B334" s="382" t="s">
        <v>978</v>
      </c>
      <c r="C334" s="383" t="s">
        <v>8</v>
      </c>
      <c r="D334" s="384">
        <v>22</v>
      </c>
      <c r="E334" s="384">
        <v>22</v>
      </c>
      <c r="F334" s="384">
        <f t="shared" si="46"/>
        <v>22</v>
      </c>
      <c r="G334" s="384"/>
      <c r="H334" s="384"/>
      <c r="I334" s="384"/>
      <c r="J334" s="392"/>
      <c r="K334" s="392"/>
      <c r="L334" s="384">
        <v>178.97</v>
      </c>
      <c r="M334" s="384">
        <v>0</v>
      </c>
      <c r="N334" s="384">
        <v>0</v>
      </c>
      <c r="O334" s="384">
        <v>0</v>
      </c>
      <c r="P334" s="384">
        <v>0</v>
      </c>
      <c r="Q334" s="385" t="s">
        <v>242</v>
      </c>
      <c r="R334" s="380" t="s">
        <v>243</v>
      </c>
    </row>
    <row r="335" spans="1:18" ht="36.75" customHeight="1">
      <c r="A335" s="381" t="s">
        <v>2321</v>
      </c>
      <c r="B335" s="382" t="s">
        <v>981</v>
      </c>
      <c r="C335" s="383" t="s">
        <v>4</v>
      </c>
      <c r="D335" s="384">
        <v>1</v>
      </c>
      <c r="E335" s="384">
        <v>1</v>
      </c>
      <c r="F335" s="384">
        <f t="shared" si="46"/>
        <v>1</v>
      </c>
      <c r="G335" s="384"/>
      <c r="H335" s="384"/>
      <c r="I335" s="384"/>
      <c r="J335" s="392"/>
      <c r="K335" s="392"/>
      <c r="L335" s="384">
        <v>19812.919999999998</v>
      </c>
      <c r="M335" s="384">
        <v>0</v>
      </c>
      <c r="N335" s="384">
        <v>0</v>
      </c>
      <c r="O335" s="384">
        <v>0</v>
      </c>
      <c r="P335" s="384">
        <v>0</v>
      </c>
      <c r="Q335" s="385" t="s">
        <v>242</v>
      </c>
      <c r="R335" s="380" t="s">
        <v>243</v>
      </c>
    </row>
    <row r="336" spans="1:18" ht="36.75" customHeight="1">
      <c r="A336" s="381" t="s">
        <v>2322</v>
      </c>
      <c r="B336" s="382" t="s">
        <v>984</v>
      </c>
      <c r="C336" s="383" t="s">
        <v>4</v>
      </c>
      <c r="D336" s="384">
        <v>1</v>
      </c>
      <c r="E336" s="384">
        <v>1</v>
      </c>
      <c r="F336" s="384">
        <f t="shared" si="46"/>
        <v>1</v>
      </c>
      <c r="G336" s="384"/>
      <c r="H336" s="384"/>
      <c r="I336" s="384"/>
      <c r="J336" s="392"/>
      <c r="K336" s="392"/>
      <c r="L336" s="384">
        <v>29571.39</v>
      </c>
      <c r="M336" s="384">
        <v>0</v>
      </c>
      <c r="N336" s="384">
        <v>0</v>
      </c>
      <c r="O336" s="384">
        <v>0</v>
      </c>
      <c r="P336" s="384">
        <v>0</v>
      </c>
      <c r="Q336" s="385" t="s">
        <v>242</v>
      </c>
      <c r="R336" s="380" t="s">
        <v>243</v>
      </c>
    </row>
    <row r="337" spans="1:18" ht="36.75" customHeight="1">
      <c r="A337" s="381" t="s">
        <v>2383</v>
      </c>
      <c r="B337" s="382" t="s">
        <v>987</v>
      </c>
      <c r="C337" s="383" t="s">
        <v>4</v>
      </c>
      <c r="D337" s="384">
        <v>1</v>
      </c>
      <c r="E337" s="384"/>
      <c r="F337" s="384"/>
      <c r="G337" s="384"/>
      <c r="H337" s="384"/>
      <c r="I337" s="384"/>
      <c r="J337" s="392"/>
      <c r="K337" s="392"/>
      <c r="L337" s="384">
        <v>11249747.310000001</v>
      </c>
      <c r="M337" s="384">
        <v>1</v>
      </c>
      <c r="N337" s="384">
        <v>1</v>
      </c>
      <c r="O337" s="384">
        <v>69996</v>
      </c>
      <c r="P337" s="384">
        <v>11109754.4</v>
      </c>
      <c r="Q337" s="385" t="s">
        <v>242</v>
      </c>
      <c r="R337" s="380" t="s">
        <v>243</v>
      </c>
    </row>
    <row r="338" spans="1:18" ht="36.75" customHeight="1">
      <c r="A338" s="381" t="s">
        <v>2288</v>
      </c>
      <c r="B338" s="382" t="s">
        <v>989</v>
      </c>
      <c r="C338" s="383" t="s">
        <v>8</v>
      </c>
      <c r="D338" s="384">
        <v>1132</v>
      </c>
      <c r="E338" s="384">
        <v>2576.8000000000002</v>
      </c>
      <c r="F338" s="384">
        <f>E338</f>
        <v>2576.8000000000002</v>
      </c>
      <c r="G338" s="384"/>
      <c r="H338" s="384"/>
      <c r="I338" s="384"/>
      <c r="J338" s="392"/>
      <c r="K338" s="392"/>
      <c r="L338" s="384">
        <v>247.19</v>
      </c>
      <c r="M338" s="384">
        <v>0</v>
      </c>
      <c r="N338" s="384">
        <v>2576.8000000000002</v>
      </c>
      <c r="O338" s="384">
        <v>0</v>
      </c>
      <c r="P338" s="384">
        <v>636959.18999999994</v>
      </c>
      <c r="Q338" s="385" t="s">
        <v>242</v>
      </c>
      <c r="R338" s="380" t="s">
        <v>243</v>
      </c>
    </row>
    <row r="339" spans="1:18" ht="36.75" customHeight="1">
      <c r="A339" s="381" t="s">
        <v>2289</v>
      </c>
      <c r="B339" s="382" t="s">
        <v>992</v>
      </c>
      <c r="C339" s="383" t="s">
        <v>8</v>
      </c>
      <c r="D339" s="384">
        <v>1132</v>
      </c>
      <c r="E339" s="384">
        <v>2576.8000000000002</v>
      </c>
      <c r="F339" s="384">
        <f t="shared" ref="F339:F340" si="47">E339</f>
        <v>2576.8000000000002</v>
      </c>
      <c r="G339" s="384"/>
      <c r="H339" s="384"/>
      <c r="I339" s="384"/>
      <c r="J339" s="392"/>
      <c r="K339" s="392"/>
      <c r="L339" s="384">
        <v>236.89</v>
      </c>
      <c r="M339" s="384">
        <v>0</v>
      </c>
      <c r="N339" s="384">
        <v>2576.8000000000002</v>
      </c>
      <c r="O339" s="384">
        <v>0</v>
      </c>
      <c r="P339" s="384">
        <v>610418.15</v>
      </c>
      <c r="Q339" s="385" t="s">
        <v>242</v>
      </c>
      <c r="R339" s="380" t="s">
        <v>243</v>
      </c>
    </row>
    <row r="340" spans="1:18" ht="36.75" customHeight="1">
      <c r="A340" s="381" t="s">
        <v>2290</v>
      </c>
      <c r="B340" s="382" t="s">
        <v>995</v>
      </c>
      <c r="C340" s="383" t="s">
        <v>13</v>
      </c>
      <c r="D340" s="384">
        <v>6198</v>
      </c>
      <c r="E340" s="384">
        <v>9215</v>
      </c>
      <c r="F340" s="384">
        <f t="shared" si="47"/>
        <v>9215</v>
      </c>
      <c r="G340" s="384"/>
      <c r="H340" s="384"/>
      <c r="I340" s="384"/>
      <c r="J340" s="392"/>
      <c r="K340" s="392"/>
      <c r="L340" s="384">
        <v>252.34</v>
      </c>
      <c r="M340" s="384">
        <v>0</v>
      </c>
      <c r="N340" s="384">
        <v>9215</v>
      </c>
      <c r="O340" s="384">
        <v>0</v>
      </c>
      <c r="P340" s="384">
        <v>2325313.1</v>
      </c>
      <c r="Q340" s="385" t="s">
        <v>242</v>
      </c>
      <c r="R340" s="380" t="s">
        <v>243</v>
      </c>
    </row>
    <row r="341" spans="1:18" ht="36.75" customHeight="1">
      <c r="A341" s="381" t="s">
        <v>2291</v>
      </c>
      <c r="B341" s="382" t="s">
        <v>998</v>
      </c>
      <c r="C341" s="383" t="s">
        <v>4</v>
      </c>
      <c r="D341" s="384">
        <v>1</v>
      </c>
      <c r="E341" s="384">
        <v>1</v>
      </c>
      <c r="F341" s="384">
        <f>D341</f>
        <v>1</v>
      </c>
      <c r="G341" s="384"/>
      <c r="H341" s="384"/>
      <c r="I341" s="384"/>
      <c r="J341" s="392"/>
      <c r="K341" s="392"/>
      <c r="L341" s="384">
        <v>349980.91</v>
      </c>
      <c r="M341" s="384">
        <v>1</v>
      </c>
      <c r="N341" s="384">
        <v>1</v>
      </c>
      <c r="O341" s="384">
        <v>69996</v>
      </c>
      <c r="P341" s="384">
        <v>209988</v>
      </c>
      <c r="Q341" s="385" t="s">
        <v>2381</v>
      </c>
      <c r="R341" s="380" t="s">
        <v>243</v>
      </c>
    </row>
    <row r="342" spans="1:18" ht="36.75" customHeight="1">
      <c r="A342" s="381" t="s">
        <v>2292</v>
      </c>
      <c r="B342" s="382" t="s">
        <v>1001</v>
      </c>
      <c r="C342" s="383" t="s">
        <v>16</v>
      </c>
      <c r="D342" s="384">
        <v>2052</v>
      </c>
      <c r="E342" s="384">
        <v>2052</v>
      </c>
      <c r="F342" s="384">
        <f>'數量計算(FOR4變)'!I520</f>
        <v>2752</v>
      </c>
      <c r="G342" s="384"/>
      <c r="H342" s="384"/>
      <c r="I342" s="384"/>
      <c r="J342" s="392"/>
      <c r="K342" s="392"/>
      <c r="L342" s="384">
        <v>931.07</v>
      </c>
      <c r="M342" s="384">
        <v>0</v>
      </c>
      <c r="N342" s="384">
        <v>2052</v>
      </c>
      <c r="O342" s="384">
        <v>0</v>
      </c>
      <c r="P342" s="384">
        <v>1910555.64</v>
      </c>
      <c r="Q342" s="385" t="s">
        <v>242</v>
      </c>
      <c r="R342" s="380" t="s">
        <v>243</v>
      </c>
    </row>
    <row r="343" spans="1:18" ht="36.75" customHeight="1">
      <c r="A343" s="381" t="s">
        <v>2293</v>
      </c>
      <c r="B343" s="382" t="s">
        <v>728</v>
      </c>
      <c r="C343" s="383" t="s">
        <v>6</v>
      </c>
      <c r="D343" s="384">
        <v>300</v>
      </c>
      <c r="E343" s="384">
        <v>720</v>
      </c>
      <c r="F343" s="384">
        <f>'數量計算(FOR4變)'!I524</f>
        <v>957</v>
      </c>
      <c r="G343" s="384"/>
      <c r="H343" s="384"/>
      <c r="I343" s="384"/>
      <c r="J343" s="392"/>
      <c r="K343" s="392"/>
      <c r="L343" s="384">
        <v>3386.34</v>
      </c>
      <c r="M343" s="384">
        <v>0</v>
      </c>
      <c r="N343" s="384">
        <v>720</v>
      </c>
      <c r="O343" s="384">
        <v>0</v>
      </c>
      <c r="P343" s="384">
        <v>2438164.7999999998</v>
      </c>
      <c r="Q343" s="385" t="s">
        <v>242</v>
      </c>
      <c r="R343" s="380" t="s">
        <v>243</v>
      </c>
    </row>
    <row r="344" spans="1:18" ht="36.75" customHeight="1">
      <c r="A344" s="381" t="s">
        <v>2294</v>
      </c>
      <c r="B344" s="382" t="s">
        <v>1515</v>
      </c>
      <c r="C344" s="383" t="s">
        <v>8</v>
      </c>
      <c r="D344" s="384">
        <v>0</v>
      </c>
      <c r="E344" s="384">
        <v>132</v>
      </c>
      <c r="F344" s="384">
        <f t="shared" ref="F344:F346" si="48">E344</f>
        <v>132</v>
      </c>
      <c r="G344" s="384"/>
      <c r="H344" s="384"/>
      <c r="I344" s="384"/>
      <c r="J344" s="392"/>
      <c r="K344" s="392"/>
      <c r="L344" s="384">
        <v>5107.6000000000004</v>
      </c>
      <c r="M344" s="384">
        <v>0</v>
      </c>
      <c r="N344" s="384">
        <v>132</v>
      </c>
      <c r="O344" s="384">
        <v>0</v>
      </c>
      <c r="P344" s="384">
        <v>674203.2</v>
      </c>
      <c r="Q344" s="385" t="s">
        <v>242</v>
      </c>
      <c r="R344" s="380" t="s">
        <v>243</v>
      </c>
    </row>
    <row r="345" spans="1:18" ht="36.75" customHeight="1">
      <c r="A345" s="381" t="s">
        <v>2295</v>
      </c>
      <c r="B345" s="382" t="s">
        <v>1517</v>
      </c>
      <c r="C345" s="383" t="s">
        <v>8</v>
      </c>
      <c r="D345" s="384">
        <v>0</v>
      </c>
      <c r="E345" s="384">
        <v>106</v>
      </c>
      <c r="F345" s="384">
        <f t="shared" si="48"/>
        <v>106</v>
      </c>
      <c r="G345" s="384"/>
      <c r="H345" s="384"/>
      <c r="I345" s="384"/>
      <c r="J345" s="392"/>
      <c r="K345" s="392"/>
      <c r="L345" s="384">
        <v>7385.08</v>
      </c>
      <c r="M345" s="384">
        <v>0</v>
      </c>
      <c r="N345" s="384">
        <v>106</v>
      </c>
      <c r="O345" s="384">
        <v>0</v>
      </c>
      <c r="P345" s="384">
        <v>782818.48</v>
      </c>
      <c r="Q345" s="385" t="s">
        <v>242</v>
      </c>
      <c r="R345" s="380" t="s">
        <v>243</v>
      </c>
    </row>
    <row r="346" spans="1:18" ht="36.75" customHeight="1">
      <c r="A346" s="381" t="s">
        <v>2296</v>
      </c>
      <c r="B346" s="382" t="s">
        <v>1519</v>
      </c>
      <c r="C346" s="383" t="s">
        <v>8</v>
      </c>
      <c r="D346" s="384">
        <v>0</v>
      </c>
      <c r="E346" s="384">
        <v>156</v>
      </c>
      <c r="F346" s="384">
        <f t="shared" si="48"/>
        <v>156</v>
      </c>
      <c r="G346" s="384"/>
      <c r="H346" s="384"/>
      <c r="I346" s="384"/>
      <c r="J346" s="392"/>
      <c r="K346" s="392"/>
      <c r="L346" s="384">
        <v>9752.14</v>
      </c>
      <c r="M346" s="384">
        <v>0</v>
      </c>
      <c r="N346" s="384">
        <v>156</v>
      </c>
      <c r="O346" s="384">
        <v>0</v>
      </c>
      <c r="P346" s="384">
        <v>1521333.84</v>
      </c>
      <c r="Q346" s="385" t="s">
        <v>242</v>
      </c>
      <c r="R346" s="380" t="s">
        <v>243</v>
      </c>
    </row>
    <row r="347" spans="1:18" ht="36.75" customHeight="1">
      <c r="A347" s="381" t="s">
        <v>2384</v>
      </c>
      <c r="B347" s="382" t="s">
        <v>11</v>
      </c>
      <c r="C347" s="383" t="s">
        <v>4</v>
      </c>
      <c r="D347" s="384">
        <v>1</v>
      </c>
      <c r="E347" s="384"/>
      <c r="F347" s="384"/>
      <c r="G347" s="384"/>
      <c r="H347" s="384"/>
      <c r="I347" s="384"/>
      <c r="J347" s="392"/>
      <c r="K347" s="392"/>
      <c r="L347" s="384">
        <v>16724713.210000001</v>
      </c>
      <c r="M347" s="384">
        <v>1</v>
      </c>
      <c r="N347" s="384">
        <v>1</v>
      </c>
      <c r="O347" s="384">
        <v>359935.53</v>
      </c>
      <c r="P347" s="384">
        <v>13667222.01</v>
      </c>
      <c r="Q347" s="385" t="s">
        <v>242</v>
      </c>
      <c r="R347" s="380" t="s">
        <v>243</v>
      </c>
    </row>
    <row r="348" spans="1:18" ht="36.75" customHeight="1">
      <c r="A348" s="381" t="s">
        <v>2288</v>
      </c>
      <c r="B348" s="382" t="s">
        <v>1004</v>
      </c>
      <c r="C348" s="383" t="s">
        <v>4</v>
      </c>
      <c r="D348" s="384">
        <v>1</v>
      </c>
      <c r="E348" s="384"/>
      <c r="F348" s="384">
        <f>D348</f>
        <v>1</v>
      </c>
      <c r="G348" s="384"/>
      <c r="H348" s="384"/>
      <c r="I348" s="384"/>
      <c r="J348" s="392"/>
      <c r="K348" s="392"/>
      <c r="L348" s="384">
        <v>716633.92</v>
      </c>
      <c r="M348" s="384">
        <v>0</v>
      </c>
      <c r="N348" s="384">
        <v>0</v>
      </c>
      <c r="O348" s="384">
        <v>0</v>
      </c>
      <c r="P348" s="384">
        <v>0</v>
      </c>
      <c r="Q348" s="385" t="s">
        <v>242</v>
      </c>
      <c r="R348" s="380" t="s">
        <v>243</v>
      </c>
    </row>
    <row r="349" spans="1:18" ht="36.75" customHeight="1">
      <c r="A349" s="381" t="s">
        <v>2289</v>
      </c>
      <c r="B349" s="382" t="s">
        <v>1006</v>
      </c>
      <c r="C349" s="383" t="s">
        <v>1007</v>
      </c>
      <c r="D349" s="384">
        <v>7</v>
      </c>
      <c r="E349" s="384"/>
      <c r="F349" s="384">
        <f>D349</f>
        <v>7</v>
      </c>
      <c r="G349" s="384"/>
      <c r="H349" s="384"/>
      <c r="I349" s="384"/>
      <c r="J349" s="392"/>
      <c r="K349" s="392"/>
      <c r="L349" s="384">
        <v>49997.27</v>
      </c>
      <c r="M349" s="384">
        <v>0</v>
      </c>
      <c r="N349" s="384">
        <v>0</v>
      </c>
      <c r="O349" s="384">
        <v>0</v>
      </c>
      <c r="P349" s="384">
        <v>0</v>
      </c>
      <c r="Q349" s="385" t="s">
        <v>242</v>
      </c>
      <c r="R349" s="380" t="s">
        <v>243</v>
      </c>
    </row>
    <row r="350" spans="1:18" ht="36.75" customHeight="1">
      <c r="A350" s="381" t="s">
        <v>2290</v>
      </c>
      <c r="B350" s="382" t="s">
        <v>1009</v>
      </c>
      <c r="C350" s="383" t="s">
        <v>1010</v>
      </c>
      <c r="D350" s="384">
        <v>730</v>
      </c>
      <c r="E350" s="384">
        <v>2230</v>
      </c>
      <c r="F350" s="384">
        <f>E350</f>
        <v>2230</v>
      </c>
      <c r="G350" s="384"/>
      <c r="H350" s="384"/>
      <c r="I350" s="384"/>
      <c r="J350" s="392"/>
      <c r="K350" s="392"/>
      <c r="L350" s="384">
        <v>805.95</v>
      </c>
      <c r="M350" s="384">
        <v>93</v>
      </c>
      <c r="N350" s="384">
        <v>1529</v>
      </c>
      <c r="O350" s="384">
        <v>74953.350000000006</v>
      </c>
      <c r="P350" s="384">
        <v>1232297.55</v>
      </c>
      <c r="Q350" s="385" t="s">
        <v>242</v>
      </c>
      <c r="R350" s="380" t="s">
        <v>243</v>
      </c>
    </row>
    <row r="351" spans="1:18" ht="36.75" customHeight="1">
      <c r="A351" s="381" t="s">
        <v>2291</v>
      </c>
      <c r="B351" s="382" t="s">
        <v>1012</v>
      </c>
      <c r="C351" s="383" t="s">
        <v>1007</v>
      </c>
      <c r="D351" s="384">
        <v>2</v>
      </c>
      <c r="E351" s="384">
        <v>4</v>
      </c>
      <c r="F351" s="384">
        <f>E351</f>
        <v>4</v>
      </c>
      <c r="G351" s="384"/>
      <c r="H351" s="384"/>
      <c r="I351" s="384"/>
      <c r="J351" s="392"/>
      <c r="K351" s="392"/>
      <c r="L351" s="384">
        <v>49997.27</v>
      </c>
      <c r="M351" s="384">
        <v>0</v>
      </c>
      <c r="N351" s="384">
        <v>4</v>
      </c>
      <c r="O351" s="384">
        <v>0</v>
      </c>
      <c r="P351" s="384">
        <v>199989.08</v>
      </c>
      <c r="Q351" s="385" t="s">
        <v>242</v>
      </c>
      <c r="R351" s="380" t="s">
        <v>243</v>
      </c>
    </row>
    <row r="352" spans="1:18" s="273" customFormat="1" ht="36.75" customHeight="1">
      <c r="A352" s="481" t="s">
        <v>2292</v>
      </c>
      <c r="B352" s="482" t="s">
        <v>1014</v>
      </c>
      <c r="C352" s="483" t="s">
        <v>1015</v>
      </c>
      <c r="D352" s="484">
        <v>19</v>
      </c>
      <c r="E352" s="484"/>
      <c r="F352" s="484">
        <f>G352</f>
        <v>24</v>
      </c>
      <c r="G352" s="484">
        <v>24</v>
      </c>
      <c r="H352" s="484">
        <f>G352-D352</f>
        <v>5</v>
      </c>
      <c r="I352" s="484">
        <f>ROUND(H352*L352,2)</f>
        <v>899950.9</v>
      </c>
      <c r="J352" s="485"/>
      <c r="K352" s="485"/>
      <c r="L352" s="484">
        <v>179990.18</v>
      </c>
      <c r="M352" s="484">
        <v>1</v>
      </c>
      <c r="N352" s="484">
        <v>13</v>
      </c>
      <c r="O352" s="484">
        <v>179990.18</v>
      </c>
      <c r="P352" s="484">
        <v>2339872.34</v>
      </c>
      <c r="Q352" s="486" t="s">
        <v>242</v>
      </c>
      <c r="R352" s="487" t="s">
        <v>243</v>
      </c>
    </row>
    <row r="353" spans="1:18" ht="36.75" customHeight="1">
      <c r="A353" s="381" t="s">
        <v>2293</v>
      </c>
      <c r="B353" s="382" t="s">
        <v>1017</v>
      </c>
      <c r="C353" s="383" t="s">
        <v>4</v>
      </c>
      <c r="D353" s="384">
        <v>1</v>
      </c>
      <c r="E353" s="384"/>
      <c r="F353" s="384">
        <f>D353</f>
        <v>1</v>
      </c>
      <c r="G353" s="384"/>
      <c r="H353" s="384"/>
      <c r="I353" s="384"/>
      <c r="J353" s="392"/>
      <c r="K353" s="392"/>
      <c r="L353" s="384">
        <v>205971.45</v>
      </c>
      <c r="M353" s="384">
        <v>0</v>
      </c>
      <c r="N353" s="384">
        <v>0</v>
      </c>
      <c r="O353" s="384">
        <v>0</v>
      </c>
      <c r="P353" s="384">
        <v>0</v>
      </c>
      <c r="Q353" s="385" t="s">
        <v>242</v>
      </c>
      <c r="R353" s="380" t="s">
        <v>243</v>
      </c>
    </row>
    <row r="354" spans="1:18" ht="36.75" customHeight="1">
      <c r="A354" s="381" t="s">
        <v>2294</v>
      </c>
      <c r="B354" s="382" t="s">
        <v>1019</v>
      </c>
      <c r="C354" s="383" t="s">
        <v>4</v>
      </c>
      <c r="D354" s="384">
        <v>1</v>
      </c>
      <c r="E354" s="384"/>
      <c r="F354" s="384">
        <f t="shared" ref="F354:F355" si="49">D354</f>
        <v>1</v>
      </c>
      <c r="G354" s="384"/>
      <c r="H354" s="384"/>
      <c r="I354" s="384"/>
      <c r="J354" s="392"/>
      <c r="K354" s="392"/>
      <c r="L354" s="384">
        <v>2424867.7599999998</v>
      </c>
      <c r="M354" s="384">
        <v>0</v>
      </c>
      <c r="N354" s="384">
        <v>1</v>
      </c>
      <c r="O354" s="384">
        <v>0</v>
      </c>
      <c r="P354" s="384">
        <v>2424867.7599999998</v>
      </c>
      <c r="Q354" s="385" t="s">
        <v>2310</v>
      </c>
      <c r="R354" s="380" t="s">
        <v>243</v>
      </c>
    </row>
    <row r="355" spans="1:18" ht="36.75" customHeight="1">
      <c r="A355" s="381" t="s">
        <v>2295</v>
      </c>
      <c r="B355" s="382" t="s">
        <v>1021</v>
      </c>
      <c r="C355" s="383" t="s">
        <v>4</v>
      </c>
      <c r="D355" s="384">
        <v>1</v>
      </c>
      <c r="E355" s="384"/>
      <c r="F355" s="384">
        <f t="shared" si="49"/>
        <v>1</v>
      </c>
      <c r="G355" s="384"/>
      <c r="H355" s="384"/>
      <c r="I355" s="384"/>
      <c r="J355" s="392"/>
      <c r="K355" s="392"/>
      <c r="L355" s="384">
        <v>349980.91</v>
      </c>
      <c r="M355" s="384">
        <v>1</v>
      </c>
      <c r="N355" s="384">
        <v>1</v>
      </c>
      <c r="O355" s="384">
        <v>104992</v>
      </c>
      <c r="P355" s="384">
        <v>209988</v>
      </c>
      <c r="Q355" s="385" t="s">
        <v>2381</v>
      </c>
      <c r="R355" s="380" t="s">
        <v>243</v>
      </c>
    </row>
    <row r="356" spans="1:18" ht="36.75" customHeight="1">
      <c r="A356" s="381" t="s">
        <v>2296</v>
      </c>
      <c r="B356" s="382" t="s">
        <v>1534</v>
      </c>
      <c r="C356" s="383" t="s">
        <v>13</v>
      </c>
      <c r="D356" s="384">
        <v>0</v>
      </c>
      <c r="E356" s="384">
        <v>464</v>
      </c>
      <c r="F356" s="384">
        <f>E356</f>
        <v>464</v>
      </c>
      <c r="G356" s="384"/>
      <c r="H356" s="384"/>
      <c r="I356" s="384"/>
      <c r="J356" s="392"/>
      <c r="K356" s="392"/>
      <c r="L356" s="384">
        <v>15384.09</v>
      </c>
      <c r="M356" s="384">
        <v>0</v>
      </c>
      <c r="N356" s="384">
        <v>464</v>
      </c>
      <c r="O356" s="384">
        <v>0</v>
      </c>
      <c r="P356" s="384">
        <v>7138217.7599999998</v>
      </c>
      <c r="Q356" s="385" t="s">
        <v>242</v>
      </c>
      <c r="R356" s="380" t="s">
        <v>243</v>
      </c>
    </row>
    <row r="357" spans="1:18" ht="36.75" customHeight="1">
      <c r="A357" s="381" t="s">
        <v>2297</v>
      </c>
      <c r="B357" s="382" t="s">
        <v>2385</v>
      </c>
      <c r="C357" s="383" t="s">
        <v>15</v>
      </c>
      <c r="D357" s="384">
        <v>0</v>
      </c>
      <c r="E357" s="384">
        <v>2</v>
      </c>
      <c r="F357" s="384">
        <f>E357</f>
        <v>2</v>
      </c>
      <c r="G357" s="384"/>
      <c r="H357" s="384"/>
      <c r="I357" s="384"/>
      <c r="J357" s="392"/>
      <c r="K357" s="392"/>
      <c r="L357" s="384">
        <v>60994.76</v>
      </c>
      <c r="M357" s="384">
        <v>0</v>
      </c>
      <c r="N357" s="384">
        <v>2</v>
      </c>
      <c r="O357" s="384">
        <v>0</v>
      </c>
      <c r="P357" s="384">
        <v>121989.52</v>
      </c>
      <c r="Q357" s="385" t="s">
        <v>242</v>
      </c>
      <c r="R357" s="380" t="s">
        <v>243</v>
      </c>
    </row>
    <row r="358" spans="1:18" ht="36.75" customHeight="1">
      <c r="A358" s="381" t="s">
        <v>2298</v>
      </c>
      <c r="B358" s="588" t="s">
        <v>2802</v>
      </c>
      <c r="C358" s="589" t="s">
        <v>16</v>
      </c>
      <c r="D358" s="590"/>
      <c r="E358" s="590">
        <v>129</v>
      </c>
      <c r="F358" s="590"/>
      <c r="G358" s="590"/>
      <c r="H358" s="590"/>
      <c r="I358" s="590"/>
      <c r="J358" s="591"/>
      <c r="K358" s="591"/>
      <c r="L358" s="590">
        <v>1159.8599999999999</v>
      </c>
      <c r="M358" s="590"/>
      <c r="N358" s="590"/>
      <c r="O358" s="590"/>
      <c r="P358" s="590"/>
      <c r="Q358" s="385"/>
      <c r="R358" s="380"/>
    </row>
    <row r="359" spans="1:18" ht="36.75" customHeight="1">
      <c r="A359" s="381" t="s">
        <v>2299</v>
      </c>
      <c r="B359" s="588" t="s">
        <v>2803</v>
      </c>
      <c r="C359" s="589" t="s">
        <v>16</v>
      </c>
      <c r="D359" s="590"/>
      <c r="E359" s="590">
        <v>282</v>
      </c>
      <c r="F359" s="590"/>
      <c r="G359" s="590"/>
      <c r="H359" s="590"/>
      <c r="I359" s="590"/>
      <c r="J359" s="591"/>
      <c r="K359" s="591"/>
      <c r="L359" s="590">
        <v>689.92</v>
      </c>
      <c r="M359" s="590"/>
      <c r="N359" s="590"/>
      <c r="O359" s="590"/>
      <c r="P359" s="590"/>
      <c r="Q359" s="385"/>
      <c r="R359" s="380"/>
    </row>
    <row r="360" spans="1:18" ht="36.75" customHeight="1">
      <c r="A360" s="381" t="s">
        <v>2300</v>
      </c>
      <c r="B360" s="588" t="s">
        <v>2804</v>
      </c>
      <c r="C360" s="589" t="s">
        <v>16</v>
      </c>
      <c r="D360" s="590"/>
      <c r="E360" s="590">
        <v>214.5</v>
      </c>
      <c r="F360" s="590"/>
      <c r="G360" s="590"/>
      <c r="H360" s="590"/>
      <c r="I360" s="590"/>
      <c r="J360" s="591"/>
      <c r="K360" s="591"/>
      <c r="L360" s="590">
        <v>899.89</v>
      </c>
      <c r="M360" s="590"/>
      <c r="N360" s="590"/>
      <c r="O360" s="590"/>
      <c r="P360" s="590"/>
      <c r="Q360" s="385"/>
      <c r="R360" s="380"/>
    </row>
    <row r="361" spans="1:18" ht="36.75" customHeight="1">
      <c r="A361" s="381" t="s">
        <v>2301</v>
      </c>
      <c r="B361" s="588" t="s">
        <v>2805</v>
      </c>
      <c r="C361" s="589" t="s">
        <v>16</v>
      </c>
      <c r="D361" s="590"/>
      <c r="E361" s="590">
        <v>47</v>
      </c>
      <c r="F361" s="590"/>
      <c r="G361" s="590"/>
      <c r="H361" s="590"/>
      <c r="I361" s="590"/>
      <c r="J361" s="591"/>
      <c r="K361" s="591"/>
      <c r="L361" s="590">
        <v>1499.82</v>
      </c>
      <c r="M361" s="590"/>
      <c r="N361" s="590"/>
      <c r="O361" s="590"/>
      <c r="P361" s="590"/>
      <c r="Q361" s="385"/>
      <c r="R361" s="380"/>
    </row>
    <row r="362" spans="1:18" ht="36.75" customHeight="1">
      <c r="A362" s="381" t="s">
        <v>2302</v>
      </c>
      <c r="B362" s="588" t="s">
        <v>2806</v>
      </c>
      <c r="C362" s="589" t="s">
        <v>16</v>
      </c>
      <c r="D362" s="590"/>
      <c r="E362" s="590">
        <v>73</v>
      </c>
      <c r="F362" s="590"/>
      <c r="G362" s="590"/>
      <c r="H362" s="590"/>
      <c r="I362" s="590"/>
      <c r="J362" s="591"/>
      <c r="K362" s="591"/>
      <c r="L362" s="590">
        <v>1419.83</v>
      </c>
      <c r="M362" s="590"/>
      <c r="N362" s="590"/>
      <c r="O362" s="590"/>
      <c r="P362" s="590"/>
      <c r="Q362" s="385"/>
      <c r="R362" s="380"/>
    </row>
    <row r="363" spans="1:18" ht="36.75" customHeight="1">
      <c r="A363" s="381" t="s">
        <v>2303</v>
      </c>
      <c r="B363" s="588" t="s">
        <v>2807</v>
      </c>
      <c r="C363" s="589" t="s">
        <v>16</v>
      </c>
      <c r="D363" s="590"/>
      <c r="E363" s="590">
        <v>174</v>
      </c>
      <c r="F363" s="590"/>
      <c r="G363" s="590"/>
      <c r="H363" s="590"/>
      <c r="I363" s="590"/>
      <c r="J363" s="591"/>
      <c r="K363" s="591"/>
      <c r="L363" s="590">
        <v>771.9</v>
      </c>
      <c r="M363" s="590"/>
      <c r="N363" s="590"/>
      <c r="O363" s="590"/>
      <c r="P363" s="590"/>
      <c r="Q363" s="385"/>
      <c r="R363" s="380"/>
    </row>
    <row r="364" spans="1:18" ht="36.75" customHeight="1">
      <c r="A364" s="381" t="s">
        <v>2304</v>
      </c>
      <c r="B364" s="588" t="s">
        <v>2808</v>
      </c>
      <c r="C364" s="589" t="s">
        <v>16</v>
      </c>
      <c r="D364" s="590"/>
      <c r="E364" s="590">
        <v>1695</v>
      </c>
      <c r="F364" s="590"/>
      <c r="G364" s="590"/>
      <c r="H364" s="590"/>
      <c r="I364" s="590"/>
      <c r="J364" s="591"/>
      <c r="K364" s="591"/>
      <c r="L364" s="590">
        <v>400.95</v>
      </c>
      <c r="M364" s="590"/>
      <c r="N364" s="590"/>
      <c r="O364" s="590"/>
      <c r="P364" s="590"/>
      <c r="Q364" s="385"/>
      <c r="R364" s="380"/>
    </row>
    <row r="365" spans="1:18" ht="36.75" customHeight="1">
      <c r="A365" s="381" t="s">
        <v>2305</v>
      </c>
      <c r="B365" s="588" t="s">
        <v>2809</v>
      </c>
      <c r="C365" s="589" t="s">
        <v>16</v>
      </c>
      <c r="D365" s="590"/>
      <c r="E365" s="590">
        <v>310</v>
      </c>
      <c r="F365" s="590"/>
      <c r="G365" s="590"/>
      <c r="H365" s="590"/>
      <c r="I365" s="590"/>
      <c r="J365" s="591"/>
      <c r="K365" s="591"/>
      <c r="L365" s="590">
        <v>280.97000000000003</v>
      </c>
      <c r="M365" s="590"/>
      <c r="N365" s="590"/>
      <c r="O365" s="590"/>
      <c r="P365" s="590"/>
      <c r="Q365" s="385"/>
      <c r="R365" s="380"/>
    </row>
    <row r="366" spans="1:18" ht="36.75" customHeight="1">
      <c r="A366" s="381" t="s">
        <v>2306</v>
      </c>
      <c r="B366" s="588" t="s">
        <v>2810</v>
      </c>
      <c r="C366" s="589" t="s">
        <v>16</v>
      </c>
      <c r="D366" s="590"/>
      <c r="E366" s="590">
        <v>723.5</v>
      </c>
      <c r="F366" s="590"/>
      <c r="G366" s="590"/>
      <c r="H366" s="590"/>
      <c r="I366" s="590"/>
      <c r="J366" s="591"/>
      <c r="K366" s="591"/>
      <c r="L366" s="590">
        <v>800.9</v>
      </c>
      <c r="M366" s="590"/>
      <c r="N366" s="590"/>
      <c r="O366" s="590"/>
      <c r="P366" s="590"/>
      <c r="Q366" s="385"/>
      <c r="R366" s="380"/>
    </row>
    <row r="367" spans="1:18" ht="36.75" customHeight="1">
      <c r="A367" s="381" t="s">
        <v>2307</v>
      </c>
      <c r="B367" s="588" t="s">
        <v>2811</v>
      </c>
      <c r="C367" s="589" t="s">
        <v>16</v>
      </c>
      <c r="D367" s="590"/>
      <c r="E367" s="590">
        <v>122</v>
      </c>
      <c r="F367" s="590"/>
      <c r="G367" s="590"/>
      <c r="H367" s="590"/>
      <c r="I367" s="590"/>
      <c r="J367" s="591"/>
      <c r="K367" s="591"/>
      <c r="L367" s="590">
        <v>561.92999999999995</v>
      </c>
      <c r="M367" s="590"/>
      <c r="N367" s="590"/>
      <c r="O367" s="590"/>
      <c r="P367" s="590"/>
      <c r="Q367" s="385"/>
      <c r="R367" s="380"/>
    </row>
    <row r="368" spans="1:18" ht="36.75" customHeight="1">
      <c r="A368" s="381" t="s">
        <v>2308</v>
      </c>
      <c r="B368" s="588" t="s">
        <v>2812</v>
      </c>
      <c r="C368" s="589" t="s">
        <v>16</v>
      </c>
      <c r="D368" s="590"/>
      <c r="E368" s="590">
        <v>421</v>
      </c>
      <c r="F368" s="590"/>
      <c r="G368" s="590"/>
      <c r="H368" s="590"/>
      <c r="I368" s="590"/>
      <c r="J368" s="591"/>
      <c r="K368" s="591"/>
      <c r="L368" s="590">
        <v>519.94000000000005</v>
      </c>
      <c r="M368" s="590"/>
      <c r="N368" s="590"/>
      <c r="O368" s="590"/>
      <c r="P368" s="590"/>
      <c r="Q368" s="385"/>
      <c r="R368" s="380"/>
    </row>
    <row r="369" spans="1:18" ht="36.75" customHeight="1">
      <c r="A369" s="381" t="s">
        <v>2309</v>
      </c>
      <c r="B369" s="588" t="s">
        <v>2813</v>
      </c>
      <c r="C369" s="589" t="s">
        <v>16</v>
      </c>
      <c r="D369" s="590"/>
      <c r="E369" s="590">
        <v>28</v>
      </c>
      <c r="F369" s="590"/>
      <c r="G369" s="590"/>
      <c r="H369" s="590"/>
      <c r="I369" s="590"/>
      <c r="J369" s="591"/>
      <c r="K369" s="591"/>
      <c r="L369" s="590">
        <v>1579.81</v>
      </c>
      <c r="M369" s="590"/>
      <c r="N369" s="590"/>
      <c r="O369" s="590"/>
      <c r="P369" s="590"/>
      <c r="Q369" s="385"/>
      <c r="R369" s="380"/>
    </row>
    <row r="370" spans="1:18" ht="36.75" customHeight="1">
      <c r="A370" s="381" t="s">
        <v>2311</v>
      </c>
      <c r="B370" s="588" t="s">
        <v>2814</v>
      </c>
      <c r="C370" s="589" t="s">
        <v>16</v>
      </c>
      <c r="D370" s="590"/>
      <c r="E370" s="590">
        <v>442.5</v>
      </c>
      <c r="F370" s="590"/>
      <c r="G370" s="590"/>
      <c r="H370" s="590"/>
      <c r="I370" s="590"/>
      <c r="J370" s="591"/>
      <c r="K370" s="591"/>
      <c r="L370" s="590">
        <v>209.97</v>
      </c>
      <c r="M370" s="590"/>
      <c r="N370" s="590"/>
      <c r="O370" s="590"/>
      <c r="P370" s="590"/>
      <c r="Q370" s="385"/>
      <c r="R370" s="380"/>
    </row>
    <row r="371" spans="1:18" ht="36.75" customHeight="1">
      <c r="A371" s="381" t="s">
        <v>2312</v>
      </c>
      <c r="B371" s="588" t="s">
        <v>2815</v>
      </c>
      <c r="C371" s="589" t="s">
        <v>14</v>
      </c>
      <c r="D371" s="590"/>
      <c r="E371" s="590">
        <v>2</v>
      </c>
      <c r="F371" s="590"/>
      <c r="G371" s="590"/>
      <c r="H371" s="590"/>
      <c r="I371" s="590"/>
      <c r="J371" s="591"/>
      <c r="K371" s="591"/>
      <c r="L371" s="590">
        <v>10798.67</v>
      </c>
      <c r="M371" s="590"/>
      <c r="N371" s="590"/>
      <c r="O371" s="590"/>
      <c r="P371" s="590"/>
      <c r="Q371" s="385"/>
      <c r="R371" s="380"/>
    </row>
    <row r="372" spans="1:18" ht="36.75" customHeight="1">
      <c r="A372" s="381" t="s">
        <v>2313</v>
      </c>
      <c r="B372" s="588" t="s">
        <v>2816</v>
      </c>
      <c r="C372" s="589" t="s">
        <v>14</v>
      </c>
      <c r="D372" s="590"/>
      <c r="E372" s="590">
        <v>12</v>
      </c>
      <c r="F372" s="590"/>
      <c r="G372" s="590"/>
      <c r="H372" s="590"/>
      <c r="I372" s="590"/>
      <c r="J372" s="591"/>
      <c r="K372" s="591"/>
      <c r="L372" s="590">
        <v>7249.11</v>
      </c>
      <c r="M372" s="590"/>
      <c r="N372" s="590"/>
      <c r="O372" s="590"/>
      <c r="P372" s="590"/>
      <c r="Q372" s="385"/>
      <c r="R372" s="380"/>
    </row>
    <row r="373" spans="1:18" ht="36.75" customHeight="1">
      <c r="A373" s="381" t="s">
        <v>2386</v>
      </c>
      <c r="B373" s="382" t="s">
        <v>25</v>
      </c>
      <c r="C373" s="383" t="s">
        <v>4</v>
      </c>
      <c r="D373" s="384">
        <v>1</v>
      </c>
      <c r="E373" s="384"/>
      <c r="F373" s="384"/>
      <c r="G373" s="384"/>
      <c r="H373" s="384"/>
      <c r="I373" s="384"/>
      <c r="J373" s="392"/>
      <c r="K373" s="392"/>
      <c r="L373" s="384">
        <v>3537274.38</v>
      </c>
      <c r="M373" s="384">
        <v>1</v>
      </c>
      <c r="N373" s="384">
        <v>1</v>
      </c>
      <c r="O373" s="384">
        <v>3899.79</v>
      </c>
      <c r="P373" s="384">
        <v>2446933.56</v>
      </c>
      <c r="Q373" s="385" t="s">
        <v>242</v>
      </c>
      <c r="R373" s="380" t="s">
        <v>243</v>
      </c>
    </row>
    <row r="374" spans="1:18" ht="36.75" customHeight="1">
      <c r="A374" s="381" t="s">
        <v>2288</v>
      </c>
      <c r="B374" s="382" t="s">
        <v>1023</v>
      </c>
      <c r="C374" s="383" t="s">
        <v>7</v>
      </c>
      <c r="D374" s="384">
        <v>295</v>
      </c>
      <c r="E374" s="384"/>
      <c r="F374" s="384">
        <f>D374</f>
        <v>295</v>
      </c>
      <c r="G374" s="384"/>
      <c r="H374" s="384"/>
      <c r="I374" s="384"/>
      <c r="J374" s="392"/>
      <c r="K374" s="392"/>
      <c r="L374" s="384">
        <v>299.98</v>
      </c>
      <c r="M374" s="384">
        <v>0</v>
      </c>
      <c r="N374" s="384">
        <v>295</v>
      </c>
      <c r="O374" s="384">
        <v>0</v>
      </c>
      <c r="P374" s="384">
        <v>88494.1</v>
      </c>
      <c r="Q374" s="385" t="s">
        <v>242</v>
      </c>
      <c r="R374" s="380" t="s">
        <v>243</v>
      </c>
    </row>
    <row r="375" spans="1:18" ht="36.75" customHeight="1">
      <c r="A375" s="381" t="s">
        <v>2289</v>
      </c>
      <c r="B375" s="382" t="s">
        <v>1025</v>
      </c>
      <c r="C375" s="383" t="s">
        <v>15</v>
      </c>
      <c r="D375" s="384">
        <v>59</v>
      </c>
      <c r="E375" s="384"/>
      <c r="F375" s="384">
        <f t="shared" ref="F375:F407" si="50">D375</f>
        <v>59</v>
      </c>
      <c r="G375" s="384"/>
      <c r="H375" s="384"/>
      <c r="I375" s="384"/>
      <c r="J375" s="392"/>
      <c r="K375" s="392"/>
      <c r="L375" s="384">
        <v>2999.84</v>
      </c>
      <c r="M375" s="384">
        <v>0</v>
      </c>
      <c r="N375" s="384">
        <v>59</v>
      </c>
      <c r="O375" s="384">
        <v>0</v>
      </c>
      <c r="P375" s="384">
        <v>176990.56</v>
      </c>
      <c r="Q375" s="385" t="s">
        <v>242</v>
      </c>
      <c r="R375" s="380" t="s">
        <v>243</v>
      </c>
    </row>
    <row r="376" spans="1:18" ht="36.75" customHeight="1">
      <c r="A376" s="381" t="s">
        <v>2290</v>
      </c>
      <c r="B376" s="382" t="s">
        <v>1027</v>
      </c>
      <c r="C376" s="383" t="s">
        <v>15</v>
      </c>
      <c r="D376" s="384">
        <v>59</v>
      </c>
      <c r="E376" s="384"/>
      <c r="F376" s="384">
        <f t="shared" si="50"/>
        <v>59</v>
      </c>
      <c r="G376" s="384"/>
      <c r="H376" s="384"/>
      <c r="I376" s="384"/>
      <c r="J376" s="392"/>
      <c r="K376" s="392"/>
      <c r="L376" s="384">
        <v>149.99</v>
      </c>
      <c r="M376" s="384">
        <v>0</v>
      </c>
      <c r="N376" s="384">
        <v>59</v>
      </c>
      <c r="O376" s="384">
        <v>0</v>
      </c>
      <c r="P376" s="384">
        <v>8849.41</v>
      </c>
      <c r="Q376" s="385" t="s">
        <v>242</v>
      </c>
      <c r="R376" s="380" t="s">
        <v>243</v>
      </c>
    </row>
    <row r="377" spans="1:18" ht="36.75" customHeight="1">
      <c r="A377" s="381" t="s">
        <v>2291</v>
      </c>
      <c r="B377" s="382" t="s">
        <v>1029</v>
      </c>
      <c r="C377" s="383" t="s">
        <v>1030</v>
      </c>
      <c r="D377" s="384">
        <v>9</v>
      </c>
      <c r="E377" s="384"/>
      <c r="F377" s="384">
        <f t="shared" si="50"/>
        <v>9</v>
      </c>
      <c r="G377" s="384"/>
      <c r="H377" s="384"/>
      <c r="I377" s="384"/>
      <c r="J377" s="392"/>
      <c r="K377" s="392"/>
      <c r="L377" s="384">
        <v>1199.93</v>
      </c>
      <c r="M377" s="384">
        <v>0</v>
      </c>
      <c r="N377" s="384">
        <v>0</v>
      </c>
      <c r="O377" s="384">
        <v>0</v>
      </c>
      <c r="P377" s="384">
        <v>0</v>
      </c>
      <c r="Q377" s="385" t="s">
        <v>242</v>
      </c>
      <c r="R377" s="380" t="s">
        <v>243</v>
      </c>
    </row>
    <row r="378" spans="1:18" ht="36.75" customHeight="1">
      <c r="A378" s="381" t="s">
        <v>2292</v>
      </c>
      <c r="B378" s="382" t="s">
        <v>1032</v>
      </c>
      <c r="C378" s="383" t="s">
        <v>15</v>
      </c>
      <c r="D378" s="384">
        <v>22</v>
      </c>
      <c r="E378" s="384"/>
      <c r="F378" s="384">
        <f t="shared" si="50"/>
        <v>22</v>
      </c>
      <c r="G378" s="384"/>
      <c r="H378" s="384"/>
      <c r="I378" s="384"/>
      <c r="J378" s="392"/>
      <c r="K378" s="392"/>
      <c r="L378" s="384">
        <v>649.96</v>
      </c>
      <c r="M378" s="384">
        <v>0</v>
      </c>
      <c r="N378" s="384">
        <v>22</v>
      </c>
      <c r="O378" s="384">
        <v>0</v>
      </c>
      <c r="P378" s="384">
        <v>14299.12</v>
      </c>
      <c r="Q378" s="385" t="s">
        <v>242</v>
      </c>
      <c r="R378" s="380" t="s">
        <v>243</v>
      </c>
    </row>
    <row r="379" spans="1:18" ht="36.75" customHeight="1">
      <c r="A379" s="381" t="s">
        <v>2293</v>
      </c>
      <c r="B379" s="382" t="s">
        <v>1034</v>
      </c>
      <c r="C379" s="383" t="s">
        <v>15</v>
      </c>
      <c r="D379" s="384">
        <v>22</v>
      </c>
      <c r="E379" s="384"/>
      <c r="F379" s="384">
        <f t="shared" si="50"/>
        <v>22</v>
      </c>
      <c r="G379" s="384"/>
      <c r="H379" s="384"/>
      <c r="I379" s="384"/>
      <c r="J379" s="392"/>
      <c r="K379" s="392"/>
      <c r="L379" s="384">
        <v>1299.93</v>
      </c>
      <c r="M379" s="384">
        <v>0</v>
      </c>
      <c r="N379" s="384">
        <v>22</v>
      </c>
      <c r="O379" s="384">
        <v>0</v>
      </c>
      <c r="P379" s="384">
        <v>28598.46</v>
      </c>
      <c r="Q379" s="385" t="s">
        <v>242</v>
      </c>
      <c r="R379" s="380" t="s">
        <v>243</v>
      </c>
    </row>
    <row r="380" spans="1:18" ht="36.75" customHeight="1">
      <c r="A380" s="381" t="s">
        <v>2294</v>
      </c>
      <c r="B380" s="382" t="s">
        <v>1036</v>
      </c>
      <c r="C380" s="383" t="s">
        <v>15</v>
      </c>
      <c r="D380" s="384">
        <v>5</v>
      </c>
      <c r="E380" s="384"/>
      <c r="F380" s="384">
        <f t="shared" si="50"/>
        <v>5</v>
      </c>
      <c r="G380" s="384"/>
      <c r="H380" s="384"/>
      <c r="I380" s="384"/>
      <c r="J380" s="392"/>
      <c r="K380" s="392"/>
      <c r="L380" s="384">
        <v>3499.81</v>
      </c>
      <c r="M380" s="384">
        <v>0</v>
      </c>
      <c r="N380" s="384">
        <v>0</v>
      </c>
      <c r="O380" s="384">
        <v>0</v>
      </c>
      <c r="P380" s="384">
        <v>0</v>
      </c>
      <c r="Q380" s="385" t="s">
        <v>242</v>
      </c>
      <c r="R380" s="380" t="s">
        <v>243</v>
      </c>
    </row>
    <row r="381" spans="1:18" ht="36.75" customHeight="1">
      <c r="A381" s="381" t="s">
        <v>2295</v>
      </c>
      <c r="B381" s="382" t="s">
        <v>1038</v>
      </c>
      <c r="C381" s="383" t="s">
        <v>15</v>
      </c>
      <c r="D381" s="384">
        <v>5</v>
      </c>
      <c r="E381" s="384"/>
      <c r="F381" s="384">
        <f t="shared" si="50"/>
        <v>5</v>
      </c>
      <c r="G381" s="384"/>
      <c r="H381" s="384"/>
      <c r="I381" s="384"/>
      <c r="J381" s="392"/>
      <c r="K381" s="392"/>
      <c r="L381" s="384">
        <v>699.96</v>
      </c>
      <c r="M381" s="384">
        <v>0</v>
      </c>
      <c r="N381" s="384">
        <v>0</v>
      </c>
      <c r="O381" s="384">
        <v>0</v>
      </c>
      <c r="P381" s="384">
        <v>0</v>
      </c>
      <c r="Q381" s="385" t="s">
        <v>242</v>
      </c>
      <c r="R381" s="380" t="s">
        <v>243</v>
      </c>
    </row>
    <row r="382" spans="1:18" ht="36.75" customHeight="1">
      <c r="A382" s="381" t="s">
        <v>2296</v>
      </c>
      <c r="B382" s="382" t="s">
        <v>1040</v>
      </c>
      <c r="C382" s="383" t="s">
        <v>14</v>
      </c>
      <c r="D382" s="384">
        <v>1</v>
      </c>
      <c r="E382" s="384"/>
      <c r="F382" s="384">
        <f t="shared" si="50"/>
        <v>1</v>
      </c>
      <c r="G382" s="384"/>
      <c r="H382" s="384"/>
      <c r="I382" s="384"/>
      <c r="J382" s="392"/>
      <c r="K382" s="392"/>
      <c r="L382" s="384">
        <v>14999.18</v>
      </c>
      <c r="M382" s="384">
        <v>0</v>
      </c>
      <c r="N382" s="384">
        <v>0</v>
      </c>
      <c r="O382" s="384">
        <v>0</v>
      </c>
      <c r="P382" s="384">
        <v>0</v>
      </c>
      <c r="Q382" s="385" t="s">
        <v>242</v>
      </c>
      <c r="R382" s="380" t="s">
        <v>243</v>
      </c>
    </row>
    <row r="383" spans="1:18" ht="36.75" customHeight="1">
      <c r="A383" s="381" t="s">
        <v>2297</v>
      </c>
      <c r="B383" s="382" t="s">
        <v>1043</v>
      </c>
      <c r="C383" s="383" t="s">
        <v>15</v>
      </c>
      <c r="D383" s="384">
        <v>1</v>
      </c>
      <c r="E383" s="384"/>
      <c r="F383" s="384">
        <f t="shared" si="50"/>
        <v>1</v>
      </c>
      <c r="G383" s="384"/>
      <c r="H383" s="384"/>
      <c r="I383" s="384"/>
      <c r="J383" s="392"/>
      <c r="K383" s="392"/>
      <c r="L383" s="384">
        <v>5999.67</v>
      </c>
      <c r="M383" s="384">
        <v>0</v>
      </c>
      <c r="N383" s="384">
        <v>0</v>
      </c>
      <c r="O383" s="384">
        <v>0</v>
      </c>
      <c r="P383" s="384">
        <v>0</v>
      </c>
      <c r="Q383" s="385" t="s">
        <v>242</v>
      </c>
      <c r="R383" s="380" t="s">
        <v>243</v>
      </c>
    </row>
    <row r="384" spans="1:18" ht="36.75" customHeight="1">
      <c r="A384" s="381" t="s">
        <v>2298</v>
      </c>
      <c r="B384" s="382" t="s">
        <v>1046</v>
      </c>
      <c r="C384" s="383" t="s">
        <v>15</v>
      </c>
      <c r="D384" s="384">
        <v>1</v>
      </c>
      <c r="E384" s="384"/>
      <c r="F384" s="384">
        <f t="shared" si="50"/>
        <v>1</v>
      </c>
      <c r="G384" s="384"/>
      <c r="H384" s="384"/>
      <c r="I384" s="384"/>
      <c r="J384" s="392"/>
      <c r="K384" s="392"/>
      <c r="L384" s="384">
        <v>49497.3</v>
      </c>
      <c r="M384" s="384">
        <v>0</v>
      </c>
      <c r="N384" s="384">
        <v>0</v>
      </c>
      <c r="O384" s="384">
        <v>0</v>
      </c>
      <c r="P384" s="384">
        <v>0</v>
      </c>
      <c r="Q384" s="385" t="s">
        <v>242</v>
      </c>
      <c r="R384" s="380" t="s">
        <v>243</v>
      </c>
    </row>
    <row r="385" spans="1:18" ht="36.75" customHeight="1">
      <c r="A385" s="381" t="s">
        <v>2299</v>
      </c>
      <c r="B385" s="382" t="s">
        <v>1049</v>
      </c>
      <c r="C385" s="383" t="s">
        <v>15</v>
      </c>
      <c r="D385" s="384">
        <v>6</v>
      </c>
      <c r="E385" s="384"/>
      <c r="F385" s="384">
        <f t="shared" si="50"/>
        <v>6</v>
      </c>
      <c r="G385" s="384"/>
      <c r="H385" s="384"/>
      <c r="I385" s="384"/>
      <c r="J385" s="392"/>
      <c r="K385" s="392"/>
      <c r="L385" s="384">
        <v>2999.84</v>
      </c>
      <c r="M385" s="384">
        <v>0</v>
      </c>
      <c r="N385" s="384">
        <v>2</v>
      </c>
      <c r="O385" s="384">
        <v>0</v>
      </c>
      <c r="P385" s="384">
        <v>5999.68</v>
      </c>
      <c r="Q385" s="385" t="s">
        <v>242</v>
      </c>
      <c r="R385" s="380" t="s">
        <v>243</v>
      </c>
    </row>
    <row r="386" spans="1:18" ht="36.75" customHeight="1">
      <c r="A386" s="381" t="s">
        <v>2300</v>
      </c>
      <c r="B386" s="382" t="s">
        <v>1052</v>
      </c>
      <c r="C386" s="383" t="s">
        <v>14</v>
      </c>
      <c r="D386" s="384">
        <v>75</v>
      </c>
      <c r="E386" s="384"/>
      <c r="F386" s="384">
        <f t="shared" si="50"/>
        <v>75</v>
      </c>
      <c r="G386" s="384"/>
      <c r="H386" s="384"/>
      <c r="I386" s="384"/>
      <c r="J386" s="392"/>
      <c r="K386" s="392"/>
      <c r="L386" s="384">
        <v>11999.35</v>
      </c>
      <c r="M386" s="384">
        <v>0</v>
      </c>
      <c r="N386" s="384">
        <v>27</v>
      </c>
      <c r="O386" s="384">
        <v>0</v>
      </c>
      <c r="P386" s="384">
        <v>323982.45</v>
      </c>
      <c r="Q386" s="385" t="s">
        <v>242</v>
      </c>
      <c r="R386" s="380" t="s">
        <v>243</v>
      </c>
    </row>
    <row r="387" spans="1:18" ht="36.75" customHeight="1">
      <c r="A387" s="381" t="s">
        <v>2301</v>
      </c>
      <c r="B387" s="382" t="s">
        <v>1055</v>
      </c>
      <c r="C387" s="383" t="s">
        <v>1007</v>
      </c>
      <c r="D387" s="384">
        <v>75</v>
      </c>
      <c r="E387" s="384"/>
      <c r="F387" s="384">
        <f t="shared" si="50"/>
        <v>75</v>
      </c>
      <c r="G387" s="384"/>
      <c r="H387" s="384"/>
      <c r="I387" s="384"/>
      <c r="J387" s="392"/>
      <c r="K387" s="392"/>
      <c r="L387" s="384">
        <v>1499.92</v>
      </c>
      <c r="M387" s="384">
        <v>0</v>
      </c>
      <c r="N387" s="384">
        <v>0</v>
      </c>
      <c r="O387" s="384">
        <v>0</v>
      </c>
      <c r="P387" s="384">
        <v>0</v>
      </c>
      <c r="Q387" s="385" t="s">
        <v>242</v>
      </c>
      <c r="R387" s="380" t="s">
        <v>243</v>
      </c>
    </row>
    <row r="388" spans="1:18" ht="36.75" customHeight="1">
      <c r="A388" s="381" t="s">
        <v>2302</v>
      </c>
      <c r="B388" s="382" t="s">
        <v>1058</v>
      </c>
      <c r="C388" s="383" t="s">
        <v>15</v>
      </c>
      <c r="D388" s="384">
        <v>1</v>
      </c>
      <c r="E388" s="384"/>
      <c r="F388" s="384">
        <f t="shared" si="50"/>
        <v>1</v>
      </c>
      <c r="G388" s="384"/>
      <c r="H388" s="384"/>
      <c r="I388" s="384"/>
      <c r="J388" s="392"/>
      <c r="K388" s="392"/>
      <c r="L388" s="384">
        <v>11999.35</v>
      </c>
      <c r="M388" s="384">
        <v>0</v>
      </c>
      <c r="N388" s="384">
        <v>0</v>
      </c>
      <c r="O388" s="384">
        <v>0</v>
      </c>
      <c r="P388" s="384">
        <v>0</v>
      </c>
      <c r="Q388" s="385" t="s">
        <v>242</v>
      </c>
      <c r="R388" s="380" t="s">
        <v>243</v>
      </c>
    </row>
    <row r="389" spans="1:18" ht="36.75" customHeight="1">
      <c r="A389" s="381" t="s">
        <v>2303</v>
      </c>
      <c r="B389" s="382" t="s">
        <v>1061</v>
      </c>
      <c r="C389" s="383" t="s">
        <v>15</v>
      </c>
      <c r="D389" s="384">
        <v>1</v>
      </c>
      <c r="E389" s="384"/>
      <c r="F389" s="384">
        <f t="shared" si="50"/>
        <v>1</v>
      </c>
      <c r="G389" s="384"/>
      <c r="H389" s="384"/>
      <c r="I389" s="384"/>
      <c r="J389" s="392"/>
      <c r="K389" s="392"/>
      <c r="L389" s="384">
        <v>1999.89</v>
      </c>
      <c r="M389" s="384">
        <v>0</v>
      </c>
      <c r="N389" s="384">
        <v>0</v>
      </c>
      <c r="O389" s="384">
        <v>0</v>
      </c>
      <c r="P389" s="384">
        <v>0</v>
      </c>
      <c r="Q389" s="385" t="s">
        <v>242</v>
      </c>
      <c r="R389" s="380" t="s">
        <v>243</v>
      </c>
    </row>
    <row r="390" spans="1:18" ht="36.75" customHeight="1">
      <c r="A390" s="381" t="s">
        <v>2304</v>
      </c>
      <c r="B390" s="382" t="s">
        <v>1064</v>
      </c>
      <c r="C390" s="383" t="s">
        <v>15</v>
      </c>
      <c r="D390" s="384">
        <v>11</v>
      </c>
      <c r="E390" s="384"/>
      <c r="F390" s="384">
        <f t="shared" si="50"/>
        <v>11</v>
      </c>
      <c r="G390" s="384"/>
      <c r="H390" s="384"/>
      <c r="I390" s="384"/>
      <c r="J390" s="392"/>
      <c r="K390" s="392"/>
      <c r="L390" s="384">
        <v>2999.84</v>
      </c>
      <c r="M390" s="384">
        <v>0</v>
      </c>
      <c r="N390" s="384">
        <v>3</v>
      </c>
      <c r="O390" s="384">
        <v>0</v>
      </c>
      <c r="P390" s="384">
        <v>8999.52</v>
      </c>
      <c r="Q390" s="385" t="s">
        <v>242</v>
      </c>
      <c r="R390" s="380" t="s">
        <v>243</v>
      </c>
    </row>
    <row r="391" spans="1:18" ht="36.75" customHeight="1">
      <c r="A391" s="381" t="s">
        <v>2305</v>
      </c>
      <c r="B391" s="382" t="s">
        <v>1067</v>
      </c>
      <c r="C391" s="383" t="s">
        <v>15</v>
      </c>
      <c r="D391" s="384">
        <v>3</v>
      </c>
      <c r="E391" s="384"/>
      <c r="F391" s="384">
        <f t="shared" si="50"/>
        <v>3</v>
      </c>
      <c r="G391" s="384"/>
      <c r="H391" s="384"/>
      <c r="I391" s="384"/>
      <c r="J391" s="392"/>
      <c r="K391" s="392"/>
      <c r="L391" s="384">
        <v>1399.92</v>
      </c>
      <c r="M391" s="384">
        <v>0</v>
      </c>
      <c r="N391" s="384">
        <v>1</v>
      </c>
      <c r="O391" s="384">
        <v>0</v>
      </c>
      <c r="P391" s="384">
        <v>1399.92</v>
      </c>
      <c r="Q391" s="385" t="s">
        <v>242</v>
      </c>
      <c r="R391" s="380" t="s">
        <v>243</v>
      </c>
    </row>
    <row r="392" spans="1:18" ht="36.75" customHeight="1">
      <c r="A392" s="381" t="s">
        <v>2306</v>
      </c>
      <c r="B392" s="382" t="s">
        <v>1070</v>
      </c>
      <c r="C392" s="383" t="s">
        <v>14</v>
      </c>
      <c r="D392" s="384">
        <v>5</v>
      </c>
      <c r="E392" s="384"/>
      <c r="F392" s="384">
        <f t="shared" si="50"/>
        <v>5</v>
      </c>
      <c r="G392" s="384"/>
      <c r="H392" s="384"/>
      <c r="I392" s="384"/>
      <c r="J392" s="392"/>
      <c r="K392" s="392"/>
      <c r="L392" s="384">
        <v>17999.02</v>
      </c>
      <c r="M392" s="384">
        <v>0</v>
      </c>
      <c r="N392" s="384">
        <v>0</v>
      </c>
      <c r="O392" s="384">
        <v>0</v>
      </c>
      <c r="P392" s="384">
        <v>0</v>
      </c>
      <c r="Q392" s="385" t="s">
        <v>242</v>
      </c>
      <c r="R392" s="380" t="s">
        <v>243</v>
      </c>
    </row>
    <row r="393" spans="1:18" ht="36.75" customHeight="1">
      <c r="A393" s="381" t="s">
        <v>2307</v>
      </c>
      <c r="B393" s="382" t="s">
        <v>1073</v>
      </c>
      <c r="C393" s="383" t="s">
        <v>14</v>
      </c>
      <c r="D393" s="384">
        <v>1</v>
      </c>
      <c r="E393" s="384"/>
      <c r="F393" s="384">
        <f t="shared" si="50"/>
        <v>1</v>
      </c>
      <c r="G393" s="384"/>
      <c r="H393" s="384"/>
      <c r="I393" s="384"/>
      <c r="J393" s="392"/>
      <c r="K393" s="392"/>
      <c r="L393" s="384">
        <v>8999.51</v>
      </c>
      <c r="M393" s="384">
        <v>0</v>
      </c>
      <c r="N393" s="384">
        <v>0</v>
      </c>
      <c r="O393" s="384">
        <v>0</v>
      </c>
      <c r="P393" s="384">
        <v>0</v>
      </c>
      <c r="Q393" s="385" t="s">
        <v>242</v>
      </c>
      <c r="R393" s="380" t="s">
        <v>243</v>
      </c>
    </row>
    <row r="394" spans="1:18" ht="36.75" customHeight="1">
      <c r="A394" s="381" t="s">
        <v>2308</v>
      </c>
      <c r="B394" s="382" t="s">
        <v>1076</v>
      </c>
      <c r="C394" s="383" t="s">
        <v>15</v>
      </c>
      <c r="D394" s="384">
        <v>2</v>
      </c>
      <c r="E394" s="384"/>
      <c r="F394" s="384">
        <f t="shared" si="50"/>
        <v>2</v>
      </c>
      <c r="G394" s="384"/>
      <c r="H394" s="384"/>
      <c r="I394" s="384"/>
      <c r="J394" s="392"/>
      <c r="K394" s="392"/>
      <c r="L394" s="384">
        <v>5999.67</v>
      </c>
      <c r="M394" s="384">
        <v>0</v>
      </c>
      <c r="N394" s="384">
        <v>0</v>
      </c>
      <c r="O394" s="384">
        <v>0</v>
      </c>
      <c r="P394" s="384">
        <v>0</v>
      </c>
      <c r="Q394" s="385" t="s">
        <v>242</v>
      </c>
      <c r="R394" s="380" t="s">
        <v>243</v>
      </c>
    </row>
    <row r="395" spans="1:18" ht="36.75" customHeight="1">
      <c r="A395" s="381" t="s">
        <v>2309</v>
      </c>
      <c r="B395" s="382" t="s">
        <v>1079</v>
      </c>
      <c r="C395" s="383" t="s">
        <v>14</v>
      </c>
      <c r="D395" s="384">
        <v>1</v>
      </c>
      <c r="E395" s="384"/>
      <c r="F395" s="384">
        <f t="shared" si="50"/>
        <v>1</v>
      </c>
      <c r="G395" s="384"/>
      <c r="H395" s="384"/>
      <c r="I395" s="384"/>
      <c r="J395" s="392"/>
      <c r="K395" s="392"/>
      <c r="L395" s="384">
        <v>2499.86</v>
      </c>
      <c r="M395" s="384">
        <v>0</v>
      </c>
      <c r="N395" s="384">
        <v>0</v>
      </c>
      <c r="O395" s="384">
        <v>0</v>
      </c>
      <c r="P395" s="384">
        <v>0</v>
      </c>
      <c r="Q395" s="385" t="s">
        <v>242</v>
      </c>
      <c r="R395" s="380" t="s">
        <v>243</v>
      </c>
    </row>
    <row r="396" spans="1:18" ht="36.75" customHeight="1">
      <c r="A396" s="381" t="s">
        <v>2311</v>
      </c>
      <c r="B396" s="382" t="s">
        <v>1082</v>
      </c>
      <c r="C396" s="383" t="s">
        <v>14</v>
      </c>
      <c r="D396" s="384">
        <v>1</v>
      </c>
      <c r="E396" s="384"/>
      <c r="F396" s="384">
        <f t="shared" si="50"/>
        <v>1</v>
      </c>
      <c r="G396" s="384"/>
      <c r="H396" s="384"/>
      <c r="I396" s="384"/>
      <c r="J396" s="392"/>
      <c r="K396" s="392"/>
      <c r="L396" s="384">
        <v>2499.86</v>
      </c>
      <c r="M396" s="384">
        <v>0</v>
      </c>
      <c r="N396" s="384">
        <v>0</v>
      </c>
      <c r="O396" s="384">
        <v>0</v>
      </c>
      <c r="P396" s="384">
        <v>0</v>
      </c>
      <c r="Q396" s="385" t="s">
        <v>242</v>
      </c>
      <c r="R396" s="380" t="s">
        <v>243</v>
      </c>
    </row>
    <row r="397" spans="1:18" ht="36.75" customHeight="1">
      <c r="A397" s="381" t="s">
        <v>2312</v>
      </c>
      <c r="B397" s="382" t="s">
        <v>1085</v>
      </c>
      <c r="C397" s="383" t="s">
        <v>15</v>
      </c>
      <c r="D397" s="384">
        <v>4</v>
      </c>
      <c r="E397" s="384"/>
      <c r="F397" s="384">
        <f t="shared" si="50"/>
        <v>4</v>
      </c>
      <c r="G397" s="384"/>
      <c r="H397" s="384"/>
      <c r="I397" s="384"/>
      <c r="J397" s="392"/>
      <c r="K397" s="392"/>
      <c r="L397" s="384">
        <v>2999.84</v>
      </c>
      <c r="M397" s="384">
        <v>0</v>
      </c>
      <c r="N397" s="384">
        <v>0</v>
      </c>
      <c r="O397" s="384">
        <v>0</v>
      </c>
      <c r="P397" s="384">
        <v>0</v>
      </c>
      <c r="Q397" s="385" t="s">
        <v>242</v>
      </c>
      <c r="R397" s="380" t="s">
        <v>243</v>
      </c>
    </row>
    <row r="398" spans="1:18" ht="36.75" customHeight="1">
      <c r="A398" s="381" t="s">
        <v>2313</v>
      </c>
      <c r="B398" s="382" t="s">
        <v>1088</v>
      </c>
      <c r="C398" s="383" t="s">
        <v>15</v>
      </c>
      <c r="D398" s="384">
        <v>2</v>
      </c>
      <c r="E398" s="384"/>
      <c r="F398" s="384">
        <f t="shared" si="50"/>
        <v>2</v>
      </c>
      <c r="G398" s="384"/>
      <c r="H398" s="384"/>
      <c r="I398" s="384"/>
      <c r="J398" s="392"/>
      <c r="K398" s="392"/>
      <c r="L398" s="384">
        <v>19998.91</v>
      </c>
      <c r="M398" s="384">
        <v>0</v>
      </c>
      <c r="N398" s="384">
        <v>0</v>
      </c>
      <c r="O398" s="384">
        <v>0</v>
      </c>
      <c r="P398" s="384">
        <v>0</v>
      </c>
      <c r="Q398" s="385" t="s">
        <v>242</v>
      </c>
      <c r="R398" s="380" t="s">
        <v>243</v>
      </c>
    </row>
    <row r="399" spans="1:18" ht="36.75" customHeight="1">
      <c r="A399" s="381" t="s">
        <v>2315</v>
      </c>
      <c r="B399" s="382" t="s">
        <v>1091</v>
      </c>
      <c r="C399" s="383" t="s">
        <v>14</v>
      </c>
      <c r="D399" s="384">
        <v>1</v>
      </c>
      <c r="E399" s="384"/>
      <c r="F399" s="384">
        <f t="shared" si="50"/>
        <v>1</v>
      </c>
      <c r="G399" s="384"/>
      <c r="H399" s="384"/>
      <c r="I399" s="384"/>
      <c r="J399" s="392"/>
      <c r="K399" s="392"/>
      <c r="L399" s="384">
        <v>14999.18</v>
      </c>
      <c r="M399" s="384">
        <v>0</v>
      </c>
      <c r="N399" s="384">
        <v>1</v>
      </c>
      <c r="O399" s="384">
        <v>0</v>
      </c>
      <c r="P399" s="384">
        <v>14999.18</v>
      </c>
      <c r="Q399" s="385" t="s">
        <v>242</v>
      </c>
      <c r="R399" s="380" t="s">
        <v>243</v>
      </c>
    </row>
    <row r="400" spans="1:18" ht="36.75" customHeight="1">
      <c r="A400" s="381" t="s">
        <v>2316</v>
      </c>
      <c r="B400" s="382" t="s">
        <v>1094</v>
      </c>
      <c r="C400" s="383" t="s">
        <v>1095</v>
      </c>
      <c r="D400" s="384">
        <v>3</v>
      </c>
      <c r="E400" s="384"/>
      <c r="F400" s="384">
        <f t="shared" si="50"/>
        <v>3</v>
      </c>
      <c r="G400" s="384"/>
      <c r="H400" s="384"/>
      <c r="I400" s="384"/>
      <c r="J400" s="392"/>
      <c r="K400" s="392"/>
      <c r="L400" s="384">
        <v>1299.93</v>
      </c>
      <c r="M400" s="384">
        <v>3</v>
      </c>
      <c r="N400" s="384">
        <v>3</v>
      </c>
      <c r="O400" s="384">
        <v>3899.79</v>
      </c>
      <c r="P400" s="384">
        <v>3899.79</v>
      </c>
      <c r="Q400" s="385" t="s">
        <v>242</v>
      </c>
      <c r="R400" s="380" t="s">
        <v>243</v>
      </c>
    </row>
    <row r="401" spans="1:18" ht="36.75" customHeight="1">
      <c r="A401" s="381" t="s">
        <v>2317</v>
      </c>
      <c r="B401" s="382" t="s">
        <v>1098</v>
      </c>
      <c r="C401" s="383" t="s">
        <v>1095</v>
      </c>
      <c r="D401" s="384">
        <v>4</v>
      </c>
      <c r="E401" s="384"/>
      <c r="F401" s="384">
        <f t="shared" si="50"/>
        <v>4</v>
      </c>
      <c r="G401" s="384"/>
      <c r="H401" s="384"/>
      <c r="I401" s="384"/>
      <c r="J401" s="392"/>
      <c r="K401" s="392"/>
      <c r="L401" s="384">
        <v>999.95</v>
      </c>
      <c r="M401" s="384">
        <v>0</v>
      </c>
      <c r="N401" s="384">
        <v>4</v>
      </c>
      <c r="O401" s="384">
        <v>0</v>
      </c>
      <c r="P401" s="384">
        <v>3999.8</v>
      </c>
      <c r="Q401" s="385" t="s">
        <v>242</v>
      </c>
      <c r="R401" s="380" t="s">
        <v>243</v>
      </c>
    </row>
    <row r="402" spans="1:18" ht="36.75" customHeight="1">
      <c r="A402" s="381" t="s">
        <v>2318</v>
      </c>
      <c r="B402" s="382" t="s">
        <v>1101</v>
      </c>
      <c r="C402" s="383" t="s">
        <v>15</v>
      </c>
      <c r="D402" s="384">
        <v>2</v>
      </c>
      <c r="E402" s="384"/>
      <c r="F402" s="384">
        <f t="shared" si="50"/>
        <v>2</v>
      </c>
      <c r="G402" s="384"/>
      <c r="H402" s="384"/>
      <c r="I402" s="384"/>
      <c r="J402" s="392"/>
      <c r="K402" s="392"/>
      <c r="L402" s="384">
        <v>8999.51</v>
      </c>
      <c r="M402" s="384">
        <v>0</v>
      </c>
      <c r="N402" s="384">
        <v>2</v>
      </c>
      <c r="O402" s="384">
        <v>0</v>
      </c>
      <c r="P402" s="384">
        <v>17999.02</v>
      </c>
      <c r="Q402" s="385" t="s">
        <v>242</v>
      </c>
      <c r="R402" s="380" t="s">
        <v>243</v>
      </c>
    </row>
    <row r="403" spans="1:18" ht="36.75" customHeight="1">
      <c r="A403" s="381" t="s">
        <v>2319</v>
      </c>
      <c r="B403" s="382" t="s">
        <v>1104</v>
      </c>
      <c r="C403" s="383" t="s">
        <v>15</v>
      </c>
      <c r="D403" s="384">
        <v>4</v>
      </c>
      <c r="E403" s="384"/>
      <c r="F403" s="384">
        <f t="shared" si="50"/>
        <v>4</v>
      </c>
      <c r="G403" s="384"/>
      <c r="H403" s="384"/>
      <c r="I403" s="384"/>
      <c r="J403" s="392"/>
      <c r="K403" s="392"/>
      <c r="L403" s="384">
        <v>4199.7700000000004</v>
      </c>
      <c r="M403" s="384">
        <v>0</v>
      </c>
      <c r="N403" s="384">
        <v>0</v>
      </c>
      <c r="O403" s="384">
        <v>0</v>
      </c>
      <c r="P403" s="384">
        <v>0</v>
      </c>
      <c r="Q403" s="385" t="s">
        <v>242</v>
      </c>
      <c r="R403" s="380" t="s">
        <v>243</v>
      </c>
    </row>
    <row r="404" spans="1:18" ht="36.75" customHeight="1">
      <c r="A404" s="381" t="s">
        <v>2320</v>
      </c>
      <c r="B404" s="382" t="s">
        <v>1107</v>
      </c>
      <c r="C404" s="383" t="s">
        <v>14</v>
      </c>
      <c r="D404" s="384">
        <v>2</v>
      </c>
      <c r="E404" s="384"/>
      <c r="F404" s="384">
        <f t="shared" si="50"/>
        <v>2</v>
      </c>
      <c r="G404" s="384"/>
      <c r="H404" s="384"/>
      <c r="I404" s="384"/>
      <c r="J404" s="392"/>
      <c r="K404" s="392"/>
      <c r="L404" s="384">
        <v>999.95</v>
      </c>
      <c r="M404" s="384">
        <v>0</v>
      </c>
      <c r="N404" s="384">
        <v>2</v>
      </c>
      <c r="O404" s="384">
        <v>0</v>
      </c>
      <c r="P404" s="384">
        <v>1999.9</v>
      </c>
      <c r="Q404" s="385" t="s">
        <v>242</v>
      </c>
      <c r="R404" s="380" t="s">
        <v>243</v>
      </c>
    </row>
    <row r="405" spans="1:18" ht="36.75" customHeight="1">
      <c r="A405" s="381" t="s">
        <v>2321</v>
      </c>
      <c r="B405" s="382" t="s">
        <v>224</v>
      </c>
      <c r="C405" s="383" t="s">
        <v>15</v>
      </c>
      <c r="D405" s="384">
        <v>12</v>
      </c>
      <c r="E405" s="384"/>
      <c r="F405" s="384">
        <f t="shared" si="50"/>
        <v>12</v>
      </c>
      <c r="G405" s="384"/>
      <c r="H405" s="384"/>
      <c r="I405" s="384"/>
      <c r="J405" s="392"/>
      <c r="K405" s="392"/>
      <c r="L405" s="384">
        <v>4499.75</v>
      </c>
      <c r="M405" s="384">
        <v>0</v>
      </c>
      <c r="N405" s="384">
        <v>0</v>
      </c>
      <c r="O405" s="384">
        <v>0</v>
      </c>
      <c r="P405" s="384">
        <v>0</v>
      </c>
      <c r="Q405" s="385" t="s">
        <v>242</v>
      </c>
      <c r="R405" s="380" t="s">
        <v>243</v>
      </c>
    </row>
    <row r="406" spans="1:18" ht="36.75" customHeight="1">
      <c r="A406" s="381" t="s">
        <v>2322</v>
      </c>
      <c r="B406" s="382" t="s">
        <v>1112</v>
      </c>
      <c r="C406" s="383" t="s">
        <v>15</v>
      </c>
      <c r="D406" s="384">
        <v>2</v>
      </c>
      <c r="E406" s="384"/>
      <c r="F406" s="384">
        <f t="shared" si="50"/>
        <v>2</v>
      </c>
      <c r="G406" s="384"/>
      <c r="H406" s="384"/>
      <c r="I406" s="384"/>
      <c r="J406" s="392"/>
      <c r="K406" s="392"/>
      <c r="L406" s="384">
        <v>636265.30000000005</v>
      </c>
      <c r="M406" s="384">
        <v>0</v>
      </c>
      <c r="N406" s="384">
        <v>2</v>
      </c>
      <c r="O406" s="384">
        <v>0</v>
      </c>
      <c r="P406" s="384">
        <v>1272530.6000000001</v>
      </c>
      <c r="Q406" s="385" t="s">
        <v>242</v>
      </c>
      <c r="R406" s="380" t="s">
        <v>243</v>
      </c>
    </row>
    <row r="407" spans="1:18" ht="36.75" customHeight="1">
      <c r="A407" s="381" t="s">
        <v>2323</v>
      </c>
      <c r="B407" s="382" t="s">
        <v>1115</v>
      </c>
      <c r="C407" s="383" t="s">
        <v>1116</v>
      </c>
      <c r="D407" s="384">
        <v>4</v>
      </c>
      <c r="E407" s="384"/>
      <c r="F407" s="384">
        <f t="shared" si="50"/>
        <v>4</v>
      </c>
      <c r="G407" s="384"/>
      <c r="H407" s="384"/>
      <c r="I407" s="384"/>
      <c r="J407" s="392"/>
      <c r="K407" s="392"/>
      <c r="L407" s="384">
        <v>1999.89</v>
      </c>
      <c r="M407" s="384">
        <v>0</v>
      </c>
      <c r="N407" s="384">
        <v>0</v>
      </c>
      <c r="O407" s="384">
        <v>0</v>
      </c>
      <c r="P407" s="384">
        <v>0</v>
      </c>
      <c r="Q407" s="385" t="s">
        <v>242</v>
      </c>
      <c r="R407" s="380" t="s">
        <v>243</v>
      </c>
    </row>
    <row r="408" spans="1:18" ht="36.75" customHeight="1">
      <c r="A408" s="381" t="s">
        <v>2324</v>
      </c>
      <c r="B408" s="382" t="s">
        <v>1542</v>
      </c>
      <c r="C408" s="383" t="s">
        <v>15</v>
      </c>
      <c r="D408" s="384">
        <v>0</v>
      </c>
      <c r="E408" s="384">
        <v>1</v>
      </c>
      <c r="F408" s="384">
        <f>E408</f>
        <v>1</v>
      </c>
      <c r="G408" s="384"/>
      <c r="H408" s="384"/>
      <c r="I408" s="384"/>
      <c r="J408" s="392"/>
      <c r="K408" s="392"/>
      <c r="L408" s="384">
        <v>119722.49</v>
      </c>
      <c r="M408" s="384">
        <v>0</v>
      </c>
      <c r="N408" s="384">
        <v>1</v>
      </c>
      <c r="O408" s="384">
        <v>0</v>
      </c>
      <c r="P408" s="384">
        <v>119722.49</v>
      </c>
      <c r="Q408" s="385" t="s">
        <v>242</v>
      </c>
      <c r="R408" s="380" t="s">
        <v>243</v>
      </c>
    </row>
    <row r="409" spans="1:18" ht="36.75" customHeight="1">
      <c r="A409" s="381" t="s">
        <v>2325</v>
      </c>
      <c r="B409" s="382" t="s">
        <v>1544</v>
      </c>
      <c r="C409" s="383" t="s">
        <v>15</v>
      </c>
      <c r="D409" s="384">
        <v>0</v>
      </c>
      <c r="E409" s="384">
        <v>1</v>
      </c>
      <c r="F409" s="384">
        <f t="shared" ref="F409:F412" si="51">E409</f>
        <v>1</v>
      </c>
      <c r="G409" s="384"/>
      <c r="H409" s="384"/>
      <c r="I409" s="384"/>
      <c r="J409" s="392"/>
      <c r="K409" s="392"/>
      <c r="L409" s="384">
        <v>74993.56</v>
      </c>
      <c r="M409" s="384">
        <v>0</v>
      </c>
      <c r="N409" s="384">
        <v>1</v>
      </c>
      <c r="O409" s="384">
        <v>0</v>
      </c>
      <c r="P409" s="384">
        <v>74993.56</v>
      </c>
      <c r="Q409" s="385" t="s">
        <v>242</v>
      </c>
      <c r="R409" s="380" t="s">
        <v>243</v>
      </c>
    </row>
    <row r="410" spans="1:18" ht="36.75" customHeight="1">
      <c r="A410" s="381" t="s">
        <v>2326</v>
      </c>
      <c r="B410" s="382" t="s">
        <v>1546</v>
      </c>
      <c r="C410" s="383" t="s">
        <v>15</v>
      </c>
      <c r="D410" s="384">
        <v>0</v>
      </c>
      <c r="E410" s="384">
        <v>2</v>
      </c>
      <c r="F410" s="384">
        <f t="shared" si="51"/>
        <v>2</v>
      </c>
      <c r="G410" s="384"/>
      <c r="H410" s="384"/>
      <c r="I410" s="384"/>
      <c r="J410" s="392"/>
      <c r="K410" s="392"/>
      <c r="L410" s="384">
        <v>83492.83</v>
      </c>
      <c r="M410" s="384">
        <v>0</v>
      </c>
      <c r="N410" s="384">
        <v>2</v>
      </c>
      <c r="O410" s="384">
        <v>0</v>
      </c>
      <c r="P410" s="384">
        <v>166985.66</v>
      </c>
      <c r="Q410" s="385" t="s">
        <v>242</v>
      </c>
      <c r="R410" s="380" t="s">
        <v>243</v>
      </c>
    </row>
    <row r="411" spans="1:18" ht="36.75" customHeight="1">
      <c r="A411" s="381" t="s">
        <v>2327</v>
      </c>
      <c r="B411" s="382" t="s">
        <v>1548</v>
      </c>
      <c r="C411" s="383" t="s">
        <v>15</v>
      </c>
      <c r="D411" s="384">
        <v>0</v>
      </c>
      <c r="E411" s="384">
        <v>1</v>
      </c>
      <c r="F411" s="384">
        <f t="shared" si="51"/>
        <v>1</v>
      </c>
      <c r="G411" s="384"/>
      <c r="H411" s="384"/>
      <c r="I411" s="384"/>
      <c r="J411" s="392"/>
      <c r="K411" s="392"/>
      <c r="L411" s="384">
        <v>76193.42</v>
      </c>
      <c r="M411" s="384">
        <v>0</v>
      </c>
      <c r="N411" s="384">
        <v>1</v>
      </c>
      <c r="O411" s="384">
        <v>0</v>
      </c>
      <c r="P411" s="384">
        <v>76193.42</v>
      </c>
      <c r="Q411" s="385" t="s">
        <v>242</v>
      </c>
      <c r="R411" s="380" t="s">
        <v>243</v>
      </c>
    </row>
    <row r="412" spans="1:18" ht="36.75" customHeight="1">
      <c r="A412" s="381" t="s">
        <v>2328</v>
      </c>
      <c r="B412" s="382" t="s">
        <v>1550</v>
      </c>
      <c r="C412" s="383" t="s">
        <v>15</v>
      </c>
      <c r="D412" s="384">
        <v>0</v>
      </c>
      <c r="E412" s="384">
        <v>2</v>
      </c>
      <c r="F412" s="384">
        <f t="shared" si="51"/>
        <v>2</v>
      </c>
      <c r="G412" s="384"/>
      <c r="H412" s="384"/>
      <c r="I412" s="384"/>
      <c r="J412" s="392"/>
      <c r="K412" s="392"/>
      <c r="L412" s="384">
        <v>17998.46</v>
      </c>
      <c r="M412" s="384">
        <v>0</v>
      </c>
      <c r="N412" s="384">
        <v>2</v>
      </c>
      <c r="O412" s="384">
        <v>0</v>
      </c>
      <c r="P412" s="384">
        <v>35996.92</v>
      </c>
      <c r="Q412" s="385" t="s">
        <v>242</v>
      </c>
      <c r="R412" s="380" t="s">
        <v>243</v>
      </c>
    </row>
    <row r="413" spans="1:18" ht="36.75" customHeight="1">
      <c r="A413" s="381" t="s">
        <v>2387</v>
      </c>
      <c r="B413" s="382" t="s">
        <v>1118</v>
      </c>
      <c r="C413" s="383" t="s">
        <v>4</v>
      </c>
      <c r="D413" s="384">
        <v>1</v>
      </c>
      <c r="E413" s="384"/>
      <c r="F413" s="384"/>
      <c r="G413" s="384"/>
      <c r="H413" s="384"/>
      <c r="I413" s="384"/>
      <c r="J413" s="392"/>
      <c r="K413" s="392"/>
      <c r="L413" s="384">
        <v>3983954.68</v>
      </c>
      <c r="M413" s="384">
        <v>1</v>
      </c>
      <c r="N413" s="384">
        <v>1</v>
      </c>
      <c r="O413" s="384">
        <v>164351.57999999999</v>
      </c>
      <c r="P413" s="384">
        <v>2235643.2599999998</v>
      </c>
      <c r="Q413" s="385" t="s">
        <v>242</v>
      </c>
      <c r="R413" s="380" t="s">
        <v>243</v>
      </c>
    </row>
    <row r="414" spans="1:18" ht="36.75" customHeight="1">
      <c r="A414" s="381" t="s">
        <v>2288</v>
      </c>
      <c r="B414" s="382" t="s">
        <v>26</v>
      </c>
      <c r="C414" s="383" t="s">
        <v>20</v>
      </c>
      <c r="D414" s="384">
        <v>48</v>
      </c>
      <c r="E414" s="384"/>
      <c r="F414" s="384">
        <f>D414</f>
        <v>48</v>
      </c>
      <c r="G414" s="384"/>
      <c r="H414" s="384"/>
      <c r="I414" s="384"/>
      <c r="J414" s="392"/>
      <c r="K414" s="392"/>
      <c r="L414" s="384">
        <v>13067.55</v>
      </c>
      <c r="M414" s="384">
        <v>2</v>
      </c>
      <c r="N414" s="384">
        <v>26</v>
      </c>
      <c r="O414" s="384">
        <v>26135.1</v>
      </c>
      <c r="P414" s="384">
        <v>339756.3</v>
      </c>
      <c r="Q414" s="385" t="s">
        <v>242</v>
      </c>
      <c r="R414" s="380" t="s">
        <v>243</v>
      </c>
    </row>
    <row r="415" spans="1:18" ht="36.75" customHeight="1">
      <c r="A415" s="381" t="s">
        <v>2289</v>
      </c>
      <c r="B415" s="382" t="s">
        <v>27</v>
      </c>
      <c r="C415" s="383" t="s">
        <v>21</v>
      </c>
      <c r="D415" s="384">
        <v>6720</v>
      </c>
      <c r="E415" s="384">
        <v>28448</v>
      </c>
      <c r="F415" s="384">
        <f>E415</f>
        <v>28448</v>
      </c>
      <c r="G415" s="384"/>
      <c r="H415" s="384"/>
      <c r="I415" s="384"/>
      <c r="J415" s="392"/>
      <c r="K415" s="392"/>
      <c r="L415" s="384">
        <v>54.56</v>
      </c>
      <c r="M415" s="384">
        <v>1185</v>
      </c>
      <c r="N415" s="384">
        <v>15409.08</v>
      </c>
      <c r="O415" s="384">
        <v>64653.599999999999</v>
      </c>
      <c r="P415" s="384">
        <v>840719.4</v>
      </c>
      <c r="Q415" s="385" t="s">
        <v>242</v>
      </c>
      <c r="R415" s="380" t="s">
        <v>243</v>
      </c>
    </row>
    <row r="416" spans="1:18" ht="36.75" customHeight="1">
      <c r="A416" s="381" t="s">
        <v>2290</v>
      </c>
      <c r="B416" s="382" t="s">
        <v>1553</v>
      </c>
      <c r="C416" s="383" t="s">
        <v>1554</v>
      </c>
      <c r="D416" s="384">
        <v>0</v>
      </c>
      <c r="E416" s="384">
        <v>1570</v>
      </c>
      <c r="F416" s="384">
        <f>E416</f>
        <v>1570</v>
      </c>
      <c r="G416" s="384"/>
      <c r="H416" s="384"/>
      <c r="I416" s="384"/>
      <c r="J416" s="392"/>
      <c r="K416" s="392"/>
      <c r="L416" s="384">
        <v>1149.42</v>
      </c>
      <c r="M416" s="384">
        <v>64</v>
      </c>
      <c r="N416" s="384">
        <v>918</v>
      </c>
      <c r="O416" s="384">
        <v>73562.880000000005</v>
      </c>
      <c r="P416" s="384">
        <v>1055167.56</v>
      </c>
      <c r="Q416" s="385" t="s">
        <v>242</v>
      </c>
      <c r="R416" s="380" t="s">
        <v>243</v>
      </c>
    </row>
    <row r="417" spans="1:18" ht="36.75" customHeight="1">
      <c r="A417" s="381" t="s">
        <v>2388</v>
      </c>
      <c r="B417" s="382" t="s">
        <v>1121</v>
      </c>
      <c r="C417" s="383" t="s">
        <v>4</v>
      </c>
      <c r="D417" s="384">
        <v>1</v>
      </c>
      <c r="E417" s="384"/>
      <c r="F417" s="384"/>
      <c r="G417" s="384"/>
      <c r="H417" s="384"/>
      <c r="I417" s="384"/>
      <c r="J417" s="392"/>
      <c r="K417" s="392"/>
      <c r="L417" s="384">
        <v>9928418.8300000001</v>
      </c>
      <c r="M417" s="384">
        <v>1</v>
      </c>
      <c r="N417" s="384">
        <v>1</v>
      </c>
      <c r="O417" s="384">
        <v>92841.5</v>
      </c>
      <c r="P417" s="384">
        <v>9437556.9199999999</v>
      </c>
      <c r="Q417" s="385" t="s">
        <v>242</v>
      </c>
      <c r="R417" s="380" t="s">
        <v>243</v>
      </c>
    </row>
    <row r="418" spans="1:18" ht="36.75" customHeight="1">
      <c r="A418" s="381" t="s">
        <v>2288</v>
      </c>
      <c r="B418" s="382" t="s">
        <v>1122</v>
      </c>
      <c r="C418" s="383" t="s">
        <v>8</v>
      </c>
      <c r="D418" s="384">
        <v>1294.97</v>
      </c>
      <c r="E418" s="384">
        <f>D418</f>
        <v>1294.97</v>
      </c>
      <c r="F418" s="384">
        <f>D418</f>
        <v>1294.97</v>
      </c>
      <c r="G418" s="384"/>
      <c r="H418" s="384"/>
      <c r="I418" s="384"/>
      <c r="J418" s="392"/>
      <c r="K418" s="392"/>
      <c r="L418" s="384">
        <v>3662.03</v>
      </c>
      <c r="M418" s="384">
        <v>0</v>
      </c>
      <c r="N418" s="384">
        <v>1294.97</v>
      </c>
      <c r="O418" s="384">
        <v>0</v>
      </c>
      <c r="P418" s="384">
        <v>4742218.99</v>
      </c>
      <c r="Q418" s="385" t="s">
        <v>242</v>
      </c>
      <c r="R418" s="380" t="s">
        <v>243</v>
      </c>
    </row>
    <row r="419" spans="1:18" ht="36.75" customHeight="1">
      <c r="A419" s="381" t="s">
        <v>2289</v>
      </c>
      <c r="B419" s="382" t="s">
        <v>1124</v>
      </c>
      <c r="C419" s="383" t="s">
        <v>13</v>
      </c>
      <c r="D419" s="384">
        <v>1840.93</v>
      </c>
      <c r="E419" s="384">
        <f t="shared" ref="E419:E432" si="52">D419</f>
        <v>1840.93</v>
      </c>
      <c r="F419" s="384">
        <f t="shared" ref="F419:F432" si="53">D419</f>
        <v>1840.93</v>
      </c>
      <c r="G419" s="384"/>
      <c r="H419" s="384"/>
      <c r="I419" s="384"/>
      <c r="J419" s="392"/>
      <c r="K419" s="392"/>
      <c r="L419" s="384">
        <v>352.98</v>
      </c>
      <c r="M419" s="384">
        <v>0</v>
      </c>
      <c r="N419" s="384">
        <v>1840.93</v>
      </c>
      <c r="O419" s="384">
        <v>0</v>
      </c>
      <c r="P419" s="384">
        <v>649811.47</v>
      </c>
      <c r="Q419" s="385" t="s">
        <v>242</v>
      </c>
      <c r="R419" s="380" t="s">
        <v>243</v>
      </c>
    </row>
    <row r="420" spans="1:18" ht="36.75" customHeight="1">
      <c r="A420" s="381" t="s">
        <v>2290</v>
      </c>
      <c r="B420" s="382" t="s">
        <v>32</v>
      </c>
      <c r="C420" s="383" t="s">
        <v>7</v>
      </c>
      <c r="D420" s="384">
        <v>59</v>
      </c>
      <c r="E420" s="384">
        <f t="shared" si="52"/>
        <v>59</v>
      </c>
      <c r="F420" s="384">
        <f t="shared" si="53"/>
        <v>59</v>
      </c>
      <c r="G420" s="384"/>
      <c r="H420" s="384"/>
      <c r="I420" s="384"/>
      <c r="J420" s="392"/>
      <c r="K420" s="392"/>
      <c r="L420" s="384">
        <v>217.01</v>
      </c>
      <c r="M420" s="384">
        <v>0</v>
      </c>
      <c r="N420" s="384">
        <v>59</v>
      </c>
      <c r="O420" s="384">
        <v>0</v>
      </c>
      <c r="P420" s="384">
        <v>12803.59</v>
      </c>
      <c r="Q420" s="385" t="s">
        <v>242</v>
      </c>
      <c r="R420" s="380" t="s">
        <v>243</v>
      </c>
    </row>
    <row r="421" spans="1:18" ht="36.75" customHeight="1">
      <c r="A421" s="381" t="s">
        <v>2291</v>
      </c>
      <c r="B421" s="382" t="s">
        <v>33</v>
      </c>
      <c r="C421" s="383" t="s">
        <v>5</v>
      </c>
      <c r="D421" s="384">
        <v>30</v>
      </c>
      <c r="E421" s="384">
        <f t="shared" si="52"/>
        <v>30</v>
      </c>
      <c r="F421" s="384">
        <f t="shared" si="53"/>
        <v>30</v>
      </c>
      <c r="G421" s="384"/>
      <c r="H421" s="384"/>
      <c r="I421" s="384"/>
      <c r="J421" s="392"/>
      <c r="K421" s="392"/>
      <c r="L421" s="384">
        <v>50</v>
      </c>
      <c r="M421" s="384">
        <v>0</v>
      </c>
      <c r="N421" s="384">
        <v>30</v>
      </c>
      <c r="O421" s="384">
        <v>0</v>
      </c>
      <c r="P421" s="384">
        <v>1500</v>
      </c>
      <c r="Q421" s="385" t="s">
        <v>242</v>
      </c>
      <c r="R421" s="380" t="s">
        <v>243</v>
      </c>
    </row>
    <row r="422" spans="1:18" ht="36.75" customHeight="1">
      <c r="A422" s="381" t="s">
        <v>2292</v>
      </c>
      <c r="B422" s="382" t="s">
        <v>1128</v>
      </c>
      <c r="C422" s="383" t="s">
        <v>0</v>
      </c>
      <c r="D422" s="384">
        <v>19</v>
      </c>
      <c r="E422" s="384">
        <f t="shared" si="52"/>
        <v>19</v>
      </c>
      <c r="F422" s="384">
        <f t="shared" si="53"/>
        <v>19</v>
      </c>
      <c r="G422" s="384"/>
      <c r="H422" s="384"/>
      <c r="I422" s="384"/>
      <c r="J422" s="392"/>
      <c r="K422" s="392"/>
      <c r="L422" s="384">
        <v>1900.88</v>
      </c>
      <c r="M422" s="384">
        <v>0</v>
      </c>
      <c r="N422" s="384">
        <v>19</v>
      </c>
      <c r="O422" s="384">
        <v>0</v>
      </c>
      <c r="P422" s="384">
        <v>36116.720000000001</v>
      </c>
      <c r="Q422" s="385" t="s">
        <v>242</v>
      </c>
      <c r="R422" s="380" t="s">
        <v>243</v>
      </c>
    </row>
    <row r="423" spans="1:18" ht="36.75" customHeight="1">
      <c r="A423" s="381" t="s">
        <v>2293</v>
      </c>
      <c r="B423" s="382" t="s">
        <v>1130</v>
      </c>
      <c r="C423" s="383" t="s">
        <v>0</v>
      </c>
      <c r="D423" s="384">
        <v>10</v>
      </c>
      <c r="E423" s="384">
        <f t="shared" si="52"/>
        <v>10</v>
      </c>
      <c r="F423" s="384">
        <f t="shared" si="53"/>
        <v>10</v>
      </c>
      <c r="G423" s="384"/>
      <c r="H423" s="384"/>
      <c r="I423" s="384"/>
      <c r="J423" s="392"/>
      <c r="K423" s="392"/>
      <c r="L423" s="384">
        <v>1230.67</v>
      </c>
      <c r="M423" s="384">
        <v>0</v>
      </c>
      <c r="N423" s="384">
        <v>10</v>
      </c>
      <c r="O423" s="384">
        <v>0</v>
      </c>
      <c r="P423" s="384">
        <v>12306.7</v>
      </c>
      <c r="Q423" s="385" t="s">
        <v>242</v>
      </c>
      <c r="R423" s="380" t="s">
        <v>243</v>
      </c>
    </row>
    <row r="424" spans="1:18" ht="36.75" customHeight="1">
      <c r="A424" s="381" t="s">
        <v>2294</v>
      </c>
      <c r="B424" s="382" t="s">
        <v>30</v>
      </c>
      <c r="C424" s="383" t="s">
        <v>0</v>
      </c>
      <c r="D424" s="384">
        <v>577</v>
      </c>
      <c r="E424" s="384">
        <f>D424</f>
        <v>577</v>
      </c>
      <c r="F424" s="384">
        <f t="shared" si="53"/>
        <v>577</v>
      </c>
      <c r="G424" s="384"/>
      <c r="H424" s="384"/>
      <c r="I424" s="384"/>
      <c r="J424" s="392"/>
      <c r="K424" s="392"/>
      <c r="L424" s="384">
        <v>1666.03</v>
      </c>
      <c r="M424" s="384">
        <v>0</v>
      </c>
      <c r="N424" s="384">
        <v>577</v>
      </c>
      <c r="O424" s="384">
        <v>0</v>
      </c>
      <c r="P424" s="384">
        <v>961299.31</v>
      </c>
      <c r="Q424" s="385" t="s">
        <v>242</v>
      </c>
      <c r="R424" s="380" t="s">
        <v>243</v>
      </c>
    </row>
    <row r="425" spans="1:18" ht="36.75" customHeight="1">
      <c r="A425" s="481" t="s">
        <v>2295</v>
      </c>
      <c r="B425" s="482" t="s">
        <v>1133</v>
      </c>
      <c r="C425" s="483" t="s">
        <v>0</v>
      </c>
      <c r="D425" s="484">
        <v>2</v>
      </c>
      <c r="E425" s="484">
        <f t="shared" si="52"/>
        <v>2</v>
      </c>
      <c r="F425" s="484">
        <v>3</v>
      </c>
      <c r="G425" s="484"/>
      <c r="H425" s="484"/>
      <c r="I425" s="484"/>
      <c r="J425" s="485"/>
      <c r="K425" s="485"/>
      <c r="L425" s="484">
        <v>48510.35</v>
      </c>
      <c r="M425" s="484">
        <v>0</v>
      </c>
      <c r="N425" s="484">
        <v>2</v>
      </c>
      <c r="O425" s="484">
        <v>0</v>
      </c>
      <c r="P425" s="484">
        <v>97020.7</v>
      </c>
      <c r="Q425" s="556" t="s">
        <v>2744</v>
      </c>
      <c r="R425" s="380" t="s">
        <v>243</v>
      </c>
    </row>
    <row r="426" spans="1:18" ht="36.75" customHeight="1">
      <c r="A426" s="381" t="s">
        <v>2296</v>
      </c>
      <c r="B426" s="382" t="s">
        <v>28</v>
      </c>
      <c r="C426" s="383" t="s">
        <v>22</v>
      </c>
      <c r="D426" s="384">
        <v>19</v>
      </c>
      <c r="E426" s="384">
        <f t="shared" si="52"/>
        <v>19</v>
      </c>
      <c r="F426" s="384">
        <f t="shared" si="53"/>
        <v>19</v>
      </c>
      <c r="G426" s="384"/>
      <c r="H426" s="384"/>
      <c r="I426" s="384"/>
      <c r="J426" s="392"/>
      <c r="K426" s="392"/>
      <c r="L426" s="384">
        <v>587.07000000000005</v>
      </c>
      <c r="M426" s="384">
        <v>0</v>
      </c>
      <c r="N426" s="384">
        <v>19</v>
      </c>
      <c r="O426" s="384">
        <v>0</v>
      </c>
      <c r="P426" s="384">
        <v>11154.33</v>
      </c>
      <c r="Q426" s="385" t="s">
        <v>242</v>
      </c>
      <c r="R426" s="380" t="s">
        <v>243</v>
      </c>
    </row>
    <row r="427" spans="1:18" ht="36.75" customHeight="1">
      <c r="A427" s="381" t="s">
        <v>2297</v>
      </c>
      <c r="B427" s="382" t="s">
        <v>1136</v>
      </c>
      <c r="C427" s="383" t="s">
        <v>7</v>
      </c>
      <c r="D427" s="384">
        <v>19</v>
      </c>
      <c r="E427" s="384">
        <f t="shared" si="52"/>
        <v>19</v>
      </c>
      <c r="F427" s="384">
        <f t="shared" si="53"/>
        <v>19</v>
      </c>
      <c r="G427" s="384"/>
      <c r="H427" s="384"/>
      <c r="I427" s="384"/>
      <c r="J427" s="392"/>
      <c r="K427" s="392"/>
      <c r="L427" s="384">
        <v>664.14</v>
      </c>
      <c r="M427" s="384">
        <v>0</v>
      </c>
      <c r="N427" s="384">
        <v>19</v>
      </c>
      <c r="O427" s="384">
        <v>0</v>
      </c>
      <c r="P427" s="384">
        <v>12618.66</v>
      </c>
      <c r="Q427" s="385" t="s">
        <v>242</v>
      </c>
      <c r="R427" s="380" t="s">
        <v>243</v>
      </c>
    </row>
    <row r="428" spans="1:18" ht="36.75" customHeight="1">
      <c r="A428" s="381" t="s">
        <v>2298</v>
      </c>
      <c r="B428" s="382" t="s">
        <v>1138</v>
      </c>
      <c r="C428" s="383" t="s">
        <v>1139</v>
      </c>
      <c r="D428" s="384">
        <v>2</v>
      </c>
      <c r="E428" s="384">
        <f t="shared" si="52"/>
        <v>2</v>
      </c>
      <c r="F428" s="384">
        <f t="shared" si="53"/>
        <v>2</v>
      </c>
      <c r="G428" s="384"/>
      <c r="H428" s="384"/>
      <c r="I428" s="384"/>
      <c r="J428" s="392"/>
      <c r="K428" s="392"/>
      <c r="L428" s="384">
        <v>9999.4500000000007</v>
      </c>
      <c r="M428" s="384">
        <v>0</v>
      </c>
      <c r="N428" s="384">
        <v>2</v>
      </c>
      <c r="O428" s="384">
        <v>0</v>
      </c>
      <c r="P428" s="384">
        <v>19998.900000000001</v>
      </c>
      <c r="Q428" s="385" t="s">
        <v>242</v>
      </c>
      <c r="R428" s="380" t="s">
        <v>243</v>
      </c>
    </row>
    <row r="429" spans="1:18" ht="36.75" customHeight="1">
      <c r="A429" s="381" t="s">
        <v>2299</v>
      </c>
      <c r="B429" s="382" t="s">
        <v>1142</v>
      </c>
      <c r="C429" s="383" t="s">
        <v>8</v>
      </c>
      <c r="D429" s="384">
        <v>698.15</v>
      </c>
      <c r="E429" s="384">
        <f t="shared" si="52"/>
        <v>698.15</v>
      </c>
      <c r="F429" s="384">
        <f t="shared" si="53"/>
        <v>698.15</v>
      </c>
      <c r="G429" s="384"/>
      <c r="H429" s="384"/>
      <c r="I429" s="384"/>
      <c r="J429" s="392"/>
      <c r="K429" s="392"/>
      <c r="L429" s="384">
        <v>209.99</v>
      </c>
      <c r="M429" s="384">
        <v>0</v>
      </c>
      <c r="N429" s="384">
        <v>698.15</v>
      </c>
      <c r="O429" s="384">
        <v>0</v>
      </c>
      <c r="P429" s="384">
        <v>146604.51999999999</v>
      </c>
      <c r="Q429" s="385" t="s">
        <v>242</v>
      </c>
      <c r="R429" s="380" t="s">
        <v>243</v>
      </c>
    </row>
    <row r="430" spans="1:18" ht="36.75" customHeight="1">
      <c r="A430" s="381" t="s">
        <v>2300</v>
      </c>
      <c r="B430" s="382" t="s">
        <v>1145</v>
      </c>
      <c r="C430" s="383" t="s">
        <v>8</v>
      </c>
      <c r="D430" s="384">
        <v>2498.77</v>
      </c>
      <c r="E430" s="384">
        <f t="shared" si="52"/>
        <v>2498.77</v>
      </c>
      <c r="F430" s="384">
        <f t="shared" si="53"/>
        <v>2498.77</v>
      </c>
      <c r="G430" s="384"/>
      <c r="H430" s="384"/>
      <c r="I430" s="384"/>
      <c r="J430" s="392"/>
      <c r="K430" s="392"/>
      <c r="L430" s="384">
        <v>299.98</v>
      </c>
      <c r="M430" s="384">
        <v>0</v>
      </c>
      <c r="N430" s="384">
        <v>1336.4</v>
      </c>
      <c r="O430" s="384">
        <v>0</v>
      </c>
      <c r="P430" s="384">
        <v>400893.27</v>
      </c>
      <c r="Q430" s="385" t="s">
        <v>242</v>
      </c>
      <c r="R430" s="380" t="s">
        <v>243</v>
      </c>
    </row>
    <row r="431" spans="1:18" ht="36.75" customHeight="1">
      <c r="A431" s="381" t="s">
        <v>2301</v>
      </c>
      <c r="B431" s="382" t="s">
        <v>1148</v>
      </c>
      <c r="C431" s="383" t="s">
        <v>8</v>
      </c>
      <c r="D431" s="384">
        <v>1396.3</v>
      </c>
      <c r="E431" s="384">
        <f t="shared" si="52"/>
        <v>1396.3</v>
      </c>
      <c r="F431" s="384">
        <f t="shared" si="53"/>
        <v>1396.3</v>
      </c>
      <c r="G431" s="384"/>
      <c r="H431" s="384"/>
      <c r="I431" s="384"/>
      <c r="J431" s="392"/>
      <c r="K431" s="392"/>
      <c r="L431" s="384">
        <v>199.99</v>
      </c>
      <c r="M431" s="384">
        <v>0</v>
      </c>
      <c r="N431" s="384">
        <v>952.3</v>
      </c>
      <c r="O431" s="384">
        <v>0</v>
      </c>
      <c r="P431" s="384">
        <v>190450.48</v>
      </c>
      <c r="Q431" s="385" t="s">
        <v>242</v>
      </c>
      <c r="R431" s="380" t="s">
        <v>243</v>
      </c>
    </row>
    <row r="432" spans="1:18" ht="36.75" customHeight="1">
      <c r="A432" s="381" t="s">
        <v>2302</v>
      </c>
      <c r="B432" s="382" t="s">
        <v>1151</v>
      </c>
      <c r="C432" s="383" t="s">
        <v>4</v>
      </c>
      <c r="D432" s="384">
        <v>1</v>
      </c>
      <c r="E432" s="384">
        <f t="shared" si="52"/>
        <v>1</v>
      </c>
      <c r="F432" s="384">
        <f t="shared" si="53"/>
        <v>1</v>
      </c>
      <c r="G432" s="384"/>
      <c r="H432" s="384"/>
      <c r="I432" s="384"/>
      <c r="J432" s="392"/>
      <c r="K432" s="392"/>
      <c r="L432" s="384">
        <v>21835.68</v>
      </c>
      <c r="M432" s="384">
        <v>1</v>
      </c>
      <c r="N432" s="384">
        <v>1</v>
      </c>
      <c r="O432" s="384">
        <v>13101</v>
      </c>
      <c r="P432" s="384">
        <v>13101</v>
      </c>
      <c r="Q432" s="385" t="s">
        <v>2381</v>
      </c>
      <c r="R432" s="380" t="s">
        <v>243</v>
      </c>
    </row>
    <row r="433" spans="1:18" ht="36.75" customHeight="1">
      <c r="A433" s="381" t="s">
        <v>2303</v>
      </c>
      <c r="B433" s="382" t="s">
        <v>1556</v>
      </c>
      <c r="C433" s="383" t="s">
        <v>8</v>
      </c>
      <c r="D433" s="384">
        <v>0</v>
      </c>
      <c r="E433" s="384">
        <v>355</v>
      </c>
      <c r="F433" s="384">
        <f>E433</f>
        <v>355</v>
      </c>
      <c r="G433" s="384"/>
      <c r="H433" s="384"/>
      <c r="I433" s="384"/>
      <c r="J433" s="392"/>
      <c r="K433" s="392"/>
      <c r="L433" s="384">
        <v>1859.79</v>
      </c>
      <c r="M433" s="384">
        <v>0</v>
      </c>
      <c r="N433" s="384">
        <v>355</v>
      </c>
      <c r="O433" s="384">
        <v>0</v>
      </c>
      <c r="P433" s="384">
        <v>660225.44999999995</v>
      </c>
      <c r="Q433" s="385" t="s">
        <v>242</v>
      </c>
      <c r="R433" s="380" t="s">
        <v>243</v>
      </c>
    </row>
    <row r="434" spans="1:18" ht="36.75" customHeight="1">
      <c r="A434" s="381" t="s">
        <v>2304</v>
      </c>
      <c r="B434" s="382" t="s">
        <v>29</v>
      </c>
      <c r="C434" s="383" t="s">
        <v>8</v>
      </c>
      <c r="D434" s="384">
        <v>0</v>
      </c>
      <c r="E434" s="384">
        <v>465</v>
      </c>
      <c r="F434" s="384">
        <f>E434</f>
        <v>465</v>
      </c>
      <c r="G434" s="384"/>
      <c r="H434" s="384"/>
      <c r="I434" s="384"/>
      <c r="J434" s="392"/>
      <c r="K434" s="392"/>
      <c r="L434" s="384">
        <v>293.70999999999998</v>
      </c>
      <c r="M434" s="384">
        <v>200</v>
      </c>
      <c r="N434" s="384">
        <v>313</v>
      </c>
      <c r="O434" s="384">
        <v>58742</v>
      </c>
      <c r="P434" s="384">
        <v>91931.23</v>
      </c>
      <c r="Q434" s="385" t="s">
        <v>242</v>
      </c>
      <c r="R434" s="380" t="s">
        <v>243</v>
      </c>
    </row>
    <row r="435" spans="1:18" s="273" customFormat="1" ht="36.75" customHeight="1">
      <c r="A435" s="481" t="s">
        <v>2305</v>
      </c>
      <c r="B435" s="482" t="s">
        <v>1559</v>
      </c>
      <c r="C435" s="483" t="s">
        <v>16</v>
      </c>
      <c r="D435" s="484">
        <v>0</v>
      </c>
      <c r="E435" s="484">
        <v>4920</v>
      </c>
      <c r="F435" s="484">
        <f>G435</f>
        <v>7137</v>
      </c>
      <c r="G435" s="484">
        <f>'數量計算(FOR4變)'!I616</f>
        <v>7137</v>
      </c>
      <c r="H435" s="484">
        <f>G435-E435</f>
        <v>2217</v>
      </c>
      <c r="I435" s="484">
        <f>ROUND(H435*L435,2)</f>
        <v>620715.66</v>
      </c>
      <c r="J435" s="485"/>
      <c r="K435" s="485"/>
      <c r="L435" s="484">
        <v>279.98</v>
      </c>
      <c r="M435" s="484">
        <v>75</v>
      </c>
      <c r="N435" s="484">
        <v>4920</v>
      </c>
      <c r="O435" s="484">
        <v>20998.5</v>
      </c>
      <c r="P435" s="484">
        <v>1377501.6</v>
      </c>
      <c r="Q435" s="488" t="s">
        <v>2503</v>
      </c>
      <c r="R435" s="487" t="s">
        <v>243</v>
      </c>
    </row>
    <row r="436" spans="1:18" s="597" customFormat="1" ht="36.75" customHeight="1">
      <c r="A436" s="592" t="s">
        <v>2819</v>
      </c>
      <c r="B436" s="600" t="s">
        <v>2820</v>
      </c>
      <c r="C436" s="598" t="s">
        <v>4</v>
      </c>
      <c r="D436" s="599"/>
      <c r="E436" s="599">
        <v>1</v>
      </c>
      <c r="F436" s="593"/>
      <c r="G436" s="593"/>
      <c r="H436" s="593"/>
      <c r="I436" s="593"/>
      <c r="J436" s="594"/>
      <c r="K436" s="594"/>
      <c r="L436" s="601">
        <v>217999.11</v>
      </c>
      <c r="M436" s="593"/>
      <c r="N436" s="593"/>
      <c r="O436" s="593"/>
      <c r="P436" s="593"/>
      <c r="Q436" s="595"/>
      <c r="R436" s="596"/>
    </row>
    <row r="437" spans="1:18" ht="36.75" customHeight="1">
      <c r="A437" s="381" t="s">
        <v>2389</v>
      </c>
      <c r="B437" s="382" t="s">
        <v>34</v>
      </c>
      <c r="C437" s="383" t="s">
        <v>4</v>
      </c>
      <c r="D437" s="384">
        <v>1</v>
      </c>
      <c r="E437" s="384"/>
      <c r="F437" s="384"/>
      <c r="G437" s="384"/>
      <c r="H437" s="384"/>
      <c r="I437" s="384"/>
      <c r="J437" s="392"/>
      <c r="K437" s="392"/>
      <c r="L437" s="384">
        <v>3112577.47</v>
      </c>
      <c r="M437" s="384">
        <v>1</v>
      </c>
      <c r="N437" s="384">
        <v>1</v>
      </c>
      <c r="O437" s="384">
        <v>163236</v>
      </c>
      <c r="P437" s="384">
        <v>1859795</v>
      </c>
      <c r="Q437" s="385" t="s">
        <v>242</v>
      </c>
      <c r="R437" s="380" t="s">
        <v>243</v>
      </c>
    </row>
    <row r="438" spans="1:18" ht="36.75" customHeight="1">
      <c r="A438" s="381" t="s">
        <v>2288</v>
      </c>
      <c r="B438" s="382" t="s">
        <v>146</v>
      </c>
      <c r="C438" s="383" t="s">
        <v>1007</v>
      </c>
      <c r="D438" s="384">
        <v>10</v>
      </c>
      <c r="E438" s="384">
        <f>D438</f>
        <v>10</v>
      </c>
      <c r="F438" s="384">
        <f>D438</f>
        <v>10</v>
      </c>
      <c r="G438" s="384"/>
      <c r="H438" s="384"/>
      <c r="I438" s="384"/>
      <c r="J438" s="392"/>
      <c r="K438" s="392"/>
      <c r="L438" s="384">
        <v>770</v>
      </c>
      <c r="M438" s="384">
        <v>0</v>
      </c>
      <c r="N438" s="384">
        <v>10</v>
      </c>
      <c r="O438" s="384">
        <v>0</v>
      </c>
      <c r="P438" s="384">
        <v>7700</v>
      </c>
      <c r="Q438" s="385" t="s">
        <v>242</v>
      </c>
      <c r="R438" s="380" t="s">
        <v>243</v>
      </c>
    </row>
    <row r="439" spans="1:18" ht="36.75" customHeight="1">
      <c r="A439" s="381" t="s">
        <v>2289</v>
      </c>
      <c r="B439" s="382" t="s">
        <v>145</v>
      </c>
      <c r="C439" s="383" t="s">
        <v>1</v>
      </c>
      <c r="D439" s="384">
        <v>100</v>
      </c>
      <c r="E439" s="384">
        <f t="shared" ref="E439:E463" si="54">D439</f>
        <v>100</v>
      </c>
      <c r="F439" s="384">
        <f t="shared" ref="F439:F462" si="55">D439</f>
        <v>100</v>
      </c>
      <c r="G439" s="384"/>
      <c r="H439" s="384"/>
      <c r="I439" s="384"/>
      <c r="J439" s="392"/>
      <c r="K439" s="392"/>
      <c r="L439" s="384">
        <v>201</v>
      </c>
      <c r="M439" s="384">
        <v>0</v>
      </c>
      <c r="N439" s="384">
        <v>100</v>
      </c>
      <c r="O439" s="384">
        <v>0</v>
      </c>
      <c r="P439" s="384">
        <v>20100</v>
      </c>
      <c r="Q439" s="385" t="s">
        <v>242</v>
      </c>
      <c r="R439" s="380" t="s">
        <v>243</v>
      </c>
    </row>
    <row r="440" spans="1:18" ht="36.75" customHeight="1">
      <c r="A440" s="381" t="s">
        <v>2290</v>
      </c>
      <c r="B440" s="382" t="s">
        <v>144</v>
      </c>
      <c r="C440" s="383" t="s">
        <v>9</v>
      </c>
      <c r="D440" s="384">
        <v>50</v>
      </c>
      <c r="E440" s="384">
        <f t="shared" si="54"/>
        <v>50</v>
      </c>
      <c r="F440" s="384">
        <f t="shared" si="55"/>
        <v>50</v>
      </c>
      <c r="G440" s="384"/>
      <c r="H440" s="384"/>
      <c r="I440" s="384"/>
      <c r="J440" s="392"/>
      <c r="K440" s="392"/>
      <c r="L440" s="384">
        <v>300</v>
      </c>
      <c r="M440" s="384">
        <v>0</v>
      </c>
      <c r="N440" s="384">
        <v>30</v>
      </c>
      <c r="O440" s="384">
        <v>0</v>
      </c>
      <c r="P440" s="384">
        <v>9000</v>
      </c>
      <c r="Q440" s="385" t="s">
        <v>242</v>
      </c>
      <c r="R440" s="380" t="s">
        <v>243</v>
      </c>
    </row>
    <row r="441" spans="1:18" ht="36.75" customHeight="1">
      <c r="A441" s="381" t="s">
        <v>2291</v>
      </c>
      <c r="B441" s="382" t="s">
        <v>35</v>
      </c>
      <c r="C441" s="383" t="s">
        <v>15</v>
      </c>
      <c r="D441" s="384">
        <v>75</v>
      </c>
      <c r="E441" s="384">
        <f t="shared" si="54"/>
        <v>75</v>
      </c>
      <c r="F441" s="384">
        <f t="shared" si="55"/>
        <v>75</v>
      </c>
      <c r="G441" s="384"/>
      <c r="H441" s="384"/>
      <c r="I441" s="384"/>
      <c r="J441" s="392"/>
      <c r="K441" s="392"/>
      <c r="L441" s="384">
        <v>650</v>
      </c>
      <c r="M441" s="384">
        <v>0</v>
      </c>
      <c r="N441" s="384">
        <v>40</v>
      </c>
      <c r="O441" s="384">
        <v>0</v>
      </c>
      <c r="P441" s="384">
        <v>26000</v>
      </c>
      <c r="Q441" s="385" t="s">
        <v>242</v>
      </c>
      <c r="R441" s="380" t="s">
        <v>243</v>
      </c>
    </row>
    <row r="442" spans="1:18" ht="36.75" customHeight="1">
      <c r="A442" s="381" t="s">
        <v>2292</v>
      </c>
      <c r="B442" s="382" t="s">
        <v>143</v>
      </c>
      <c r="C442" s="383" t="s">
        <v>3</v>
      </c>
      <c r="D442" s="384">
        <v>200</v>
      </c>
      <c r="E442" s="384">
        <f t="shared" si="54"/>
        <v>200</v>
      </c>
      <c r="F442" s="384">
        <f t="shared" si="55"/>
        <v>200</v>
      </c>
      <c r="G442" s="384"/>
      <c r="H442" s="384"/>
      <c r="I442" s="384"/>
      <c r="J442" s="392"/>
      <c r="K442" s="392"/>
      <c r="L442" s="384">
        <v>28</v>
      </c>
      <c r="M442" s="384">
        <v>0</v>
      </c>
      <c r="N442" s="384">
        <v>70</v>
      </c>
      <c r="O442" s="384">
        <v>0</v>
      </c>
      <c r="P442" s="384">
        <v>1960</v>
      </c>
      <c r="Q442" s="385" t="s">
        <v>242</v>
      </c>
      <c r="R442" s="380" t="s">
        <v>243</v>
      </c>
    </row>
    <row r="443" spans="1:18" ht="36.75" customHeight="1">
      <c r="A443" s="381" t="s">
        <v>2293</v>
      </c>
      <c r="B443" s="382" t="s">
        <v>36</v>
      </c>
      <c r="C443" s="383" t="s">
        <v>3</v>
      </c>
      <c r="D443" s="384">
        <v>100</v>
      </c>
      <c r="E443" s="384">
        <f t="shared" si="54"/>
        <v>100</v>
      </c>
      <c r="F443" s="384">
        <f t="shared" si="55"/>
        <v>100</v>
      </c>
      <c r="G443" s="384"/>
      <c r="H443" s="384"/>
      <c r="I443" s="384"/>
      <c r="J443" s="392"/>
      <c r="K443" s="392"/>
      <c r="L443" s="384">
        <v>500</v>
      </c>
      <c r="M443" s="384">
        <v>0</v>
      </c>
      <c r="N443" s="384">
        <v>100</v>
      </c>
      <c r="O443" s="384">
        <v>0</v>
      </c>
      <c r="P443" s="384">
        <v>50000</v>
      </c>
      <c r="Q443" s="385" t="s">
        <v>242</v>
      </c>
      <c r="R443" s="380" t="s">
        <v>243</v>
      </c>
    </row>
    <row r="444" spans="1:18" ht="36.75" customHeight="1">
      <c r="A444" s="381" t="s">
        <v>2294</v>
      </c>
      <c r="B444" s="382" t="s">
        <v>1159</v>
      </c>
      <c r="C444" s="383" t="s">
        <v>18</v>
      </c>
      <c r="D444" s="384">
        <v>75</v>
      </c>
      <c r="E444" s="384">
        <f t="shared" si="54"/>
        <v>75</v>
      </c>
      <c r="F444" s="384">
        <v>75</v>
      </c>
      <c r="G444" s="384"/>
      <c r="H444" s="384"/>
      <c r="I444" s="384"/>
      <c r="J444" s="392"/>
      <c r="K444" s="392"/>
      <c r="L444" s="384">
        <v>280</v>
      </c>
      <c r="M444" s="384">
        <v>0</v>
      </c>
      <c r="N444" s="384">
        <v>0</v>
      </c>
      <c r="O444" s="384">
        <v>0</v>
      </c>
      <c r="P444" s="384">
        <v>0</v>
      </c>
      <c r="Q444" s="552" t="s">
        <v>2745</v>
      </c>
      <c r="R444" s="380" t="s">
        <v>243</v>
      </c>
    </row>
    <row r="445" spans="1:18" ht="36.75" customHeight="1">
      <c r="A445" s="381" t="s">
        <v>2295</v>
      </c>
      <c r="B445" s="382" t="s">
        <v>37</v>
      </c>
      <c r="C445" s="383" t="s">
        <v>18</v>
      </c>
      <c r="D445" s="384">
        <v>50</v>
      </c>
      <c r="E445" s="384">
        <f t="shared" si="54"/>
        <v>50</v>
      </c>
      <c r="F445" s="384">
        <f t="shared" si="55"/>
        <v>50</v>
      </c>
      <c r="G445" s="384"/>
      <c r="H445" s="384"/>
      <c r="I445" s="384"/>
      <c r="J445" s="392"/>
      <c r="K445" s="392"/>
      <c r="L445" s="384">
        <v>350</v>
      </c>
      <c r="M445" s="384">
        <v>0</v>
      </c>
      <c r="N445" s="384">
        <v>50</v>
      </c>
      <c r="O445" s="384">
        <v>0</v>
      </c>
      <c r="P445" s="384">
        <v>17500</v>
      </c>
      <c r="Q445" s="385" t="s">
        <v>242</v>
      </c>
      <c r="R445" s="380" t="s">
        <v>243</v>
      </c>
    </row>
    <row r="446" spans="1:18" ht="36.75" customHeight="1">
      <c r="A446" s="381" t="s">
        <v>2296</v>
      </c>
      <c r="B446" s="382" t="s">
        <v>1162</v>
      </c>
      <c r="C446" s="383" t="s">
        <v>15</v>
      </c>
      <c r="D446" s="384">
        <v>10</v>
      </c>
      <c r="E446" s="384">
        <f t="shared" si="54"/>
        <v>10</v>
      </c>
      <c r="F446" s="384">
        <f t="shared" si="55"/>
        <v>10</v>
      </c>
      <c r="G446" s="384"/>
      <c r="H446" s="384"/>
      <c r="I446" s="384"/>
      <c r="J446" s="392"/>
      <c r="K446" s="392"/>
      <c r="L446" s="384">
        <v>560</v>
      </c>
      <c r="M446" s="384">
        <v>0</v>
      </c>
      <c r="N446" s="384">
        <v>10</v>
      </c>
      <c r="O446" s="384">
        <v>0</v>
      </c>
      <c r="P446" s="384">
        <v>5600</v>
      </c>
      <c r="Q446" s="385" t="s">
        <v>242</v>
      </c>
      <c r="R446" s="380" t="s">
        <v>243</v>
      </c>
    </row>
    <row r="447" spans="1:18" ht="36.75" customHeight="1">
      <c r="A447" s="381" t="s">
        <v>2297</v>
      </c>
      <c r="B447" s="382" t="s">
        <v>38</v>
      </c>
      <c r="C447" s="383" t="s">
        <v>7</v>
      </c>
      <c r="D447" s="384">
        <v>4</v>
      </c>
      <c r="E447" s="384">
        <f t="shared" si="54"/>
        <v>4</v>
      </c>
      <c r="F447" s="384">
        <f t="shared" si="55"/>
        <v>4</v>
      </c>
      <c r="G447" s="384"/>
      <c r="H447" s="384"/>
      <c r="I447" s="384"/>
      <c r="J447" s="392"/>
      <c r="K447" s="392"/>
      <c r="L447" s="384">
        <v>250</v>
      </c>
      <c r="M447" s="384">
        <v>0</v>
      </c>
      <c r="N447" s="384">
        <v>4</v>
      </c>
      <c r="O447" s="384">
        <v>0</v>
      </c>
      <c r="P447" s="384">
        <v>1000</v>
      </c>
      <c r="Q447" s="385" t="s">
        <v>242</v>
      </c>
      <c r="R447" s="380" t="s">
        <v>243</v>
      </c>
    </row>
    <row r="448" spans="1:18" ht="36.75" customHeight="1">
      <c r="A448" s="381" t="s">
        <v>2298</v>
      </c>
      <c r="B448" s="382" t="s">
        <v>1165</v>
      </c>
      <c r="C448" s="383" t="s">
        <v>15</v>
      </c>
      <c r="D448" s="384">
        <v>5</v>
      </c>
      <c r="E448" s="384">
        <f t="shared" si="54"/>
        <v>5</v>
      </c>
      <c r="F448" s="384">
        <f t="shared" si="55"/>
        <v>5</v>
      </c>
      <c r="G448" s="384"/>
      <c r="H448" s="384"/>
      <c r="I448" s="384"/>
      <c r="J448" s="392"/>
      <c r="K448" s="392"/>
      <c r="L448" s="384">
        <v>8300</v>
      </c>
      <c r="M448" s="384">
        <v>0</v>
      </c>
      <c r="N448" s="384">
        <v>5</v>
      </c>
      <c r="O448" s="384">
        <v>0</v>
      </c>
      <c r="P448" s="384">
        <v>41500</v>
      </c>
      <c r="Q448" s="385" t="s">
        <v>242</v>
      </c>
      <c r="R448" s="380" t="s">
        <v>243</v>
      </c>
    </row>
    <row r="449" spans="1:18" ht="36.75" customHeight="1">
      <c r="A449" s="381" t="s">
        <v>2299</v>
      </c>
      <c r="B449" s="382" t="s">
        <v>1168</v>
      </c>
      <c r="C449" s="383" t="s">
        <v>15</v>
      </c>
      <c r="D449" s="384">
        <v>5</v>
      </c>
      <c r="E449" s="384">
        <f t="shared" si="54"/>
        <v>5</v>
      </c>
      <c r="F449" s="384">
        <f t="shared" si="55"/>
        <v>5</v>
      </c>
      <c r="G449" s="384"/>
      <c r="H449" s="384"/>
      <c r="I449" s="384"/>
      <c r="J449" s="392"/>
      <c r="K449" s="392"/>
      <c r="L449" s="384">
        <v>1160</v>
      </c>
      <c r="M449" s="384">
        <v>0</v>
      </c>
      <c r="N449" s="384">
        <v>5</v>
      </c>
      <c r="O449" s="384">
        <v>0</v>
      </c>
      <c r="P449" s="384">
        <v>5800</v>
      </c>
      <c r="Q449" s="385" t="s">
        <v>242</v>
      </c>
      <c r="R449" s="380" t="s">
        <v>243</v>
      </c>
    </row>
    <row r="450" spans="1:18" ht="36.75" customHeight="1">
      <c r="A450" s="381" t="s">
        <v>2300</v>
      </c>
      <c r="B450" s="382" t="s">
        <v>1171</v>
      </c>
      <c r="C450" s="383" t="s">
        <v>15</v>
      </c>
      <c r="D450" s="384">
        <v>5</v>
      </c>
      <c r="E450" s="384">
        <f t="shared" si="54"/>
        <v>5</v>
      </c>
      <c r="F450" s="384">
        <f t="shared" si="55"/>
        <v>5</v>
      </c>
      <c r="G450" s="384"/>
      <c r="H450" s="384"/>
      <c r="I450" s="384"/>
      <c r="J450" s="392"/>
      <c r="K450" s="392"/>
      <c r="L450" s="384">
        <v>600</v>
      </c>
      <c r="M450" s="384">
        <v>0</v>
      </c>
      <c r="N450" s="384">
        <v>5</v>
      </c>
      <c r="O450" s="384">
        <v>0</v>
      </c>
      <c r="P450" s="384">
        <v>3000</v>
      </c>
      <c r="Q450" s="385" t="s">
        <v>242</v>
      </c>
      <c r="R450" s="380" t="s">
        <v>243</v>
      </c>
    </row>
    <row r="451" spans="1:18" ht="36.75" customHeight="1">
      <c r="A451" s="381" t="s">
        <v>2301</v>
      </c>
      <c r="B451" s="382" t="s">
        <v>1174</v>
      </c>
      <c r="C451" s="383" t="s">
        <v>15</v>
      </c>
      <c r="D451" s="384">
        <v>5</v>
      </c>
      <c r="E451" s="384">
        <f t="shared" si="54"/>
        <v>5</v>
      </c>
      <c r="F451" s="384">
        <f t="shared" si="55"/>
        <v>5</v>
      </c>
      <c r="G451" s="384"/>
      <c r="H451" s="384"/>
      <c r="I451" s="384"/>
      <c r="J451" s="392"/>
      <c r="K451" s="392"/>
      <c r="L451" s="384">
        <v>1800</v>
      </c>
      <c r="M451" s="384">
        <v>0</v>
      </c>
      <c r="N451" s="384">
        <v>5</v>
      </c>
      <c r="O451" s="384">
        <v>0</v>
      </c>
      <c r="P451" s="384">
        <v>9000</v>
      </c>
      <c r="Q451" s="385" t="s">
        <v>242</v>
      </c>
      <c r="R451" s="380" t="s">
        <v>243</v>
      </c>
    </row>
    <row r="452" spans="1:18" ht="36.75" customHeight="1">
      <c r="A452" s="381" t="s">
        <v>2302</v>
      </c>
      <c r="B452" s="382" t="s">
        <v>1177</v>
      </c>
      <c r="C452" s="383" t="s">
        <v>15</v>
      </c>
      <c r="D452" s="384">
        <v>80</v>
      </c>
      <c r="E452" s="384">
        <f t="shared" si="54"/>
        <v>80</v>
      </c>
      <c r="F452" s="384">
        <f t="shared" si="55"/>
        <v>80</v>
      </c>
      <c r="G452" s="384"/>
      <c r="H452" s="384"/>
      <c r="I452" s="384"/>
      <c r="J452" s="392"/>
      <c r="K452" s="392"/>
      <c r="L452" s="384">
        <v>2200</v>
      </c>
      <c r="M452" s="384">
        <v>0</v>
      </c>
      <c r="N452" s="384">
        <v>80</v>
      </c>
      <c r="O452" s="384">
        <v>0</v>
      </c>
      <c r="P452" s="384">
        <v>176000</v>
      </c>
      <c r="Q452" s="385" t="s">
        <v>242</v>
      </c>
      <c r="R452" s="380" t="s">
        <v>243</v>
      </c>
    </row>
    <row r="453" spans="1:18" ht="36.75" customHeight="1">
      <c r="A453" s="381" t="s">
        <v>2303</v>
      </c>
      <c r="B453" s="382" t="s">
        <v>39</v>
      </c>
      <c r="C453" s="383" t="s">
        <v>4</v>
      </c>
      <c r="D453" s="384">
        <v>1</v>
      </c>
      <c r="E453" s="384">
        <f t="shared" si="54"/>
        <v>1</v>
      </c>
      <c r="F453" s="384">
        <f t="shared" si="55"/>
        <v>1</v>
      </c>
      <c r="G453" s="384"/>
      <c r="H453" s="384"/>
      <c r="I453" s="384"/>
      <c r="J453" s="392"/>
      <c r="K453" s="392"/>
      <c r="L453" s="384">
        <v>232697.98</v>
      </c>
      <c r="M453" s="384">
        <v>1</v>
      </c>
      <c r="N453" s="384">
        <v>1</v>
      </c>
      <c r="O453" s="384">
        <v>46530</v>
      </c>
      <c r="P453" s="384">
        <v>139610</v>
      </c>
      <c r="Q453" s="385" t="s">
        <v>2381</v>
      </c>
      <c r="R453" s="380" t="s">
        <v>243</v>
      </c>
    </row>
    <row r="454" spans="1:18" ht="36.75" customHeight="1">
      <c r="A454" s="381" t="s">
        <v>2304</v>
      </c>
      <c r="B454" s="382" t="s">
        <v>1182</v>
      </c>
      <c r="C454" s="383" t="s">
        <v>8</v>
      </c>
      <c r="D454" s="384">
        <v>5000</v>
      </c>
      <c r="E454" s="384">
        <f t="shared" si="54"/>
        <v>5000</v>
      </c>
      <c r="F454" s="384">
        <f t="shared" si="55"/>
        <v>5000</v>
      </c>
      <c r="G454" s="384"/>
      <c r="H454" s="384"/>
      <c r="I454" s="384"/>
      <c r="J454" s="392"/>
      <c r="K454" s="392"/>
      <c r="L454" s="384">
        <v>13</v>
      </c>
      <c r="M454" s="384">
        <v>0</v>
      </c>
      <c r="N454" s="384">
        <v>3580</v>
      </c>
      <c r="O454" s="384">
        <v>0</v>
      </c>
      <c r="P454" s="384">
        <v>46540</v>
      </c>
      <c r="Q454" s="385" t="s">
        <v>242</v>
      </c>
      <c r="R454" s="380" t="s">
        <v>243</v>
      </c>
    </row>
    <row r="455" spans="1:18" ht="36.75" customHeight="1">
      <c r="A455" s="381" t="s">
        <v>2305</v>
      </c>
      <c r="B455" s="382" t="s">
        <v>225</v>
      </c>
      <c r="C455" s="383" t="s">
        <v>226</v>
      </c>
      <c r="D455" s="384">
        <v>48</v>
      </c>
      <c r="E455" s="384">
        <f t="shared" si="54"/>
        <v>48</v>
      </c>
      <c r="F455" s="384">
        <f t="shared" si="55"/>
        <v>48</v>
      </c>
      <c r="G455" s="384"/>
      <c r="H455" s="384"/>
      <c r="I455" s="384"/>
      <c r="J455" s="392"/>
      <c r="K455" s="392"/>
      <c r="L455" s="384">
        <v>47468</v>
      </c>
      <c r="M455" s="384">
        <v>2</v>
      </c>
      <c r="N455" s="384">
        <v>26</v>
      </c>
      <c r="O455" s="384">
        <v>94936</v>
      </c>
      <c r="P455" s="384">
        <v>1234168</v>
      </c>
      <c r="Q455" s="385" t="s">
        <v>242</v>
      </c>
      <c r="R455" s="380" t="s">
        <v>243</v>
      </c>
    </row>
    <row r="456" spans="1:18" ht="36.75" customHeight="1">
      <c r="A456" s="381" t="s">
        <v>2306</v>
      </c>
      <c r="B456" s="382" t="s">
        <v>1187</v>
      </c>
      <c r="C456" s="383" t="s">
        <v>4</v>
      </c>
      <c r="D456" s="384">
        <v>1</v>
      </c>
      <c r="E456" s="384">
        <f t="shared" si="54"/>
        <v>1</v>
      </c>
      <c r="F456" s="384">
        <f t="shared" si="55"/>
        <v>1</v>
      </c>
      <c r="G456" s="384"/>
      <c r="H456" s="384"/>
      <c r="I456" s="384"/>
      <c r="J456" s="392"/>
      <c r="K456" s="392"/>
      <c r="L456" s="384">
        <v>108865.49</v>
      </c>
      <c r="M456" s="384">
        <v>1</v>
      </c>
      <c r="N456" s="384">
        <v>1</v>
      </c>
      <c r="O456" s="384">
        <v>21770</v>
      </c>
      <c r="P456" s="384">
        <v>65317</v>
      </c>
      <c r="Q456" s="385" t="s">
        <v>2381</v>
      </c>
      <c r="R456" s="380" t="s">
        <v>243</v>
      </c>
    </row>
    <row r="457" spans="1:18" ht="36.75" customHeight="1">
      <c r="A457" s="381" t="s">
        <v>2390</v>
      </c>
      <c r="B457" s="382" t="s">
        <v>227</v>
      </c>
      <c r="C457" s="383" t="s">
        <v>4</v>
      </c>
      <c r="D457" s="384">
        <v>1</v>
      </c>
      <c r="E457" s="384">
        <f t="shared" si="54"/>
        <v>1</v>
      </c>
      <c r="F457" s="384">
        <f t="shared" si="55"/>
        <v>1</v>
      </c>
      <c r="G457" s="384"/>
      <c r="H457" s="384"/>
      <c r="I457" s="384"/>
      <c r="J457" s="392"/>
      <c r="K457" s="392"/>
      <c r="L457" s="384">
        <v>2769229.16</v>
      </c>
      <c r="M457" s="384">
        <v>1</v>
      </c>
      <c r="N457" s="384">
        <v>1</v>
      </c>
      <c r="O457" s="384">
        <v>188286</v>
      </c>
      <c r="P457" s="384">
        <v>1528623</v>
      </c>
      <c r="Q457" s="385" t="s">
        <v>242</v>
      </c>
      <c r="R457" s="380" t="s">
        <v>243</v>
      </c>
    </row>
    <row r="458" spans="1:18" ht="36.75" customHeight="1">
      <c r="A458" s="381" t="s">
        <v>2288</v>
      </c>
      <c r="B458" s="382" t="s">
        <v>228</v>
      </c>
      <c r="C458" s="383" t="s">
        <v>226</v>
      </c>
      <c r="D458" s="384">
        <v>48</v>
      </c>
      <c r="E458" s="384">
        <f t="shared" si="54"/>
        <v>48</v>
      </c>
      <c r="F458" s="384">
        <f t="shared" si="55"/>
        <v>48</v>
      </c>
      <c r="G458" s="384"/>
      <c r="H458" s="384"/>
      <c r="I458" s="384"/>
      <c r="J458" s="392"/>
      <c r="K458" s="392"/>
      <c r="L458" s="384">
        <v>47468</v>
      </c>
      <c r="M458" s="384">
        <v>2</v>
      </c>
      <c r="N458" s="384">
        <v>26</v>
      </c>
      <c r="O458" s="384">
        <v>94936</v>
      </c>
      <c r="P458" s="384">
        <v>1234168</v>
      </c>
      <c r="Q458" s="385" t="s">
        <v>242</v>
      </c>
      <c r="R458" s="380" t="s">
        <v>243</v>
      </c>
    </row>
    <row r="459" spans="1:18" ht="36.75" customHeight="1">
      <c r="A459" s="381" t="s">
        <v>2289</v>
      </c>
      <c r="B459" s="382" t="s">
        <v>1193</v>
      </c>
      <c r="C459" s="383" t="s">
        <v>4</v>
      </c>
      <c r="D459" s="384">
        <v>1</v>
      </c>
      <c r="E459" s="384">
        <f t="shared" si="54"/>
        <v>1</v>
      </c>
      <c r="F459" s="384">
        <f t="shared" si="55"/>
        <v>1</v>
      </c>
      <c r="G459" s="384"/>
      <c r="H459" s="384"/>
      <c r="I459" s="384"/>
      <c r="J459" s="392"/>
      <c r="K459" s="392"/>
      <c r="L459" s="384">
        <v>490765.16</v>
      </c>
      <c r="M459" s="384">
        <v>1</v>
      </c>
      <c r="N459" s="384">
        <v>1</v>
      </c>
      <c r="O459" s="384">
        <v>93350</v>
      </c>
      <c r="P459" s="384">
        <v>294455</v>
      </c>
      <c r="Q459" s="385" t="s">
        <v>2381</v>
      </c>
      <c r="R459" s="380" t="s">
        <v>243</v>
      </c>
    </row>
    <row r="460" spans="1:18" ht="36.75" customHeight="1">
      <c r="A460" s="381" t="s">
        <v>2391</v>
      </c>
      <c r="B460" s="382" t="s">
        <v>1196</v>
      </c>
      <c r="C460" s="383" t="s">
        <v>4</v>
      </c>
      <c r="D460" s="384">
        <v>1</v>
      </c>
      <c r="E460" s="384">
        <f t="shared" si="54"/>
        <v>1</v>
      </c>
      <c r="F460" s="384">
        <f t="shared" si="55"/>
        <v>1</v>
      </c>
      <c r="G460" s="384"/>
      <c r="H460" s="384"/>
      <c r="I460" s="384"/>
      <c r="J460" s="392"/>
      <c r="K460" s="392"/>
      <c r="L460" s="384">
        <v>29883681.059999999</v>
      </c>
      <c r="M460" s="384">
        <v>1</v>
      </c>
      <c r="N460" s="384">
        <v>1</v>
      </c>
      <c r="O460" s="384">
        <v>727770.75</v>
      </c>
      <c r="P460" s="384">
        <v>18764537.870000001</v>
      </c>
      <c r="Q460" s="385" t="s">
        <v>2392</v>
      </c>
      <c r="R460" s="380" t="s">
        <v>243</v>
      </c>
    </row>
    <row r="461" spans="1:18" ht="36.75" customHeight="1">
      <c r="A461" s="381" t="s">
        <v>2393</v>
      </c>
      <c r="B461" s="382" t="s">
        <v>1199</v>
      </c>
      <c r="C461" s="383" t="s">
        <v>4</v>
      </c>
      <c r="D461" s="384">
        <v>1</v>
      </c>
      <c r="E461" s="384">
        <f t="shared" si="54"/>
        <v>1</v>
      </c>
      <c r="F461" s="384">
        <f t="shared" si="55"/>
        <v>1</v>
      </c>
      <c r="G461" s="384"/>
      <c r="H461" s="384"/>
      <c r="I461" s="384"/>
      <c r="J461" s="392"/>
      <c r="K461" s="392"/>
      <c r="L461" s="384">
        <v>1987650</v>
      </c>
      <c r="M461" s="384">
        <v>1</v>
      </c>
      <c r="N461" s="384">
        <v>1</v>
      </c>
      <c r="O461" s="384">
        <v>23400</v>
      </c>
      <c r="P461" s="384">
        <v>1584000</v>
      </c>
      <c r="Q461" s="385" t="s">
        <v>1200</v>
      </c>
      <c r="R461" s="380" t="s">
        <v>243</v>
      </c>
    </row>
    <row r="462" spans="1:18" ht="36.75" customHeight="1">
      <c r="A462" s="381" t="s">
        <v>2288</v>
      </c>
      <c r="B462" s="382" t="s">
        <v>1199</v>
      </c>
      <c r="C462" s="383" t="s">
        <v>6</v>
      </c>
      <c r="D462" s="384">
        <v>13251</v>
      </c>
      <c r="E462" s="384">
        <f t="shared" si="54"/>
        <v>13251</v>
      </c>
      <c r="F462" s="384">
        <f t="shared" si="55"/>
        <v>13251</v>
      </c>
      <c r="G462" s="384"/>
      <c r="H462" s="384"/>
      <c r="I462" s="384"/>
      <c r="J462" s="392"/>
      <c r="K462" s="392"/>
      <c r="L462" s="384">
        <v>150</v>
      </c>
      <c r="M462" s="384">
        <v>156</v>
      </c>
      <c r="N462" s="384">
        <v>10560</v>
      </c>
      <c r="O462" s="384">
        <v>23400</v>
      </c>
      <c r="P462" s="384">
        <v>1584000</v>
      </c>
      <c r="Q462" s="385" t="s">
        <v>242</v>
      </c>
      <c r="R462" s="380" t="s">
        <v>243</v>
      </c>
    </row>
    <row r="463" spans="1:18" ht="36.75" customHeight="1">
      <c r="A463" s="381" t="s">
        <v>2394</v>
      </c>
      <c r="B463" s="382" t="s">
        <v>1204</v>
      </c>
      <c r="C463" s="383" t="s">
        <v>4</v>
      </c>
      <c r="D463" s="384">
        <v>1</v>
      </c>
      <c r="E463" s="384">
        <f t="shared" si="54"/>
        <v>1</v>
      </c>
      <c r="F463" s="384">
        <v>1</v>
      </c>
      <c r="G463" s="384"/>
      <c r="H463" s="384"/>
      <c r="I463" s="384"/>
      <c r="J463" s="392"/>
      <c r="K463" s="392"/>
      <c r="L463" s="384">
        <v>179691.68</v>
      </c>
      <c r="M463" s="384">
        <v>0</v>
      </c>
      <c r="N463" s="384">
        <v>1</v>
      </c>
      <c r="O463" s="384">
        <v>0</v>
      </c>
      <c r="P463" s="384">
        <v>161973.84</v>
      </c>
      <c r="Q463" s="385" t="s">
        <v>1205</v>
      </c>
      <c r="R463" s="380" t="s">
        <v>243</v>
      </c>
    </row>
    <row r="464" spans="1:18" ht="36.75" customHeight="1">
      <c r="A464" s="381" t="s">
        <v>2288</v>
      </c>
      <c r="B464" s="382" t="s">
        <v>1207</v>
      </c>
      <c r="C464" s="383" t="s">
        <v>13</v>
      </c>
      <c r="D464" s="384">
        <v>1000</v>
      </c>
      <c r="E464" s="384">
        <v>3208.78</v>
      </c>
      <c r="F464" s="384">
        <f>E464</f>
        <v>3208.78</v>
      </c>
      <c r="G464" s="384"/>
      <c r="H464" s="384"/>
      <c r="I464" s="384"/>
      <c r="J464" s="392"/>
      <c r="K464" s="392"/>
      <c r="L464" s="384">
        <v>56</v>
      </c>
      <c r="M464" s="384">
        <v>0</v>
      </c>
      <c r="N464" s="384">
        <v>2892.39</v>
      </c>
      <c r="O464" s="384">
        <v>0</v>
      </c>
      <c r="P464" s="384">
        <v>161973.84</v>
      </c>
      <c r="Q464" s="385" t="s">
        <v>242</v>
      </c>
      <c r="R464" s="380" t="s">
        <v>243</v>
      </c>
    </row>
    <row r="465" spans="1:18" ht="36.75" customHeight="1">
      <c r="A465" s="381" t="s">
        <v>2288</v>
      </c>
      <c r="B465" s="382" t="s">
        <v>1906</v>
      </c>
      <c r="C465" s="383"/>
      <c r="D465" s="384"/>
      <c r="E465" s="384"/>
      <c r="F465" s="384"/>
      <c r="G465" s="384"/>
      <c r="H465" s="384"/>
      <c r="I465" s="384"/>
      <c r="J465" s="392"/>
      <c r="K465" s="392"/>
      <c r="L465" s="384"/>
      <c r="M465" s="384"/>
      <c r="N465" s="384"/>
      <c r="O465" s="384">
        <v>7397700</v>
      </c>
      <c r="P465" s="384">
        <v>191886300</v>
      </c>
      <c r="Q465" s="385"/>
      <c r="R465" s="380" t="s">
        <v>243</v>
      </c>
    </row>
    <row r="466" spans="1:18" ht="36.75" customHeight="1">
      <c r="A466" s="381" t="s">
        <v>2395</v>
      </c>
      <c r="B466" s="382" t="s">
        <v>2396</v>
      </c>
      <c r="C466" s="383" t="s">
        <v>4</v>
      </c>
      <c r="D466" s="384"/>
      <c r="E466" s="384"/>
      <c r="F466" s="384"/>
      <c r="G466" s="384"/>
      <c r="H466" s="384"/>
      <c r="I466" s="384"/>
      <c r="J466" s="392"/>
      <c r="K466" s="392"/>
      <c r="L466" s="384"/>
      <c r="M466" s="384"/>
      <c r="N466" s="384"/>
      <c r="O466" s="384">
        <v>25126</v>
      </c>
      <c r="P466" s="384">
        <v>116836</v>
      </c>
      <c r="Q466" s="385" t="s">
        <v>2397</v>
      </c>
      <c r="R466" s="380" t="s">
        <v>243</v>
      </c>
    </row>
    <row r="467" spans="1:18" ht="36.75" customHeight="1">
      <c r="A467" s="381" t="s">
        <v>2288</v>
      </c>
      <c r="B467" s="382" t="s">
        <v>2398</v>
      </c>
      <c r="C467" s="383"/>
      <c r="D467" s="384"/>
      <c r="E467" s="384"/>
      <c r="F467" s="384"/>
      <c r="G467" s="384"/>
      <c r="H467" s="384"/>
      <c r="I467" s="384"/>
      <c r="J467" s="392"/>
      <c r="K467" s="392"/>
      <c r="L467" s="384"/>
      <c r="M467" s="384"/>
      <c r="N467" s="384"/>
      <c r="O467" s="384">
        <v>7422826</v>
      </c>
      <c r="P467" s="384">
        <v>192003136</v>
      </c>
      <c r="Q467" s="385"/>
      <c r="R467" s="380" t="s">
        <v>243</v>
      </c>
    </row>
    <row r="468" spans="1:18" ht="36.75" customHeight="1">
      <c r="A468" s="381" t="s">
        <v>2399</v>
      </c>
      <c r="B468" s="382" t="s">
        <v>2400</v>
      </c>
      <c r="C468" s="383" t="s">
        <v>4</v>
      </c>
      <c r="D468" s="384"/>
      <c r="E468" s="384"/>
      <c r="F468" s="384"/>
      <c r="G468" s="384"/>
      <c r="H468" s="384"/>
      <c r="I468" s="384"/>
      <c r="J468" s="392"/>
      <c r="K468" s="392"/>
      <c r="L468" s="384"/>
      <c r="M468" s="384"/>
      <c r="N468" s="384"/>
      <c r="O468" s="384">
        <v>0</v>
      </c>
      <c r="P468" s="384">
        <v>778525</v>
      </c>
      <c r="Q468" s="385" t="s">
        <v>242</v>
      </c>
      <c r="R468" s="380" t="s">
        <v>243</v>
      </c>
    </row>
    <row r="469" spans="1:18" ht="36.75" customHeight="1">
      <c r="A469" s="381" t="s">
        <v>2288</v>
      </c>
      <c r="B469" s="382" t="s">
        <v>2401</v>
      </c>
      <c r="C469" s="383" t="s">
        <v>6</v>
      </c>
      <c r="D469" s="384"/>
      <c r="E469" s="384"/>
      <c r="F469" s="384"/>
      <c r="G469" s="384"/>
      <c r="H469" s="384"/>
      <c r="I469" s="384"/>
      <c r="J469" s="392"/>
      <c r="K469" s="392"/>
      <c r="L469" s="384">
        <v>575</v>
      </c>
      <c r="M469" s="384">
        <v>0</v>
      </c>
      <c r="N469" s="384">
        <v>569.4</v>
      </c>
      <c r="O469" s="384">
        <v>0</v>
      </c>
      <c r="P469" s="384">
        <v>327405</v>
      </c>
      <c r="Q469" s="385" t="s">
        <v>242</v>
      </c>
      <c r="R469" s="380" t="s">
        <v>243</v>
      </c>
    </row>
    <row r="470" spans="1:18" ht="36.75" customHeight="1">
      <c r="A470" s="381" t="s">
        <v>2289</v>
      </c>
      <c r="B470" s="382" t="s">
        <v>2402</v>
      </c>
      <c r="C470" s="383" t="s">
        <v>17</v>
      </c>
      <c r="D470" s="384"/>
      <c r="E470" s="384"/>
      <c r="F470" s="384"/>
      <c r="G470" s="384"/>
      <c r="H470" s="384"/>
      <c r="I470" s="384"/>
      <c r="J470" s="392"/>
      <c r="K470" s="392"/>
      <c r="L470" s="384">
        <v>20</v>
      </c>
      <c r="M470" s="384">
        <v>0</v>
      </c>
      <c r="N470" s="384">
        <v>0</v>
      </c>
      <c r="O470" s="384">
        <v>0</v>
      </c>
      <c r="P470" s="384">
        <v>0</v>
      </c>
      <c r="Q470" s="385" t="s">
        <v>242</v>
      </c>
      <c r="R470" s="380" t="s">
        <v>243</v>
      </c>
    </row>
    <row r="471" spans="1:18" ht="36.75" customHeight="1">
      <c r="A471" s="381" t="s">
        <v>2290</v>
      </c>
      <c r="B471" s="382" t="s">
        <v>2403</v>
      </c>
      <c r="C471" s="383" t="s">
        <v>17</v>
      </c>
      <c r="D471" s="384"/>
      <c r="E471" s="384"/>
      <c r="F471" s="384"/>
      <c r="G471" s="384"/>
      <c r="H471" s="384"/>
      <c r="I471" s="384"/>
      <c r="J471" s="392"/>
      <c r="K471" s="392"/>
      <c r="L471" s="384">
        <v>8</v>
      </c>
      <c r="M471" s="384">
        <v>0</v>
      </c>
      <c r="N471" s="384">
        <v>56390</v>
      </c>
      <c r="O471" s="384">
        <v>0</v>
      </c>
      <c r="P471" s="384">
        <v>451120</v>
      </c>
      <c r="Q471" s="385" t="s">
        <v>242</v>
      </c>
      <c r="R471" s="380" t="s">
        <v>243</v>
      </c>
    </row>
    <row r="472" spans="1:18" ht="30" customHeight="1">
      <c r="A472" s="404"/>
      <c r="B472" s="406" t="s">
        <v>142</v>
      </c>
      <c r="C472" s="117"/>
      <c r="D472" s="117"/>
      <c r="E472" s="117"/>
      <c r="F472" s="480"/>
      <c r="G472" s="117"/>
      <c r="H472" s="408" t="s">
        <v>2504</v>
      </c>
      <c r="I472" s="407">
        <f t="shared" ref="I472:K472" si="56">SUM(I5:I471)</f>
        <v>26391294.289999992</v>
      </c>
      <c r="J472" s="408" t="s">
        <v>2505</v>
      </c>
      <c r="K472" s="409">
        <f t="shared" si="56"/>
        <v>-1788691.31</v>
      </c>
      <c r="L472" s="117"/>
      <c r="M472" s="117"/>
      <c r="N472" s="117"/>
      <c r="O472" s="117"/>
      <c r="P472" s="117"/>
      <c r="Q472" s="407">
        <f>I472+K472</f>
        <v>24602602.979999993</v>
      </c>
    </row>
    <row r="473" spans="1:18" ht="27.75" customHeight="1">
      <c r="A473" s="404"/>
      <c r="B473" s="117"/>
      <c r="C473" s="117"/>
      <c r="D473" s="117"/>
      <c r="E473" s="117"/>
      <c r="F473" s="480"/>
      <c r="G473" s="117"/>
      <c r="H473" s="117"/>
      <c r="I473" s="117"/>
      <c r="J473" s="405"/>
      <c r="K473" s="405"/>
      <c r="L473" s="117"/>
      <c r="M473" s="117"/>
      <c r="N473" s="117"/>
      <c r="O473" s="117"/>
      <c r="P473" s="117"/>
      <c r="Q473" s="117"/>
    </row>
    <row r="474" spans="1:18" ht="33" customHeight="1">
      <c r="H474" s="82" t="s">
        <v>2681</v>
      </c>
      <c r="I474" s="131">
        <f>L5+I472+K472</f>
        <v>329577881.97999996</v>
      </c>
    </row>
    <row r="475" spans="1:18" ht="33" customHeight="1">
      <c r="I475" s="131">
        <f>L5+Q472</f>
        <v>329577881.98000002</v>
      </c>
      <c r="J475" s="393">
        <f>I475-契約!F7</f>
        <v>71977881.980000019</v>
      </c>
    </row>
    <row r="476" spans="1:18" ht="36.75" customHeight="1"/>
    <row r="477" spans="1:18" ht="36.75" customHeight="1"/>
    <row r="478" spans="1:18" ht="36.75" customHeight="1"/>
    <row r="479" spans="1:18" ht="36.75" customHeight="1"/>
    <row r="480" spans="1:18" ht="36.75" customHeight="1"/>
    <row r="481" ht="36.75" customHeight="1"/>
    <row r="482" ht="36.75" customHeight="1"/>
    <row r="483" ht="36.75" customHeight="1"/>
    <row r="484" ht="36.75" customHeight="1"/>
    <row r="485" ht="36.75" customHeight="1"/>
    <row r="486" ht="36.75" customHeight="1"/>
    <row r="487" ht="36.75" customHeight="1"/>
    <row r="488" ht="36.75" customHeight="1"/>
    <row r="489" ht="36.75" customHeight="1"/>
    <row r="490" ht="36.75" customHeight="1"/>
    <row r="491" ht="36.75" customHeight="1"/>
    <row r="492" ht="36.75" customHeight="1"/>
    <row r="493" ht="36.75" customHeight="1"/>
    <row r="494" ht="36.75" customHeight="1"/>
    <row r="495" ht="36.75" customHeight="1"/>
    <row r="496" ht="36.75" customHeight="1"/>
    <row r="497" ht="36.75" customHeight="1"/>
    <row r="498" ht="36.75" customHeight="1"/>
    <row r="499" ht="36.75" customHeight="1"/>
    <row r="500" ht="36.75" customHeight="1"/>
    <row r="501" ht="36.75" customHeight="1"/>
    <row r="502" ht="36.75" customHeight="1"/>
    <row r="503" ht="36.75" customHeight="1"/>
    <row r="504" ht="36.75" customHeight="1"/>
    <row r="505" ht="36.75" customHeight="1"/>
    <row r="506" ht="36.75" customHeight="1"/>
    <row r="507" ht="36.75" customHeight="1"/>
    <row r="508" ht="36.75" customHeight="1"/>
    <row r="509" ht="36.75" customHeight="1"/>
    <row r="510" ht="36.75" customHeight="1"/>
    <row r="511" ht="36.75" customHeight="1"/>
    <row r="512" ht="36.75" customHeight="1"/>
    <row r="513" ht="36.75" customHeight="1"/>
    <row r="514" ht="36.75" customHeight="1"/>
    <row r="515" ht="36.75" customHeight="1"/>
    <row r="516" ht="36.75" customHeight="1"/>
    <row r="517" ht="36.75" customHeight="1"/>
    <row r="518" ht="36.75" customHeight="1"/>
    <row r="519" ht="36.75" customHeight="1"/>
    <row r="520" ht="36.75" customHeight="1"/>
    <row r="521" ht="36.75" customHeight="1"/>
    <row r="522" ht="36.75" customHeight="1"/>
    <row r="523" ht="36.75" customHeight="1"/>
    <row r="524" ht="36.75" customHeight="1"/>
    <row r="525" ht="36.75" customHeight="1"/>
    <row r="526" ht="36.75" customHeight="1"/>
    <row r="527" ht="36.75" customHeight="1"/>
    <row r="528" ht="36.75" customHeight="1"/>
    <row r="529" ht="36.75" customHeight="1"/>
    <row r="530" ht="36.75" customHeight="1"/>
    <row r="531" ht="36.75" customHeight="1"/>
    <row r="532" ht="36.75" customHeight="1"/>
    <row r="533" ht="36.75" customHeight="1"/>
    <row r="534" ht="36.75" customHeight="1"/>
    <row r="535" ht="36.75" customHeight="1"/>
    <row r="536" ht="36.75" customHeight="1"/>
    <row r="537" ht="36.75" customHeight="1"/>
    <row r="538" ht="36.75" customHeight="1"/>
    <row r="539" ht="36.75" customHeight="1"/>
    <row r="540" ht="36.75" customHeight="1"/>
    <row r="541" ht="36.75" customHeight="1"/>
    <row r="542" ht="36.75" customHeight="1"/>
    <row r="543" ht="36.75" customHeight="1"/>
    <row r="544" ht="36.75" customHeight="1"/>
    <row r="545" ht="36.75" customHeight="1"/>
    <row r="546" ht="36.75" customHeight="1"/>
    <row r="547" ht="36.75" customHeight="1"/>
    <row r="548" ht="36.75" customHeight="1"/>
    <row r="549" ht="36.75" customHeight="1"/>
    <row r="550" ht="36.75" customHeight="1"/>
    <row r="551" ht="36.75" customHeight="1"/>
    <row r="552" ht="36.75" customHeight="1"/>
    <row r="553" ht="36.75" customHeight="1"/>
    <row r="554" ht="36.75" customHeight="1"/>
    <row r="555" ht="36.75" customHeight="1"/>
    <row r="556" ht="36.75" customHeight="1"/>
    <row r="557" ht="36.75" customHeight="1"/>
    <row r="558" ht="36.75" customHeight="1"/>
    <row r="559" ht="36.75" customHeight="1"/>
    <row r="560" ht="36.75" customHeight="1"/>
    <row r="561" ht="36.75" customHeight="1"/>
    <row r="562" ht="36.75" customHeight="1"/>
    <row r="563" ht="36.75" customHeight="1"/>
    <row r="564" ht="36.75" customHeight="1"/>
    <row r="565" ht="36.75" customHeight="1"/>
    <row r="566" ht="36.75" customHeight="1"/>
    <row r="567" ht="36.75" customHeight="1"/>
    <row r="568" ht="36.75" customHeight="1"/>
    <row r="569" ht="36.75" customHeight="1"/>
    <row r="570" ht="36.75" customHeight="1"/>
    <row r="571" ht="36.75" customHeight="1"/>
    <row r="572" ht="36.75" customHeight="1"/>
    <row r="573" ht="36.75" customHeight="1"/>
    <row r="574" ht="36.75" customHeight="1"/>
    <row r="575" ht="36.75" customHeight="1"/>
    <row r="576" ht="36.75" customHeight="1"/>
    <row r="577" ht="36.75" customHeight="1"/>
    <row r="578" ht="36.75" customHeight="1"/>
    <row r="579" ht="36.75" customHeight="1"/>
    <row r="580" ht="36.75" customHeight="1"/>
    <row r="581" ht="36.75" customHeight="1"/>
    <row r="582" ht="36.75" customHeight="1"/>
    <row r="583" ht="36.75" customHeight="1"/>
    <row r="584" ht="36.75" customHeight="1"/>
    <row r="585" ht="36.75" customHeight="1"/>
    <row r="586" ht="36.75" customHeight="1"/>
    <row r="587" ht="36.75" customHeight="1"/>
    <row r="588" ht="36.75" customHeight="1"/>
    <row r="589" ht="36.75" customHeight="1"/>
    <row r="590" ht="36.75" customHeight="1"/>
    <row r="591" ht="36.75" customHeight="1"/>
    <row r="592" ht="36.75" customHeight="1"/>
    <row r="593" ht="36.75" customHeight="1"/>
    <row r="594" ht="36.75" customHeight="1"/>
    <row r="595" ht="36.75" customHeight="1"/>
    <row r="596" ht="36.75" customHeight="1"/>
    <row r="597" ht="36.75" customHeight="1"/>
    <row r="598" ht="36.75" customHeight="1"/>
    <row r="599" ht="36.75" customHeight="1"/>
    <row r="600" ht="36.75" customHeight="1"/>
    <row r="601" ht="36.75" customHeight="1"/>
    <row r="602" ht="36.75" customHeight="1"/>
    <row r="603" ht="36.75" customHeight="1"/>
    <row r="604" ht="36.75" customHeight="1"/>
    <row r="605" ht="36.75" customHeight="1"/>
    <row r="606" ht="36.75" customHeight="1"/>
    <row r="607" ht="36.75" customHeight="1"/>
    <row r="608" ht="36.75" customHeight="1"/>
    <row r="609" ht="36.75" customHeight="1"/>
    <row r="610" ht="36.75" customHeight="1"/>
    <row r="611" ht="36.75" customHeight="1"/>
    <row r="612" ht="36.75" customHeight="1"/>
    <row r="613" ht="36.75" customHeight="1"/>
    <row r="614" ht="36.75" customHeight="1"/>
    <row r="615" ht="36.75" customHeight="1"/>
    <row r="616" ht="36.75" customHeight="1"/>
    <row r="617" ht="36.75" customHeight="1"/>
    <row r="618" ht="36.75" customHeight="1"/>
    <row r="619" ht="36.75" customHeight="1"/>
    <row r="620" ht="36.75" customHeight="1"/>
    <row r="621" ht="36.75" customHeight="1"/>
    <row r="622" ht="36.75" customHeight="1"/>
    <row r="623" ht="36.75" customHeight="1"/>
    <row r="624" ht="36.75" customHeight="1"/>
    <row r="625" ht="36.75" customHeight="1"/>
    <row r="626" ht="36.75" customHeight="1"/>
    <row r="627" ht="36.75" customHeight="1"/>
    <row r="628" ht="36.75" customHeight="1"/>
    <row r="629" ht="36.75" customHeight="1"/>
    <row r="630" ht="36.75" customHeight="1"/>
    <row r="631" ht="36.75" customHeight="1"/>
    <row r="632" ht="36.75" customHeight="1"/>
    <row r="633" ht="36.75" customHeight="1"/>
    <row r="634" ht="36.75" customHeight="1"/>
    <row r="635" ht="36.75" customHeight="1"/>
    <row r="636" ht="36.75" customHeight="1"/>
    <row r="637" ht="36.75" customHeight="1"/>
    <row r="638" ht="36.75" customHeight="1"/>
    <row r="639" ht="36.75" customHeight="1"/>
    <row r="640" ht="36.75" customHeight="1"/>
    <row r="641" ht="36.75" customHeight="1"/>
    <row r="642" ht="36.75" customHeight="1"/>
    <row r="643" ht="36.75" customHeight="1"/>
    <row r="644" ht="36.75" customHeight="1"/>
    <row r="645" ht="36.75" customHeight="1"/>
    <row r="646" ht="36.75" customHeight="1"/>
    <row r="647" ht="36.75" customHeight="1"/>
    <row r="648" ht="36.75" customHeight="1"/>
    <row r="649" ht="36.75" customHeight="1"/>
    <row r="650" ht="36.75" customHeight="1"/>
    <row r="651" ht="36.75" customHeight="1"/>
    <row r="652" ht="36.75" customHeight="1"/>
    <row r="653" ht="36.75" customHeight="1"/>
    <row r="654" ht="36.75" customHeight="1"/>
    <row r="655" ht="36.75" customHeight="1"/>
    <row r="656" ht="36.75" customHeight="1"/>
    <row r="657" ht="36.75" customHeight="1"/>
    <row r="658" ht="36.75" customHeight="1"/>
    <row r="659" ht="36.75" customHeight="1"/>
    <row r="660" ht="36.75" customHeight="1"/>
    <row r="661" ht="36.75" customHeight="1"/>
    <row r="662" ht="36.75" customHeight="1"/>
    <row r="663" ht="36.75" customHeight="1"/>
    <row r="664" ht="36.75" customHeight="1"/>
    <row r="665" ht="36.75" customHeight="1"/>
    <row r="666" ht="36.75" customHeight="1"/>
    <row r="667" ht="36.75" customHeight="1"/>
    <row r="668" ht="36.75" customHeight="1"/>
    <row r="669" ht="36.75" customHeight="1"/>
    <row r="670" ht="36.75" customHeight="1"/>
    <row r="671" ht="36.75" customHeight="1"/>
    <row r="672" ht="36.75" customHeight="1"/>
    <row r="673" ht="36.75" customHeight="1"/>
    <row r="674" ht="36.75" customHeight="1"/>
    <row r="675" ht="36.75" customHeight="1"/>
    <row r="676" ht="36.75" customHeight="1"/>
    <row r="677" ht="36.75" customHeight="1"/>
    <row r="678" ht="36.75" customHeight="1"/>
    <row r="679" ht="36.75" customHeight="1"/>
    <row r="680" ht="36.75" customHeight="1"/>
    <row r="681" ht="36.75" customHeight="1"/>
    <row r="682" ht="36.75" customHeight="1"/>
    <row r="683" ht="36.75" customHeight="1"/>
    <row r="684" ht="36.75" customHeight="1"/>
    <row r="685" ht="36.75" customHeight="1"/>
    <row r="686" ht="36.75" customHeight="1"/>
    <row r="687" ht="36.75" customHeight="1"/>
    <row r="688" ht="36.75" customHeight="1"/>
    <row r="689" ht="36.75" customHeight="1"/>
    <row r="690" ht="36.75" customHeight="1"/>
    <row r="691" ht="36.75" customHeight="1"/>
    <row r="692" ht="36.75" customHeight="1"/>
    <row r="693" ht="36.75" customHeight="1"/>
    <row r="694" ht="36.75" customHeight="1"/>
    <row r="695" ht="36.75" customHeight="1"/>
    <row r="696" ht="36.75" customHeight="1"/>
    <row r="697" ht="36.75" customHeight="1"/>
    <row r="698" ht="36.75" customHeight="1"/>
    <row r="699" ht="36.75" customHeight="1"/>
    <row r="700" ht="36.75" customHeight="1"/>
    <row r="701" ht="36.75" customHeight="1"/>
    <row r="702" ht="36.75" customHeight="1"/>
    <row r="703" ht="36.75" customHeight="1"/>
    <row r="704" ht="36.75" customHeight="1"/>
    <row r="705" ht="36.75" customHeight="1"/>
    <row r="706" ht="36.75" customHeight="1"/>
    <row r="707" ht="36.75" customHeight="1"/>
    <row r="708" ht="36.75" customHeight="1"/>
    <row r="709" ht="36.75" customHeight="1"/>
    <row r="710" ht="36.75" customHeight="1"/>
    <row r="711" ht="36.75" customHeight="1"/>
    <row r="712" ht="36.75" customHeight="1"/>
    <row r="713" ht="36.75" customHeight="1"/>
    <row r="714" ht="36.75" customHeight="1"/>
    <row r="715" ht="36.75" customHeight="1"/>
    <row r="716" ht="36.75" customHeight="1"/>
    <row r="717" ht="36.75" customHeight="1"/>
    <row r="718" ht="36.75" customHeight="1"/>
    <row r="719" ht="36.75" customHeight="1"/>
    <row r="720" ht="36.75" customHeight="1"/>
    <row r="721" ht="36.75" customHeight="1"/>
    <row r="722" ht="36.75" customHeight="1"/>
    <row r="723" ht="36.75" customHeight="1"/>
    <row r="724" ht="36.75" customHeight="1"/>
    <row r="725" ht="36.75" customHeight="1"/>
    <row r="726" ht="36.75" customHeight="1"/>
    <row r="727" ht="36.75" customHeight="1"/>
    <row r="728" ht="36.75" customHeight="1"/>
    <row r="729" ht="36.75" customHeight="1"/>
    <row r="730" ht="36.75" customHeight="1"/>
    <row r="731" ht="36.75" customHeight="1"/>
    <row r="732" ht="36.75" customHeight="1"/>
    <row r="733" ht="36.75" customHeight="1"/>
    <row r="734" ht="36.75" customHeight="1"/>
    <row r="735" ht="36.75" customHeight="1"/>
    <row r="736" ht="36.75" customHeight="1"/>
    <row r="737" ht="36.75" customHeight="1"/>
    <row r="738" ht="36.75" customHeight="1"/>
    <row r="739" ht="36.75" customHeight="1"/>
    <row r="740" ht="36.75" customHeight="1"/>
    <row r="741" ht="36.75" customHeight="1"/>
    <row r="742" ht="36.75" customHeight="1"/>
    <row r="743" ht="36.75" customHeight="1"/>
    <row r="744" ht="36.75" customHeight="1"/>
    <row r="745" ht="36.75" customHeight="1"/>
    <row r="746" ht="36.75" customHeight="1"/>
    <row r="747" ht="36.75" customHeight="1"/>
    <row r="748" ht="36.75" customHeight="1"/>
    <row r="749" ht="36.75" customHeight="1"/>
    <row r="750" ht="36.75" customHeight="1"/>
    <row r="751" ht="36.75" customHeight="1"/>
    <row r="752" ht="36.75" customHeight="1"/>
    <row r="753" ht="36.75" customHeight="1"/>
    <row r="754" ht="36.75" customHeight="1"/>
    <row r="755" ht="36.75" customHeight="1"/>
    <row r="756" ht="36.75" customHeight="1"/>
    <row r="757" ht="36.75" customHeight="1"/>
    <row r="758" ht="36.75" customHeight="1"/>
    <row r="759" ht="36.75" customHeight="1"/>
    <row r="760" ht="36.75" customHeight="1"/>
    <row r="761" ht="36.75" customHeight="1"/>
    <row r="762" ht="36.75" customHeight="1"/>
    <row r="763" ht="36.75" customHeight="1"/>
    <row r="764" ht="36.75" customHeight="1"/>
    <row r="765" ht="36.75" customHeight="1"/>
    <row r="766" ht="36.75" customHeight="1"/>
    <row r="767" ht="36.75" customHeight="1"/>
    <row r="768" ht="36.75" customHeight="1"/>
    <row r="769" ht="36.75" customHeight="1"/>
    <row r="770" ht="36.75" customHeight="1"/>
    <row r="771" ht="36.75" customHeight="1"/>
    <row r="772" ht="36.75" customHeight="1"/>
    <row r="773" ht="36.75" customHeight="1"/>
    <row r="774" ht="36.75" customHeight="1"/>
    <row r="775" ht="36.75" customHeight="1"/>
    <row r="776" ht="36.75" customHeight="1"/>
    <row r="777" ht="36.75" customHeight="1"/>
    <row r="778" ht="36.75" customHeight="1"/>
    <row r="779" ht="36.75" customHeight="1"/>
    <row r="780" ht="36.75" customHeight="1"/>
    <row r="781" ht="36.75" customHeight="1"/>
    <row r="782" ht="36.75" customHeight="1"/>
    <row r="783" ht="36.75" customHeight="1"/>
    <row r="784" ht="36.75" customHeight="1"/>
    <row r="785" ht="36.75" customHeight="1"/>
    <row r="786" ht="36.75" customHeight="1"/>
    <row r="787" ht="36.75" customHeight="1"/>
    <row r="788" ht="36.75" customHeight="1"/>
    <row r="789" ht="36.75" customHeight="1"/>
    <row r="790" ht="36.75" customHeight="1"/>
    <row r="791" ht="36.75" customHeight="1"/>
    <row r="792" ht="36.75" customHeight="1"/>
    <row r="793" ht="36.75" customHeight="1"/>
    <row r="794" ht="36.75" customHeight="1"/>
    <row r="795" ht="36.75" customHeight="1"/>
    <row r="796" ht="36.75" customHeight="1"/>
    <row r="797" ht="36.75" customHeight="1"/>
    <row r="798" ht="36.75" customHeight="1"/>
    <row r="799" ht="36.75" customHeight="1"/>
    <row r="800" ht="36.75" customHeight="1"/>
    <row r="801" ht="36.75" customHeight="1"/>
    <row r="802" ht="36.75" customHeight="1"/>
    <row r="803" ht="36.75" customHeight="1"/>
    <row r="804" ht="36.75" customHeight="1"/>
    <row r="805" ht="36.75" customHeight="1"/>
    <row r="806" ht="36.75" customHeight="1"/>
    <row r="807" ht="36.75" customHeight="1"/>
    <row r="808" ht="36.75" customHeight="1"/>
    <row r="809" ht="36.75" customHeight="1"/>
    <row r="810" ht="36.75" customHeight="1"/>
    <row r="811" ht="36.75" customHeight="1"/>
    <row r="812" ht="36.75" customHeight="1"/>
    <row r="813" ht="36.75" customHeight="1"/>
    <row r="814" ht="36.75" customHeight="1"/>
    <row r="815" ht="36.75" customHeight="1"/>
    <row r="816" ht="36.75" customHeight="1"/>
    <row r="817" ht="36.75" customHeight="1"/>
    <row r="818" ht="36.75" customHeight="1"/>
    <row r="819" ht="36.75" customHeight="1"/>
    <row r="820" ht="36.75" customHeight="1"/>
    <row r="821" ht="36.75" customHeight="1"/>
    <row r="822" ht="36.75" customHeight="1"/>
    <row r="823" ht="36.75" customHeight="1"/>
    <row r="824" ht="36.75" customHeight="1"/>
    <row r="825" ht="36.75" customHeight="1"/>
    <row r="826" ht="36.75" customHeight="1"/>
    <row r="827" ht="36.75" customHeight="1"/>
    <row r="828" ht="36.75" customHeight="1"/>
    <row r="829" ht="36.75" customHeight="1"/>
    <row r="830" ht="36.75" customHeight="1"/>
    <row r="831" ht="36.75" customHeight="1"/>
    <row r="832" ht="36.75" customHeight="1"/>
    <row r="833" ht="36.75" customHeight="1"/>
    <row r="834" ht="36.75" customHeight="1"/>
    <row r="835" ht="36.75" customHeight="1"/>
    <row r="836" ht="36.75" customHeight="1"/>
    <row r="837" ht="36.75" customHeight="1"/>
    <row r="838" ht="36.75" customHeight="1"/>
    <row r="839" ht="36.75" customHeight="1"/>
    <row r="840" ht="36.75" customHeight="1"/>
    <row r="841" ht="36.75" customHeight="1"/>
    <row r="842" ht="36.75" customHeight="1"/>
    <row r="843" ht="36.75" customHeight="1"/>
    <row r="844" ht="36.75" customHeight="1"/>
    <row r="845" ht="36.75" customHeight="1"/>
    <row r="846" ht="36.75" customHeight="1"/>
    <row r="847" ht="36.75" customHeight="1"/>
    <row r="848" ht="36.75" customHeight="1"/>
    <row r="849" ht="36.75" customHeight="1"/>
    <row r="850" ht="36.75" customHeight="1"/>
    <row r="851" ht="36.75" customHeight="1"/>
    <row r="852" ht="36.75" customHeight="1"/>
    <row r="853" ht="36.75" customHeight="1"/>
    <row r="854" ht="36.75" customHeight="1"/>
    <row r="855" ht="36.75" customHeight="1"/>
    <row r="856" ht="36.75" customHeight="1"/>
    <row r="857" ht="36.75" customHeight="1"/>
    <row r="858" ht="36.75" customHeight="1"/>
    <row r="859" ht="36.75" customHeight="1"/>
    <row r="860" ht="36.75" customHeight="1"/>
    <row r="861" ht="36.75" customHeight="1"/>
    <row r="862" ht="36.75" customHeight="1"/>
    <row r="863" ht="36.75" customHeight="1"/>
    <row r="864" ht="36.75" customHeight="1"/>
    <row r="865" ht="36.75" customHeight="1"/>
    <row r="866" ht="36.75" customHeight="1"/>
    <row r="867" ht="36.75" customHeight="1"/>
    <row r="868" ht="36.75" customHeight="1"/>
    <row r="869" ht="36.75" customHeight="1"/>
    <row r="870" ht="36.75" customHeight="1"/>
    <row r="871" ht="36.75" customHeight="1"/>
    <row r="872" ht="36.75" customHeight="1"/>
    <row r="873" ht="36.75" customHeight="1"/>
    <row r="874" ht="36.75" customHeight="1"/>
    <row r="875" ht="36.75" customHeight="1"/>
    <row r="876" ht="36.75" customHeight="1"/>
    <row r="877" ht="36.75" customHeight="1"/>
    <row r="878" ht="36.75" customHeight="1"/>
    <row r="879" ht="36.75" customHeight="1"/>
    <row r="880" ht="36.75" customHeight="1"/>
    <row r="881" ht="36.75" customHeight="1"/>
    <row r="882" ht="36.75" customHeight="1"/>
    <row r="883" ht="36.75" customHeight="1"/>
    <row r="884" ht="36.75" customHeight="1"/>
    <row r="885" ht="36.75" customHeight="1"/>
    <row r="886" ht="36.75" customHeight="1"/>
    <row r="887" ht="36.75" customHeight="1"/>
    <row r="888" ht="36.75" customHeight="1"/>
    <row r="889" ht="36.75" customHeight="1"/>
    <row r="890" ht="36.75" customHeight="1"/>
    <row r="891" ht="36.75" customHeight="1"/>
    <row r="892" ht="36.75" customHeight="1"/>
    <row r="893" ht="36.75" customHeight="1"/>
    <row r="894" ht="36.75" customHeight="1"/>
    <row r="895" ht="36.75" customHeight="1"/>
    <row r="896" ht="36.75" customHeight="1"/>
    <row r="897" ht="36.75" customHeight="1"/>
    <row r="898" ht="36.75" customHeight="1"/>
    <row r="899" ht="36.75" customHeight="1"/>
    <row r="900" ht="36.75" customHeight="1"/>
    <row r="901" ht="36.75" customHeight="1"/>
    <row r="902" ht="36.75" customHeight="1"/>
    <row r="903" ht="36.75" customHeight="1"/>
    <row r="904" ht="36.75" customHeight="1"/>
    <row r="905" ht="36.75" customHeight="1"/>
    <row r="906" ht="36.75" customHeight="1"/>
    <row r="907" ht="36.75" customHeight="1"/>
    <row r="908" ht="36.75" customHeight="1"/>
    <row r="909" ht="36.75" customHeight="1"/>
    <row r="910" ht="36.75" customHeight="1"/>
    <row r="911" ht="36.75" customHeight="1"/>
    <row r="912" ht="36.75" customHeight="1"/>
    <row r="913" ht="36.75" customHeight="1"/>
    <row r="914" ht="36.75" customHeight="1"/>
    <row r="915" ht="36.75" customHeight="1"/>
    <row r="916" ht="36.75" customHeight="1"/>
    <row r="917" ht="36.75" customHeight="1"/>
    <row r="918" ht="36.75" customHeight="1"/>
    <row r="919" ht="36.75" customHeight="1"/>
    <row r="920" ht="36.75" customHeight="1"/>
    <row r="921" ht="36.75" customHeight="1"/>
    <row r="922" ht="36.75" customHeight="1"/>
    <row r="923" ht="36.75" customHeight="1"/>
    <row r="924" ht="36.75" customHeight="1"/>
    <row r="925" ht="36.75" customHeight="1"/>
    <row r="926" ht="36.75" customHeight="1"/>
  </sheetData>
  <mergeCells count="4">
    <mergeCell ref="A1:Q1"/>
    <mergeCell ref="A2:Q2"/>
    <mergeCell ref="A3:N3"/>
    <mergeCell ref="P3:Q3"/>
  </mergeCells>
  <phoneticPr fontId="1" type="noConversion"/>
  <printOptions horizontalCentered="1"/>
  <pageMargins left="0.19685039370078741" right="0.19685039370078741" top="0.19685039370078741" bottom="0.19685039370078741" header="0.31496062992125984" footer="0.31496062992125984"/>
  <pageSetup paperSize="9" scale="71" orientation="landscape" r:id="rId1"/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1127-4341-4FF8-86CC-944C1432F7A4}">
  <dimension ref="A1:K423"/>
  <sheetViews>
    <sheetView topLeftCell="A8" workbookViewId="0">
      <selection activeCell="E18" sqref="E18"/>
    </sheetView>
  </sheetViews>
  <sheetFormatPr defaultColWidth="10.28515625" defaultRowHeight="16.5"/>
  <cols>
    <col min="1" max="1" width="6" style="19" customWidth="1"/>
    <col min="2" max="2" width="30" style="19" customWidth="1"/>
    <col min="3" max="3" width="6.28515625" style="19" customWidth="1"/>
    <col min="4" max="4" width="9.5703125" style="19" customWidth="1"/>
    <col min="5" max="5" width="12.42578125" style="19" customWidth="1"/>
    <col min="6" max="6" width="12.42578125" style="1" customWidth="1"/>
    <col min="7" max="7" width="17.42578125" style="1" customWidth="1"/>
    <col min="8" max="8" width="0.85546875" style="1" customWidth="1"/>
    <col min="9" max="10" width="0.7109375" style="1" customWidth="1"/>
    <col min="11" max="11" width="0.5703125" style="1" customWidth="1"/>
    <col min="257" max="257" width="6" customWidth="1"/>
    <col min="258" max="258" width="30" customWidth="1"/>
    <col min="259" max="259" width="6.28515625" customWidth="1"/>
    <col min="260" max="260" width="9.5703125" customWidth="1"/>
    <col min="261" max="262" width="12.42578125" customWidth="1"/>
    <col min="263" max="263" width="17.42578125" customWidth="1"/>
    <col min="264" max="264" width="0.85546875" customWidth="1"/>
    <col min="265" max="266" width="0.7109375" customWidth="1"/>
    <col min="267" max="267" width="0.5703125" customWidth="1"/>
    <col min="513" max="513" width="6" customWidth="1"/>
    <col min="514" max="514" width="30" customWidth="1"/>
    <col min="515" max="515" width="6.28515625" customWidth="1"/>
    <col min="516" max="516" width="9.5703125" customWidth="1"/>
    <col min="517" max="518" width="12.42578125" customWidth="1"/>
    <col min="519" max="519" width="17.42578125" customWidth="1"/>
    <col min="520" max="520" width="0.85546875" customWidth="1"/>
    <col min="521" max="522" width="0.7109375" customWidth="1"/>
    <col min="523" max="523" width="0.5703125" customWidth="1"/>
    <col min="769" max="769" width="6" customWidth="1"/>
    <col min="770" max="770" width="30" customWidth="1"/>
    <col min="771" max="771" width="6.28515625" customWidth="1"/>
    <col min="772" max="772" width="9.5703125" customWidth="1"/>
    <col min="773" max="774" width="12.42578125" customWidth="1"/>
    <col min="775" max="775" width="17.42578125" customWidth="1"/>
    <col min="776" max="776" width="0.85546875" customWidth="1"/>
    <col min="777" max="778" width="0.7109375" customWidth="1"/>
    <col min="779" max="779" width="0.5703125" customWidth="1"/>
    <col min="1025" max="1025" width="6" customWidth="1"/>
    <col min="1026" max="1026" width="30" customWidth="1"/>
    <col min="1027" max="1027" width="6.28515625" customWidth="1"/>
    <col min="1028" max="1028" width="9.5703125" customWidth="1"/>
    <col min="1029" max="1030" width="12.42578125" customWidth="1"/>
    <col min="1031" max="1031" width="17.42578125" customWidth="1"/>
    <col min="1032" max="1032" width="0.85546875" customWidth="1"/>
    <col min="1033" max="1034" width="0.7109375" customWidth="1"/>
    <col min="1035" max="1035" width="0.5703125" customWidth="1"/>
    <col min="1281" max="1281" width="6" customWidth="1"/>
    <col min="1282" max="1282" width="30" customWidth="1"/>
    <col min="1283" max="1283" width="6.28515625" customWidth="1"/>
    <col min="1284" max="1284" width="9.5703125" customWidth="1"/>
    <col min="1285" max="1286" width="12.42578125" customWidth="1"/>
    <col min="1287" max="1287" width="17.42578125" customWidth="1"/>
    <col min="1288" max="1288" width="0.85546875" customWidth="1"/>
    <col min="1289" max="1290" width="0.7109375" customWidth="1"/>
    <col min="1291" max="1291" width="0.5703125" customWidth="1"/>
    <col min="1537" max="1537" width="6" customWidth="1"/>
    <col min="1538" max="1538" width="30" customWidth="1"/>
    <col min="1539" max="1539" width="6.28515625" customWidth="1"/>
    <col min="1540" max="1540" width="9.5703125" customWidth="1"/>
    <col min="1541" max="1542" width="12.42578125" customWidth="1"/>
    <col min="1543" max="1543" width="17.42578125" customWidth="1"/>
    <col min="1544" max="1544" width="0.85546875" customWidth="1"/>
    <col min="1545" max="1546" width="0.7109375" customWidth="1"/>
    <col min="1547" max="1547" width="0.5703125" customWidth="1"/>
    <col min="1793" max="1793" width="6" customWidth="1"/>
    <col min="1794" max="1794" width="30" customWidth="1"/>
    <col min="1795" max="1795" width="6.28515625" customWidth="1"/>
    <col min="1796" max="1796" width="9.5703125" customWidth="1"/>
    <col min="1797" max="1798" width="12.42578125" customWidth="1"/>
    <col min="1799" max="1799" width="17.42578125" customWidth="1"/>
    <col min="1800" max="1800" width="0.85546875" customWidth="1"/>
    <col min="1801" max="1802" width="0.7109375" customWidth="1"/>
    <col min="1803" max="1803" width="0.5703125" customWidth="1"/>
    <col min="2049" max="2049" width="6" customWidth="1"/>
    <col min="2050" max="2050" width="30" customWidth="1"/>
    <col min="2051" max="2051" width="6.28515625" customWidth="1"/>
    <col min="2052" max="2052" width="9.5703125" customWidth="1"/>
    <col min="2053" max="2054" width="12.42578125" customWidth="1"/>
    <col min="2055" max="2055" width="17.42578125" customWidth="1"/>
    <col min="2056" max="2056" width="0.85546875" customWidth="1"/>
    <col min="2057" max="2058" width="0.7109375" customWidth="1"/>
    <col min="2059" max="2059" width="0.5703125" customWidth="1"/>
    <col min="2305" max="2305" width="6" customWidth="1"/>
    <col min="2306" max="2306" width="30" customWidth="1"/>
    <col min="2307" max="2307" width="6.28515625" customWidth="1"/>
    <col min="2308" max="2308" width="9.5703125" customWidth="1"/>
    <col min="2309" max="2310" width="12.42578125" customWidth="1"/>
    <col min="2311" max="2311" width="17.42578125" customWidth="1"/>
    <col min="2312" max="2312" width="0.85546875" customWidth="1"/>
    <col min="2313" max="2314" width="0.7109375" customWidth="1"/>
    <col min="2315" max="2315" width="0.5703125" customWidth="1"/>
    <col min="2561" max="2561" width="6" customWidth="1"/>
    <col min="2562" max="2562" width="30" customWidth="1"/>
    <col min="2563" max="2563" width="6.28515625" customWidth="1"/>
    <col min="2564" max="2564" width="9.5703125" customWidth="1"/>
    <col min="2565" max="2566" width="12.42578125" customWidth="1"/>
    <col min="2567" max="2567" width="17.42578125" customWidth="1"/>
    <col min="2568" max="2568" width="0.85546875" customWidth="1"/>
    <col min="2569" max="2570" width="0.7109375" customWidth="1"/>
    <col min="2571" max="2571" width="0.5703125" customWidth="1"/>
    <col min="2817" max="2817" width="6" customWidth="1"/>
    <col min="2818" max="2818" width="30" customWidth="1"/>
    <col min="2819" max="2819" width="6.28515625" customWidth="1"/>
    <col min="2820" max="2820" width="9.5703125" customWidth="1"/>
    <col min="2821" max="2822" width="12.42578125" customWidth="1"/>
    <col min="2823" max="2823" width="17.42578125" customWidth="1"/>
    <col min="2824" max="2824" width="0.85546875" customWidth="1"/>
    <col min="2825" max="2826" width="0.7109375" customWidth="1"/>
    <col min="2827" max="2827" width="0.5703125" customWidth="1"/>
    <col min="3073" max="3073" width="6" customWidth="1"/>
    <col min="3074" max="3074" width="30" customWidth="1"/>
    <col min="3075" max="3075" width="6.28515625" customWidth="1"/>
    <col min="3076" max="3076" width="9.5703125" customWidth="1"/>
    <col min="3077" max="3078" width="12.42578125" customWidth="1"/>
    <col min="3079" max="3079" width="17.42578125" customWidth="1"/>
    <col min="3080" max="3080" width="0.85546875" customWidth="1"/>
    <col min="3081" max="3082" width="0.7109375" customWidth="1"/>
    <col min="3083" max="3083" width="0.5703125" customWidth="1"/>
    <col min="3329" max="3329" width="6" customWidth="1"/>
    <col min="3330" max="3330" width="30" customWidth="1"/>
    <col min="3331" max="3331" width="6.28515625" customWidth="1"/>
    <col min="3332" max="3332" width="9.5703125" customWidth="1"/>
    <col min="3333" max="3334" width="12.42578125" customWidth="1"/>
    <col min="3335" max="3335" width="17.42578125" customWidth="1"/>
    <col min="3336" max="3336" width="0.85546875" customWidth="1"/>
    <col min="3337" max="3338" width="0.7109375" customWidth="1"/>
    <col min="3339" max="3339" width="0.5703125" customWidth="1"/>
    <col min="3585" max="3585" width="6" customWidth="1"/>
    <col min="3586" max="3586" width="30" customWidth="1"/>
    <col min="3587" max="3587" width="6.28515625" customWidth="1"/>
    <col min="3588" max="3588" width="9.5703125" customWidth="1"/>
    <col min="3589" max="3590" width="12.42578125" customWidth="1"/>
    <col min="3591" max="3591" width="17.42578125" customWidth="1"/>
    <col min="3592" max="3592" width="0.85546875" customWidth="1"/>
    <col min="3593" max="3594" width="0.7109375" customWidth="1"/>
    <col min="3595" max="3595" width="0.5703125" customWidth="1"/>
    <col min="3841" max="3841" width="6" customWidth="1"/>
    <col min="3842" max="3842" width="30" customWidth="1"/>
    <col min="3843" max="3843" width="6.28515625" customWidth="1"/>
    <col min="3844" max="3844" width="9.5703125" customWidth="1"/>
    <col min="3845" max="3846" width="12.42578125" customWidth="1"/>
    <col min="3847" max="3847" width="17.42578125" customWidth="1"/>
    <col min="3848" max="3848" width="0.85546875" customWidth="1"/>
    <col min="3849" max="3850" width="0.7109375" customWidth="1"/>
    <col min="3851" max="3851" width="0.5703125" customWidth="1"/>
    <col min="4097" max="4097" width="6" customWidth="1"/>
    <col min="4098" max="4098" width="30" customWidth="1"/>
    <col min="4099" max="4099" width="6.28515625" customWidth="1"/>
    <col min="4100" max="4100" width="9.5703125" customWidth="1"/>
    <col min="4101" max="4102" width="12.42578125" customWidth="1"/>
    <col min="4103" max="4103" width="17.42578125" customWidth="1"/>
    <col min="4104" max="4104" width="0.85546875" customWidth="1"/>
    <col min="4105" max="4106" width="0.7109375" customWidth="1"/>
    <col min="4107" max="4107" width="0.5703125" customWidth="1"/>
    <col min="4353" max="4353" width="6" customWidth="1"/>
    <col min="4354" max="4354" width="30" customWidth="1"/>
    <col min="4355" max="4355" width="6.28515625" customWidth="1"/>
    <col min="4356" max="4356" width="9.5703125" customWidth="1"/>
    <col min="4357" max="4358" width="12.42578125" customWidth="1"/>
    <col min="4359" max="4359" width="17.42578125" customWidth="1"/>
    <col min="4360" max="4360" width="0.85546875" customWidth="1"/>
    <col min="4361" max="4362" width="0.7109375" customWidth="1"/>
    <col min="4363" max="4363" width="0.5703125" customWidth="1"/>
    <col min="4609" max="4609" width="6" customWidth="1"/>
    <col min="4610" max="4610" width="30" customWidth="1"/>
    <col min="4611" max="4611" width="6.28515625" customWidth="1"/>
    <col min="4612" max="4612" width="9.5703125" customWidth="1"/>
    <col min="4613" max="4614" width="12.42578125" customWidth="1"/>
    <col min="4615" max="4615" width="17.42578125" customWidth="1"/>
    <col min="4616" max="4616" width="0.85546875" customWidth="1"/>
    <col min="4617" max="4618" width="0.7109375" customWidth="1"/>
    <col min="4619" max="4619" width="0.5703125" customWidth="1"/>
    <col min="4865" max="4865" width="6" customWidth="1"/>
    <col min="4866" max="4866" width="30" customWidth="1"/>
    <col min="4867" max="4867" width="6.28515625" customWidth="1"/>
    <col min="4868" max="4868" width="9.5703125" customWidth="1"/>
    <col min="4869" max="4870" width="12.42578125" customWidth="1"/>
    <col min="4871" max="4871" width="17.42578125" customWidth="1"/>
    <col min="4872" max="4872" width="0.85546875" customWidth="1"/>
    <col min="4873" max="4874" width="0.7109375" customWidth="1"/>
    <col min="4875" max="4875" width="0.5703125" customWidth="1"/>
    <col min="5121" max="5121" width="6" customWidth="1"/>
    <col min="5122" max="5122" width="30" customWidth="1"/>
    <col min="5123" max="5123" width="6.28515625" customWidth="1"/>
    <col min="5124" max="5124" width="9.5703125" customWidth="1"/>
    <col min="5125" max="5126" width="12.42578125" customWidth="1"/>
    <col min="5127" max="5127" width="17.42578125" customWidth="1"/>
    <col min="5128" max="5128" width="0.85546875" customWidth="1"/>
    <col min="5129" max="5130" width="0.7109375" customWidth="1"/>
    <col min="5131" max="5131" width="0.5703125" customWidth="1"/>
    <col min="5377" max="5377" width="6" customWidth="1"/>
    <col min="5378" max="5378" width="30" customWidth="1"/>
    <col min="5379" max="5379" width="6.28515625" customWidth="1"/>
    <col min="5380" max="5380" width="9.5703125" customWidth="1"/>
    <col min="5381" max="5382" width="12.42578125" customWidth="1"/>
    <col min="5383" max="5383" width="17.42578125" customWidth="1"/>
    <col min="5384" max="5384" width="0.85546875" customWidth="1"/>
    <col min="5385" max="5386" width="0.7109375" customWidth="1"/>
    <col min="5387" max="5387" width="0.5703125" customWidth="1"/>
    <col min="5633" max="5633" width="6" customWidth="1"/>
    <col min="5634" max="5634" width="30" customWidth="1"/>
    <col min="5635" max="5635" width="6.28515625" customWidth="1"/>
    <col min="5636" max="5636" width="9.5703125" customWidth="1"/>
    <col min="5637" max="5638" width="12.42578125" customWidth="1"/>
    <col min="5639" max="5639" width="17.42578125" customWidth="1"/>
    <col min="5640" max="5640" width="0.85546875" customWidth="1"/>
    <col min="5641" max="5642" width="0.7109375" customWidth="1"/>
    <col min="5643" max="5643" width="0.5703125" customWidth="1"/>
    <col min="5889" max="5889" width="6" customWidth="1"/>
    <col min="5890" max="5890" width="30" customWidth="1"/>
    <col min="5891" max="5891" width="6.28515625" customWidth="1"/>
    <col min="5892" max="5892" width="9.5703125" customWidth="1"/>
    <col min="5893" max="5894" width="12.42578125" customWidth="1"/>
    <col min="5895" max="5895" width="17.42578125" customWidth="1"/>
    <col min="5896" max="5896" width="0.85546875" customWidth="1"/>
    <col min="5897" max="5898" width="0.7109375" customWidth="1"/>
    <col min="5899" max="5899" width="0.5703125" customWidth="1"/>
    <col min="6145" max="6145" width="6" customWidth="1"/>
    <col min="6146" max="6146" width="30" customWidth="1"/>
    <col min="6147" max="6147" width="6.28515625" customWidth="1"/>
    <col min="6148" max="6148" width="9.5703125" customWidth="1"/>
    <col min="6149" max="6150" width="12.42578125" customWidth="1"/>
    <col min="6151" max="6151" width="17.42578125" customWidth="1"/>
    <col min="6152" max="6152" width="0.85546875" customWidth="1"/>
    <col min="6153" max="6154" width="0.7109375" customWidth="1"/>
    <col min="6155" max="6155" width="0.5703125" customWidth="1"/>
    <col min="6401" max="6401" width="6" customWidth="1"/>
    <col min="6402" max="6402" width="30" customWidth="1"/>
    <col min="6403" max="6403" width="6.28515625" customWidth="1"/>
    <col min="6404" max="6404" width="9.5703125" customWidth="1"/>
    <col min="6405" max="6406" width="12.42578125" customWidth="1"/>
    <col min="6407" max="6407" width="17.42578125" customWidth="1"/>
    <col min="6408" max="6408" width="0.85546875" customWidth="1"/>
    <col min="6409" max="6410" width="0.7109375" customWidth="1"/>
    <col min="6411" max="6411" width="0.5703125" customWidth="1"/>
    <col min="6657" max="6657" width="6" customWidth="1"/>
    <col min="6658" max="6658" width="30" customWidth="1"/>
    <col min="6659" max="6659" width="6.28515625" customWidth="1"/>
    <col min="6660" max="6660" width="9.5703125" customWidth="1"/>
    <col min="6661" max="6662" width="12.42578125" customWidth="1"/>
    <col min="6663" max="6663" width="17.42578125" customWidth="1"/>
    <col min="6664" max="6664" width="0.85546875" customWidth="1"/>
    <col min="6665" max="6666" width="0.7109375" customWidth="1"/>
    <col min="6667" max="6667" width="0.5703125" customWidth="1"/>
    <col min="6913" max="6913" width="6" customWidth="1"/>
    <col min="6914" max="6914" width="30" customWidth="1"/>
    <col min="6915" max="6915" width="6.28515625" customWidth="1"/>
    <col min="6916" max="6916" width="9.5703125" customWidth="1"/>
    <col min="6917" max="6918" width="12.42578125" customWidth="1"/>
    <col min="6919" max="6919" width="17.42578125" customWidth="1"/>
    <col min="6920" max="6920" width="0.85546875" customWidth="1"/>
    <col min="6921" max="6922" width="0.7109375" customWidth="1"/>
    <col min="6923" max="6923" width="0.5703125" customWidth="1"/>
    <col min="7169" max="7169" width="6" customWidth="1"/>
    <col min="7170" max="7170" width="30" customWidth="1"/>
    <col min="7171" max="7171" width="6.28515625" customWidth="1"/>
    <col min="7172" max="7172" width="9.5703125" customWidth="1"/>
    <col min="7173" max="7174" width="12.42578125" customWidth="1"/>
    <col min="7175" max="7175" width="17.42578125" customWidth="1"/>
    <col min="7176" max="7176" width="0.85546875" customWidth="1"/>
    <col min="7177" max="7178" width="0.7109375" customWidth="1"/>
    <col min="7179" max="7179" width="0.5703125" customWidth="1"/>
    <col min="7425" max="7425" width="6" customWidth="1"/>
    <col min="7426" max="7426" width="30" customWidth="1"/>
    <col min="7427" max="7427" width="6.28515625" customWidth="1"/>
    <col min="7428" max="7428" width="9.5703125" customWidth="1"/>
    <col min="7429" max="7430" width="12.42578125" customWidth="1"/>
    <col min="7431" max="7431" width="17.42578125" customWidth="1"/>
    <col min="7432" max="7432" width="0.85546875" customWidth="1"/>
    <col min="7433" max="7434" width="0.7109375" customWidth="1"/>
    <col min="7435" max="7435" width="0.5703125" customWidth="1"/>
    <col min="7681" max="7681" width="6" customWidth="1"/>
    <col min="7682" max="7682" width="30" customWidth="1"/>
    <col min="7683" max="7683" width="6.28515625" customWidth="1"/>
    <col min="7684" max="7684" width="9.5703125" customWidth="1"/>
    <col min="7685" max="7686" width="12.42578125" customWidth="1"/>
    <col min="7687" max="7687" width="17.42578125" customWidth="1"/>
    <col min="7688" max="7688" width="0.85546875" customWidth="1"/>
    <col min="7689" max="7690" width="0.7109375" customWidth="1"/>
    <col min="7691" max="7691" width="0.5703125" customWidth="1"/>
    <col min="7937" max="7937" width="6" customWidth="1"/>
    <col min="7938" max="7938" width="30" customWidth="1"/>
    <col min="7939" max="7939" width="6.28515625" customWidth="1"/>
    <col min="7940" max="7940" width="9.5703125" customWidth="1"/>
    <col min="7941" max="7942" width="12.42578125" customWidth="1"/>
    <col min="7943" max="7943" width="17.42578125" customWidth="1"/>
    <col min="7944" max="7944" width="0.85546875" customWidth="1"/>
    <col min="7945" max="7946" width="0.7109375" customWidth="1"/>
    <col min="7947" max="7947" width="0.5703125" customWidth="1"/>
    <col min="8193" max="8193" width="6" customWidth="1"/>
    <col min="8194" max="8194" width="30" customWidth="1"/>
    <col min="8195" max="8195" width="6.28515625" customWidth="1"/>
    <col min="8196" max="8196" width="9.5703125" customWidth="1"/>
    <col min="8197" max="8198" width="12.42578125" customWidth="1"/>
    <col min="8199" max="8199" width="17.42578125" customWidth="1"/>
    <col min="8200" max="8200" width="0.85546875" customWidth="1"/>
    <col min="8201" max="8202" width="0.7109375" customWidth="1"/>
    <col min="8203" max="8203" width="0.5703125" customWidth="1"/>
    <col min="8449" max="8449" width="6" customWidth="1"/>
    <col min="8450" max="8450" width="30" customWidth="1"/>
    <col min="8451" max="8451" width="6.28515625" customWidth="1"/>
    <col min="8452" max="8452" width="9.5703125" customWidth="1"/>
    <col min="8453" max="8454" width="12.42578125" customWidth="1"/>
    <col min="8455" max="8455" width="17.42578125" customWidth="1"/>
    <col min="8456" max="8456" width="0.85546875" customWidth="1"/>
    <col min="8457" max="8458" width="0.7109375" customWidth="1"/>
    <col min="8459" max="8459" width="0.5703125" customWidth="1"/>
    <col min="8705" max="8705" width="6" customWidth="1"/>
    <col min="8706" max="8706" width="30" customWidth="1"/>
    <col min="8707" max="8707" width="6.28515625" customWidth="1"/>
    <col min="8708" max="8708" width="9.5703125" customWidth="1"/>
    <col min="8709" max="8710" width="12.42578125" customWidth="1"/>
    <col min="8711" max="8711" width="17.42578125" customWidth="1"/>
    <col min="8712" max="8712" width="0.85546875" customWidth="1"/>
    <col min="8713" max="8714" width="0.7109375" customWidth="1"/>
    <col min="8715" max="8715" width="0.5703125" customWidth="1"/>
    <col min="8961" max="8961" width="6" customWidth="1"/>
    <col min="8962" max="8962" width="30" customWidth="1"/>
    <col min="8963" max="8963" width="6.28515625" customWidth="1"/>
    <col min="8964" max="8964" width="9.5703125" customWidth="1"/>
    <col min="8965" max="8966" width="12.42578125" customWidth="1"/>
    <col min="8967" max="8967" width="17.42578125" customWidth="1"/>
    <col min="8968" max="8968" width="0.85546875" customWidth="1"/>
    <col min="8969" max="8970" width="0.7109375" customWidth="1"/>
    <col min="8971" max="8971" width="0.5703125" customWidth="1"/>
    <col min="9217" max="9217" width="6" customWidth="1"/>
    <col min="9218" max="9218" width="30" customWidth="1"/>
    <col min="9219" max="9219" width="6.28515625" customWidth="1"/>
    <col min="9220" max="9220" width="9.5703125" customWidth="1"/>
    <col min="9221" max="9222" width="12.42578125" customWidth="1"/>
    <col min="9223" max="9223" width="17.42578125" customWidth="1"/>
    <col min="9224" max="9224" width="0.85546875" customWidth="1"/>
    <col min="9225" max="9226" width="0.7109375" customWidth="1"/>
    <col min="9227" max="9227" width="0.5703125" customWidth="1"/>
    <col min="9473" max="9473" width="6" customWidth="1"/>
    <col min="9474" max="9474" width="30" customWidth="1"/>
    <col min="9475" max="9475" width="6.28515625" customWidth="1"/>
    <col min="9476" max="9476" width="9.5703125" customWidth="1"/>
    <col min="9477" max="9478" width="12.42578125" customWidth="1"/>
    <col min="9479" max="9479" width="17.42578125" customWidth="1"/>
    <col min="9480" max="9480" width="0.85546875" customWidth="1"/>
    <col min="9481" max="9482" width="0.7109375" customWidth="1"/>
    <col min="9483" max="9483" width="0.5703125" customWidth="1"/>
    <col min="9729" max="9729" width="6" customWidth="1"/>
    <col min="9730" max="9730" width="30" customWidth="1"/>
    <col min="9731" max="9731" width="6.28515625" customWidth="1"/>
    <col min="9732" max="9732" width="9.5703125" customWidth="1"/>
    <col min="9733" max="9734" width="12.42578125" customWidth="1"/>
    <col min="9735" max="9735" width="17.42578125" customWidth="1"/>
    <col min="9736" max="9736" width="0.85546875" customWidth="1"/>
    <col min="9737" max="9738" width="0.7109375" customWidth="1"/>
    <col min="9739" max="9739" width="0.5703125" customWidth="1"/>
    <col min="9985" max="9985" width="6" customWidth="1"/>
    <col min="9986" max="9986" width="30" customWidth="1"/>
    <col min="9987" max="9987" width="6.28515625" customWidth="1"/>
    <col min="9988" max="9988" width="9.5703125" customWidth="1"/>
    <col min="9989" max="9990" width="12.42578125" customWidth="1"/>
    <col min="9991" max="9991" width="17.42578125" customWidth="1"/>
    <col min="9992" max="9992" width="0.85546875" customWidth="1"/>
    <col min="9993" max="9994" width="0.7109375" customWidth="1"/>
    <col min="9995" max="9995" width="0.5703125" customWidth="1"/>
    <col min="10241" max="10241" width="6" customWidth="1"/>
    <col min="10242" max="10242" width="30" customWidth="1"/>
    <col min="10243" max="10243" width="6.28515625" customWidth="1"/>
    <col min="10244" max="10244" width="9.5703125" customWidth="1"/>
    <col min="10245" max="10246" width="12.42578125" customWidth="1"/>
    <col min="10247" max="10247" width="17.42578125" customWidth="1"/>
    <col min="10248" max="10248" width="0.85546875" customWidth="1"/>
    <col min="10249" max="10250" width="0.7109375" customWidth="1"/>
    <col min="10251" max="10251" width="0.5703125" customWidth="1"/>
    <col min="10497" max="10497" width="6" customWidth="1"/>
    <col min="10498" max="10498" width="30" customWidth="1"/>
    <col min="10499" max="10499" width="6.28515625" customWidth="1"/>
    <col min="10500" max="10500" width="9.5703125" customWidth="1"/>
    <col min="10501" max="10502" width="12.42578125" customWidth="1"/>
    <col min="10503" max="10503" width="17.42578125" customWidth="1"/>
    <col min="10504" max="10504" width="0.85546875" customWidth="1"/>
    <col min="10505" max="10506" width="0.7109375" customWidth="1"/>
    <col min="10507" max="10507" width="0.5703125" customWidth="1"/>
    <col min="10753" max="10753" width="6" customWidth="1"/>
    <col min="10754" max="10754" width="30" customWidth="1"/>
    <col min="10755" max="10755" width="6.28515625" customWidth="1"/>
    <col min="10756" max="10756" width="9.5703125" customWidth="1"/>
    <col min="10757" max="10758" width="12.42578125" customWidth="1"/>
    <col min="10759" max="10759" width="17.42578125" customWidth="1"/>
    <col min="10760" max="10760" width="0.85546875" customWidth="1"/>
    <col min="10761" max="10762" width="0.7109375" customWidth="1"/>
    <col min="10763" max="10763" width="0.5703125" customWidth="1"/>
    <col min="11009" max="11009" width="6" customWidth="1"/>
    <col min="11010" max="11010" width="30" customWidth="1"/>
    <col min="11011" max="11011" width="6.28515625" customWidth="1"/>
    <col min="11012" max="11012" width="9.5703125" customWidth="1"/>
    <col min="11013" max="11014" width="12.42578125" customWidth="1"/>
    <col min="11015" max="11015" width="17.42578125" customWidth="1"/>
    <col min="11016" max="11016" width="0.85546875" customWidth="1"/>
    <col min="11017" max="11018" width="0.7109375" customWidth="1"/>
    <col min="11019" max="11019" width="0.5703125" customWidth="1"/>
    <col min="11265" max="11265" width="6" customWidth="1"/>
    <col min="11266" max="11266" width="30" customWidth="1"/>
    <col min="11267" max="11267" width="6.28515625" customWidth="1"/>
    <col min="11268" max="11268" width="9.5703125" customWidth="1"/>
    <col min="11269" max="11270" width="12.42578125" customWidth="1"/>
    <col min="11271" max="11271" width="17.42578125" customWidth="1"/>
    <col min="11272" max="11272" width="0.85546875" customWidth="1"/>
    <col min="11273" max="11274" width="0.7109375" customWidth="1"/>
    <col min="11275" max="11275" width="0.5703125" customWidth="1"/>
    <col min="11521" max="11521" width="6" customWidth="1"/>
    <col min="11522" max="11522" width="30" customWidth="1"/>
    <col min="11523" max="11523" width="6.28515625" customWidth="1"/>
    <col min="11524" max="11524" width="9.5703125" customWidth="1"/>
    <col min="11525" max="11526" width="12.42578125" customWidth="1"/>
    <col min="11527" max="11527" width="17.42578125" customWidth="1"/>
    <col min="11528" max="11528" width="0.85546875" customWidth="1"/>
    <col min="11529" max="11530" width="0.7109375" customWidth="1"/>
    <col min="11531" max="11531" width="0.5703125" customWidth="1"/>
    <col min="11777" max="11777" width="6" customWidth="1"/>
    <col min="11778" max="11778" width="30" customWidth="1"/>
    <col min="11779" max="11779" width="6.28515625" customWidth="1"/>
    <col min="11780" max="11780" width="9.5703125" customWidth="1"/>
    <col min="11781" max="11782" width="12.42578125" customWidth="1"/>
    <col min="11783" max="11783" width="17.42578125" customWidth="1"/>
    <col min="11784" max="11784" width="0.85546875" customWidth="1"/>
    <col min="11785" max="11786" width="0.7109375" customWidth="1"/>
    <col min="11787" max="11787" width="0.5703125" customWidth="1"/>
    <col min="12033" max="12033" width="6" customWidth="1"/>
    <col min="12034" max="12034" width="30" customWidth="1"/>
    <col min="12035" max="12035" width="6.28515625" customWidth="1"/>
    <col min="12036" max="12036" width="9.5703125" customWidth="1"/>
    <col min="12037" max="12038" width="12.42578125" customWidth="1"/>
    <col min="12039" max="12039" width="17.42578125" customWidth="1"/>
    <col min="12040" max="12040" width="0.85546875" customWidth="1"/>
    <col min="12041" max="12042" width="0.7109375" customWidth="1"/>
    <col min="12043" max="12043" width="0.5703125" customWidth="1"/>
    <col min="12289" max="12289" width="6" customWidth="1"/>
    <col min="12290" max="12290" width="30" customWidth="1"/>
    <col min="12291" max="12291" width="6.28515625" customWidth="1"/>
    <col min="12292" max="12292" width="9.5703125" customWidth="1"/>
    <col min="12293" max="12294" width="12.42578125" customWidth="1"/>
    <col min="12295" max="12295" width="17.42578125" customWidth="1"/>
    <col min="12296" max="12296" width="0.85546875" customWidth="1"/>
    <col min="12297" max="12298" width="0.7109375" customWidth="1"/>
    <col min="12299" max="12299" width="0.5703125" customWidth="1"/>
    <col min="12545" max="12545" width="6" customWidth="1"/>
    <col min="12546" max="12546" width="30" customWidth="1"/>
    <col min="12547" max="12547" width="6.28515625" customWidth="1"/>
    <col min="12548" max="12548" width="9.5703125" customWidth="1"/>
    <col min="12549" max="12550" width="12.42578125" customWidth="1"/>
    <col min="12551" max="12551" width="17.42578125" customWidth="1"/>
    <col min="12552" max="12552" width="0.85546875" customWidth="1"/>
    <col min="12553" max="12554" width="0.7109375" customWidth="1"/>
    <col min="12555" max="12555" width="0.5703125" customWidth="1"/>
    <col min="12801" max="12801" width="6" customWidth="1"/>
    <col min="12802" max="12802" width="30" customWidth="1"/>
    <col min="12803" max="12803" width="6.28515625" customWidth="1"/>
    <col min="12804" max="12804" width="9.5703125" customWidth="1"/>
    <col min="12805" max="12806" width="12.42578125" customWidth="1"/>
    <col min="12807" max="12807" width="17.42578125" customWidth="1"/>
    <col min="12808" max="12808" width="0.85546875" customWidth="1"/>
    <col min="12809" max="12810" width="0.7109375" customWidth="1"/>
    <col min="12811" max="12811" width="0.5703125" customWidth="1"/>
    <col min="13057" max="13057" width="6" customWidth="1"/>
    <col min="13058" max="13058" width="30" customWidth="1"/>
    <col min="13059" max="13059" width="6.28515625" customWidth="1"/>
    <col min="13060" max="13060" width="9.5703125" customWidth="1"/>
    <col min="13061" max="13062" width="12.42578125" customWidth="1"/>
    <col min="13063" max="13063" width="17.42578125" customWidth="1"/>
    <col min="13064" max="13064" width="0.85546875" customWidth="1"/>
    <col min="13065" max="13066" width="0.7109375" customWidth="1"/>
    <col min="13067" max="13067" width="0.5703125" customWidth="1"/>
    <col min="13313" max="13313" width="6" customWidth="1"/>
    <col min="13314" max="13314" width="30" customWidth="1"/>
    <col min="13315" max="13315" width="6.28515625" customWidth="1"/>
    <col min="13316" max="13316" width="9.5703125" customWidth="1"/>
    <col min="13317" max="13318" width="12.42578125" customWidth="1"/>
    <col min="13319" max="13319" width="17.42578125" customWidth="1"/>
    <col min="13320" max="13320" width="0.85546875" customWidth="1"/>
    <col min="13321" max="13322" width="0.7109375" customWidth="1"/>
    <col min="13323" max="13323" width="0.5703125" customWidth="1"/>
    <col min="13569" max="13569" width="6" customWidth="1"/>
    <col min="13570" max="13570" width="30" customWidth="1"/>
    <col min="13571" max="13571" width="6.28515625" customWidth="1"/>
    <col min="13572" max="13572" width="9.5703125" customWidth="1"/>
    <col min="13573" max="13574" width="12.42578125" customWidth="1"/>
    <col min="13575" max="13575" width="17.42578125" customWidth="1"/>
    <col min="13576" max="13576" width="0.85546875" customWidth="1"/>
    <col min="13577" max="13578" width="0.7109375" customWidth="1"/>
    <col min="13579" max="13579" width="0.5703125" customWidth="1"/>
    <col min="13825" max="13825" width="6" customWidth="1"/>
    <col min="13826" max="13826" width="30" customWidth="1"/>
    <col min="13827" max="13827" width="6.28515625" customWidth="1"/>
    <col min="13828" max="13828" width="9.5703125" customWidth="1"/>
    <col min="13829" max="13830" width="12.42578125" customWidth="1"/>
    <col min="13831" max="13831" width="17.42578125" customWidth="1"/>
    <col min="13832" max="13832" width="0.85546875" customWidth="1"/>
    <col min="13833" max="13834" width="0.7109375" customWidth="1"/>
    <col min="13835" max="13835" width="0.5703125" customWidth="1"/>
    <col min="14081" max="14081" width="6" customWidth="1"/>
    <col min="14082" max="14082" width="30" customWidth="1"/>
    <col min="14083" max="14083" width="6.28515625" customWidth="1"/>
    <col min="14084" max="14084" width="9.5703125" customWidth="1"/>
    <col min="14085" max="14086" width="12.42578125" customWidth="1"/>
    <col min="14087" max="14087" width="17.42578125" customWidth="1"/>
    <col min="14088" max="14088" width="0.85546875" customWidth="1"/>
    <col min="14089" max="14090" width="0.7109375" customWidth="1"/>
    <col min="14091" max="14091" width="0.5703125" customWidth="1"/>
    <col min="14337" max="14337" width="6" customWidth="1"/>
    <col min="14338" max="14338" width="30" customWidth="1"/>
    <col min="14339" max="14339" width="6.28515625" customWidth="1"/>
    <col min="14340" max="14340" width="9.5703125" customWidth="1"/>
    <col min="14341" max="14342" width="12.42578125" customWidth="1"/>
    <col min="14343" max="14343" width="17.42578125" customWidth="1"/>
    <col min="14344" max="14344" width="0.85546875" customWidth="1"/>
    <col min="14345" max="14346" width="0.7109375" customWidth="1"/>
    <col min="14347" max="14347" width="0.5703125" customWidth="1"/>
    <col min="14593" max="14593" width="6" customWidth="1"/>
    <col min="14594" max="14594" width="30" customWidth="1"/>
    <col min="14595" max="14595" width="6.28515625" customWidth="1"/>
    <col min="14596" max="14596" width="9.5703125" customWidth="1"/>
    <col min="14597" max="14598" width="12.42578125" customWidth="1"/>
    <col min="14599" max="14599" width="17.42578125" customWidth="1"/>
    <col min="14600" max="14600" width="0.85546875" customWidth="1"/>
    <col min="14601" max="14602" width="0.7109375" customWidth="1"/>
    <col min="14603" max="14603" width="0.5703125" customWidth="1"/>
    <col min="14849" max="14849" width="6" customWidth="1"/>
    <col min="14850" max="14850" width="30" customWidth="1"/>
    <col min="14851" max="14851" width="6.28515625" customWidth="1"/>
    <col min="14852" max="14852" width="9.5703125" customWidth="1"/>
    <col min="14853" max="14854" width="12.42578125" customWidth="1"/>
    <col min="14855" max="14855" width="17.42578125" customWidth="1"/>
    <col min="14856" max="14856" width="0.85546875" customWidth="1"/>
    <col min="14857" max="14858" width="0.7109375" customWidth="1"/>
    <col min="14859" max="14859" width="0.5703125" customWidth="1"/>
    <col min="15105" max="15105" width="6" customWidth="1"/>
    <col min="15106" max="15106" width="30" customWidth="1"/>
    <col min="15107" max="15107" width="6.28515625" customWidth="1"/>
    <col min="15108" max="15108" width="9.5703125" customWidth="1"/>
    <col min="15109" max="15110" width="12.42578125" customWidth="1"/>
    <col min="15111" max="15111" width="17.42578125" customWidth="1"/>
    <col min="15112" max="15112" width="0.85546875" customWidth="1"/>
    <col min="15113" max="15114" width="0.7109375" customWidth="1"/>
    <col min="15115" max="15115" width="0.5703125" customWidth="1"/>
    <col min="15361" max="15361" width="6" customWidth="1"/>
    <col min="15362" max="15362" width="30" customWidth="1"/>
    <col min="15363" max="15363" width="6.28515625" customWidth="1"/>
    <col min="15364" max="15364" width="9.5703125" customWidth="1"/>
    <col min="15365" max="15366" width="12.42578125" customWidth="1"/>
    <col min="15367" max="15367" width="17.42578125" customWidth="1"/>
    <col min="15368" max="15368" width="0.85546875" customWidth="1"/>
    <col min="15369" max="15370" width="0.7109375" customWidth="1"/>
    <col min="15371" max="15371" width="0.5703125" customWidth="1"/>
    <col min="15617" max="15617" width="6" customWidth="1"/>
    <col min="15618" max="15618" width="30" customWidth="1"/>
    <col min="15619" max="15619" width="6.28515625" customWidth="1"/>
    <col min="15620" max="15620" width="9.5703125" customWidth="1"/>
    <col min="15621" max="15622" width="12.42578125" customWidth="1"/>
    <col min="15623" max="15623" width="17.42578125" customWidth="1"/>
    <col min="15624" max="15624" width="0.85546875" customWidth="1"/>
    <col min="15625" max="15626" width="0.7109375" customWidth="1"/>
    <col min="15627" max="15627" width="0.5703125" customWidth="1"/>
    <col min="15873" max="15873" width="6" customWidth="1"/>
    <col min="15874" max="15874" width="30" customWidth="1"/>
    <col min="15875" max="15875" width="6.28515625" customWidth="1"/>
    <col min="15876" max="15876" width="9.5703125" customWidth="1"/>
    <col min="15877" max="15878" width="12.42578125" customWidth="1"/>
    <col min="15879" max="15879" width="17.42578125" customWidth="1"/>
    <col min="15880" max="15880" width="0.85546875" customWidth="1"/>
    <col min="15881" max="15882" width="0.7109375" customWidth="1"/>
    <col min="15883" max="15883" width="0.5703125" customWidth="1"/>
    <col min="16129" max="16129" width="6" customWidth="1"/>
    <col min="16130" max="16130" width="30" customWidth="1"/>
    <col min="16131" max="16131" width="6.28515625" customWidth="1"/>
    <col min="16132" max="16132" width="9.5703125" customWidth="1"/>
    <col min="16133" max="16134" width="12.42578125" customWidth="1"/>
    <col min="16135" max="16135" width="17.42578125" customWidth="1"/>
    <col min="16136" max="16136" width="0.85546875" customWidth="1"/>
    <col min="16137" max="16138" width="0.7109375" customWidth="1"/>
    <col min="16139" max="16139" width="0.5703125" customWidth="1"/>
  </cols>
  <sheetData>
    <row r="1" spans="1:8" ht="21" customHeight="1">
      <c r="A1" s="680" t="s">
        <v>230</v>
      </c>
      <c r="B1" s="680"/>
      <c r="C1" s="680"/>
      <c r="D1" s="680"/>
      <c r="E1" s="680"/>
      <c r="F1" s="680"/>
      <c r="G1" s="680"/>
    </row>
    <row r="2" spans="1:8" ht="20.25" customHeight="1">
      <c r="A2" s="680" t="s">
        <v>231</v>
      </c>
      <c r="B2" s="680"/>
      <c r="C2" s="680"/>
      <c r="D2" s="680"/>
      <c r="E2" s="680"/>
      <c r="F2" s="680"/>
      <c r="G2" s="680"/>
    </row>
    <row r="3" spans="1:8" ht="16.5" customHeight="1">
      <c r="A3" s="681"/>
      <c r="B3" s="681"/>
      <c r="C3" s="681"/>
      <c r="D3" s="681"/>
      <c r="E3" s="681"/>
      <c r="F3" s="681"/>
      <c r="G3" s="681"/>
    </row>
    <row r="4" spans="1:8" ht="16.5" customHeight="1">
      <c r="A4" s="682" t="s">
        <v>232</v>
      </c>
      <c r="B4" s="682"/>
      <c r="C4" s="682"/>
      <c r="D4" s="682"/>
      <c r="E4" s="682"/>
      <c r="F4" s="682"/>
      <c r="G4" s="682"/>
    </row>
    <row r="5" spans="1:8" s="2" customFormat="1" ht="17.25" customHeight="1">
      <c r="A5" s="682" t="s">
        <v>233</v>
      </c>
      <c r="B5" s="682"/>
      <c r="C5" s="682"/>
      <c r="D5" s="682"/>
      <c r="E5" s="682"/>
      <c r="F5" s="683" t="s">
        <v>234</v>
      </c>
      <c r="G5" s="683"/>
    </row>
    <row r="6" spans="1:8" ht="18.75" customHeight="1">
      <c r="A6" s="3" t="s">
        <v>235</v>
      </c>
      <c r="B6" s="4" t="s">
        <v>236</v>
      </c>
      <c r="C6" s="4" t="s">
        <v>237</v>
      </c>
      <c r="D6" s="4" t="s">
        <v>238</v>
      </c>
      <c r="E6" s="5" t="s">
        <v>239</v>
      </c>
      <c r="F6" s="5" t="s">
        <v>240</v>
      </c>
      <c r="G6" s="4" t="s">
        <v>241</v>
      </c>
    </row>
    <row r="7" spans="1:8" ht="33">
      <c r="A7" s="6" t="s">
        <v>10</v>
      </c>
      <c r="B7" s="7" t="s">
        <v>12</v>
      </c>
      <c r="C7" s="8" t="s">
        <v>4</v>
      </c>
      <c r="D7" s="9">
        <v>1</v>
      </c>
      <c r="E7" s="9"/>
      <c r="F7" s="9">
        <v>257600000</v>
      </c>
      <c r="G7" s="10" t="s">
        <v>242</v>
      </c>
      <c r="H7" s="11" t="s">
        <v>243</v>
      </c>
    </row>
    <row r="8" spans="1:8" ht="33">
      <c r="A8" s="6" t="s">
        <v>206</v>
      </c>
      <c r="B8" s="7" t="s">
        <v>2</v>
      </c>
      <c r="C8" s="8" t="s">
        <v>4</v>
      </c>
      <c r="D8" s="9">
        <v>1</v>
      </c>
      <c r="E8" s="9"/>
      <c r="F8" s="9">
        <v>204487082.94999999</v>
      </c>
      <c r="G8" s="10" t="s">
        <v>242</v>
      </c>
      <c r="H8" s="11" t="s">
        <v>243</v>
      </c>
    </row>
    <row r="9" spans="1:8" ht="33">
      <c r="A9" s="6" t="s">
        <v>40</v>
      </c>
      <c r="B9" s="7" t="s">
        <v>244</v>
      </c>
      <c r="C9" s="8" t="s">
        <v>4</v>
      </c>
      <c r="D9" s="9">
        <v>1</v>
      </c>
      <c r="E9" s="9"/>
      <c r="F9" s="9">
        <v>58782953.579999998</v>
      </c>
      <c r="G9" s="10" t="s">
        <v>242</v>
      </c>
      <c r="H9" s="11" t="s">
        <v>243</v>
      </c>
    </row>
    <row r="10" spans="1:8" ht="42.75">
      <c r="A10" s="12" t="s">
        <v>41</v>
      </c>
      <c r="B10" s="7" t="s">
        <v>245</v>
      </c>
      <c r="C10" s="8" t="s">
        <v>6</v>
      </c>
      <c r="D10" s="9">
        <v>720.24</v>
      </c>
      <c r="E10" s="9">
        <v>193.11</v>
      </c>
      <c r="F10" s="9">
        <v>139085.54999999999</v>
      </c>
      <c r="G10" s="10" t="s">
        <v>246</v>
      </c>
      <c r="H10" s="11" t="s">
        <v>243</v>
      </c>
    </row>
    <row r="11" spans="1:8" ht="42.75">
      <c r="A11" s="12" t="s">
        <v>42</v>
      </c>
      <c r="B11" s="7" t="s">
        <v>247</v>
      </c>
      <c r="C11" s="8" t="s">
        <v>6</v>
      </c>
      <c r="D11" s="9">
        <v>4813.4399999999996</v>
      </c>
      <c r="E11" s="9">
        <v>1046.1600000000001</v>
      </c>
      <c r="F11" s="9">
        <v>5035628.3899999997</v>
      </c>
      <c r="G11" s="10" t="s">
        <v>248</v>
      </c>
      <c r="H11" s="11" t="s">
        <v>243</v>
      </c>
    </row>
    <row r="12" spans="1:8" ht="57">
      <c r="A12" s="12" t="s">
        <v>43</v>
      </c>
      <c r="B12" s="7" t="s">
        <v>249</v>
      </c>
      <c r="C12" s="8" t="s">
        <v>8</v>
      </c>
      <c r="D12" s="9">
        <v>1743</v>
      </c>
      <c r="E12" s="9">
        <v>6199.66</v>
      </c>
      <c r="F12" s="9">
        <v>10806007.380000001</v>
      </c>
      <c r="G12" s="10" t="s">
        <v>250</v>
      </c>
      <c r="H12" s="11" t="s">
        <v>243</v>
      </c>
    </row>
    <row r="13" spans="1:8" ht="47.25">
      <c r="A13" s="12" t="s">
        <v>44</v>
      </c>
      <c r="B13" s="7" t="s">
        <v>194</v>
      </c>
      <c r="C13" s="8" t="s">
        <v>23</v>
      </c>
      <c r="D13" s="9">
        <v>26370</v>
      </c>
      <c r="E13" s="9">
        <v>48.28</v>
      </c>
      <c r="F13" s="9">
        <v>1273143.6000000001</v>
      </c>
      <c r="G13" s="10" t="s">
        <v>251</v>
      </c>
      <c r="H13" s="11" t="s">
        <v>243</v>
      </c>
    </row>
    <row r="14" spans="1:8" ht="42.75">
      <c r="A14" s="12" t="s">
        <v>45</v>
      </c>
      <c r="B14" s="7" t="s">
        <v>252</v>
      </c>
      <c r="C14" s="8" t="s">
        <v>6</v>
      </c>
      <c r="D14" s="9">
        <v>4726.67</v>
      </c>
      <c r="E14" s="9">
        <v>599.71</v>
      </c>
      <c r="F14" s="9">
        <v>2834631.27</v>
      </c>
      <c r="G14" s="10" t="s">
        <v>253</v>
      </c>
      <c r="H14" s="11" t="s">
        <v>243</v>
      </c>
    </row>
    <row r="15" spans="1:8" ht="42.75">
      <c r="A15" s="12" t="s">
        <v>254</v>
      </c>
      <c r="B15" s="7" t="s">
        <v>255</v>
      </c>
      <c r="C15" s="8" t="s">
        <v>6</v>
      </c>
      <c r="D15" s="9">
        <v>13120</v>
      </c>
      <c r="E15" s="9">
        <v>104.64</v>
      </c>
      <c r="F15" s="9">
        <v>1372876.8</v>
      </c>
      <c r="G15" s="10" t="s">
        <v>256</v>
      </c>
      <c r="H15" s="11" t="s">
        <v>243</v>
      </c>
    </row>
    <row r="16" spans="1:8" ht="71.25">
      <c r="A16" s="12" t="s">
        <v>257</v>
      </c>
      <c r="B16" s="7" t="s">
        <v>258</v>
      </c>
      <c r="C16" s="8" t="s">
        <v>23</v>
      </c>
      <c r="D16" s="9">
        <v>13251</v>
      </c>
      <c r="E16" s="9">
        <v>1027.3699999999999</v>
      </c>
      <c r="F16" s="9">
        <v>13613679.869999999</v>
      </c>
      <c r="G16" s="10" t="s">
        <v>259</v>
      </c>
      <c r="H16" s="11" t="s">
        <v>243</v>
      </c>
    </row>
    <row r="17" spans="1:8" ht="42.75">
      <c r="A17" s="12" t="s">
        <v>260</v>
      </c>
      <c r="B17" s="7" t="s">
        <v>261</v>
      </c>
      <c r="C17" s="8" t="s">
        <v>6</v>
      </c>
      <c r="D17" s="9">
        <v>4601.4399999999996</v>
      </c>
      <c r="E17" s="9">
        <v>1084.98</v>
      </c>
      <c r="F17" s="9">
        <v>4992470.37</v>
      </c>
      <c r="G17" s="10" t="s">
        <v>262</v>
      </c>
      <c r="H17" s="11" t="s">
        <v>243</v>
      </c>
    </row>
    <row r="18" spans="1:8" ht="47.25">
      <c r="A18" s="12" t="s">
        <v>263</v>
      </c>
      <c r="B18" s="7" t="s">
        <v>264</v>
      </c>
      <c r="C18" s="8" t="s">
        <v>13</v>
      </c>
      <c r="D18" s="9">
        <v>2588.5</v>
      </c>
      <c r="E18" s="9">
        <v>30.45</v>
      </c>
      <c r="F18" s="9">
        <v>78819.83</v>
      </c>
      <c r="G18" s="10" t="s">
        <v>265</v>
      </c>
      <c r="H18" s="11" t="s">
        <v>243</v>
      </c>
    </row>
    <row r="19" spans="1:8" ht="47.25">
      <c r="A19" s="12" t="s">
        <v>266</v>
      </c>
      <c r="B19" s="7" t="s">
        <v>267</v>
      </c>
      <c r="C19" s="8" t="s">
        <v>13</v>
      </c>
      <c r="D19" s="9">
        <v>9177</v>
      </c>
      <c r="E19" s="9">
        <v>28.48</v>
      </c>
      <c r="F19" s="9">
        <v>261360.96</v>
      </c>
      <c r="G19" s="10" t="s">
        <v>268</v>
      </c>
      <c r="H19" s="11" t="s">
        <v>243</v>
      </c>
    </row>
    <row r="20" spans="1:8" ht="42.75">
      <c r="A20" s="12" t="s">
        <v>269</v>
      </c>
      <c r="B20" s="7" t="s">
        <v>270</v>
      </c>
      <c r="C20" s="8" t="s">
        <v>8</v>
      </c>
      <c r="D20" s="9">
        <v>162.5</v>
      </c>
      <c r="E20" s="9">
        <v>65.400000000000006</v>
      </c>
      <c r="F20" s="9">
        <v>10627.5</v>
      </c>
      <c r="G20" s="10" t="s">
        <v>271</v>
      </c>
      <c r="H20" s="11" t="s">
        <v>243</v>
      </c>
    </row>
    <row r="21" spans="1:8" ht="42.75">
      <c r="A21" s="12" t="s">
        <v>272</v>
      </c>
      <c r="B21" s="7" t="s">
        <v>273</v>
      </c>
      <c r="C21" s="8" t="s">
        <v>13</v>
      </c>
      <c r="D21" s="9">
        <v>5217.7</v>
      </c>
      <c r="E21" s="9">
        <v>20.190000000000001</v>
      </c>
      <c r="F21" s="9">
        <v>105345.36</v>
      </c>
      <c r="G21" s="10" t="s">
        <v>274</v>
      </c>
      <c r="H21" s="11" t="s">
        <v>243</v>
      </c>
    </row>
    <row r="22" spans="1:8" ht="42.75">
      <c r="A22" s="12" t="s">
        <v>275</v>
      </c>
      <c r="B22" s="7" t="s">
        <v>276</v>
      </c>
      <c r="C22" s="8" t="s">
        <v>6</v>
      </c>
      <c r="D22" s="9">
        <v>782.66</v>
      </c>
      <c r="E22" s="9">
        <v>2286.6799999999998</v>
      </c>
      <c r="F22" s="9">
        <v>1789692.97</v>
      </c>
      <c r="G22" s="10" t="s">
        <v>277</v>
      </c>
      <c r="H22" s="11" t="s">
        <v>243</v>
      </c>
    </row>
    <row r="23" spans="1:8" ht="57">
      <c r="A23" s="12" t="s">
        <v>278</v>
      </c>
      <c r="B23" s="7" t="s">
        <v>279</v>
      </c>
      <c r="C23" s="8" t="s">
        <v>14</v>
      </c>
      <c r="D23" s="9">
        <v>425</v>
      </c>
      <c r="E23" s="9">
        <v>521.15</v>
      </c>
      <c r="F23" s="9">
        <v>221488.75</v>
      </c>
      <c r="G23" s="10" t="s">
        <v>280</v>
      </c>
      <c r="H23" s="11" t="s">
        <v>243</v>
      </c>
    </row>
    <row r="24" spans="1:8" ht="42.75">
      <c r="A24" s="12" t="s">
        <v>281</v>
      </c>
      <c r="B24" s="7" t="s">
        <v>282</v>
      </c>
      <c r="C24" s="8" t="s">
        <v>8</v>
      </c>
      <c r="D24" s="9">
        <v>255.5</v>
      </c>
      <c r="E24" s="9">
        <v>289.67</v>
      </c>
      <c r="F24" s="9">
        <v>74010.69</v>
      </c>
      <c r="G24" s="10" t="s">
        <v>283</v>
      </c>
      <c r="H24" s="11" t="s">
        <v>243</v>
      </c>
    </row>
    <row r="25" spans="1:8" ht="42.75">
      <c r="A25" s="12" t="s">
        <v>284</v>
      </c>
      <c r="B25" s="7" t="s">
        <v>285</v>
      </c>
      <c r="C25" s="8" t="s">
        <v>286</v>
      </c>
      <c r="D25" s="9">
        <v>2204</v>
      </c>
      <c r="E25" s="9">
        <v>3082.11</v>
      </c>
      <c r="F25" s="9">
        <v>6792970.4400000004</v>
      </c>
      <c r="G25" s="10" t="s">
        <v>287</v>
      </c>
      <c r="H25" s="11" t="s">
        <v>243</v>
      </c>
    </row>
    <row r="26" spans="1:8" ht="57">
      <c r="A26" s="12" t="s">
        <v>288</v>
      </c>
      <c r="B26" s="7" t="s">
        <v>289</v>
      </c>
      <c r="C26" s="8" t="s">
        <v>290</v>
      </c>
      <c r="D26" s="9">
        <v>66</v>
      </c>
      <c r="E26" s="9">
        <v>3311.26</v>
      </c>
      <c r="F26" s="9">
        <v>218543.16</v>
      </c>
      <c r="G26" s="10" t="s">
        <v>291</v>
      </c>
      <c r="H26" s="11" t="s">
        <v>243</v>
      </c>
    </row>
    <row r="27" spans="1:8" ht="42.75">
      <c r="A27" s="12" t="s">
        <v>292</v>
      </c>
      <c r="B27" s="7" t="s">
        <v>293</v>
      </c>
      <c r="C27" s="8" t="s">
        <v>0</v>
      </c>
      <c r="D27" s="9">
        <v>18</v>
      </c>
      <c r="E27" s="9">
        <v>1199.93</v>
      </c>
      <c r="F27" s="9">
        <v>21598.74</v>
      </c>
      <c r="G27" s="10" t="s">
        <v>294</v>
      </c>
      <c r="H27" s="11" t="s">
        <v>243</v>
      </c>
    </row>
    <row r="28" spans="1:8" ht="42.75">
      <c r="A28" s="12" t="s">
        <v>295</v>
      </c>
      <c r="B28" s="7" t="s">
        <v>296</v>
      </c>
      <c r="C28" s="8" t="s">
        <v>0</v>
      </c>
      <c r="D28" s="9">
        <v>4</v>
      </c>
      <c r="E28" s="9">
        <v>2999.84</v>
      </c>
      <c r="F28" s="9">
        <v>11999.36</v>
      </c>
      <c r="G28" s="10" t="s">
        <v>297</v>
      </c>
      <c r="H28" s="11" t="s">
        <v>243</v>
      </c>
    </row>
    <row r="29" spans="1:8" ht="42.75">
      <c r="A29" s="12" t="s">
        <v>298</v>
      </c>
      <c r="B29" s="7" t="s">
        <v>299</v>
      </c>
      <c r="C29" s="8" t="s">
        <v>0</v>
      </c>
      <c r="D29" s="9">
        <v>20</v>
      </c>
      <c r="E29" s="9">
        <v>2999.84</v>
      </c>
      <c r="F29" s="9">
        <v>59996.800000000003</v>
      </c>
      <c r="G29" s="10" t="s">
        <v>300</v>
      </c>
      <c r="H29" s="11" t="s">
        <v>243</v>
      </c>
    </row>
    <row r="30" spans="1:8" ht="42.75">
      <c r="A30" s="12" t="s">
        <v>301</v>
      </c>
      <c r="B30" s="7" t="s">
        <v>302</v>
      </c>
      <c r="C30" s="8" t="s">
        <v>0</v>
      </c>
      <c r="D30" s="9">
        <v>15</v>
      </c>
      <c r="E30" s="9">
        <v>2999.84</v>
      </c>
      <c r="F30" s="9">
        <v>44997.599999999999</v>
      </c>
      <c r="G30" s="10" t="s">
        <v>303</v>
      </c>
      <c r="H30" s="11" t="s">
        <v>243</v>
      </c>
    </row>
    <row r="31" spans="1:8" ht="33">
      <c r="A31" s="12" t="s">
        <v>304</v>
      </c>
      <c r="B31" s="7" t="s">
        <v>305</v>
      </c>
      <c r="C31" s="8" t="s">
        <v>4</v>
      </c>
      <c r="D31" s="9">
        <v>1</v>
      </c>
      <c r="E31" s="9">
        <v>399978.19</v>
      </c>
      <c r="F31" s="9">
        <v>399978.19</v>
      </c>
      <c r="G31" s="10" t="s">
        <v>306</v>
      </c>
      <c r="H31" s="11" t="s">
        <v>243</v>
      </c>
    </row>
    <row r="32" spans="1:8" ht="33">
      <c r="A32" s="12" t="s">
        <v>307</v>
      </c>
      <c r="B32" s="7" t="s">
        <v>31</v>
      </c>
      <c r="C32" s="8" t="s">
        <v>16</v>
      </c>
      <c r="D32" s="9">
        <v>30800</v>
      </c>
      <c r="E32" s="9">
        <v>280</v>
      </c>
      <c r="F32" s="9">
        <v>8624000</v>
      </c>
      <c r="G32" s="10" t="s">
        <v>308</v>
      </c>
      <c r="H32" s="11" t="s">
        <v>243</v>
      </c>
    </row>
    <row r="33" spans="1:11" ht="33">
      <c r="A33" s="6" t="s">
        <v>46</v>
      </c>
      <c r="B33" s="7" t="s">
        <v>309</v>
      </c>
      <c r="C33" s="8" t="s">
        <v>4</v>
      </c>
      <c r="D33" s="9">
        <v>1</v>
      </c>
      <c r="E33" s="9"/>
      <c r="F33" s="9">
        <v>30807124.300000001</v>
      </c>
      <c r="G33" s="10" t="s">
        <v>242</v>
      </c>
      <c r="H33" s="11" t="s">
        <v>243</v>
      </c>
    </row>
    <row r="34" spans="1:11" ht="42.75">
      <c r="A34" s="12" t="s">
        <v>47</v>
      </c>
      <c r="B34" s="7" t="s">
        <v>310</v>
      </c>
      <c r="C34" s="8" t="s">
        <v>223</v>
      </c>
      <c r="D34" s="9">
        <v>1887.64</v>
      </c>
      <c r="E34" s="9">
        <v>320.72000000000003</v>
      </c>
      <c r="F34" s="9">
        <v>605403.9</v>
      </c>
      <c r="G34" s="10" t="s">
        <v>311</v>
      </c>
      <c r="H34" s="11" t="s">
        <v>243</v>
      </c>
    </row>
    <row r="35" spans="1:11" ht="42.75">
      <c r="A35" s="12" t="s">
        <v>48</v>
      </c>
      <c r="B35" s="7" t="s">
        <v>312</v>
      </c>
      <c r="C35" s="8" t="s">
        <v>223</v>
      </c>
      <c r="D35" s="9">
        <v>402.21</v>
      </c>
      <c r="E35" s="9">
        <v>346.06</v>
      </c>
      <c r="F35" s="9">
        <v>139188.79</v>
      </c>
      <c r="G35" s="10" t="s">
        <v>313</v>
      </c>
      <c r="H35" s="11" t="s">
        <v>243</v>
      </c>
    </row>
    <row r="36" spans="1:11" ht="57">
      <c r="A36" s="12" t="s">
        <v>49</v>
      </c>
      <c r="B36" s="7" t="s">
        <v>192</v>
      </c>
      <c r="C36" s="8" t="s">
        <v>17</v>
      </c>
      <c r="D36" s="9">
        <v>18865.759999999998</v>
      </c>
      <c r="E36" s="9">
        <v>36.4</v>
      </c>
      <c r="F36" s="9">
        <v>686713.66</v>
      </c>
      <c r="G36" s="10" t="s">
        <v>314</v>
      </c>
      <c r="H36" s="11" t="s">
        <v>243</v>
      </c>
    </row>
    <row r="37" spans="1:11" ht="42.75">
      <c r="A37" s="12" t="s">
        <v>50</v>
      </c>
      <c r="B37" s="7" t="s">
        <v>315</v>
      </c>
      <c r="C37" s="8" t="s">
        <v>6</v>
      </c>
      <c r="D37" s="9">
        <v>107.91</v>
      </c>
      <c r="E37" s="9">
        <v>3114.97</v>
      </c>
      <c r="F37" s="9">
        <v>336136.41</v>
      </c>
      <c r="G37" s="10" t="s">
        <v>316</v>
      </c>
      <c r="H37" s="11" t="s">
        <v>243</v>
      </c>
    </row>
    <row r="38" spans="1:11" ht="42.75">
      <c r="A38" s="12" t="s">
        <v>51</v>
      </c>
      <c r="B38" s="7" t="s">
        <v>24</v>
      </c>
      <c r="C38" s="8" t="s">
        <v>6</v>
      </c>
      <c r="D38" s="9">
        <v>564.01</v>
      </c>
      <c r="E38" s="9">
        <v>3320.96</v>
      </c>
      <c r="F38" s="9">
        <v>1873054.65</v>
      </c>
      <c r="G38" s="10" t="s">
        <v>317</v>
      </c>
      <c r="H38" s="11" t="s">
        <v>243</v>
      </c>
    </row>
    <row r="39" spans="1:11" s="15" customFormat="1" ht="85.5">
      <c r="A39" s="12" t="s">
        <v>52</v>
      </c>
      <c r="B39" s="7" t="s">
        <v>193</v>
      </c>
      <c r="C39" s="8" t="s">
        <v>13</v>
      </c>
      <c r="D39" s="9">
        <v>1926.87</v>
      </c>
      <c r="E39" s="9">
        <v>533.61</v>
      </c>
      <c r="F39" s="9">
        <v>1028197.1</v>
      </c>
      <c r="G39" s="10" t="s">
        <v>318</v>
      </c>
      <c r="H39" s="13" t="s">
        <v>243</v>
      </c>
      <c r="I39" s="14"/>
      <c r="J39" s="14"/>
      <c r="K39" s="14"/>
    </row>
    <row r="40" spans="1:11" s="15" customFormat="1" ht="71.25">
      <c r="A40" s="12" t="s">
        <v>53</v>
      </c>
      <c r="B40" s="7" t="s">
        <v>319</v>
      </c>
      <c r="C40" s="8" t="s">
        <v>13</v>
      </c>
      <c r="D40" s="9">
        <v>301.33</v>
      </c>
      <c r="E40" s="9">
        <v>1299.82</v>
      </c>
      <c r="F40" s="9">
        <v>391674.76</v>
      </c>
      <c r="G40" s="10" t="s">
        <v>320</v>
      </c>
      <c r="H40" s="13" t="s">
        <v>243</v>
      </c>
      <c r="I40" s="14"/>
      <c r="J40" s="14"/>
      <c r="K40" s="14"/>
    </row>
    <row r="41" spans="1:11" ht="71.25">
      <c r="A41" s="12" t="s">
        <v>54</v>
      </c>
      <c r="B41" s="7" t="s">
        <v>321</v>
      </c>
      <c r="C41" s="8" t="s">
        <v>17</v>
      </c>
      <c r="D41" s="9">
        <v>5991.34</v>
      </c>
      <c r="E41" s="9">
        <v>60</v>
      </c>
      <c r="F41" s="9">
        <v>359480.4</v>
      </c>
      <c r="G41" s="10" t="s">
        <v>322</v>
      </c>
      <c r="H41" s="11" t="s">
        <v>243</v>
      </c>
    </row>
    <row r="42" spans="1:11" ht="33">
      <c r="A42" s="12" t="s">
        <v>55</v>
      </c>
      <c r="B42" s="7" t="s">
        <v>323</v>
      </c>
      <c r="C42" s="8" t="s">
        <v>17</v>
      </c>
      <c r="D42" s="9">
        <v>5991.34</v>
      </c>
      <c r="E42" s="9">
        <v>31.9</v>
      </c>
      <c r="F42" s="9">
        <v>191123.75</v>
      </c>
      <c r="G42" s="10" t="s">
        <v>324</v>
      </c>
      <c r="H42" s="11" t="s">
        <v>243</v>
      </c>
    </row>
    <row r="43" spans="1:11" ht="71.25">
      <c r="A43" s="12" t="s">
        <v>56</v>
      </c>
      <c r="B43" s="7" t="s">
        <v>325</v>
      </c>
      <c r="C43" s="8" t="s">
        <v>17</v>
      </c>
      <c r="D43" s="9">
        <v>1180.03</v>
      </c>
      <c r="E43" s="9">
        <v>107.3</v>
      </c>
      <c r="F43" s="9">
        <v>126617.22</v>
      </c>
      <c r="G43" s="10" t="s">
        <v>326</v>
      </c>
      <c r="H43" s="11" t="s">
        <v>243</v>
      </c>
    </row>
    <row r="44" spans="1:11" ht="42.75">
      <c r="A44" s="12" t="s">
        <v>57</v>
      </c>
      <c r="B44" s="7" t="s">
        <v>327</v>
      </c>
      <c r="C44" s="8" t="s">
        <v>13</v>
      </c>
      <c r="D44" s="9">
        <v>3879.21</v>
      </c>
      <c r="E44" s="9">
        <v>3092.69</v>
      </c>
      <c r="F44" s="9">
        <v>11997193.970000001</v>
      </c>
      <c r="G44" s="10" t="s">
        <v>328</v>
      </c>
      <c r="H44" s="11" t="s">
        <v>243</v>
      </c>
    </row>
    <row r="45" spans="1:11" ht="42.75">
      <c r="A45" s="12" t="s">
        <v>58</v>
      </c>
      <c r="B45" s="7" t="s">
        <v>329</v>
      </c>
      <c r="C45" s="8" t="s">
        <v>13</v>
      </c>
      <c r="D45" s="9">
        <v>462.9</v>
      </c>
      <c r="E45" s="9">
        <v>3961.37</v>
      </c>
      <c r="F45" s="9">
        <v>1833718.17</v>
      </c>
      <c r="G45" s="10" t="s">
        <v>330</v>
      </c>
      <c r="H45" s="11" t="s">
        <v>243</v>
      </c>
    </row>
    <row r="46" spans="1:11" ht="42.75">
      <c r="A46" s="12" t="s">
        <v>59</v>
      </c>
      <c r="B46" s="7" t="s">
        <v>331</v>
      </c>
      <c r="C46" s="8" t="s">
        <v>13</v>
      </c>
      <c r="D46" s="9">
        <v>5.09</v>
      </c>
      <c r="E46" s="9">
        <v>3965.59</v>
      </c>
      <c r="F46" s="9">
        <v>20184.849999999999</v>
      </c>
      <c r="G46" s="10" t="s">
        <v>332</v>
      </c>
      <c r="H46" s="11" t="s">
        <v>243</v>
      </c>
    </row>
    <row r="47" spans="1:11" ht="42.75">
      <c r="A47" s="12" t="s">
        <v>60</v>
      </c>
      <c r="B47" s="7" t="s">
        <v>333</v>
      </c>
      <c r="C47" s="8" t="s">
        <v>13</v>
      </c>
      <c r="D47" s="9">
        <v>18.760000000000002</v>
      </c>
      <c r="E47" s="9">
        <v>3391.22</v>
      </c>
      <c r="F47" s="9">
        <v>63619.29</v>
      </c>
      <c r="G47" s="10" t="s">
        <v>334</v>
      </c>
      <c r="H47" s="11" t="s">
        <v>243</v>
      </c>
    </row>
    <row r="48" spans="1:11" ht="42.75">
      <c r="A48" s="12" t="s">
        <v>61</v>
      </c>
      <c r="B48" s="7" t="s">
        <v>335</v>
      </c>
      <c r="C48" s="8" t="s">
        <v>13</v>
      </c>
      <c r="D48" s="9">
        <v>118.92</v>
      </c>
      <c r="E48" s="9">
        <v>773.85</v>
      </c>
      <c r="F48" s="9">
        <v>92026.240000000005</v>
      </c>
      <c r="G48" s="10" t="s">
        <v>336</v>
      </c>
      <c r="H48" s="11" t="s">
        <v>243</v>
      </c>
    </row>
    <row r="49" spans="1:8" ht="42.75">
      <c r="A49" s="12" t="s">
        <v>62</v>
      </c>
      <c r="B49" s="7" t="s">
        <v>337</v>
      </c>
      <c r="C49" s="8" t="s">
        <v>13</v>
      </c>
      <c r="D49" s="9">
        <v>173.3</v>
      </c>
      <c r="E49" s="9">
        <v>948.34</v>
      </c>
      <c r="F49" s="9">
        <v>164347.32</v>
      </c>
      <c r="G49" s="10" t="s">
        <v>338</v>
      </c>
      <c r="H49" s="11" t="s">
        <v>243</v>
      </c>
    </row>
    <row r="50" spans="1:8" ht="42.75">
      <c r="A50" s="12" t="s">
        <v>63</v>
      </c>
      <c r="B50" s="7" t="s">
        <v>339</v>
      </c>
      <c r="C50" s="8" t="s">
        <v>0</v>
      </c>
      <c r="D50" s="9">
        <v>1</v>
      </c>
      <c r="E50" s="9">
        <v>144378.63</v>
      </c>
      <c r="F50" s="9">
        <v>144378.63</v>
      </c>
      <c r="G50" s="10" t="s">
        <v>340</v>
      </c>
      <c r="H50" s="11" t="s">
        <v>243</v>
      </c>
    </row>
    <row r="51" spans="1:8" ht="42.75">
      <c r="A51" s="12" t="s">
        <v>64</v>
      </c>
      <c r="B51" s="7" t="s">
        <v>341</v>
      </c>
      <c r="C51" s="8" t="s">
        <v>223</v>
      </c>
      <c r="D51" s="9">
        <v>156.68</v>
      </c>
      <c r="E51" s="9">
        <v>145.21</v>
      </c>
      <c r="F51" s="9">
        <v>22751.5</v>
      </c>
      <c r="G51" s="10" t="s">
        <v>342</v>
      </c>
      <c r="H51" s="11" t="s">
        <v>243</v>
      </c>
    </row>
    <row r="52" spans="1:8" ht="42.75">
      <c r="A52" s="12" t="s">
        <v>65</v>
      </c>
      <c r="B52" s="7" t="s">
        <v>343</v>
      </c>
      <c r="C52" s="8" t="s">
        <v>8</v>
      </c>
      <c r="D52" s="9">
        <v>689.86</v>
      </c>
      <c r="E52" s="9">
        <v>2755.78</v>
      </c>
      <c r="F52" s="9">
        <v>1901102.39</v>
      </c>
      <c r="G52" s="10" t="s">
        <v>344</v>
      </c>
      <c r="H52" s="11" t="s">
        <v>243</v>
      </c>
    </row>
    <row r="53" spans="1:8" ht="42.75">
      <c r="A53" s="12" t="s">
        <v>66</v>
      </c>
      <c r="B53" s="7" t="s">
        <v>345</v>
      </c>
      <c r="C53" s="8" t="s">
        <v>8</v>
      </c>
      <c r="D53" s="9">
        <v>12.91</v>
      </c>
      <c r="E53" s="9">
        <v>576.77</v>
      </c>
      <c r="F53" s="9">
        <v>7446.1</v>
      </c>
      <c r="G53" s="10" t="s">
        <v>346</v>
      </c>
      <c r="H53" s="11" t="s">
        <v>243</v>
      </c>
    </row>
    <row r="54" spans="1:8" ht="42.75">
      <c r="A54" s="12" t="s">
        <v>67</v>
      </c>
      <c r="B54" s="7" t="s">
        <v>347</v>
      </c>
      <c r="C54" s="8" t="s">
        <v>8</v>
      </c>
      <c r="D54" s="9">
        <v>56.09</v>
      </c>
      <c r="E54" s="9">
        <v>615.30999999999995</v>
      </c>
      <c r="F54" s="9">
        <v>34512.74</v>
      </c>
      <c r="G54" s="10" t="s">
        <v>348</v>
      </c>
      <c r="H54" s="11" t="s">
        <v>243</v>
      </c>
    </row>
    <row r="55" spans="1:8" ht="42.75">
      <c r="A55" s="12" t="s">
        <v>68</v>
      </c>
      <c r="B55" s="7" t="s">
        <v>349</v>
      </c>
      <c r="C55" s="8" t="s">
        <v>8</v>
      </c>
      <c r="D55" s="9">
        <v>656.91</v>
      </c>
      <c r="E55" s="9">
        <v>685.27</v>
      </c>
      <c r="F55" s="9">
        <v>450160.72</v>
      </c>
      <c r="G55" s="10" t="s">
        <v>350</v>
      </c>
      <c r="H55" s="11" t="s">
        <v>243</v>
      </c>
    </row>
    <row r="56" spans="1:8" ht="42.75">
      <c r="A56" s="12" t="s">
        <v>69</v>
      </c>
      <c r="B56" s="7" t="s">
        <v>351</v>
      </c>
      <c r="C56" s="8" t="s">
        <v>8</v>
      </c>
      <c r="D56" s="9">
        <v>1254.1300000000001</v>
      </c>
      <c r="E56" s="9">
        <v>699.69</v>
      </c>
      <c r="F56" s="9">
        <v>877502.22</v>
      </c>
      <c r="G56" s="10" t="s">
        <v>352</v>
      </c>
      <c r="H56" s="11" t="s">
        <v>243</v>
      </c>
    </row>
    <row r="57" spans="1:8" ht="42.75">
      <c r="A57" s="12" t="s">
        <v>70</v>
      </c>
      <c r="B57" s="7" t="s">
        <v>353</v>
      </c>
      <c r="C57" s="8" t="s">
        <v>8</v>
      </c>
      <c r="D57" s="9">
        <v>44.64</v>
      </c>
      <c r="E57" s="9">
        <v>1199.27</v>
      </c>
      <c r="F57" s="9">
        <v>53535.41</v>
      </c>
      <c r="G57" s="10" t="s">
        <v>354</v>
      </c>
      <c r="H57" s="11" t="s">
        <v>243</v>
      </c>
    </row>
    <row r="58" spans="1:8" ht="42.75">
      <c r="A58" s="12" t="s">
        <v>71</v>
      </c>
      <c r="B58" s="7" t="s">
        <v>355</v>
      </c>
      <c r="C58" s="8" t="s">
        <v>8</v>
      </c>
      <c r="D58" s="9">
        <v>142.26</v>
      </c>
      <c r="E58" s="9">
        <v>57.68</v>
      </c>
      <c r="F58" s="9">
        <v>8205.56</v>
      </c>
      <c r="G58" s="10" t="s">
        <v>356</v>
      </c>
      <c r="H58" s="11" t="s">
        <v>243</v>
      </c>
    </row>
    <row r="59" spans="1:8" ht="42.75">
      <c r="A59" s="12" t="s">
        <v>72</v>
      </c>
      <c r="B59" s="7" t="s">
        <v>357</v>
      </c>
      <c r="C59" s="8" t="s">
        <v>8</v>
      </c>
      <c r="D59" s="9">
        <v>8.5</v>
      </c>
      <c r="E59" s="9">
        <v>138.84</v>
      </c>
      <c r="F59" s="9">
        <v>1180.1400000000001</v>
      </c>
      <c r="G59" s="10" t="s">
        <v>358</v>
      </c>
      <c r="H59" s="11" t="s">
        <v>243</v>
      </c>
    </row>
    <row r="60" spans="1:8" ht="42.75">
      <c r="A60" s="12" t="s">
        <v>73</v>
      </c>
      <c r="B60" s="7" t="s">
        <v>359</v>
      </c>
      <c r="C60" s="8" t="s">
        <v>13</v>
      </c>
      <c r="D60" s="9">
        <v>20.48</v>
      </c>
      <c r="E60" s="9">
        <v>2145.31</v>
      </c>
      <c r="F60" s="9">
        <v>43935.95</v>
      </c>
      <c r="G60" s="10" t="s">
        <v>360</v>
      </c>
      <c r="H60" s="11" t="s">
        <v>243</v>
      </c>
    </row>
    <row r="61" spans="1:8" ht="42.75">
      <c r="A61" s="12" t="s">
        <v>74</v>
      </c>
      <c r="B61" s="7" t="s">
        <v>361</v>
      </c>
      <c r="C61" s="8" t="s">
        <v>8</v>
      </c>
      <c r="D61" s="9">
        <v>56.1</v>
      </c>
      <c r="E61" s="9">
        <v>511.36</v>
      </c>
      <c r="F61" s="9">
        <v>28687.3</v>
      </c>
      <c r="G61" s="10" t="s">
        <v>362</v>
      </c>
      <c r="H61" s="11" t="s">
        <v>243</v>
      </c>
    </row>
    <row r="62" spans="1:8" ht="42.75">
      <c r="A62" s="12" t="s">
        <v>75</v>
      </c>
      <c r="B62" s="7" t="s">
        <v>363</v>
      </c>
      <c r="C62" s="8" t="s">
        <v>8</v>
      </c>
      <c r="D62" s="9">
        <v>16.600000000000001</v>
      </c>
      <c r="E62" s="9">
        <v>829.1</v>
      </c>
      <c r="F62" s="9">
        <v>13763.06</v>
      </c>
      <c r="G62" s="10" t="s">
        <v>364</v>
      </c>
      <c r="H62" s="11" t="s">
        <v>243</v>
      </c>
    </row>
    <row r="63" spans="1:8" ht="42.75">
      <c r="A63" s="12" t="s">
        <v>76</v>
      </c>
      <c r="B63" s="7" t="s">
        <v>365</v>
      </c>
      <c r="C63" s="8" t="s">
        <v>8</v>
      </c>
      <c r="D63" s="9">
        <v>2</v>
      </c>
      <c r="E63" s="9">
        <v>443.91</v>
      </c>
      <c r="F63" s="9">
        <v>887.82</v>
      </c>
      <c r="G63" s="10" t="s">
        <v>366</v>
      </c>
      <c r="H63" s="11" t="s">
        <v>243</v>
      </c>
    </row>
    <row r="64" spans="1:8" ht="42.75">
      <c r="A64" s="12" t="s">
        <v>215</v>
      </c>
      <c r="B64" s="7" t="s">
        <v>367</v>
      </c>
      <c r="C64" s="8" t="s">
        <v>0</v>
      </c>
      <c r="D64" s="9">
        <v>7</v>
      </c>
      <c r="E64" s="9">
        <v>26450.3</v>
      </c>
      <c r="F64" s="9">
        <v>185152.1</v>
      </c>
      <c r="G64" s="10" t="s">
        <v>368</v>
      </c>
      <c r="H64" s="11" t="s">
        <v>243</v>
      </c>
    </row>
    <row r="65" spans="1:8" ht="42.75">
      <c r="A65" s="12" t="s">
        <v>216</v>
      </c>
      <c r="B65" s="7" t="s">
        <v>369</v>
      </c>
      <c r="C65" s="8" t="s">
        <v>8</v>
      </c>
      <c r="D65" s="9">
        <v>19.2</v>
      </c>
      <c r="E65" s="9">
        <v>443.91</v>
      </c>
      <c r="F65" s="9">
        <v>8523.07</v>
      </c>
      <c r="G65" s="10" t="s">
        <v>370</v>
      </c>
      <c r="H65" s="11" t="s">
        <v>243</v>
      </c>
    </row>
    <row r="66" spans="1:8" ht="42.75">
      <c r="A66" s="12" t="s">
        <v>371</v>
      </c>
      <c r="B66" s="7" t="s">
        <v>372</v>
      </c>
      <c r="C66" s="8" t="s">
        <v>0</v>
      </c>
      <c r="D66" s="9">
        <v>2</v>
      </c>
      <c r="E66" s="9">
        <v>23899.56</v>
      </c>
      <c r="F66" s="9">
        <v>47799.12</v>
      </c>
      <c r="G66" s="10" t="s">
        <v>373</v>
      </c>
      <c r="H66" s="11" t="s">
        <v>243</v>
      </c>
    </row>
    <row r="67" spans="1:8" ht="42.75">
      <c r="A67" s="12" t="s">
        <v>208</v>
      </c>
      <c r="B67" s="7" t="s">
        <v>374</v>
      </c>
      <c r="C67" s="8" t="s">
        <v>0</v>
      </c>
      <c r="D67" s="9">
        <v>8</v>
      </c>
      <c r="E67" s="9">
        <v>25125.57</v>
      </c>
      <c r="F67" s="9">
        <v>201004.56</v>
      </c>
      <c r="G67" s="10" t="s">
        <v>375</v>
      </c>
      <c r="H67" s="11" t="s">
        <v>243</v>
      </c>
    </row>
    <row r="68" spans="1:8" ht="42.75">
      <c r="A68" s="12" t="s">
        <v>209</v>
      </c>
      <c r="B68" s="7" t="s">
        <v>376</v>
      </c>
      <c r="C68" s="8" t="s">
        <v>0</v>
      </c>
      <c r="D68" s="9">
        <v>3</v>
      </c>
      <c r="E68" s="9">
        <v>24022.04</v>
      </c>
      <c r="F68" s="9">
        <v>72066.12</v>
      </c>
      <c r="G68" s="10" t="s">
        <v>377</v>
      </c>
      <c r="H68" s="11" t="s">
        <v>243</v>
      </c>
    </row>
    <row r="69" spans="1:8" ht="42.75">
      <c r="A69" s="12" t="s">
        <v>210</v>
      </c>
      <c r="B69" s="7" t="s">
        <v>378</v>
      </c>
      <c r="C69" s="8" t="s">
        <v>8</v>
      </c>
      <c r="D69" s="9">
        <v>30.1</v>
      </c>
      <c r="E69" s="9">
        <v>545.1</v>
      </c>
      <c r="F69" s="9">
        <v>16407.509999999998</v>
      </c>
      <c r="G69" s="10" t="s">
        <v>379</v>
      </c>
      <c r="H69" s="11" t="s">
        <v>243</v>
      </c>
    </row>
    <row r="70" spans="1:8" ht="42.75">
      <c r="A70" s="12" t="s">
        <v>211</v>
      </c>
      <c r="B70" s="7" t="s">
        <v>380</v>
      </c>
      <c r="C70" s="8" t="s">
        <v>8</v>
      </c>
      <c r="D70" s="9">
        <v>31.2</v>
      </c>
      <c r="E70" s="9">
        <v>8355.11</v>
      </c>
      <c r="F70" s="9">
        <v>260679.43</v>
      </c>
      <c r="G70" s="10" t="s">
        <v>381</v>
      </c>
      <c r="H70" s="11" t="s">
        <v>243</v>
      </c>
    </row>
    <row r="71" spans="1:8" ht="42.75">
      <c r="A71" s="12" t="s">
        <v>382</v>
      </c>
      <c r="B71" s="7" t="s">
        <v>383</v>
      </c>
      <c r="C71" s="8" t="s">
        <v>8</v>
      </c>
      <c r="D71" s="9">
        <v>17.899999999999999</v>
      </c>
      <c r="E71" s="9">
        <v>5394.64</v>
      </c>
      <c r="F71" s="9">
        <v>96564.06</v>
      </c>
      <c r="G71" s="10" t="s">
        <v>384</v>
      </c>
      <c r="H71" s="11" t="s">
        <v>243</v>
      </c>
    </row>
    <row r="72" spans="1:8" ht="42.75">
      <c r="A72" s="12" t="s">
        <v>385</v>
      </c>
      <c r="B72" s="7" t="s">
        <v>386</v>
      </c>
      <c r="C72" s="8" t="s">
        <v>8</v>
      </c>
      <c r="D72" s="9">
        <v>19.600000000000001</v>
      </c>
      <c r="E72" s="9">
        <v>432.57</v>
      </c>
      <c r="F72" s="9">
        <v>8478.3700000000008</v>
      </c>
      <c r="G72" s="10" t="s">
        <v>387</v>
      </c>
      <c r="H72" s="11" t="s">
        <v>243</v>
      </c>
    </row>
    <row r="73" spans="1:8" ht="42.75">
      <c r="A73" s="12" t="s">
        <v>388</v>
      </c>
      <c r="B73" s="7" t="s">
        <v>389</v>
      </c>
      <c r="C73" s="8" t="s">
        <v>8</v>
      </c>
      <c r="D73" s="9">
        <v>24.9</v>
      </c>
      <c r="E73" s="9">
        <v>1224.22</v>
      </c>
      <c r="F73" s="9">
        <v>30483.08</v>
      </c>
      <c r="G73" s="10" t="s">
        <v>390</v>
      </c>
      <c r="H73" s="11" t="s">
        <v>243</v>
      </c>
    </row>
    <row r="74" spans="1:8" ht="42.75">
      <c r="A74" s="12" t="s">
        <v>391</v>
      </c>
      <c r="B74" s="7" t="s">
        <v>392</v>
      </c>
      <c r="C74" s="8" t="s">
        <v>8</v>
      </c>
      <c r="D74" s="9">
        <v>3.5</v>
      </c>
      <c r="E74" s="9">
        <v>1148.6300000000001</v>
      </c>
      <c r="F74" s="9">
        <v>4020.21</v>
      </c>
      <c r="G74" s="10" t="s">
        <v>393</v>
      </c>
      <c r="H74" s="11" t="s">
        <v>243</v>
      </c>
    </row>
    <row r="75" spans="1:8" ht="42.75">
      <c r="A75" s="12" t="s">
        <v>394</v>
      </c>
      <c r="B75" s="7" t="s">
        <v>395</v>
      </c>
      <c r="C75" s="8" t="s">
        <v>0</v>
      </c>
      <c r="D75" s="9">
        <v>1</v>
      </c>
      <c r="E75" s="9">
        <v>5698.63</v>
      </c>
      <c r="F75" s="9">
        <v>5698.63</v>
      </c>
      <c r="G75" s="10" t="s">
        <v>396</v>
      </c>
      <c r="H75" s="11" t="s">
        <v>243</v>
      </c>
    </row>
    <row r="76" spans="1:8" ht="42.75">
      <c r="A76" s="12" t="s">
        <v>397</v>
      </c>
      <c r="B76" s="7" t="s">
        <v>398</v>
      </c>
      <c r="C76" s="8" t="s">
        <v>0</v>
      </c>
      <c r="D76" s="9">
        <v>1</v>
      </c>
      <c r="E76" s="9">
        <v>5963.22</v>
      </c>
      <c r="F76" s="9">
        <v>5963.22</v>
      </c>
      <c r="G76" s="10" t="s">
        <v>399</v>
      </c>
      <c r="H76" s="11" t="s">
        <v>243</v>
      </c>
    </row>
    <row r="77" spans="1:8" ht="42.75">
      <c r="A77" s="12" t="s">
        <v>400</v>
      </c>
      <c r="B77" s="7" t="s">
        <v>401</v>
      </c>
      <c r="C77" s="8" t="s">
        <v>0</v>
      </c>
      <c r="D77" s="9">
        <v>1</v>
      </c>
      <c r="E77" s="9">
        <v>1421.11</v>
      </c>
      <c r="F77" s="9">
        <v>1421.11</v>
      </c>
      <c r="G77" s="10" t="s">
        <v>402</v>
      </c>
      <c r="H77" s="11" t="s">
        <v>243</v>
      </c>
    </row>
    <row r="78" spans="1:8" ht="42.75">
      <c r="A78" s="12" t="s">
        <v>403</v>
      </c>
      <c r="B78" s="7" t="s">
        <v>404</v>
      </c>
      <c r="C78" s="8" t="s">
        <v>0</v>
      </c>
      <c r="D78" s="9">
        <v>1</v>
      </c>
      <c r="E78" s="9">
        <v>4031.83</v>
      </c>
      <c r="F78" s="9">
        <v>4031.83</v>
      </c>
      <c r="G78" s="10" t="s">
        <v>405</v>
      </c>
      <c r="H78" s="11" t="s">
        <v>243</v>
      </c>
    </row>
    <row r="79" spans="1:8" ht="42.75">
      <c r="A79" s="12" t="s">
        <v>406</v>
      </c>
      <c r="B79" s="7" t="s">
        <v>407</v>
      </c>
      <c r="C79" s="8" t="s">
        <v>0</v>
      </c>
      <c r="D79" s="9">
        <v>1</v>
      </c>
      <c r="E79" s="9">
        <v>3313.67</v>
      </c>
      <c r="F79" s="9">
        <v>3313.67</v>
      </c>
      <c r="G79" s="10" t="s">
        <v>408</v>
      </c>
      <c r="H79" s="11" t="s">
        <v>243</v>
      </c>
    </row>
    <row r="80" spans="1:8" ht="42.75">
      <c r="A80" s="12" t="s">
        <v>409</v>
      </c>
      <c r="B80" s="7" t="s">
        <v>410</v>
      </c>
      <c r="C80" s="8" t="s">
        <v>8</v>
      </c>
      <c r="D80" s="9">
        <v>149.5</v>
      </c>
      <c r="E80" s="9">
        <v>1975.94</v>
      </c>
      <c r="F80" s="9">
        <v>295403.03000000003</v>
      </c>
      <c r="G80" s="10" t="s">
        <v>411</v>
      </c>
      <c r="H80" s="11" t="s">
        <v>243</v>
      </c>
    </row>
    <row r="81" spans="1:8" ht="42.75">
      <c r="A81" s="12" t="s">
        <v>412</v>
      </c>
      <c r="B81" s="7" t="s">
        <v>413</v>
      </c>
      <c r="C81" s="8" t="s">
        <v>8</v>
      </c>
      <c r="D81" s="9">
        <v>39.299999999999997</v>
      </c>
      <c r="E81" s="9">
        <v>4874.2299999999996</v>
      </c>
      <c r="F81" s="9">
        <v>191557.24</v>
      </c>
      <c r="G81" s="10" t="s">
        <v>414</v>
      </c>
      <c r="H81" s="11" t="s">
        <v>243</v>
      </c>
    </row>
    <row r="82" spans="1:8" ht="42.75">
      <c r="A82" s="12" t="s">
        <v>415</v>
      </c>
      <c r="B82" s="7" t="s">
        <v>416</v>
      </c>
      <c r="C82" s="8" t="s">
        <v>8</v>
      </c>
      <c r="D82" s="9">
        <v>51.3</v>
      </c>
      <c r="E82" s="9">
        <v>2938.96</v>
      </c>
      <c r="F82" s="9">
        <v>150768.65</v>
      </c>
      <c r="G82" s="10" t="s">
        <v>417</v>
      </c>
      <c r="H82" s="11" t="s">
        <v>243</v>
      </c>
    </row>
    <row r="83" spans="1:8" ht="42.75">
      <c r="A83" s="12" t="s">
        <v>418</v>
      </c>
      <c r="B83" s="7" t="s">
        <v>419</v>
      </c>
      <c r="C83" s="8" t="s">
        <v>0</v>
      </c>
      <c r="D83" s="9">
        <v>1</v>
      </c>
      <c r="E83" s="9">
        <v>23029.53</v>
      </c>
      <c r="F83" s="9">
        <v>23029.53</v>
      </c>
      <c r="G83" s="10" t="s">
        <v>420</v>
      </c>
      <c r="H83" s="11" t="s">
        <v>243</v>
      </c>
    </row>
    <row r="84" spans="1:8" ht="42.75">
      <c r="A84" s="12" t="s">
        <v>421</v>
      </c>
      <c r="B84" s="7" t="s">
        <v>422</v>
      </c>
      <c r="C84" s="8" t="s">
        <v>0</v>
      </c>
      <c r="D84" s="9">
        <v>2</v>
      </c>
      <c r="E84" s="9">
        <v>18604.87</v>
      </c>
      <c r="F84" s="9">
        <v>37209.74</v>
      </c>
      <c r="G84" s="10" t="s">
        <v>423</v>
      </c>
      <c r="H84" s="11" t="s">
        <v>243</v>
      </c>
    </row>
    <row r="85" spans="1:8" ht="42.75">
      <c r="A85" s="12" t="s">
        <v>424</v>
      </c>
      <c r="B85" s="7" t="s">
        <v>425</v>
      </c>
      <c r="C85" s="8" t="s">
        <v>0</v>
      </c>
      <c r="D85" s="9">
        <v>1</v>
      </c>
      <c r="E85" s="9">
        <v>18604.87</v>
      </c>
      <c r="F85" s="9">
        <v>18604.87</v>
      </c>
      <c r="G85" s="10" t="s">
        <v>426</v>
      </c>
      <c r="H85" s="11" t="s">
        <v>243</v>
      </c>
    </row>
    <row r="86" spans="1:8" ht="42.75">
      <c r="A86" s="12" t="s">
        <v>427</v>
      </c>
      <c r="B86" s="7" t="s">
        <v>428</v>
      </c>
      <c r="C86" s="8" t="s">
        <v>0</v>
      </c>
      <c r="D86" s="9">
        <v>2</v>
      </c>
      <c r="E86" s="9">
        <v>11654.82</v>
      </c>
      <c r="F86" s="9">
        <v>23309.64</v>
      </c>
      <c r="G86" s="10" t="s">
        <v>429</v>
      </c>
      <c r="H86" s="11" t="s">
        <v>243</v>
      </c>
    </row>
    <row r="87" spans="1:8" ht="42.75">
      <c r="A87" s="12" t="s">
        <v>430</v>
      </c>
      <c r="B87" s="7" t="s">
        <v>431</v>
      </c>
      <c r="C87" s="8" t="s">
        <v>0</v>
      </c>
      <c r="D87" s="9">
        <v>2</v>
      </c>
      <c r="E87" s="9">
        <v>25107.48</v>
      </c>
      <c r="F87" s="9">
        <v>50214.96</v>
      </c>
      <c r="G87" s="10" t="s">
        <v>432</v>
      </c>
      <c r="H87" s="11" t="s">
        <v>243</v>
      </c>
    </row>
    <row r="88" spans="1:8" ht="42.75">
      <c r="A88" s="12" t="s">
        <v>433</v>
      </c>
      <c r="B88" s="7" t="s">
        <v>434</v>
      </c>
      <c r="C88" s="8" t="s">
        <v>0</v>
      </c>
      <c r="D88" s="9">
        <v>1</v>
      </c>
      <c r="E88" s="9">
        <v>22415.66</v>
      </c>
      <c r="F88" s="9">
        <v>22415.66</v>
      </c>
      <c r="G88" s="10" t="s">
        <v>435</v>
      </c>
      <c r="H88" s="11" t="s">
        <v>243</v>
      </c>
    </row>
    <row r="89" spans="1:8" ht="42.75">
      <c r="A89" s="12" t="s">
        <v>436</v>
      </c>
      <c r="B89" s="7" t="s">
        <v>437</v>
      </c>
      <c r="C89" s="8" t="s">
        <v>0</v>
      </c>
      <c r="D89" s="9">
        <v>1</v>
      </c>
      <c r="E89" s="9">
        <v>21723.54</v>
      </c>
      <c r="F89" s="9">
        <v>21723.54</v>
      </c>
      <c r="G89" s="10" t="s">
        <v>438</v>
      </c>
      <c r="H89" s="11" t="s">
        <v>243</v>
      </c>
    </row>
    <row r="90" spans="1:8" ht="42.75">
      <c r="A90" s="12" t="s">
        <v>439</v>
      </c>
      <c r="B90" s="7" t="s">
        <v>440</v>
      </c>
      <c r="C90" s="8" t="s">
        <v>0</v>
      </c>
      <c r="D90" s="9">
        <v>1</v>
      </c>
      <c r="E90" s="9">
        <v>22646.36</v>
      </c>
      <c r="F90" s="9">
        <v>22646.36</v>
      </c>
      <c r="G90" s="10" t="s">
        <v>441</v>
      </c>
      <c r="H90" s="11" t="s">
        <v>243</v>
      </c>
    </row>
    <row r="91" spans="1:8" ht="42.75">
      <c r="A91" s="12" t="s">
        <v>442</v>
      </c>
      <c r="B91" s="7" t="s">
        <v>443</v>
      </c>
      <c r="C91" s="8" t="s">
        <v>0</v>
      </c>
      <c r="D91" s="9">
        <v>4</v>
      </c>
      <c r="E91" s="9">
        <v>17340.05</v>
      </c>
      <c r="F91" s="9">
        <v>69360.2</v>
      </c>
      <c r="G91" s="10" t="s">
        <v>444</v>
      </c>
      <c r="H91" s="11" t="s">
        <v>243</v>
      </c>
    </row>
    <row r="92" spans="1:8" ht="42.75">
      <c r="A92" s="12" t="s">
        <v>445</v>
      </c>
      <c r="B92" s="7" t="s">
        <v>446</v>
      </c>
      <c r="C92" s="8" t="s">
        <v>0</v>
      </c>
      <c r="D92" s="9">
        <v>6</v>
      </c>
      <c r="E92" s="9">
        <v>17340.05</v>
      </c>
      <c r="F92" s="9">
        <v>104040.3</v>
      </c>
      <c r="G92" s="10" t="s">
        <v>447</v>
      </c>
      <c r="H92" s="11" t="s">
        <v>243</v>
      </c>
    </row>
    <row r="93" spans="1:8" ht="42.75">
      <c r="A93" s="12" t="s">
        <v>448</v>
      </c>
      <c r="B93" s="7" t="s">
        <v>449</v>
      </c>
      <c r="C93" s="8" t="s">
        <v>0</v>
      </c>
      <c r="D93" s="9">
        <v>1</v>
      </c>
      <c r="E93" s="9">
        <v>17496.650000000001</v>
      </c>
      <c r="F93" s="9">
        <v>17496.650000000001</v>
      </c>
      <c r="G93" s="10" t="s">
        <v>450</v>
      </c>
      <c r="H93" s="11" t="s">
        <v>243</v>
      </c>
    </row>
    <row r="94" spans="1:8" ht="42.75">
      <c r="A94" s="12" t="s">
        <v>451</v>
      </c>
      <c r="B94" s="7" t="s">
        <v>452</v>
      </c>
      <c r="C94" s="8" t="s">
        <v>0</v>
      </c>
      <c r="D94" s="9">
        <v>1</v>
      </c>
      <c r="E94" s="9">
        <v>1501.66</v>
      </c>
      <c r="F94" s="9">
        <v>1501.66</v>
      </c>
      <c r="G94" s="10" t="s">
        <v>453</v>
      </c>
      <c r="H94" s="11" t="s">
        <v>243</v>
      </c>
    </row>
    <row r="95" spans="1:8" ht="42.75">
      <c r="A95" s="12" t="s">
        <v>454</v>
      </c>
      <c r="B95" s="7" t="s">
        <v>455</v>
      </c>
      <c r="C95" s="8" t="s">
        <v>0</v>
      </c>
      <c r="D95" s="9">
        <v>1</v>
      </c>
      <c r="E95" s="9">
        <v>1240.05</v>
      </c>
      <c r="F95" s="9">
        <v>1240.05</v>
      </c>
      <c r="G95" s="10" t="s">
        <v>456</v>
      </c>
      <c r="H95" s="11" t="s">
        <v>243</v>
      </c>
    </row>
    <row r="96" spans="1:8" ht="42.75">
      <c r="A96" s="12" t="s">
        <v>457</v>
      </c>
      <c r="B96" s="7" t="s">
        <v>458</v>
      </c>
      <c r="C96" s="8" t="s">
        <v>0</v>
      </c>
      <c r="D96" s="9">
        <v>1</v>
      </c>
      <c r="E96" s="9">
        <v>1470.75</v>
      </c>
      <c r="F96" s="9">
        <v>1470.75</v>
      </c>
      <c r="G96" s="10" t="s">
        <v>459</v>
      </c>
      <c r="H96" s="11" t="s">
        <v>243</v>
      </c>
    </row>
    <row r="97" spans="1:8" ht="42.75">
      <c r="A97" s="12" t="s">
        <v>460</v>
      </c>
      <c r="B97" s="7" t="s">
        <v>461</v>
      </c>
      <c r="C97" s="8" t="s">
        <v>0</v>
      </c>
      <c r="D97" s="9">
        <v>1</v>
      </c>
      <c r="E97" s="9">
        <v>1326.56</v>
      </c>
      <c r="F97" s="9">
        <v>1326.56</v>
      </c>
      <c r="G97" s="10" t="s">
        <v>462</v>
      </c>
      <c r="H97" s="11" t="s">
        <v>243</v>
      </c>
    </row>
    <row r="98" spans="1:8" ht="42.75">
      <c r="A98" s="12" t="s">
        <v>463</v>
      </c>
      <c r="B98" s="7" t="s">
        <v>464</v>
      </c>
      <c r="C98" s="8" t="s">
        <v>0</v>
      </c>
      <c r="D98" s="9">
        <v>3</v>
      </c>
      <c r="E98" s="9">
        <v>331.64</v>
      </c>
      <c r="F98" s="9">
        <v>994.92</v>
      </c>
      <c r="G98" s="10" t="s">
        <v>465</v>
      </c>
      <c r="H98" s="11" t="s">
        <v>243</v>
      </c>
    </row>
    <row r="99" spans="1:8" ht="42.75">
      <c r="A99" s="12" t="s">
        <v>466</v>
      </c>
      <c r="B99" s="7" t="s">
        <v>467</v>
      </c>
      <c r="C99" s="8" t="s">
        <v>0</v>
      </c>
      <c r="D99" s="9">
        <v>7</v>
      </c>
      <c r="E99" s="9">
        <v>952.18</v>
      </c>
      <c r="F99" s="9">
        <v>6665.26</v>
      </c>
      <c r="G99" s="10" t="s">
        <v>468</v>
      </c>
      <c r="H99" s="11" t="s">
        <v>243</v>
      </c>
    </row>
    <row r="100" spans="1:8" ht="42.75">
      <c r="A100" s="12" t="s">
        <v>469</v>
      </c>
      <c r="B100" s="7" t="s">
        <v>470</v>
      </c>
      <c r="C100" s="8" t="s">
        <v>0</v>
      </c>
      <c r="D100" s="9">
        <v>1</v>
      </c>
      <c r="E100" s="9">
        <v>272825.21000000002</v>
      </c>
      <c r="F100" s="9">
        <v>272825.21000000002</v>
      </c>
      <c r="G100" s="10" t="s">
        <v>471</v>
      </c>
      <c r="H100" s="11" t="s">
        <v>243</v>
      </c>
    </row>
    <row r="101" spans="1:8" ht="47.25">
      <c r="A101" s="12" t="s">
        <v>472</v>
      </c>
      <c r="B101" s="7" t="s">
        <v>473</v>
      </c>
      <c r="C101" s="8" t="s">
        <v>13</v>
      </c>
      <c r="D101" s="9">
        <v>759.43</v>
      </c>
      <c r="E101" s="9">
        <v>647.65</v>
      </c>
      <c r="F101" s="9">
        <v>491844.84</v>
      </c>
      <c r="G101" s="10" t="s">
        <v>474</v>
      </c>
      <c r="H101" s="11" t="s">
        <v>243</v>
      </c>
    </row>
    <row r="102" spans="1:8" ht="42.75">
      <c r="A102" s="12" t="s">
        <v>475</v>
      </c>
      <c r="B102" s="7" t="s">
        <v>476</v>
      </c>
      <c r="C102" s="8" t="s">
        <v>15</v>
      </c>
      <c r="D102" s="9">
        <v>1</v>
      </c>
      <c r="E102" s="9">
        <v>10412.73</v>
      </c>
      <c r="F102" s="9">
        <v>10412.73</v>
      </c>
      <c r="G102" s="10" t="s">
        <v>477</v>
      </c>
      <c r="H102" s="11" t="s">
        <v>243</v>
      </c>
    </row>
    <row r="103" spans="1:8" ht="42.75">
      <c r="A103" s="12" t="s">
        <v>478</v>
      </c>
      <c r="B103" s="7" t="s">
        <v>479</v>
      </c>
      <c r="C103" s="8" t="s">
        <v>15</v>
      </c>
      <c r="D103" s="9">
        <v>3</v>
      </c>
      <c r="E103" s="9">
        <v>4575.03</v>
      </c>
      <c r="F103" s="9">
        <v>13725.09</v>
      </c>
      <c r="G103" s="10" t="s">
        <v>480</v>
      </c>
      <c r="H103" s="11" t="s">
        <v>243</v>
      </c>
    </row>
    <row r="104" spans="1:8" ht="33">
      <c r="A104" s="12" t="s">
        <v>481</v>
      </c>
      <c r="B104" s="7" t="s">
        <v>482</v>
      </c>
      <c r="C104" s="8" t="s">
        <v>483</v>
      </c>
      <c r="D104" s="9">
        <v>88.17</v>
      </c>
      <c r="E104" s="9">
        <v>15299.17</v>
      </c>
      <c r="F104" s="9">
        <v>1348927.82</v>
      </c>
      <c r="G104" s="10" t="s">
        <v>484</v>
      </c>
      <c r="H104" s="11" t="s">
        <v>243</v>
      </c>
    </row>
    <row r="105" spans="1:8" ht="42.75">
      <c r="A105" s="12" t="s">
        <v>485</v>
      </c>
      <c r="B105" s="7" t="s">
        <v>486</v>
      </c>
      <c r="C105" s="8" t="s">
        <v>0</v>
      </c>
      <c r="D105" s="9">
        <v>25</v>
      </c>
      <c r="E105" s="9">
        <v>4498.3100000000004</v>
      </c>
      <c r="F105" s="9">
        <v>112457.75</v>
      </c>
      <c r="G105" s="10" t="s">
        <v>487</v>
      </c>
      <c r="H105" s="11" t="s">
        <v>243</v>
      </c>
    </row>
    <row r="106" spans="1:8" ht="42.75">
      <c r="A106" s="12" t="s">
        <v>488</v>
      </c>
      <c r="B106" s="7" t="s">
        <v>489</v>
      </c>
      <c r="C106" s="8" t="s">
        <v>0</v>
      </c>
      <c r="D106" s="9">
        <v>13</v>
      </c>
      <c r="E106" s="9">
        <v>3353.5</v>
      </c>
      <c r="F106" s="9">
        <v>43595.5</v>
      </c>
      <c r="G106" s="10" t="s">
        <v>490</v>
      </c>
      <c r="H106" s="11" t="s">
        <v>243</v>
      </c>
    </row>
    <row r="107" spans="1:8" ht="42.75">
      <c r="A107" s="12" t="s">
        <v>491</v>
      </c>
      <c r="B107" s="7" t="s">
        <v>492</v>
      </c>
      <c r="C107" s="8" t="s">
        <v>8</v>
      </c>
      <c r="D107" s="9">
        <v>9.8000000000000007</v>
      </c>
      <c r="E107" s="9">
        <v>9873.85</v>
      </c>
      <c r="F107" s="9">
        <v>96763.73</v>
      </c>
      <c r="G107" s="10" t="s">
        <v>493</v>
      </c>
      <c r="H107" s="11" t="s">
        <v>243</v>
      </c>
    </row>
    <row r="108" spans="1:8" ht="42.75">
      <c r="A108" s="12" t="s">
        <v>494</v>
      </c>
      <c r="B108" s="7" t="s">
        <v>495</v>
      </c>
      <c r="C108" s="8" t="s">
        <v>8</v>
      </c>
      <c r="D108" s="9">
        <v>6.2</v>
      </c>
      <c r="E108" s="9">
        <v>6554</v>
      </c>
      <c r="F108" s="9">
        <v>40634.800000000003</v>
      </c>
      <c r="G108" s="10" t="s">
        <v>496</v>
      </c>
      <c r="H108" s="11" t="s">
        <v>243</v>
      </c>
    </row>
    <row r="109" spans="1:8" ht="42.75">
      <c r="A109" s="12" t="s">
        <v>497</v>
      </c>
      <c r="B109" s="7" t="s">
        <v>498</v>
      </c>
      <c r="C109" s="8" t="s">
        <v>8</v>
      </c>
      <c r="D109" s="9">
        <v>3.3</v>
      </c>
      <c r="E109" s="9">
        <v>8390.27</v>
      </c>
      <c r="F109" s="9">
        <v>27687.89</v>
      </c>
      <c r="G109" s="10" t="s">
        <v>499</v>
      </c>
      <c r="H109" s="11" t="s">
        <v>243</v>
      </c>
    </row>
    <row r="110" spans="1:8" ht="42.75">
      <c r="A110" s="12" t="s">
        <v>500</v>
      </c>
      <c r="B110" s="7" t="s">
        <v>501</v>
      </c>
      <c r="C110" s="8" t="s">
        <v>8</v>
      </c>
      <c r="D110" s="9">
        <v>40.6</v>
      </c>
      <c r="E110" s="9">
        <v>671.95</v>
      </c>
      <c r="F110" s="9">
        <v>27281.17</v>
      </c>
      <c r="G110" s="10" t="s">
        <v>502</v>
      </c>
      <c r="H110" s="11" t="s">
        <v>243</v>
      </c>
    </row>
    <row r="111" spans="1:8" ht="42.75">
      <c r="A111" s="12" t="s">
        <v>503</v>
      </c>
      <c r="B111" s="7" t="s">
        <v>504</v>
      </c>
      <c r="C111" s="8" t="s">
        <v>8</v>
      </c>
      <c r="D111" s="9">
        <v>176.7</v>
      </c>
      <c r="E111" s="9">
        <v>658.27</v>
      </c>
      <c r="F111" s="9">
        <v>116316.31</v>
      </c>
      <c r="G111" s="10" t="s">
        <v>505</v>
      </c>
      <c r="H111" s="11" t="s">
        <v>243</v>
      </c>
    </row>
    <row r="112" spans="1:8" ht="42.75">
      <c r="A112" s="12" t="s">
        <v>506</v>
      </c>
      <c r="B112" s="7" t="s">
        <v>507</v>
      </c>
      <c r="C112" s="8" t="s">
        <v>8</v>
      </c>
      <c r="D112" s="9">
        <v>251.7</v>
      </c>
      <c r="E112" s="9">
        <v>730.37</v>
      </c>
      <c r="F112" s="9">
        <v>183834.13</v>
      </c>
      <c r="G112" s="10" t="s">
        <v>508</v>
      </c>
      <c r="H112" s="11" t="s">
        <v>243</v>
      </c>
    </row>
    <row r="113" spans="1:11" ht="42.75">
      <c r="A113" s="12" t="s">
        <v>509</v>
      </c>
      <c r="B113" s="7" t="s">
        <v>510</v>
      </c>
      <c r="C113" s="8" t="s">
        <v>8</v>
      </c>
      <c r="D113" s="9">
        <v>6.8</v>
      </c>
      <c r="E113" s="9">
        <v>406.38</v>
      </c>
      <c r="F113" s="9">
        <v>2763.38</v>
      </c>
      <c r="G113" s="10" t="s">
        <v>511</v>
      </c>
      <c r="H113" s="11" t="s">
        <v>243</v>
      </c>
    </row>
    <row r="114" spans="1:11" ht="42.75">
      <c r="A114" s="12" t="s">
        <v>512</v>
      </c>
      <c r="B114" s="7" t="s">
        <v>513</v>
      </c>
      <c r="C114" s="8" t="s">
        <v>8</v>
      </c>
      <c r="D114" s="9">
        <v>44.2</v>
      </c>
      <c r="E114" s="9">
        <v>457.88</v>
      </c>
      <c r="F114" s="9">
        <v>20238.3</v>
      </c>
      <c r="G114" s="10" t="s">
        <v>514</v>
      </c>
      <c r="H114" s="11" t="s">
        <v>243</v>
      </c>
    </row>
    <row r="115" spans="1:11" ht="42.75">
      <c r="A115" s="12" t="s">
        <v>515</v>
      </c>
      <c r="B115" s="7" t="s">
        <v>516</v>
      </c>
      <c r="C115" s="8" t="s">
        <v>8</v>
      </c>
      <c r="D115" s="9">
        <v>10.7</v>
      </c>
      <c r="E115" s="9">
        <v>499.08</v>
      </c>
      <c r="F115" s="9">
        <v>5340.16</v>
      </c>
      <c r="G115" s="10" t="s">
        <v>517</v>
      </c>
      <c r="H115" s="11" t="s">
        <v>243</v>
      </c>
    </row>
    <row r="116" spans="1:11" ht="42.75">
      <c r="A116" s="12" t="s">
        <v>518</v>
      </c>
      <c r="B116" s="7" t="s">
        <v>519</v>
      </c>
      <c r="C116" s="8" t="s">
        <v>8</v>
      </c>
      <c r="D116" s="9">
        <v>62.5</v>
      </c>
      <c r="E116" s="9">
        <v>545.82000000000005</v>
      </c>
      <c r="F116" s="9">
        <v>34113.75</v>
      </c>
      <c r="G116" s="10" t="s">
        <v>520</v>
      </c>
      <c r="H116" s="11" t="s">
        <v>243</v>
      </c>
    </row>
    <row r="117" spans="1:11" ht="71.25">
      <c r="A117" s="12" t="s">
        <v>521</v>
      </c>
      <c r="B117" s="7" t="s">
        <v>522</v>
      </c>
      <c r="C117" s="8" t="s">
        <v>8</v>
      </c>
      <c r="D117" s="9">
        <v>84.8</v>
      </c>
      <c r="E117" s="9">
        <v>7340.02</v>
      </c>
      <c r="F117" s="9">
        <v>622433.69999999995</v>
      </c>
      <c r="G117" s="10" t="s">
        <v>523</v>
      </c>
      <c r="H117" s="11" t="s">
        <v>243</v>
      </c>
    </row>
    <row r="118" spans="1:11" ht="42.75">
      <c r="A118" s="12" t="s">
        <v>524</v>
      </c>
      <c r="B118" s="7" t="s">
        <v>525</v>
      </c>
      <c r="C118" s="8" t="s">
        <v>0</v>
      </c>
      <c r="D118" s="9">
        <v>2</v>
      </c>
      <c r="E118" s="9">
        <v>913306.18</v>
      </c>
      <c r="F118" s="9">
        <v>1826612.36</v>
      </c>
      <c r="G118" s="10" t="s">
        <v>526</v>
      </c>
      <c r="H118" s="11" t="s">
        <v>243</v>
      </c>
    </row>
    <row r="119" spans="1:11" ht="33">
      <c r="A119" s="6" t="s">
        <v>77</v>
      </c>
      <c r="B119" s="7" t="s">
        <v>527</v>
      </c>
      <c r="C119" s="8" t="s">
        <v>4</v>
      </c>
      <c r="D119" s="9">
        <v>1</v>
      </c>
      <c r="E119" s="9"/>
      <c r="F119" s="9">
        <v>40947246.439999998</v>
      </c>
      <c r="G119" s="10" t="s">
        <v>242</v>
      </c>
      <c r="H119" s="11" t="s">
        <v>243</v>
      </c>
    </row>
    <row r="120" spans="1:11" ht="42.75">
      <c r="A120" s="12" t="s">
        <v>78</v>
      </c>
      <c r="B120" s="7" t="s">
        <v>310</v>
      </c>
      <c r="C120" s="8" t="s">
        <v>223</v>
      </c>
      <c r="D120" s="9">
        <v>185.59</v>
      </c>
      <c r="E120" s="9">
        <v>320.72000000000003</v>
      </c>
      <c r="F120" s="9">
        <v>59522.42</v>
      </c>
      <c r="G120" s="10" t="s">
        <v>311</v>
      </c>
      <c r="H120" s="11" t="s">
        <v>243</v>
      </c>
    </row>
    <row r="121" spans="1:11" ht="42.75">
      <c r="A121" s="12" t="s">
        <v>79</v>
      </c>
      <c r="B121" s="7" t="s">
        <v>315</v>
      </c>
      <c r="C121" s="8" t="s">
        <v>6</v>
      </c>
      <c r="D121" s="9">
        <v>26.33</v>
      </c>
      <c r="E121" s="9">
        <v>3114.97</v>
      </c>
      <c r="F121" s="9">
        <v>82017.16</v>
      </c>
      <c r="G121" s="10" t="s">
        <v>316</v>
      </c>
      <c r="H121" s="11" t="s">
        <v>243</v>
      </c>
    </row>
    <row r="122" spans="1:11" ht="42.75">
      <c r="A122" s="12" t="s">
        <v>80</v>
      </c>
      <c r="B122" s="7" t="s">
        <v>24</v>
      </c>
      <c r="C122" s="8" t="s">
        <v>6</v>
      </c>
      <c r="D122" s="9">
        <v>36.86</v>
      </c>
      <c r="E122" s="9">
        <v>3320.96</v>
      </c>
      <c r="F122" s="9">
        <v>122410.59</v>
      </c>
      <c r="G122" s="10" t="s">
        <v>317</v>
      </c>
      <c r="H122" s="11" t="s">
        <v>243</v>
      </c>
    </row>
    <row r="123" spans="1:11" ht="42.75">
      <c r="A123" s="12" t="s">
        <v>81</v>
      </c>
      <c r="B123" s="7" t="s">
        <v>528</v>
      </c>
      <c r="C123" s="8" t="s">
        <v>6</v>
      </c>
      <c r="D123" s="9">
        <v>654.83000000000004</v>
      </c>
      <c r="E123" s="9">
        <v>3643.53</v>
      </c>
      <c r="F123" s="9">
        <v>2385892.75</v>
      </c>
      <c r="G123" s="10" t="s">
        <v>529</v>
      </c>
      <c r="H123" s="11" t="s">
        <v>243</v>
      </c>
    </row>
    <row r="124" spans="1:11" ht="57">
      <c r="A124" s="12" t="s">
        <v>82</v>
      </c>
      <c r="B124" s="7" t="s">
        <v>192</v>
      </c>
      <c r="C124" s="8" t="s">
        <v>17</v>
      </c>
      <c r="D124" s="9">
        <v>6240.88</v>
      </c>
      <c r="E124" s="9">
        <v>36.4</v>
      </c>
      <c r="F124" s="9">
        <v>227168.03</v>
      </c>
      <c r="G124" s="10" t="s">
        <v>314</v>
      </c>
      <c r="H124" s="11" t="s">
        <v>243</v>
      </c>
    </row>
    <row r="125" spans="1:11" ht="57">
      <c r="A125" s="12" t="s">
        <v>83</v>
      </c>
      <c r="B125" s="7" t="s">
        <v>530</v>
      </c>
      <c r="C125" s="8" t="s">
        <v>17</v>
      </c>
      <c r="D125" s="9">
        <v>102796.95</v>
      </c>
      <c r="E125" s="9">
        <v>38.71</v>
      </c>
      <c r="F125" s="9">
        <v>3979269.93</v>
      </c>
      <c r="G125" s="10" t="s">
        <v>531</v>
      </c>
      <c r="H125" s="11" t="s">
        <v>243</v>
      </c>
    </row>
    <row r="126" spans="1:11" s="15" customFormat="1" ht="71.25">
      <c r="A126" s="12" t="s">
        <v>84</v>
      </c>
      <c r="B126" s="7" t="s">
        <v>532</v>
      </c>
      <c r="C126" s="8" t="s">
        <v>13</v>
      </c>
      <c r="D126" s="9">
        <v>223.3</v>
      </c>
      <c r="E126" s="9">
        <v>1154.9100000000001</v>
      </c>
      <c r="F126" s="9">
        <v>257891.4</v>
      </c>
      <c r="G126" s="10" t="s">
        <v>533</v>
      </c>
      <c r="H126" s="13" t="s">
        <v>243</v>
      </c>
      <c r="I126" s="14"/>
      <c r="J126" s="14"/>
      <c r="K126" s="14"/>
    </row>
    <row r="127" spans="1:11" s="15" customFormat="1" ht="114">
      <c r="A127" s="12" t="s">
        <v>85</v>
      </c>
      <c r="B127" s="7" t="s">
        <v>534</v>
      </c>
      <c r="C127" s="8" t="s">
        <v>13</v>
      </c>
      <c r="D127" s="9">
        <v>450.04</v>
      </c>
      <c r="E127" s="9">
        <v>982.93</v>
      </c>
      <c r="F127" s="9">
        <v>442357.82</v>
      </c>
      <c r="G127" s="10" t="s">
        <v>535</v>
      </c>
      <c r="H127" s="13" t="s">
        <v>243</v>
      </c>
      <c r="I127" s="14"/>
      <c r="J127" s="14"/>
      <c r="K127" s="14"/>
    </row>
    <row r="128" spans="1:11" s="15" customFormat="1" ht="85.5">
      <c r="A128" s="12" t="s">
        <v>86</v>
      </c>
      <c r="B128" s="7" t="s">
        <v>536</v>
      </c>
      <c r="C128" s="8" t="s">
        <v>13</v>
      </c>
      <c r="D128" s="9">
        <v>28.27</v>
      </c>
      <c r="E128" s="9">
        <v>804.75</v>
      </c>
      <c r="F128" s="9">
        <v>22750.28</v>
      </c>
      <c r="G128" s="10" t="s">
        <v>537</v>
      </c>
      <c r="H128" s="13" t="s">
        <v>243</v>
      </c>
      <c r="I128" s="14"/>
      <c r="J128" s="14"/>
      <c r="K128" s="14"/>
    </row>
    <row r="129" spans="1:8" ht="33">
      <c r="A129" s="12" t="s">
        <v>87</v>
      </c>
      <c r="B129" s="7" t="s">
        <v>538</v>
      </c>
      <c r="C129" s="8" t="s">
        <v>539</v>
      </c>
      <c r="D129" s="9">
        <v>25655</v>
      </c>
      <c r="E129" s="9">
        <v>75</v>
      </c>
      <c r="F129" s="9">
        <v>1924125</v>
      </c>
      <c r="G129" s="10" t="s">
        <v>540</v>
      </c>
      <c r="H129" s="11" t="s">
        <v>243</v>
      </c>
    </row>
    <row r="130" spans="1:8" ht="71.25">
      <c r="A130" s="12" t="s">
        <v>541</v>
      </c>
      <c r="B130" s="7" t="s">
        <v>321</v>
      </c>
      <c r="C130" s="8" t="s">
        <v>17</v>
      </c>
      <c r="D130" s="9">
        <v>3691</v>
      </c>
      <c r="E130" s="9">
        <v>60</v>
      </c>
      <c r="F130" s="9">
        <v>221460</v>
      </c>
      <c r="G130" s="10" t="s">
        <v>322</v>
      </c>
      <c r="H130" s="11" t="s">
        <v>243</v>
      </c>
    </row>
    <row r="131" spans="1:8" ht="33">
      <c r="A131" s="12" t="s">
        <v>88</v>
      </c>
      <c r="B131" s="7" t="s">
        <v>323</v>
      </c>
      <c r="C131" s="8" t="s">
        <v>17</v>
      </c>
      <c r="D131" s="9">
        <v>3691</v>
      </c>
      <c r="E131" s="9">
        <v>31.9</v>
      </c>
      <c r="F131" s="9">
        <v>117742.9</v>
      </c>
      <c r="G131" s="10" t="s">
        <v>324</v>
      </c>
      <c r="H131" s="11" t="s">
        <v>243</v>
      </c>
    </row>
    <row r="132" spans="1:8" ht="42.75">
      <c r="A132" s="12" t="s">
        <v>89</v>
      </c>
      <c r="B132" s="7" t="s">
        <v>542</v>
      </c>
      <c r="C132" s="8" t="s">
        <v>17</v>
      </c>
      <c r="D132" s="9">
        <v>2162</v>
      </c>
      <c r="E132" s="9">
        <v>278.08</v>
      </c>
      <c r="F132" s="9">
        <v>601208.96</v>
      </c>
      <c r="G132" s="10" t="s">
        <v>543</v>
      </c>
      <c r="H132" s="11" t="s">
        <v>243</v>
      </c>
    </row>
    <row r="133" spans="1:8" ht="33">
      <c r="A133" s="12" t="s">
        <v>90</v>
      </c>
      <c r="B133" s="7" t="s">
        <v>544</v>
      </c>
      <c r="C133" s="8" t="s">
        <v>13</v>
      </c>
      <c r="D133" s="9">
        <v>99.7</v>
      </c>
      <c r="E133" s="9">
        <v>1399.92</v>
      </c>
      <c r="F133" s="9">
        <v>139572.01999999999</v>
      </c>
      <c r="G133" s="10" t="s">
        <v>545</v>
      </c>
      <c r="H133" s="11" t="s">
        <v>243</v>
      </c>
    </row>
    <row r="134" spans="1:8" ht="71.25">
      <c r="A134" s="12" t="s">
        <v>91</v>
      </c>
      <c r="B134" s="7" t="s">
        <v>325</v>
      </c>
      <c r="C134" s="8" t="s">
        <v>17</v>
      </c>
      <c r="D134" s="9">
        <v>95900</v>
      </c>
      <c r="E134" s="9">
        <v>107.3</v>
      </c>
      <c r="F134" s="9">
        <v>10290070</v>
      </c>
      <c r="G134" s="10" t="s">
        <v>326</v>
      </c>
      <c r="H134" s="11" t="s">
        <v>243</v>
      </c>
    </row>
    <row r="135" spans="1:8" ht="57">
      <c r="A135" s="12" t="s">
        <v>203</v>
      </c>
      <c r="B135" s="7" t="s">
        <v>222</v>
      </c>
      <c r="C135" s="8" t="s">
        <v>13</v>
      </c>
      <c r="D135" s="9">
        <v>438.86</v>
      </c>
      <c r="E135" s="9">
        <v>692.12</v>
      </c>
      <c r="F135" s="9">
        <v>303743.78000000003</v>
      </c>
      <c r="G135" s="10" t="s">
        <v>546</v>
      </c>
      <c r="H135" s="11" t="s">
        <v>243</v>
      </c>
    </row>
    <row r="136" spans="1:8" ht="47.25">
      <c r="A136" s="12" t="s">
        <v>202</v>
      </c>
      <c r="B136" s="7" t="s">
        <v>194</v>
      </c>
      <c r="C136" s="8" t="s">
        <v>23</v>
      </c>
      <c r="D136" s="9">
        <v>342.71</v>
      </c>
      <c r="E136" s="9">
        <v>48.28</v>
      </c>
      <c r="F136" s="9">
        <v>16546.04</v>
      </c>
      <c r="G136" s="10" t="s">
        <v>251</v>
      </c>
      <c r="H136" s="11" t="s">
        <v>243</v>
      </c>
    </row>
    <row r="137" spans="1:8" ht="42.75">
      <c r="A137" s="12" t="s">
        <v>201</v>
      </c>
      <c r="B137" s="7" t="s">
        <v>205</v>
      </c>
      <c r="C137" s="8" t="s">
        <v>23</v>
      </c>
      <c r="D137" s="9">
        <v>231.09</v>
      </c>
      <c r="E137" s="9">
        <v>721.02</v>
      </c>
      <c r="F137" s="9">
        <v>166620.51</v>
      </c>
      <c r="G137" s="10" t="s">
        <v>547</v>
      </c>
      <c r="H137" s="11" t="s">
        <v>243</v>
      </c>
    </row>
    <row r="138" spans="1:8" ht="33">
      <c r="A138" s="12" t="s">
        <v>200</v>
      </c>
      <c r="B138" s="7" t="s">
        <v>548</v>
      </c>
      <c r="C138" s="8" t="s">
        <v>13</v>
      </c>
      <c r="D138" s="9">
        <v>183</v>
      </c>
      <c r="E138" s="9">
        <v>28</v>
      </c>
      <c r="F138" s="9">
        <v>5124</v>
      </c>
      <c r="G138" s="10" t="s">
        <v>549</v>
      </c>
      <c r="H138" s="11" t="s">
        <v>243</v>
      </c>
    </row>
    <row r="139" spans="1:8" ht="57">
      <c r="A139" s="12" t="s">
        <v>199</v>
      </c>
      <c r="B139" s="7" t="s">
        <v>550</v>
      </c>
      <c r="C139" s="8" t="s">
        <v>8</v>
      </c>
      <c r="D139" s="9">
        <v>322</v>
      </c>
      <c r="E139" s="9">
        <v>19011.37</v>
      </c>
      <c r="F139" s="9">
        <v>6121661.1399999997</v>
      </c>
      <c r="G139" s="10" t="s">
        <v>551</v>
      </c>
      <c r="H139" s="11" t="s">
        <v>243</v>
      </c>
    </row>
    <row r="140" spans="1:8" ht="42.75">
      <c r="A140" s="12" t="s">
        <v>198</v>
      </c>
      <c r="B140" s="7" t="s">
        <v>552</v>
      </c>
      <c r="C140" s="8" t="s">
        <v>13</v>
      </c>
      <c r="D140" s="9">
        <v>100</v>
      </c>
      <c r="E140" s="9">
        <v>373.08</v>
      </c>
      <c r="F140" s="9">
        <v>37308</v>
      </c>
      <c r="G140" s="10" t="s">
        <v>553</v>
      </c>
      <c r="H140" s="11" t="s">
        <v>243</v>
      </c>
    </row>
    <row r="141" spans="1:8" ht="42.75">
      <c r="A141" s="12" t="s">
        <v>197</v>
      </c>
      <c r="B141" s="7" t="s">
        <v>554</v>
      </c>
      <c r="C141" s="8" t="s">
        <v>13</v>
      </c>
      <c r="D141" s="9">
        <v>83</v>
      </c>
      <c r="E141" s="9">
        <v>616.49</v>
      </c>
      <c r="F141" s="9">
        <v>51168.67</v>
      </c>
      <c r="G141" s="10" t="s">
        <v>555</v>
      </c>
      <c r="H141" s="11" t="s">
        <v>243</v>
      </c>
    </row>
    <row r="142" spans="1:8" ht="42.75">
      <c r="A142" s="12" t="s">
        <v>196</v>
      </c>
      <c r="B142" s="7" t="s">
        <v>556</v>
      </c>
      <c r="C142" s="8" t="s">
        <v>13</v>
      </c>
      <c r="D142" s="9">
        <v>2.1</v>
      </c>
      <c r="E142" s="9">
        <v>1874.26</v>
      </c>
      <c r="F142" s="9">
        <v>3935.95</v>
      </c>
      <c r="G142" s="10" t="s">
        <v>557</v>
      </c>
      <c r="H142" s="11" t="s">
        <v>243</v>
      </c>
    </row>
    <row r="143" spans="1:8" ht="42.75">
      <c r="A143" s="12" t="s">
        <v>195</v>
      </c>
      <c r="B143" s="7" t="s">
        <v>558</v>
      </c>
      <c r="C143" s="8" t="s">
        <v>8</v>
      </c>
      <c r="D143" s="9">
        <v>62</v>
      </c>
      <c r="E143" s="9">
        <v>2388.4299999999998</v>
      </c>
      <c r="F143" s="9">
        <v>148082.66</v>
      </c>
      <c r="G143" s="10" t="s">
        <v>559</v>
      </c>
      <c r="H143" s="11" t="s">
        <v>243</v>
      </c>
    </row>
    <row r="144" spans="1:8" ht="42.75">
      <c r="A144" s="12" t="s">
        <v>212</v>
      </c>
      <c r="B144" s="7" t="s">
        <v>560</v>
      </c>
      <c r="C144" s="8" t="s">
        <v>8</v>
      </c>
      <c r="D144" s="9">
        <v>33</v>
      </c>
      <c r="E144" s="9">
        <v>12777.68</v>
      </c>
      <c r="F144" s="9">
        <v>421663.44</v>
      </c>
      <c r="G144" s="10" t="s">
        <v>561</v>
      </c>
      <c r="H144" s="11" t="s">
        <v>243</v>
      </c>
    </row>
    <row r="145" spans="1:8" ht="42.75">
      <c r="A145" s="12" t="s">
        <v>213</v>
      </c>
      <c r="B145" s="7" t="s">
        <v>562</v>
      </c>
      <c r="C145" s="8" t="s">
        <v>8</v>
      </c>
      <c r="D145" s="9">
        <v>32.6</v>
      </c>
      <c r="E145" s="9">
        <v>71914.34</v>
      </c>
      <c r="F145" s="9">
        <v>2344407.48</v>
      </c>
      <c r="G145" s="10" t="s">
        <v>563</v>
      </c>
      <c r="H145" s="11" t="s">
        <v>243</v>
      </c>
    </row>
    <row r="146" spans="1:8" ht="42.75">
      <c r="A146" s="12" t="s">
        <v>217</v>
      </c>
      <c r="B146" s="7" t="s">
        <v>564</v>
      </c>
      <c r="C146" s="8" t="s">
        <v>8</v>
      </c>
      <c r="D146" s="9">
        <v>32.6</v>
      </c>
      <c r="E146" s="9">
        <v>189793.78</v>
      </c>
      <c r="F146" s="9">
        <v>6187277.2300000004</v>
      </c>
      <c r="G146" s="10" t="s">
        <v>565</v>
      </c>
      <c r="H146" s="11" t="s">
        <v>243</v>
      </c>
    </row>
    <row r="147" spans="1:8" ht="42.75">
      <c r="A147" s="12" t="s">
        <v>566</v>
      </c>
      <c r="B147" s="7" t="s">
        <v>567</v>
      </c>
      <c r="C147" s="8" t="s">
        <v>0</v>
      </c>
      <c r="D147" s="9">
        <v>1</v>
      </c>
      <c r="E147" s="9">
        <v>78208.240000000005</v>
      </c>
      <c r="F147" s="9">
        <v>78208.240000000005</v>
      </c>
      <c r="G147" s="10" t="s">
        <v>568</v>
      </c>
      <c r="H147" s="11" t="s">
        <v>243</v>
      </c>
    </row>
    <row r="148" spans="1:8" ht="42.75">
      <c r="A148" s="12" t="s">
        <v>569</v>
      </c>
      <c r="B148" s="7" t="s">
        <v>570</v>
      </c>
      <c r="C148" s="8" t="s">
        <v>8</v>
      </c>
      <c r="D148" s="9">
        <v>9.6</v>
      </c>
      <c r="E148" s="9">
        <v>4213.4799999999996</v>
      </c>
      <c r="F148" s="9">
        <v>40449.410000000003</v>
      </c>
      <c r="G148" s="10" t="s">
        <v>571</v>
      </c>
      <c r="H148" s="11" t="s">
        <v>243</v>
      </c>
    </row>
    <row r="149" spans="1:8" ht="42.75">
      <c r="A149" s="12" t="s">
        <v>572</v>
      </c>
      <c r="B149" s="7" t="s">
        <v>573</v>
      </c>
      <c r="C149" s="8" t="s">
        <v>0</v>
      </c>
      <c r="D149" s="9">
        <v>1</v>
      </c>
      <c r="E149" s="9">
        <v>2005.23</v>
      </c>
      <c r="F149" s="9">
        <v>2005.23</v>
      </c>
      <c r="G149" s="10" t="s">
        <v>574</v>
      </c>
      <c r="H149" s="11" t="s">
        <v>243</v>
      </c>
    </row>
    <row r="150" spans="1:8" ht="42.75">
      <c r="A150" s="12" t="s">
        <v>575</v>
      </c>
      <c r="B150" s="7" t="s">
        <v>576</v>
      </c>
      <c r="C150" s="8" t="s">
        <v>8</v>
      </c>
      <c r="D150" s="9">
        <v>32.6</v>
      </c>
      <c r="E150" s="9">
        <v>21727.78</v>
      </c>
      <c r="F150" s="9">
        <v>708325.63</v>
      </c>
      <c r="G150" s="10" t="s">
        <v>577</v>
      </c>
      <c r="H150" s="11" t="s">
        <v>243</v>
      </c>
    </row>
    <row r="151" spans="1:8" ht="42.75">
      <c r="A151" s="12" t="s">
        <v>578</v>
      </c>
      <c r="B151" s="7" t="s">
        <v>579</v>
      </c>
      <c r="C151" s="8" t="s">
        <v>8</v>
      </c>
      <c r="D151" s="9">
        <v>32.6</v>
      </c>
      <c r="E151" s="9">
        <v>15955.67</v>
      </c>
      <c r="F151" s="9">
        <v>520154.84</v>
      </c>
      <c r="G151" s="10" t="s">
        <v>580</v>
      </c>
      <c r="H151" s="11" t="s">
        <v>243</v>
      </c>
    </row>
    <row r="152" spans="1:8" ht="33">
      <c r="A152" s="12" t="s">
        <v>581</v>
      </c>
      <c r="B152" s="7" t="s">
        <v>582</v>
      </c>
      <c r="C152" s="8" t="s">
        <v>583</v>
      </c>
      <c r="D152" s="9">
        <v>4</v>
      </c>
      <c r="E152" s="9">
        <v>299.98</v>
      </c>
      <c r="F152" s="9">
        <v>1199.92</v>
      </c>
      <c r="G152" s="10" t="s">
        <v>584</v>
      </c>
      <c r="H152" s="11" t="s">
        <v>243</v>
      </c>
    </row>
    <row r="153" spans="1:8" ht="33">
      <c r="A153" s="12" t="s">
        <v>585</v>
      </c>
      <c r="B153" s="7" t="s">
        <v>586</v>
      </c>
      <c r="C153" s="8" t="s">
        <v>8</v>
      </c>
      <c r="D153" s="9">
        <v>4.8</v>
      </c>
      <c r="E153" s="9">
        <v>119.99</v>
      </c>
      <c r="F153" s="9">
        <v>575.95000000000005</v>
      </c>
      <c r="G153" s="10" t="s">
        <v>587</v>
      </c>
      <c r="H153" s="11" t="s">
        <v>243</v>
      </c>
    </row>
    <row r="154" spans="1:8" ht="42.75">
      <c r="A154" s="12" t="s">
        <v>588</v>
      </c>
      <c r="B154" s="7" t="s">
        <v>589</v>
      </c>
      <c r="C154" s="8" t="s">
        <v>0</v>
      </c>
      <c r="D154" s="9">
        <v>1</v>
      </c>
      <c r="E154" s="9">
        <v>849172.02</v>
      </c>
      <c r="F154" s="9">
        <v>849172.02</v>
      </c>
      <c r="G154" s="10" t="s">
        <v>590</v>
      </c>
      <c r="H154" s="11" t="s">
        <v>243</v>
      </c>
    </row>
    <row r="155" spans="1:8" ht="42.75">
      <c r="A155" s="12" t="s">
        <v>591</v>
      </c>
      <c r="B155" s="7" t="s">
        <v>592</v>
      </c>
      <c r="C155" s="8" t="s">
        <v>0</v>
      </c>
      <c r="D155" s="9">
        <v>1</v>
      </c>
      <c r="E155" s="9">
        <v>2066157.04</v>
      </c>
      <c r="F155" s="9">
        <v>2066157.04</v>
      </c>
      <c r="G155" s="10" t="s">
        <v>593</v>
      </c>
      <c r="H155" s="11" t="s">
        <v>243</v>
      </c>
    </row>
    <row r="156" spans="1:8" ht="33">
      <c r="A156" s="6" t="s">
        <v>92</v>
      </c>
      <c r="B156" s="7" t="s">
        <v>594</v>
      </c>
      <c r="C156" s="8" t="s">
        <v>4</v>
      </c>
      <c r="D156" s="9">
        <v>1</v>
      </c>
      <c r="E156" s="9"/>
      <c r="F156" s="9">
        <v>24142855.91</v>
      </c>
      <c r="G156" s="10" t="s">
        <v>242</v>
      </c>
      <c r="H156" s="11" t="s">
        <v>243</v>
      </c>
    </row>
    <row r="157" spans="1:8" ht="42.75">
      <c r="A157" s="12" t="s">
        <v>93</v>
      </c>
      <c r="B157" s="7" t="s">
        <v>315</v>
      </c>
      <c r="C157" s="8" t="s">
        <v>6</v>
      </c>
      <c r="D157" s="9">
        <v>22</v>
      </c>
      <c r="E157" s="9">
        <v>3114.97</v>
      </c>
      <c r="F157" s="9">
        <v>68529.34</v>
      </c>
      <c r="G157" s="10" t="s">
        <v>316</v>
      </c>
      <c r="H157" s="11" t="s">
        <v>243</v>
      </c>
    </row>
    <row r="158" spans="1:8" ht="42.75">
      <c r="A158" s="12" t="s">
        <v>94</v>
      </c>
      <c r="B158" s="7" t="s">
        <v>24</v>
      </c>
      <c r="C158" s="8" t="s">
        <v>6</v>
      </c>
      <c r="D158" s="9">
        <v>302</v>
      </c>
      <c r="E158" s="9">
        <v>3320.96</v>
      </c>
      <c r="F158" s="9">
        <v>1002929.92</v>
      </c>
      <c r="G158" s="10" t="s">
        <v>317</v>
      </c>
      <c r="H158" s="11" t="s">
        <v>243</v>
      </c>
    </row>
    <row r="159" spans="1:8" ht="42.75">
      <c r="A159" s="12" t="s">
        <v>95</v>
      </c>
      <c r="B159" s="7" t="s">
        <v>528</v>
      </c>
      <c r="C159" s="8" t="s">
        <v>6</v>
      </c>
      <c r="D159" s="9">
        <v>766</v>
      </c>
      <c r="E159" s="9">
        <v>3643.53</v>
      </c>
      <c r="F159" s="9">
        <v>2790943.98</v>
      </c>
      <c r="G159" s="10" t="s">
        <v>529</v>
      </c>
      <c r="H159" s="11" t="s">
        <v>243</v>
      </c>
    </row>
    <row r="160" spans="1:8" ht="33">
      <c r="A160" s="12" t="s">
        <v>96</v>
      </c>
      <c r="B160" s="7" t="s">
        <v>595</v>
      </c>
      <c r="C160" s="8" t="s">
        <v>6</v>
      </c>
      <c r="D160" s="9">
        <v>1090</v>
      </c>
      <c r="E160" s="9">
        <v>199.99</v>
      </c>
      <c r="F160" s="9">
        <v>217989.1</v>
      </c>
      <c r="G160" s="10" t="s">
        <v>596</v>
      </c>
      <c r="H160" s="11" t="s">
        <v>243</v>
      </c>
    </row>
    <row r="161" spans="1:11" s="15" customFormat="1" ht="114">
      <c r="A161" s="12" t="s">
        <v>191</v>
      </c>
      <c r="B161" s="7" t="s">
        <v>534</v>
      </c>
      <c r="C161" s="8" t="s">
        <v>13</v>
      </c>
      <c r="D161" s="9">
        <v>1203</v>
      </c>
      <c r="E161" s="9">
        <v>982.93</v>
      </c>
      <c r="F161" s="9">
        <v>1182464.79</v>
      </c>
      <c r="G161" s="10" t="s">
        <v>535</v>
      </c>
      <c r="H161" s="13" t="s">
        <v>243</v>
      </c>
      <c r="I161" s="14"/>
      <c r="J161" s="14"/>
      <c r="K161" s="14"/>
    </row>
    <row r="162" spans="1:11" s="15" customFormat="1" ht="85.5">
      <c r="A162" s="12" t="s">
        <v>190</v>
      </c>
      <c r="B162" s="7" t="s">
        <v>536</v>
      </c>
      <c r="C162" s="8" t="s">
        <v>13</v>
      </c>
      <c r="D162" s="9">
        <v>393</v>
      </c>
      <c r="E162" s="9">
        <v>804.75</v>
      </c>
      <c r="F162" s="9">
        <v>316266.75</v>
      </c>
      <c r="G162" s="10" t="s">
        <v>537</v>
      </c>
      <c r="H162" s="13" t="s">
        <v>243</v>
      </c>
      <c r="I162" s="14"/>
      <c r="J162" s="14"/>
      <c r="K162" s="14"/>
    </row>
    <row r="163" spans="1:11" ht="57">
      <c r="A163" s="12" t="s">
        <v>189</v>
      </c>
      <c r="B163" s="7" t="s">
        <v>192</v>
      </c>
      <c r="C163" s="8" t="s">
        <v>17</v>
      </c>
      <c r="D163" s="9">
        <v>13138</v>
      </c>
      <c r="E163" s="9">
        <v>36.4</v>
      </c>
      <c r="F163" s="9">
        <v>478223.2</v>
      </c>
      <c r="G163" s="10" t="s">
        <v>314</v>
      </c>
      <c r="H163" s="11" t="s">
        <v>243</v>
      </c>
    </row>
    <row r="164" spans="1:11" ht="57">
      <c r="A164" s="12" t="s">
        <v>188</v>
      </c>
      <c r="B164" s="7" t="s">
        <v>530</v>
      </c>
      <c r="C164" s="8" t="s">
        <v>17</v>
      </c>
      <c r="D164" s="9">
        <v>15589</v>
      </c>
      <c r="E164" s="9">
        <v>38.71</v>
      </c>
      <c r="F164" s="9">
        <v>603450.18999999994</v>
      </c>
      <c r="G164" s="10" t="s">
        <v>531</v>
      </c>
      <c r="H164" s="11" t="s">
        <v>243</v>
      </c>
    </row>
    <row r="165" spans="1:11" ht="57">
      <c r="A165" s="12" t="s">
        <v>187</v>
      </c>
      <c r="B165" s="7" t="s">
        <v>597</v>
      </c>
      <c r="C165" s="8" t="s">
        <v>13</v>
      </c>
      <c r="D165" s="9">
        <v>776</v>
      </c>
      <c r="E165" s="9">
        <v>2510.64</v>
      </c>
      <c r="F165" s="9">
        <v>1948256.64</v>
      </c>
      <c r="G165" s="10" t="s">
        <v>598</v>
      </c>
      <c r="H165" s="11" t="s">
        <v>243</v>
      </c>
    </row>
    <row r="166" spans="1:11" ht="42.75">
      <c r="A166" s="12" t="s">
        <v>186</v>
      </c>
      <c r="B166" s="7" t="s">
        <v>599</v>
      </c>
      <c r="C166" s="8" t="s">
        <v>223</v>
      </c>
      <c r="D166" s="9">
        <v>235</v>
      </c>
      <c r="E166" s="9">
        <v>3297.86</v>
      </c>
      <c r="F166" s="9">
        <v>774997.1</v>
      </c>
      <c r="G166" s="10" t="s">
        <v>600</v>
      </c>
      <c r="H166" s="11" t="s">
        <v>243</v>
      </c>
    </row>
    <row r="167" spans="1:11" ht="42.75">
      <c r="A167" s="12" t="s">
        <v>185</v>
      </c>
      <c r="B167" s="7" t="s">
        <v>601</v>
      </c>
      <c r="C167" s="8" t="s">
        <v>13</v>
      </c>
      <c r="D167" s="9">
        <v>102</v>
      </c>
      <c r="E167" s="9">
        <v>2952.01</v>
      </c>
      <c r="F167" s="9">
        <v>301105.02</v>
      </c>
      <c r="G167" s="10" t="s">
        <v>602</v>
      </c>
      <c r="H167" s="11" t="s">
        <v>243</v>
      </c>
    </row>
    <row r="168" spans="1:11" ht="42.75">
      <c r="A168" s="12" t="s">
        <v>184</v>
      </c>
      <c r="B168" s="7" t="s">
        <v>603</v>
      </c>
      <c r="C168" s="8" t="s">
        <v>13</v>
      </c>
      <c r="D168" s="9">
        <v>400</v>
      </c>
      <c r="E168" s="9">
        <v>1454.49</v>
      </c>
      <c r="F168" s="9">
        <v>581796</v>
      </c>
      <c r="G168" s="10" t="s">
        <v>604</v>
      </c>
      <c r="H168" s="11" t="s">
        <v>243</v>
      </c>
    </row>
    <row r="169" spans="1:11" ht="33">
      <c r="A169" s="12" t="s">
        <v>183</v>
      </c>
      <c r="B169" s="7" t="s">
        <v>605</v>
      </c>
      <c r="C169" s="8" t="s">
        <v>606</v>
      </c>
      <c r="D169" s="9">
        <v>333</v>
      </c>
      <c r="E169" s="9">
        <v>434.98</v>
      </c>
      <c r="F169" s="9">
        <v>144848.34</v>
      </c>
      <c r="G169" s="10" t="s">
        <v>607</v>
      </c>
      <c r="H169" s="11" t="s">
        <v>243</v>
      </c>
    </row>
    <row r="170" spans="1:11" ht="42.75">
      <c r="A170" s="12" t="s">
        <v>182</v>
      </c>
      <c r="B170" s="7" t="s">
        <v>608</v>
      </c>
      <c r="C170" s="8" t="s">
        <v>13</v>
      </c>
      <c r="D170" s="9">
        <v>1702</v>
      </c>
      <c r="E170" s="9">
        <v>885.76</v>
      </c>
      <c r="F170" s="9">
        <v>1507563.52</v>
      </c>
      <c r="G170" s="10" t="s">
        <v>609</v>
      </c>
      <c r="H170" s="11" t="s">
        <v>243</v>
      </c>
    </row>
    <row r="171" spans="1:11" ht="42.75">
      <c r="A171" s="12" t="s">
        <v>181</v>
      </c>
      <c r="B171" s="7" t="s">
        <v>357</v>
      </c>
      <c r="C171" s="8" t="s">
        <v>8</v>
      </c>
      <c r="D171" s="9">
        <v>49</v>
      </c>
      <c r="E171" s="9">
        <v>138.84</v>
      </c>
      <c r="F171" s="9">
        <v>6803.16</v>
      </c>
      <c r="G171" s="10" t="s">
        <v>358</v>
      </c>
      <c r="H171" s="11" t="s">
        <v>243</v>
      </c>
    </row>
    <row r="172" spans="1:11" ht="42.75">
      <c r="A172" s="12" t="s">
        <v>610</v>
      </c>
      <c r="B172" s="7" t="s">
        <v>611</v>
      </c>
      <c r="C172" s="8" t="s">
        <v>8</v>
      </c>
      <c r="D172" s="9">
        <v>85</v>
      </c>
      <c r="E172" s="9">
        <v>326.27999999999997</v>
      </c>
      <c r="F172" s="9">
        <v>27733.8</v>
      </c>
      <c r="G172" s="10" t="s">
        <v>612</v>
      </c>
      <c r="H172" s="11" t="s">
        <v>243</v>
      </c>
    </row>
    <row r="173" spans="1:11" ht="57">
      <c r="A173" s="12" t="s">
        <v>613</v>
      </c>
      <c r="B173" s="7" t="s">
        <v>222</v>
      </c>
      <c r="C173" s="8" t="s">
        <v>13</v>
      </c>
      <c r="D173" s="9">
        <v>385</v>
      </c>
      <c r="E173" s="9">
        <v>692.12</v>
      </c>
      <c r="F173" s="9">
        <v>266466.2</v>
      </c>
      <c r="G173" s="10" t="s">
        <v>546</v>
      </c>
      <c r="H173" s="11" t="s">
        <v>243</v>
      </c>
    </row>
    <row r="174" spans="1:11" ht="85.5">
      <c r="A174" s="12" t="s">
        <v>614</v>
      </c>
      <c r="B174" s="7" t="s">
        <v>615</v>
      </c>
      <c r="C174" s="8" t="s">
        <v>8</v>
      </c>
      <c r="D174" s="9">
        <v>686</v>
      </c>
      <c r="E174" s="9">
        <v>1706.44</v>
      </c>
      <c r="F174" s="9">
        <v>1170617.8400000001</v>
      </c>
      <c r="G174" s="10" t="s">
        <v>616</v>
      </c>
      <c r="H174" s="11" t="s">
        <v>243</v>
      </c>
    </row>
    <row r="175" spans="1:11" ht="33">
      <c r="A175" s="12" t="s">
        <v>617</v>
      </c>
      <c r="B175" s="7" t="s">
        <v>618</v>
      </c>
      <c r="C175" s="8" t="s">
        <v>23</v>
      </c>
      <c r="D175" s="9">
        <v>1070.5</v>
      </c>
      <c r="E175" s="9">
        <v>49</v>
      </c>
      <c r="F175" s="9">
        <v>52454.5</v>
      </c>
      <c r="G175" s="10" t="s">
        <v>619</v>
      </c>
      <c r="H175" s="11" t="s">
        <v>243</v>
      </c>
    </row>
    <row r="176" spans="1:11" ht="33">
      <c r="A176" s="12" t="s">
        <v>620</v>
      </c>
      <c r="B176" s="7" t="s">
        <v>621</v>
      </c>
      <c r="C176" s="8" t="s">
        <v>19</v>
      </c>
      <c r="D176" s="9">
        <v>2</v>
      </c>
      <c r="E176" s="9">
        <v>5349708.26</v>
      </c>
      <c r="F176" s="9">
        <v>10699416.52</v>
      </c>
      <c r="G176" s="10" t="s">
        <v>622</v>
      </c>
      <c r="H176" s="11" t="s">
        <v>243</v>
      </c>
    </row>
    <row r="177" spans="1:11" ht="33">
      <c r="A177" s="6" t="s">
        <v>97</v>
      </c>
      <c r="B177" s="7" t="s">
        <v>623</v>
      </c>
      <c r="C177" s="8" t="s">
        <v>4</v>
      </c>
      <c r="D177" s="9">
        <v>1</v>
      </c>
      <c r="E177" s="9"/>
      <c r="F177" s="9">
        <v>27512956.199999999</v>
      </c>
      <c r="G177" s="10" t="s">
        <v>242</v>
      </c>
      <c r="H177" s="11" t="s">
        <v>243</v>
      </c>
    </row>
    <row r="178" spans="1:11" ht="42.75">
      <c r="A178" s="12" t="s">
        <v>98</v>
      </c>
      <c r="B178" s="7" t="s">
        <v>315</v>
      </c>
      <c r="C178" s="8" t="s">
        <v>6</v>
      </c>
      <c r="D178" s="9">
        <v>252</v>
      </c>
      <c r="E178" s="9">
        <v>3114.97</v>
      </c>
      <c r="F178" s="9">
        <v>784972.44</v>
      </c>
      <c r="G178" s="10" t="s">
        <v>316</v>
      </c>
      <c r="H178" s="11" t="s">
        <v>243</v>
      </c>
    </row>
    <row r="179" spans="1:11" ht="42.75">
      <c r="A179" s="12" t="s">
        <v>99</v>
      </c>
      <c r="B179" s="7" t="s">
        <v>24</v>
      </c>
      <c r="C179" s="8" t="s">
        <v>6</v>
      </c>
      <c r="D179" s="9">
        <v>2490</v>
      </c>
      <c r="E179" s="9">
        <v>3320.96</v>
      </c>
      <c r="F179" s="9">
        <v>8269190.4000000004</v>
      </c>
      <c r="G179" s="10" t="s">
        <v>317</v>
      </c>
      <c r="H179" s="11" t="s">
        <v>243</v>
      </c>
    </row>
    <row r="180" spans="1:11" ht="42.75">
      <c r="A180" s="12" t="s">
        <v>100</v>
      </c>
      <c r="B180" s="7" t="s">
        <v>624</v>
      </c>
      <c r="C180" s="8" t="s">
        <v>6</v>
      </c>
      <c r="D180" s="9">
        <v>998</v>
      </c>
      <c r="E180" s="9">
        <v>1749.16</v>
      </c>
      <c r="F180" s="9">
        <v>1745661.68</v>
      </c>
      <c r="G180" s="10" t="s">
        <v>625</v>
      </c>
      <c r="H180" s="11" t="s">
        <v>243</v>
      </c>
    </row>
    <row r="181" spans="1:11" ht="33">
      <c r="A181" s="12" t="s">
        <v>101</v>
      </c>
      <c r="B181" s="7" t="s">
        <v>595</v>
      </c>
      <c r="C181" s="8" t="s">
        <v>6</v>
      </c>
      <c r="D181" s="9">
        <v>3740</v>
      </c>
      <c r="E181" s="9">
        <v>199.99</v>
      </c>
      <c r="F181" s="9">
        <v>747962.6</v>
      </c>
      <c r="G181" s="10" t="s">
        <v>596</v>
      </c>
      <c r="H181" s="11" t="s">
        <v>243</v>
      </c>
    </row>
    <row r="182" spans="1:11" s="15" customFormat="1" ht="114">
      <c r="A182" s="12" t="s">
        <v>102</v>
      </c>
      <c r="B182" s="7" t="s">
        <v>534</v>
      </c>
      <c r="C182" s="8" t="s">
        <v>13</v>
      </c>
      <c r="D182" s="9">
        <v>3740</v>
      </c>
      <c r="E182" s="9">
        <v>982.93</v>
      </c>
      <c r="F182" s="9">
        <v>3676158.2</v>
      </c>
      <c r="G182" s="10" t="s">
        <v>535</v>
      </c>
      <c r="H182" s="13" t="s">
        <v>243</v>
      </c>
      <c r="I182" s="14"/>
      <c r="J182" s="14"/>
      <c r="K182" s="14"/>
    </row>
    <row r="183" spans="1:11" s="15" customFormat="1" ht="57">
      <c r="A183" s="12" t="s">
        <v>180</v>
      </c>
      <c r="B183" s="7" t="s">
        <v>626</v>
      </c>
      <c r="C183" s="8" t="s">
        <v>13</v>
      </c>
      <c r="D183" s="9">
        <v>38</v>
      </c>
      <c r="E183" s="9">
        <v>698.28</v>
      </c>
      <c r="F183" s="9">
        <v>26534.639999999999</v>
      </c>
      <c r="G183" s="10" t="s">
        <v>627</v>
      </c>
      <c r="H183" s="13" t="s">
        <v>243</v>
      </c>
      <c r="I183" s="14"/>
      <c r="J183" s="14"/>
      <c r="K183" s="14"/>
    </row>
    <row r="184" spans="1:11" s="15" customFormat="1" ht="85.5">
      <c r="A184" s="12" t="s">
        <v>179</v>
      </c>
      <c r="B184" s="7" t="s">
        <v>536</v>
      </c>
      <c r="C184" s="8" t="s">
        <v>13</v>
      </c>
      <c r="D184" s="9">
        <v>783</v>
      </c>
      <c r="E184" s="9">
        <v>804.75</v>
      </c>
      <c r="F184" s="9">
        <v>630119.25</v>
      </c>
      <c r="G184" s="10" t="s">
        <v>537</v>
      </c>
      <c r="H184" s="13" t="s">
        <v>243</v>
      </c>
      <c r="I184" s="14"/>
      <c r="J184" s="14"/>
      <c r="K184" s="14"/>
    </row>
    <row r="185" spans="1:11" s="15" customFormat="1" ht="85.5">
      <c r="A185" s="12" t="s">
        <v>178</v>
      </c>
      <c r="B185" s="7" t="s">
        <v>193</v>
      </c>
      <c r="C185" s="8" t="s">
        <v>13</v>
      </c>
      <c r="D185" s="9">
        <v>300</v>
      </c>
      <c r="E185" s="9">
        <v>533.61</v>
      </c>
      <c r="F185" s="9">
        <v>160083</v>
      </c>
      <c r="G185" s="10" t="s">
        <v>318</v>
      </c>
      <c r="H185" s="13" t="s">
        <v>243</v>
      </c>
      <c r="I185" s="14"/>
      <c r="J185" s="14"/>
      <c r="K185" s="14"/>
    </row>
    <row r="186" spans="1:11" ht="57">
      <c r="A186" s="12" t="s">
        <v>177</v>
      </c>
      <c r="B186" s="7" t="s">
        <v>192</v>
      </c>
      <c r="C186" s="8" t="s">
        <v>17</v>
      </c>
      <c r="D186" s="9">
        <v>137462</v>
      </c>
      <c r="E186" s="9">
        <v>36.4</v>
      </c>
      <c r="F186" s="9">
        <v>5003616.8</v>
      </c>
      <c r="G186" s="10" t="s">
        <v>314</v>
      </c>
      <c r="H186" s="11" t="s">
        <v>243</v>
      </c>
    </row>
    <row r="187" spans="1:11" ht="57">
      <c r="A187" s="12" t="s">
        <v>176</v>
      </c>
      <c r="B187" s="7" t="s">
        <v>530</v>
      </c>
      <c r="C187" s="8" t="s">
        <v>17</v>
      </c>
      <c r="D187" s="9">
        <v>116638</v>
      </c>
      <c r="E187" s="9">
        <v>38.71</v>
      </c>
      <c r="F187" s="9">
        <v>4515056.9800000004</v>
      </c>
      <c r="G187" s="10" t="s">
        <v>531</v>
      </c>
      <c r="H187" s="11" t="s">
        <v>243</v>
      </c>
    </row>
    <row r="188" spans="1:11" ht="47.25">
      <c r="A188" s="12" t="s">
        <v>175</v>
      </c>
      <c r="B188" s="7" t="s">
        <v>628</v>
      </c>
      <c r="C188" s="8" t="s">
        <v>8</v>
      </c>
      <c r="D188" s="9">
        <v>112</v>
      </c>
      <c r="E188" s="9">
        <v>2865.8</v>
      </c>
      <c r="F188" s="9">
        <v>320969.59999999998</v>
      </c>
      <c r="G188" s="10" t="s">
        <v>629</v>
      </c>
      <c r="H188" s="11" t="s">
        <v>243</v>
      </c>
    </row>
    <row r="189" spans="1:11" ht="42.75">
      <c r="A189" s="12" t="s">
        <v>174</v>
      </c>
      <c r="B189" s="7" t="s">
        <v>630</v>
      </c>
      <c r="C189" s="8" t="s">
        <v>0</v>
      </c>
      <c r="D189" s="9">
        <v>47</v>
      </c>
      <c r="E189" s="9">
        <v>1477.97</v>
      </c>
      <c r="F189" s="9">
        <v>69464.59</v>
      </c>
      <c r="G189" s="10" t="s">
        <v>631</v>
      </c>
      <c r="H189" s="11" t="s">
        <v>243</v>
      </c>
    </row>
    <row r="190" spans="1:11" ht="47.25">
      <c r="A190" s="12" t="s">
        <v>173</v>
      </c>
      <c r="B190" s="7" t="s">
        <v>632</v>
      </c>
      <c r="C190" s="8" t="s">
        <v>8</v>
      </c>
      <c r="D190" s="9">
        <v>148</v>
      </c>
      <c r="E190" s="9">
        <v>151.71</v>
      </c>
      <c r="F190" s="9">
        <v>22453.08</v>
      </c>
      <c r="G190" s="10" t="s">
        <v>633</v>
      </c>
      <c r="H190" s="11" t="s">
        <v>243</v>
      </c>
    </row>
    <row r="191" spans="1:11" ht="42.75">
      <c r="A191" s="12" t="s">
        <v>218</v>
      </c>
      <c r="B191" s="7" t="s">
        <v>634</v>
      </c>
      <c r="C191" s="8" t="s">
        <v>15</v>
      </c>
      <c r="D191" s="9">
        <v>6</v>
      </c>
      <c r="E191" s="9">
        <v>15778.75</v>
      </c>
      <c r="F191" s="9">
        <v>94672.5</v>
      </c>
      <c r="G191" s="10" t="s">
        <v>635</v>
      </c>
      <c r="H191" s="11" t="s">
        <v>243</v>
      </c>
    </row>
    <row r="192" spans="1:11" ht="42.75">
      <c r="A192" s="12" t="s">
        <v>636</v>
      </c>
      <c r="B192" s="7" t="s">
        <v>357</v>
      </c>
      <c r="C192" s="8" t="s">
        <v>8</v>
      </c>
      <c r="D192" s="9">
        <v>746</v>
      </c>
      <c r="E192" s="9">
        <v>138.84</v>
      </c>
      <c r="F192" s="9">
        <v>103574.64</v>
      </c>
      <c r="G192" s="10" t="s">
        <v>358</v>
      </c>
      <c r="H192" s="11" t="s">
        <v>243</v>
      </c>
    </row>
    <row r="193" spans="1:11" ht="42.75">
      <c r="A193" s="12" t="s">
        <v>637</v>
      </c>
      <c r="B193" s="7" t="s">
        <v>611</v>
      </c>
      <c r="C193" s="8" t="s">
        <v>8</v>
      </c>
      <c r="D193" s="9">
        <v>1740</v>
      </c>
      <c r="E193" s="9">
        <v>326.27999999999997</v>
      </c>
      <c r="F193" s="9">
        <v>567727.19999999995</v>
      </c>
      <c r="G193" s="10" t="s">
        <v>612</v>
      </c>
      <c r="H193" s="11" t="s">
        <v>243</v>
      </c>
    </row>
    <row r="194" spans="1:11" ht="57">
      <c r="A194" s="12" t="s">
        <v>638</v>
      </c>
      <c r="B194" s="7" t="s">
        <v>222</v>
      </c>
      <c r="C194" s="8" t="s">
        <v>13</v>
      </c>
      <c r="D194" s="9">
        <v>783</v>
      </c>
      <c r="E194" s="9">
        <v>692.12</v>
      </c>
      <c r="F194" s="9">
        <v>541929.96</v>
      </c>
      <c r="G194" s="10" t="s">
        <v>546</v>
      </c>
      <c r="H194" s="11" t="s">
        <v>243</v>
      </c>
    </row>
    <row r="195" spans="1:11" ht="42.75">
      <c r="A195" s="12" t="s">
        <v>639</v>
      </c>
      <c r="B195" s="7" t="s">
        <v>640</v>
      </c>
      <c r="C195" s="8" t="s">
        <v>15</v>
      </c>
      <c r="D195" s="9">
        <v>1</v>
      </c>
      <c r="E195" s="9">
        <v>214228.32</v>
      </c>
      <c r="F195" s="9">
        <v>214228.32</v>
      </c>
      <c r="G195" s="10" t="s">
        <v>641</v>
      </c>
      <c r="H195" s="11" t="s">
        <v>243</v>
      </c>
    </row>
    <row r="196" spans="1:11" ht="42.75">
      <c r="A196" s="12" t="s">
        <v>642</v>
      </c>
      <c r="B196" s="7" t="s">
        <v>643</v>
      </c>
      <c r="C196" s="8" t="s">
        <v>5</v>
      </c>
      <c r="D196" s="9">
        <v>44</v>
      </c>
      <c r="E196" s="9">
        <v>422.28</v>
      </c>
      <c r="F196" s="9">
        <v>18580.32</v>
      </c>
      <c r="G196" s="10" t="s">
        <v>644</v>
      </c>
      <c r="H196" s="11" t="s">
        <v>243</v>
      </c>
    </row>
    <row r="197" spans="1:11" ht="33">
      <c r="A197" s="6" t="s">
        <v>172</v>
      </c>
      <c r="B197" s="7" t="s">
        <v>645</v>
      </c>
      <c r="C197" s="8" t="s">
        <v>4</v>
      </c>
      <c r="D197" s="9">
        <v>1</v>
      </c>
      <c r="E197" s="9"/>
      <c r="F197" s="9">
        <v>11413214.08</v>
      </c>
      <c r="G197" s="10" t="s">
        <v>242</v>
      </c>
      <c r="H197" s="11" t="s">
        <v>243</v>
      </c>
    </row>
    <row r="198" spans="1:11" ht="42.75">
      <c r="A198" s="12" t="s">
        <v>171</v>
      </c>
      <c r="B198" s="7" t="s">
        <v>646</v>
      </c>
      <c r="C198" s="8" t="s">
        <v>6</v>
      </c>
      <c r="D198" s="9">
        <v>230</v>
      </c>
      <c r="E198" s="9">
        <v>7517.15</v>
      </c>
      <c r="F198" s="9">
        <v>1728944.5</v>
      </c>
      <c r="G198" s="10" t="s">
        <v>647</v>
      </c>
      <c r="H198" s="11" t="s">
        <v>243</v>
      </c>
    </row>
    <row r="199" spans="1:11" ht="42.75">
      <c r="A199" s="12" t="s">
        <v>170</v>
      </c>
      <c r="B199" s="7" t="s">
        <v>648</v>
      </c>
      <c r="C199" s="8" t="s">
        <v>6</v>
      </c>
      <c r="D199" s="9">
        <v>689</v>
      </c>
      <c r="E199" s="9">
        <v>7496.55</v>
      </c>
      <c r="F199" s="9">
        <v>5165122.95</v>
      </c>
      <c r="G199" s="10" t="s">
        <v>649</v>
      </c>
      <c r="H199" s="11" t="s">
        <v>243</v>
      </c>
    </row>
    <row r="200" spans="1:11" ht="42.75">
      <c r="A200" s="12" t="s">
        <v>169</v>
      </c>
      <c r="B200" s="7" t="s">
        <v>650</v>
      </c>
      <c r="C200" s="8" t="s">
        <v>13</v>
      </c>
      <c r="D200" s="9">
        <v>4589</v>
      </c>
      <c r="E200" s="9">
        <v>11.6</v>
      </c>
      <c r="F200" s="9">
        <v>53232.4</v>
      </c>
      <c r="G200" s="10" t="s">
        <v>651</v>
      </c>
      <c r="H200" s="11" t="s">
        <v>243</v>
      </c>
    </row>
    <row r="201" spans="1:11" ht="42.75">
      <c r="A201" s="12" t="s">
        <v>168</v>
      </c>
      <c r="B201" s="7" t="s">
        <v>652</v>
      </c>
      <c r="C201" s="8" t="s">
        <v>13</v>
      </c>
      <c r="D201" s="9">
        <v>4589</v>
      </c>
      <c r="E201" s="9">
        <v>42.46</v>
      </c>
      <c r="F201" s="9">
        <v>194848.94</v>
      </c>
      <c r="G201" s="10" t="s">
        <v>653</v>
      </c>
      <c r="H201" s="11" t="s">
        <v>243</v>
      </c>
    </row>
    <row r="202" spans="1:11" ht="42.75">
      <c r="A202" s="12" t="s">
        <v>167</v>
      </c>
      <c r="B202" s="7" t="s">
        <v>204</v>
      </c>
      <c r="C202" s="8" t="s">
        <v>13</v>
      </c>
      <c r="D202" s="9">
        <v>13765</v>
      </c>
      <c r="E202" s="9">
        <v>15.96</v>
      </c>
      <c r="F202" s="9">
        <v>219689.4</v>
      </c>
      <c r="G202" s="10" t="s">
        <v>654</v>
      </c>
      <c r="H202" s="11" t="s">
        <v>243</v>
      </c>
    </row>
    <row r="203" spans="1:11" ht="42.75">
      <c r="A203" s="12" t="s">
        <v>166</v>
      </c>
      <c r="B203" s="7" t="s">
        <v>315</v>
      </c>
      <c r="C203" s="8" t="s">
        <v>6</v>
      </c>
      <c r="D203" s="9">
        <v>49</v>
      </c>
      <c r="E203" s="9">
        <v>3114.97</v>
      </c>
      <c r="F203" s="9">
        <v>152633.53</v>
      </c>
      <c r="G203" s="10" t="s">
        <v>316</v>
      </c>
      <c r="H203" s="11" t="s">
        <v>243</v>
      </c>
    </row>
    <row r="204" spans="1:11" ht="42.75">
      <c r="A204" s="12" t="s">
        <v>165</v>
      </c>
      <c r="B204" s="7" t="s">
        <v>24</v>
      </c>
      <c r="C204" s="8" t="s">
        <v>6</v>
      </c>
      <c r="D204" s="9">
        <v>328</v>
      </c>
      <c r="E204" s="9">
        <v>3320.96</v>
      </c>
      <c r="F204" s="9">
        <v>1089274.8799999999</v>
      </c>
      <c r="G204" s="10" t="s">
        <v>317</v>
      </c>
      <c r="H204" s="11" t="s">
        <v>243</v>
      </c>
    </row>
    <row r="205" spans="1:11" ht="33">
      <c r="A205" s="12" t="s">
        <v>164</v>
      </c>
      <c r="B205" s="7" t="s">
        <v>595</v>
      </c>
      <c r="C205" s="8" t="s">
        <v>6</v>
      </c>
      <c r="D205" s="9">
        <v>377</v>
      </c>
      <c r="E205" s="9">
        <v>199.99</v>
      </c>
      <c r="F205" s="9">
        <v>75396.23</v>
      </c>
      <c r="G205" s="10" t="s">
        <v>596</v>
      </c>
      <c r="H205" s="11" t="s">
        <v>243</v>
      </c>
    </row>
    <row r="206" spans="1:11" s="15" customFormat="1" ht="57">
      <c r="A206" s="12" t="s">
        <v>163</v>
      </c>
      <c r="B206" s="7" t="s">
        <v>626</v>
      </c>
      <c r="C206" s="8" t="s">
        <v>13</v>
      </c>
      <c r="D206" s="9">
        <v>867</v>
      </c>
      <c r="E206" s="9">
        <v>698.28</v>
      </c>
      <c r="F206" s="9">
        <v>605408.76</v>
      </c>
      <c r="G206" s="10" t="s">
        <v>627</v>
      </c>
      <c r="H206" s="13" t="s">
        <v>243</v>
      </c>
      <c r="I206" s="14"/>
      <c r="J206" s="14"/>
      <c r="K206" s="14"/>
    </row>
    <row r="207" spans="1:11" s="15" customFormat="1" ht="85.5">
      <c r="A207" s="12" t="s">
        <v>162</v>
      </c>
      <c r="B207" s="7" t="s">
        <v>193</v>
      </c>
      <c r="C207" s="8" t="s">
        <v>13</v>
      </c>
      <c r="D207" s="9">
        <v>1257</v>
      </c>
      <c r="E207" s="9">
        <v>533.61</v>
      </c>
      <c r="F207" s="9">
        <v>670747.77</v>
      </c>
      <c r="G207" s="10" t="s">
        <v>318</v>
      </c>
      <c r="H207" s="13" t="s">
        <v>243</v>
      </c>
      <c r="I207" s="14"/>
      <c r="J207" s="14"/>
      <c r="K207" s="14"/>
    </row>
    <row r="208" spans="1:11" ht="57">
      <c r="A208" s="12" t="s">
        <v>161</v>
      </c>
      <c r="B208" s="7" t="s">
        <v>192</v>
      </c>
      <c r="C208" s="8" t="s">
        <v>17</v>
      </c>
      <c r="D208" s="9">
        <v>12810</v>
      </c>
      <c r="E208" s="9">
        <v>36.4</v>
      </c>
      <c r="F208" s="9">
        <v>466284</v>
      </c>
      <c r="G208" s="10" t="s">
        <v>314</v>
      </c>
      <c r="H208" s="11" t="s">
        <v>243</v>
      </c>
    </row>
    <row r="209" spans="1:11" ht="71.25">
      <c r="A209" s="12" t="s">
        <v>160</v>
      </c>
      <c r="B209" s="7" t="s">
        <v>655</v>
      </c>
      <c r="C209" s="8" t="s">
        <v>15</v>
      </c>
      <c r="D209" s="9">
        <v>158</v>
      </c>
      <c r="E209" s="9">
        <v>3615.1</v>
      </c>
      <c r="F209" s="9">
        <v>571185.80000000005</v>
      </c>
      <c r="G209" s="10" t="s">
        <v>656</v>
      </c>
      <c r="H209" s="11" t="s">
        <v>243</v>
      </c>
    </row>
    <row r="210" spans="1:11" ht="71.25">
      <c r="A210" s="12" t="s">
        <v>159</v>
      </c>
      <c r="B210" s="7" t="s">
        <v>657</v>
      </c>
      <c r="C210" s="8" t="s">
        <v>17</v>
      </c>
      <c r="D210" s="9">
        <v>3713</v>
      </c>
      <c r="E210" s="9">
        <v>107.44</v>
      </c>
      <c r="F210" s="9">
        <v>398924.72</v>
      </c>
      <c r="G210" s="10" t="s">
        <v>658</v>
      </c>
      <c r="H210" s="11" t="s">
        <v>243</v>
      </c>
    </row>
    <row r="211" spans="1:11" ht="42.75">
      <c r="A211" s="12" t="s">
        <v>158</v>
      </c>
      <c r="B211" s="7" t="s">
        <v>357</v>
      </c>
      <c r="C211" s="8" t="s">
        <v>8</v>
      </c>
      <c r="D211" s="9">
        <v>155</v>
      </c>
      <c r="E211" s="9">
        <v>138.84</v>
      </c>
      <c r="F211" s="9">
        <v>21520.2</v>
      </c>
      <c r="G211" s="10" t="s">
        <v>358</v>
      </c>
      <c r="H211" s="11" t="s">
        <v>243</v>
      </c>
    </row>
    <row r="212" spans="1:11" s="18" customFormat="1" ht="33">
      <c r="A212" s="6" t="s">
        <v>659</v>
      </c>
      <c r="B212" s="7" t="s">
        <v>660</v>
      </c>
      <c r="C212" s="8" t="s">
        <v>4</v>
      </c>
      <c r="D212" s="9">
        <v>1</v>
      </c>
      <c r="E212" s="9"/>
      <c r="F212" s="9">
        <v>441541.64</v>
      </c>
      <c r="G212" s="10" t="s">
        <v>242</v>
      </c>
      <c r="H212" s="16" t="s">
        <v>243</v>
      </c>
      <c r="I212" s="17"/>
      <c r="J212" s="17"/>
      <c r="K212" s="17"/>
    </row>
    <row r="213" spans="1:11" s="18" customFormat="1" ht="57">
      <c r="A213" s="12" t="s">
        <v>661</v>
      </c>
      <c r="B213" s="7" t="s">
        <v>662</v>
      </c>
      <c r="C213" s="8" t="s">
        <v>223</v>
      </c>
      <c r="D213" s="9">
        <v>1</v>
      </c>
      <c r="E213" s="9">
        <v>704.48</v>
      </c>
      <c r="F213" s="9">
        <v>704.48</v>
      </c>
      <c r="G213" s="10" t="s">
        <v>663</v>
      </c>
      <c r="H213" s="16" t="s">
        <v>243</v>
      </c>
      <c r="I213" s="17"/>
      <c r="J213" s="17"/>
      <c r="K213" s="17"/>
    </row>
    <row r="214" spans="1:11" s="18" customFormat="1" ht="42.75">
      <c r="A214" s="12" t="s">
        <v>664</v>
      </c>
      <c r="B214" s="7" t="s">
        <v>665</v>
      </c>
      <c r="C214" s="8" t="s">
        <v>5</v>
      </c>
      <c r="D214" s="9">
        <v>1</v>
      </c>
      <c r="E214" s="9">
        <v>399.98</v>
      </c>
      <c r="F214" s="9">
        <v>399.98</v>
      </c>
      <c r="G214" s="10" t="s">
        <v>666</v>
      </c>
      <c r="H214" s="16" t="s">
        <v>243</v>
      </c>
      <c r="I214" s="17"/>
      <c r="J214" s="17"/>
      <c r="K214" s="17"/>
    </row>
    <row r="215" spans="1:11" s="18" customFormat="1" ht="42.75">
      <c r="A215" s="12" t="s">
        <v>667</v>
      </c>
      <c r="B215" s="7" t="s">
        <v>668</v>
      </c>
      <c r="C215" s="8" t="s">
        <v>669</v>
      </c>
      <c r="D215" s="9">
        <v>1</v>
      </c>
      <c r="E215" s="9">
        <v>3569.75</v>
      </c>
      <c r="F215" s="9">
        <v>3569.75</v>
      </c>
      <c r="G215" s="10" t="s">
        <v>670</v>
      </c>
      <c r="H215" s="16" t="s">
        <v>243</v>
      </c>
      <c r="I215" s="17"/>
      <c r="J215" s="17"/>
      <c r="K215" s="17"/>
    </row>
    <row r="216" spans="1:11" s="18" customFormat="1" ht="42.75">
      <c r="A216" s="12" t="s">
        <v>671</v>
      </c>
      <c r="B216" s="7" t="s">
        <v>672</v>
      </c>
      <c r="C216" s="8" t="s">
        <v>669</v>
      </c>
      <c r="D216" s="9">
        <v>1</v>
      </c>
      <c r="E216" s="9">
        <v>4082.87</v>
      </c>
      <c r="F216" s="9">
        <v>4082.87</v>
      </c>
      <c r="G216" s="10" t="s">
        <v>673</v>
      </c>
      <c r="H216" s="16" t="s">
        <v>243</v>
      </c>
      <c r="I216" s="17"/>
      <c r="J216" s="17"/>
      <c r="K216" s="17"/>
    </row>
    <row r="217" spans="1:11" s="18" customFormat="1" ht="42.75">
      <c r="A217" s="12" t="s">
        <v>674</v>
      </c>
      <c r="B217" s="7" t="s">
        <v>675</v>
      </c>
      <c r="C217" s="8" t="s">
        <v>669</v>
      </c>
      <c r="D217" s="9">
        <v>1</v>
      </c>
      <c r="E217" s="9">
        <v>7408.14</v>
      </c>
      <c r="F217" s="9">
        <v>7408.14</v>
      </c>
      <c r="G217" s="10" t="s">
        <v>676</v>
      </c>
      <c r="H217" s="16" t="s">
        <v>243</v>
      </c>
      <c r="I217" s="17"/>
      <c r="J217" s="17"/>
      <c r="K217" s="17"/>
    </row>
    <row r="218" spans="1:11" s="18" customFormat="1" ht="42.75">
      <c r="A218" s="12" t="s">
        <v>677</v>
      </c>
      <c r="B218" s="7" t="s">
        <v>678</v>
      </c>
      <c r="C218" s="8" t="s">
        <v>669</v>
      </c>
      <c r="D218" s="9">
        <v>1</v>
      </c>
      <c r="E218" s="9">
        <v>10318.74</v>
      </c>
      <c r="F218" s="9">
        <v>10318.74</v>
      </c>
      <c r="G218" s="10" t="s">
        <v>679</v>
      </c>
      <c r="H218" s="16" t="s">
        <v>243</v>
      </c>
      <c r="I218" s="17"/>
      <c r="J218" s="17"/>
      <c r="K218" s="17"/>
    </row>
    <row r="219" spans="1:11" s="18" customFormat="1" ht="42.75">
      <c r="A219" s="12" t="s">
        <v>680</v>
      </c>
      <c r="B219" s="7" t="s">
        <v>681</v>
      </c>
      <c r="C219" s="8" t="s">
        <v>669</v>
      </c>
      <c r="D219" s="9">
        <v>1</v>
      </c>
      <c r="E219" s="9">
        <v>15163.34</v>
      </c>
      <c r="F219" s="9">
        <v>15163.34</v>
      </c>
      <c r="G219" s="10" t="s">
        <v>682</v>
      </c>
      <c r="H219" s="16" t="s">
        <v>243</v>
      </c>
      <c r="I219" s="17"/>
      <c r="J219" s="17"/>
      <c r="K219" s="17"/>
    </row>
    <row r="220" spans="1:11" s="18" customFormat="1" ht="42.75">
      <c r="A220" s="12" t="s">
        <v>683</v>
      </c>
      <c r="B220" s="7" t="s">
        <v>684</v>
      </c>
      <c r="C220" s="8" t="s">
        <v>669</v>
      </c>
      <c r="D220" s="9">
        <v>1</v>
      </c>
      <c r="E220" s="9">
        <v>21801.91</v>
      </c>
      <c r="F220" s="9">
        <v>21801.91</v>
      </c>
      <c r="G220" s="10" t="s">
        <v>685</v>
      </c>
      <c r="H220" s="16" t="s">
        <v>243</v>
      </c>
      <c r="I220" s="17"/>
      <c r="J220" s="17"/>
      <c r="K220" s="17"/>
    </row>
    <row r="221" spans="1:11" s="18" customFormat="1" ht="42.75">
      <c r="A221" s="12" t="s">
        <v>686</v>
      </c>
      <c r="B221" s="7" t="s">
        <v>687</v>
      </c>
      <c r="C221" s="8" t="s">
        <v>669</v>
      </c>
      <c r="D221" s="9">
        <v>1</v>
      </c>
      <c r="E221" s="9">
        <v>29983.23</v>
      </c>
      <c r="F221" s="9">
        <v>29983.23</v>
      </c>
      <c r="G221" s="10" t="s">
        <v>688</v>
      </c>
      <c r="H221" s="16" t="s">
        <v>243</v>
      </c>
      <c r="I221" s="17"/>
      <c r="J221" s="17"/>
      <c r="K221" s="17"/>
    </row>
    <row r="222" spans="1:11" s="18" customFormat="1" ht="42.75">
      <c r="A222" s="12" t="s">
        <v>689</v>
      </c>
      <c r="B222" s="7" t="s">
        <v>690</v>
      </c>
      <c r="C222" s="8" t="s">
        <v>669</v>
      </c>
      <c r="D222" s="9">
        <v>1</v>
      </c>
      <c r="E222" s="9">
        <v>28372.400000000001</v>
      </c>
      <c r="F222" s="9">
        <v>28372.400000000001</v>
      </c>
      <c r="G222" s="10" t="s">
        <v>691</v>
      </c>
      <c r="H222" s="16" t="s">
        <v>243</v>
      </c>
      <c r="I222" s="17"/>
      <c r="J222" s="17"/>
      <c r="K222" s="17"/>
    </row>
    <row r="223" spans="1:11" s="18" customFormat="1" ht="42.75">
      <c r="A223" s="12" t="s">
        <v>692</v>
      </c>
      <c r="B223" s="7" t="s">
        <v>693</v>
      </c>
      <c r="C223" s="8" t="s">
        <v>669</v>
      </c>
      <c r="D223" s="9">
        <v>1</v>
      </c>
      <c r="E223" s="9">
        <v>73084.87</v>
      </c>
      <c r="F223" s="9">
        <v>73084.87</v>
      </c>
      <c r="G223" s="10" t="s">
        <v>694</v>
      </c>
      <c r="H223" s="16" t="s">
        <v>243</v>
      </c>
      <c r="I223" s="17"/>
      <c r="J223" s="17"/>
      <c r="K223" s="17"/>
    </row>
    <row r="224" spans="1:11" s="18" customFormat="1" ht="71.25">
      <c r="A224" s="12" t="s">
        <v>695</v>
      </c>
      <c r="B224" s="7" t="s">
        <v>696</v>
      </c>
      <c r="C224" s="8" t="s">
        <v>669</v>
      </c>
      <c r="D224" s="9">
        <v>1</v>
      </c>
      <c r="E224" s="9">
        <v>22813.26</v>
      </c>
      <c r="F224" s="9">
        <v>22813.26</v>
      </c>
      <c r="G224" s="10" t="s">
        <v>697</v>
      </c>
      <c r="H224" s="16" t="s">
        <v>243</v>
      </c>
      <c r="I224" s="17"/>
      <c r="J224" s="17"/>
      <c r="K224" s="17"/>
    </row>
    <row r="225" spans="1:11" s="18" customFormat="1" ht="42.75">
      <c r="A225" s="12" t="s">
        <v>698</v>
      </c>
      <c r="B225" s="7" t="s">
        <v>699</v>
      </c>
      <c r="C225" s="8" t="s">
        <v>669</v>
      </c>
      <c r="D225" s="9">
        <v>1</v>
      </c>
      <c r="E225" s="9">
        <v>1079.8499999999999</v>
      </c>
      <c r="F225" s="9">
        <v>1079.8499999999999</v>
      </c>
      <c r="G225" s="10" t="s">
        <v>700</v>
      </c>
      <c r="H225" s="16" t="s">
        <v>243</v>
      </c>
      <c r="I225" s="17"/>
      <c r="J225" s="17"/>
      <c r="K225" s="17"/>
    </row>
    <row r="226" spans="1:11" s="18" customFormat="1" ht="47.25">
      <c r="A226" s="12" t="s">
        <v>701</v>
      </c>
      <c r="B226" s="7" t="s">
        <v>702</v>
      </c>
      <c r="C226" s="8" t="s">
        <v>669</v>
      </c>
      <c r="D226" s="9">
        <v>1</v>
      </c>
      <c r="E226" s="9">
        <v>1963.19</v>
      </c>
      <c r="F226" s="9">
        <v>1963.19</v>
      </c>
      <c r="G226" s="10" t="s">
        <v>703</v>
      </c>
      <c r="H226" s="16" t="s">
        <v>243</v>
      </c>
      <c r="I226" s="17"/>
      <c r="J226" s="17"/>
      <c r="K226" s="17"/>
    </row>
    <row r="227" spans="1:11" s="18" customFormat="1" ht="47.25">
      <c r="A227" s="12" t="s">
        <v>704</v>
      </c>
      <c r="B227" s="7" t="s">
        <v>705</v>
      </c>
      <c r="C227" s="8" t="s">
        <v>669</v>
      </c>
      <c r="D227" s="9">
        <v>1</v>
      </c>
      <c r="E227" s="9">
        <v>2216.48</v>
      </c>
      <c r="F227" s="9">
        <v>2216.48</v>
      </c>
      <c r="G227" s="10" t="s">
        <v>706</v>
      </c>
      <c r="H227" s="16" t="s">
        <v>243</v>
      </c>
      <c r="I227" s="17"/>
      <c r="J227" s="17"/>
      <c r="K227" s="17"/>
    </row>
    <row r="228" spans="1:11" s="18" customFormat="1" ht="47.25">
      <c r="A228" s="12" t="s">
        <v>707</v>
      </c>
      <c r="B228" s="7" t="s">
        <v>708</v>
      </c>
      <c r="C228" s="8" t="s">
        <v>669</v>
      </c>
      <c r="D228" s="9">
        <v>1</v>
      </c>
      <c r="E228" s="9">
        <v>4720.3100000000004</v>
      </c>
      <c r="F228" s="9">
        <v>4720.3100000000004</v>
      </c>
      <c r="G228" s="10" t="s">
        <v>709</v>
      </c>
      <c r="H228" s="16" t="s">
        <v>243</v>
      </c>
      <c r="I228" s="17"/>
      <c r="J228" s="17"/>
      <c r="K228" s="17"/>
    </row>
    <row r="229" spans="1:11" s="18" customFormat="1" ht="57">
      <c r="A229" s="12" t="s">
        <v>710</v>
      </c>
      <c r="B229" s="7" t="s">
        <v>147</v>
      </c>
      <c r="C229" s="8" t="s">
        <v>8</v>
      </c>
      <c r="D229" s="9">
        <v>1</v>
      </c>
      <c r="E229" s="9">
        <v>1859.79</v>
      </c>
      <c r="F229" s="9">
        <v>1859.79</v>
      </c>
      <c r="G229" s="10" t="s">
        <v>711</v>
      </c>
      <c r="H229" s="16" t="s">
        <v>243</v>
      </c>
      <c r="I229" s="17"/>
      <c r="J229" s="17"/>
      <c r="K229" s="17"/>
    </row>
    <row r="230" spans="1:11" s="18" customFormat="1" ht="42.75">
      <c r="A230" s="12" t="s">
        <v>712</v>
      </c>
      <c r="B230" s="7" t="s">
        <v>713</v>
      </c>
      <c r="C230" s="8" t="s">
        <v>15</v>
      </c>
      <c r="D230" s="9">
        <v>1</v>
      </c>
      <c r="E230" s="9">
        <v>10254.44</v>
      </c>
      <c r="F230" s="9">
        <v>10254.44</v>
      </c>
      <c r="G230" s="10" t="s">
        <v>714</v>
      </c>
      <c r="H230" s="16" t="s">
        <v>243</v>
      </c>
      <c r="I230" s="17"/>
      <c r="J230" s="17"/>
      <c r="K230" s="17"/>
    </row>
    <row r="231" spans="1:11" s="18" customFormat="1" ht="42.75">
      <c r="A231" s="12" t="s">
        <v>715</v>
      </c>
      <c r="B231" s="7" t="s">
        <v>716</v>
      </c>
      <c r="C231" s="8" t="s">
        <v>15</v>
      </c>
      <c r="D231" s="9">
        <v>1</v>
      </c>
      <c r="E231" s="9">
        <v>40</v>
      </c>
      <c r="F231" s="9">
        <v>40</v>
      </c>
      <c r="G231" s="10" t="s">
        <v>717</v>
      </c>
      <c r="H231" s="16" t="s">
        <v>243</v>
      </c>
      <c r="I231" s="17"/>
      <c r="J231" s="17"/>
      <c r="K231" s="17"/>
    </row>
    <row r="232" spans="1:11" s="18" customFormat="1" ht="47.25">
      <c r="A232" s="12" t="s">
        <v>718</v>
      </c>
      <c r="B232" s="7" t="s">
        <v>719</v>
      </c>
      <c r="C232" s="8" t="s">
        <v>7</v>
      </c>
      <c r="D232" s="9">
        <v>1</v>
      </c>
      <c r="E232" s="9">
        <v>35</v>
      </c>
      <c r="F232" s="9">
        <v>35</v>
      </c>
      <c r="G232" s="10" t="s">
        <v>720</v>
      </c>
      <c r="H232" s="16" t="s">
        <v>243</v>
      </c>
      <c r="I232" s="17"/>
      <c r="J232" s="17"/>
      <c r="K232" s="17"/>
    </row>
    <row r="233" spans="1:11" s="18" customFormat="1" ht="33">
      <c r="A233" s="12" t="s">
        <v>721</v>
      </c>
      <c r="B233" s="7" t="s">
        <v>722</v>
      </c>
      <c r="C233" s="8" t="s">
        <v>8</v>
      </c>
      <c r="D233" s="9">
        <v>1</v>
      </c>
      <c r="E233" s="9">
        <v>10</v>
      </c>
      <c r="F233" s="9">
        <v>10</v>
      </c>
      <c r="G233" s="10" t="s">
        <v>723</v>
      </c>
      <c r="H233" s="16" t="s">
        <v>243</v>
      </c>
      <c r="I233" s="17"/>
      <c r="J233" s="17"/>
      <c r="K233" s="17"/>
    </row>
    <row r="234" spans="1:11" s="18" customFormat="1" ht="33">
      <c r="A234" s="12" t="s">
        <v>724</v>
      </c>
      <c r="B234" s="7" t="s">
        <v>725</v>
      </c>
      <c r="C234" s="8" t="s">
        <v>13</v>
      </c>
      <c r="D234" s="9">
        <v>1</v>
      </c>
      <c r="E234" s="9">
        <v>530.97</v>
      </c>
      <c r="F234" s="9">
        <v>530.97</v>
      </c>
      <c r="G234" s="10" t="s">
        <v>726</v>
      </c>
      <c r="H234" s="16" t="s">
        <v>243</v>
      </c>
      <c r="I234" s="17"/>
      <c r="J234" s="17"/>
      <c r="K234" s="17"/>
    </row>
    <row r="235" spans="1:11" s="18" customFormat="1" ht="42.75">
      <c r="A235" s="12" t="s">
        <v>727</v>
      </c>
      <c r="B235" s="7" t="s">
        <v>728</v>
      </c>
      <c r="C235" s="8" t="s">
        <v>6</v>
      </c>
      <c r="D235" s="9">
        <v>1</v>
      </c>
      <c r="E235" s="9">
        <v>3386.34</v>
      </c>
      <c r="F235" s="9">
        <v>3386.34</v>
      </c>
      <c r="G235" s="10" t="s">
        <v>729</v>
      </c>
      <c r="H235" s="16" t="s">
        <v>243</v>
      </c>
      <c r="I235" s="17"/>
      <c r="J235" s="17"/>
      <c r="K235" s="17"/>
    </row>
    <row r="236" spans="1:11" s="18" customFormat="1" ht="42.75">
      <c r="A236" s="12" t="s">
        <v>730</v>
      </c>
      <c r="B236" s="7" t="s">
        <v>731</v>
      </c>
      <c r="C236" s="8" t="s">
        <v>4</v>
      </c>
      <c r="D236" s="9">
        <v>1</v>
      </c>
      <c r="E236" s="9">
        <v>107994.11</v>
      </c>
      <c r="F236" s="9">
        <v>107994.11</v>
      </c>
      <c r="G236" s="10" t="s">
        <v>732</v>
      </c>
      <c r="H236" s="16" t="s">
        <v>243</v>
      </c>
      <c r="I236" s="17"/>
      <c r="J236" s="17"/>
      <c r="K236" s="17"/>
    </row>
    <row r="237" spans="1:11" s="18" customFormat="1" ht="33">
      <c r="A237" s="12" t="s">
        <v>733</v>
      </c>
      <c r="B237" s="7" t="s">
        <v>734</v>
      </c>
      <c r="C237" s="8" t="s">
        <v>13</v>
      </c>
      <c r="D237" s="9">
        <v>1</v>
      </c>
      <c r="E237" s="9">
        <v>499.97</v>
      </c>
      <c r="F237" s="9">
        <v>499.97</v>
      </c>
      <c r="G237" s="10" t="s">
        <v>735</v>
      </c>
      <c r="H237" s="16" t="s">
        <v>243</v>
      </c>
      <c r="I237" s="17"/>
      <c r="J237" s="17"/>
      <c r="K237" s="17"/>
    </row>
    <row r="238" spans="1:11" s="18" customFormat="1" ht="47.25">
      <c r="A238" s="12" t="s">
        <v>736</v>
      </c>
      <c r="B238" s="7" t="s">
        <v>737</v>
      </c>
      <c r="C238" s="8" t="s">
        <v>669</v>
      </c>
      <c r="D238" s="9">
        <v>1</v>
      </c>
      <c r="E238" s="9">
        <v>10067.84</v>
      </c>
      <c r="F238" s="9">
        <v>10067.84</v>
      </c>
      <c r="G238" s="10" t="s">
        <v>738</v>
      </c>
      <c r="H238" s="16" t="s">
        <v>243</v>
      </c>
      <c r="I238" s="17"/>
      <c r="J238" s="17"/>
      <c r="K238" s="17"/>
    </row>
    <row r="239" spans="1:11" s="18" customFormat="1" ht="47.25">
      <c r="A239" s="12" t="s">
        <v>739</v>
      </c>
      <c r="B239" s="7" t="s">
        <v>740</v>
      </c>
      <c r="C239" s="8" t="s">
        <v>669</v>
      </c>
      <c r="D239" s="9">
        <v>1</v>
      </c>
      <c r="E239" s="9">
        <v>6487.57</v>
      </c>
      <c r="F239" s="9">
        <v>6487.57</v>
      </c>
      <c r="G239" s="10" t="s">
        <v>741</v>
      </c>
      <c r="H239" s="16" t="s">
        <v>243</v>
      </c>
      <c r="I239" s="17"/>
      <c r="J239" s="17"/>
      <c r="K239" s="17"/>
    </row>
    <row r="240" spans="1:11" s="18" customFormat="1" ht="47.25">
      <c r="A240" s="12" t="s">
        <v>742</v>
      </c>
      <c r="B240" s="7" t="s">
        <v>743</v>
      </c>
      <c r="C240" s="8" t="s">
        <v>669</v>
      </c>
      <c r="D240" s="9">
        <v>1</v>
      </c>
      <c r="E240" s="9">
        <v>8473.2999999999993</v>
      </c>
      <c r="F240" s="9">
        <v>8473.2999999999993</v>
      </c>
      <c r="G240" s="10" t="s">
        <v>744</v>
      </c>
      <c r="H240" s="16" t="s">
        <v>243</v>
      </c>
      <c r="I240" s="17"/>
      <c r="J240" s="17"/>
      <c r="K240" s="17"/>
    </row>
    <row r="241" spans="1:11" s="18" customFormat="1" ht="47.25">
      <c r="A241" s="12" t="s">
        <v>745</v>
      </c>
      <c r="B241" s="7" t="s">
        <v>746</v>
      </c>
      <c r="C241" s="8" t="s">
        <v>669</v>
      </c>
      <c r="D241" s="9">
        <v>1</v>
      </c>
      <c r="E241" s="9">
        <v>17742.79</v>
      </c>
      <c r="F241" s="9">
        <v>17742.79</v>
      </c>
      <c r="G241" s="10" t="s">
        <v>747</v>
      </c>
      <c r="H241" s="16" t="s">
        <v>243</v>
      </c>
      <c r="I241" s="17"/>
      <c r="J241" s="17"/>
      <c r="K241" s="17"/>
    </row>
    <row r="242" spans="1:11" s="18" customFormat="1" ht="47.25">
      <c r="A242" s="12" t="s">
        <v>748</v>
      </c>
      <c r="B242" s="7" t="s">
        <v>749</v>
      </c>
      <c r="C242" s="8" t="s">
        <v>669</v>
      </c>
      <c r="D242" s="9">
        <v>1</v>
      </c>
      <c r="E242" s="9">
        <v>5164.09</v>
      </c>
      <c r="F242" s="9">
        <v>5164.09</v>
      </c>
      <c r="G242" s="10" t="s">
        <v>750</v>
      </c>
      <c r="H242" s="16" t="s">
        <v>243</v>
      </c>
      <c r="I242" s="17"/>
      <c r="J242" s="17"/>
      <c r="K242" s="17"/>
    </row>
    <row r="243" spans="1:11" s="18" customFormat="1" ht="47.25">
      <c r="A243" s="12" t="s">
        <v>751</v>
      </c>
      <c r="B243" s="7" t="s">
        <v>752</v>
      </c>
      <c r="C243" s="8" t="s">
        <v>669</v>
      </c>
      <c r="D243" s="9">
        <v>1</v>
      </c>
      <c r="E243" s="9">
        <v>5164.09</v>
      </c>
      <c r="F243" s="9">
        <v>5164.09</v>
      </c>
      <c r="G243" s="10" t="s">
        <v>753</v>
      </c>
      <c r="H243" s="16" t="s">
        <v>243</v>
      </c>
      <c r="I243" s="17"/>
      <c r="J243" s="17"/>
      <c r="K243" s="17"/>
    </row>
    <row r="244" spans="1:11" s="18" customFormat="1" ht="47.25">
      <c r="A244" s="12" t="s">
        <v>754</v>
      </c>
      <c r="B244" s="7" t="s">
        <v>755</v>
      </c>
      <c r="C244" s="8" t="s">
        <v>669</v>
      </c>
      <c r="D244" s="9">
        <v>1</v>
      </c>
      <c r="E244" s="9">
        <v>5730.56</v>
      </c>
      <c r="F244" s="9">
        <v>5730.56</v>
      </c>
      <c r="G244" s="10" t="s">
        <v>756</v>
      </c>
      <c r="H244" s="16" t="s">
        <v>243</v>
      </c>
      <c r="I244" s="17"/>
      <c r="J244" s="17"/>
      <c r="K244" s="17"/>
    </row>
    <row r="245" spans="1:11" s="18" customFormat="1" ht="47.25">
      <c r="A245" s="12" t="s">
        <v>757</v>
      </c>
      <c r="B245" s="7" t="s">
        <v>758</v>
      </c>
      <c r="C245" s="8" t="s">
        <v>669</v>
      </c>
      <c r="D245" s="9">
        <v>1</v>
      </c>
      <c r="E245" s="9">
        <v>7081</v>
      </c>
      <c r="F245" s="9">
        <v>7081</v>
      </c>
      <c r="G245" s="10" t="s">
        <v>759</v>
      </c>
      <c r="H245" s="16" t="s">
        <v>243</v>
      </c>
      <c r="I245" s="17"/>
      <c r="J245" s="17"/>
      <c r="K245" s="17"/>
    </row>
    <row r="246" spans="1:11" s="18" customFormat="1" ht="47.25">
      <c r="A246" s="12" t="s">
        <v>760</v>
      </c>
      <c r="B246" s="7" t="s">
        <v>761</v>
      </c>
      <c r="C246" s="8" t="s">
        <v>669</v>
      </c>
      <c r="D246" s="9">
        <v>1</v>
      </c>
      <c r="E246" s="9">
        <v>4752.1099999999997</v>
      </c>
      <c r="F246" s="9">
        <v>4752.1099999999997</v>
      </c>
      <c r="G246" s="10" t="s">
        <v>762</v>
      </c>
      <c r="H246" s="16" t="s">
        <v>243</v>
      </c>
      <c r="I246" s="17"/>
      <c r="J246" s="17"/>
      <c r="K246" s="17"/>
    </row>
    <row r="247" spans="1:11" s="18" customFormat="1" ht="47.25">
      <c r="A247" s="12" t="s">
        <v>763</v>
      </c>
      <c r="B247" s="7" t="s">
        <v>764</v>
      </c>
      <c r="C247" s="8" t="s">
        <v>669</v>
      </c>
      <c r="D247" s="9">
        <v>1</v>
      </c>
      <c r="E247" s="9">
        <v>14691.08</v>
      </c>
      <c r="F247" s="9">
        <v>14691.08</v>
      </c>
      <c r="G247" s="10" t="s">
        <v>765</v>
      </c>
      <c r="H247" s="16" t="s">
        <v>243</v>
      </c>
      <c r="I247" s="17"/>
      <c r="J247" s="17"/>
      <c r="K247" s="17"/>
    </row>
    <row r="248" spans="1:11" s="18" customFormat="1" ht="42.75">
      <c r="A248" s="12" t="s">
        <v>766</v>
      </c>
      <c r="B248" s="7" t="s">
        <v>767</v>
      </c>
      <c r="C248" s="8" t="s">
        <v>669</v>
      </c>
      <c r="D248" s="9">
        <v>1</v>
      </c>
      <c r="E248" s="9">
        <v>224.3</v>
      </c>
      <c r="F248" s="9">
        <v>224.3</v>
      </c>
      <c r="G248" s="10" t="s">
        <v>768</v>
      </c>
      <c r="H248" s="16" t="s">
        <v>243</v>
      </c>
      <c r="I248" s="17"/>
      <c r="J248" s="17"/>
      <c r="K248" s="17"/>
    </row>
    <row r="249" spans="1:11" s="18" customFormat="1" ht="42.75">
      <c r="A249" s="12" t="s">
        <v>769</v>
      </c>
      <c r="B249" s="7" t="s">
        <v>770</v>
      </c>
      <c r="C249" s="8" t="s">
        <v>669</v>
      </c>
      <c r="D249" s="9">
        <v>1</v>
      </c>
      <c r="E249" s="9">
        <v>275.64</v>
      </c>
      <c r="F249" s="9">
        <v>275.64</v>
      </c>
      <c r="G249" s="10" t="s">
        <v>771</v>
      </c>
      <c r="H249" s="16" t="s">
        <v>243</v>
      </c>
      <c r="I249" s="17"/>
      <c r="J249" s="17"/>
      <c r="K249" s="17"/>
    </row>
    <row r="250" spans="1:11" s="18" customFormat="1" ht="42.75">
      <c r="A250" s="12" t="s">
        <v>772</v>
      </c>
      <c r="B250" s="7" t="s">
        <v>773</v>
      </c>
      <c r="C250" s="8" t="s">
        <v>669</v>
      </c>
      <c r="D250" s="9">
        <v>1</v>
      </c>
      <c r="E250" s="9">
        <v>283.52999999999997</v>
      </c>
      <c r="F250" s="9">
        <v>283.52999999999997</v>
      </c>
      <c r="G250" s="10" t="s">
        <v>774</v>
      </c>
      <c r="H250" s="16" t="s">
        <v>243</v>
      </c>
      <c r="I250" s="17"/>
      <c r="J250" s="17"/>
      <c r="K250" s="17"/>
    </row>
    <row r="251" spans="1:11" s="18" customFormat="1" ht="42.75">
      <c r="A251" s="12" t="s">
        <v>775</v>
      </c>
      <c r="B251" s="7" t="s">
        <v>776</v>
      </c>
      <c r="C251" s="8" t="s">
        <v>669</v>
      </c>
      <c r="D251" s="9">
        <v>1</v>
      </c>
      <c r="E251" s="9">
        <v>88.95</v>
      </c>
      <c r="F251" s="9">
        <v>88.95</v>
      </c>
      <c r="G251" s="10" t="s">
        <v>777</v>
      </c>
      <c r="H251" s="16" t="s">
        <v>243</v>
      </c>
      <c r="I251" s="17"/>
      <c r="J251" s="17"/>
      <c r="K251" s="17"/>
    </row>
    <row r="252" spans="1:11" s="18" customFormat="1" ht="42.75">
      <c r="A252" s="12" t="s">
        <v>778</v>
      </c>
      <c r="B252" s="7" t="s">
        <v>779</v>
      </c>
      <c r="C252" s="8" t="s">
        <v>669</v>
      </c>
      <c r="D252" s="9">
        <v>1</v>
      </c>
      <c r="E252" s="9">
        <v>123.72</v>
      </c>
      <c r="F252" s="9">
        <v>123.72</v>
      </c>
      <c r="G252" s="10" t="s">
        <v>780</v>
      </c>
      <c r="H252" s="16" t="s">
        <v>243</v>
      </c>
      <c r="I252" s="17"/>
      <c r="J252" s="17"/>
      <c r="K252" s="17"/>
    </row>
    <row r="253" spans="1:11" s="18" customFormat="1" ht="42.75">
      <c r="A253" s="12" t="s">
        <v>781</v>
      </c>
      <c r="B253" s="7" t="s">
        <v>782</v>
      </c>
      <c r="C253" s="8" t="s">
        <v>669</v>
      </c>
      <c r="D253" s="9">
        <v>1</v>
      </c>
      <c r="E253" s="9">
        <v>121.41</v>
      </c>
      <c r="F253" s="9">
        <v>121.41</v>
      </c>
      <c r="G253" s="10" t="s">
        <v>783</v>
      </c>
      <c r="H253" s="16" t="s">
        <v>243</v>
      </c>
      <c r="I253" s="17"/>
      <c r="J253" s="17"/>
      <c r="K253" s="17"/>
    </row>
    <row r="254" spans="1:11" s="18" customFormat="1" ht="42.75">
      <c r="A254" s="12" t="s">
        <v>784</v>
      </c>
      <c r="B254" s="7" t="s">
        <v>785</v>
      </c>
      <c r="C254" s="8" t="s">
        <v>669</v>
      </c>
      <c r="D254" s="9">
        <v>1</v>
      </c>
      <c r="E254" s="9">
        <v>134.28</v>
      </c>
      <c r="F254" s="9">
        <v>134.28</v>
      </c>
      <c r="G254" s="10" t="s">
        <v>786</v>
      </c>
      <c r="H254" s="16" t="s">
        <v>243</v>
      </c>
      <c r="I254" s="17"/>
      <c r="J254" s="17"/>
      <c r="K254" s="17"/>
    </row>
    <row r="255" spans="1:11" s="18" customFormat="1" ht="42.75">
      <c r="A255" s="12" t="s">
        <v>787</v>
      </c>
      <c r="B255" s="7" t="s">
        <v>788</v>
      </c>
      <c r="C255" s="8" t="s">
        <v>669</v>
      </c>
      <c r="D255" s="9">
        <v>1</v>
      </c>
      <c r="E255" s="9">
        <v>36.549999999999997</v>
      </c>
      <c r="F255" s="9">
        <v>36.549999999999997</v>
      </c>
      <c r="G255" s="10" t="s">
        <v>789</v>
      </c>
      <c r="H255" s="16" t="s">
        <v>243</v>
      </c>
      <c r="I255" s="17"/>
      <c r="J255" s="17"/>
      <c r="K255" s="17"/>
    </row>
    <row r="256" spans="1:11" s="18" customFormat="1" ht="42.75">
      <c r="A256" s="12" t="s">
        <v>790</v>
      </c>
      <c r="B256" s="7" t="s">
        <v>791</v>
      </c>
      <c r="C256" s="8" t="s">
        <v>669</v>
      </c>
      <c r="D256" s="9">
        <v>1</v>
      </c>
      <c r="E256" s="9">
        <v>103.76</v>
      </c>
      <c r="F256" s="9">
        <v>103.76</v>
      </c>
      <c r="G256" s="10" t="s">
        <v>792</v>
      </c>
      <c r="H256" s="16" t="s">
        <v>243</v>
      </c>
      <c r="I256" s="17"/>
      <c r="J256" s="17"/>
      <c r="K256" s="17"/>
    </row>
    <row r="257" spans="1:11" s="18" customFormat="1" ht="42.75">
      <c r="A257" s="12" t="s">
        <v>793</v>
      </c>
      <c r="B257" s="7" t="s">
        <v>794</v>
      </c>
      <c r="C257" s="8" t="s">
        <v>669</v>
      </c>
      <c r="D257" s="9">
        <v>1</v>
      </c>
      <c r="E257" s="9">
        <v>140.84</v>
      </c>
      <c r="F257" s="9">
        <v>140.84</v>
      </c>
      <c r="G257" s="10" t="s">
        <v>795</v>
      </c>
      <c r="H257" s="16" t="s">
        <v>243</v>
      </c>
      <c r="I257" s="17"/>
      <c r="J257" s="17"/>
      <c r="K257" s="17"/>
    </row>
    <row r="258" spans="1:11" s="18" customFormat="1" ht="42.75">
      <c r="A258" s="12" t="s">
        <v>796</v>
      </c>
      <c r="B258" s="7" t="s">
        <v>797</v>
      </c>
      <c r="C258" s="8" t="s">
        <v>669</v>
      </c>
      <c r="D258" s="9">
        <v>1</v>
      </c>
      <c r="E258" s="9">
        <v>51.75</v>
      </c>
      <c r="F258" s="9">
        <v>51.75</v>
      </c>
      <c r="G258" s="10" t="s">
        <v>798</v>
      </c>
      <c r="H258" s="16" t="s">
        <v>243</v>
      </c>
      <c r="I258" s="17"/>
      <c r="J258" s="17"/>
      <c r="K258" s="17"/>
    </row>
    <row r="259" spans="1:11" s="18" customFormat="1" ht="42.75">
      <c r="A259" s="12" t="s">
        <v>799</v>
      </c>
      <c r="B259" s="7" t="s">
        <v>800</v>
      </c>
      <c r="C259" s="8" t="s">
        <v>669</v>
      </c>
      <c r="D259" s="9">
        <v>1</v>
      </c>
      <c r="E259" s="9">
        <v>35.01</v>
      </c>
      <c r="F259" s="9">
        <v>35.01</v>
      </c>
      <c r="G259" s="10" t="s">
        <v>801</v>
      </c>
      <c r="H259" s="16" t="s">
        <v>243</v>
      </c>
      <c r="I259" s="17"/>
      <c r="J259" s="17"/>
      <c r="K259" s="17"/>
    </row>
    <row r="260" spans="1:11" s="18" customFormat="1" ht="42.75">
      <c r="A260" s="12" t="s">
        <v>802</v>
      </c>
      <c r="B260" s="7" t="s">
        <v>803</v>
      </c>
      <c r="C260" s="8" t="s">
        <v>669</v>
      </c>
      <c r="D260" s="9">
        <v>1</v>
      </c>
      <c r="E260" s="9">
        <v>58.37</v>
      </c>
      <c r="F260" s="9">
        <v>58.37</v>
      </c>
      <c r="G260" s="10" t="s">
        <v>804</v>
      </c>
      <c r="H260" s="16" t="s">
        <v>243</v>
      </c>
      <c r="I260" s="17"/>
      <c r="J260" s="17"/>
      <c r="K260" s="17"/>
    </row>
    <row r="261" spans="1:11" s="18" customFormat="1" ht="42.75">
      <c r="A261" s="12" t="s">
        <v>805</v>
      </c>
      <c r="B261" s="7" t="s">
        <v>806</v>
      </c>
      <c r="C261" s="8" t="s">
        <v>669</v>
      </c>
      <c r="D261" s="9">
        <v>1</v>
      </c>
      <c r="E261" s="9">
        <v>79.040000000000006</v>
      </c>
      <c r="F261" s="9">
        <v>79.040000000000006</v>
      </c>
      <c r="G261" s="10" t="s">
        <v>807</v>
      </c>
      <c r="H261" s="16" t="s">
        <v>243</v>
      </c>
      <c r="I261" s="17"/>
      <c r="J261" s="17"/>
      <c r="K261" s="17"/>
    </row>
    <row r="262" spans="1:11" s="18" customFormat="1" ht="42.75">
      <c r="A262" s="12" t="s">
        <v>808</v>
      </c>
      <c r="B262" s="7" t="s">
        <v>809</v>
      </c>
      <c r="C262" s="8" t="s">
        <v>669</v>
      </c>
      <c r="D262" s="9">
        <v>1</v>
      </c>
      <c r="E262" s="9">
        <v>63.59</v>
      </c>
      <c r="F262" s="9">
        <v>63.59</v>
      </c>
      <c r="G262" s="10" t="s">
        <v>810</v>
      </c>
      <c r="H262" s="16" t="s">
        <v>243</v>
      </c>
      <c r="I262" s="17"/>
      <c r="J262" s="17"/>
      <c r="K262" s="17"/>
    </row>
    <row r="263" spans="1:11" s="18" customFormat="1" ht="42.75">
      <c r="A263" s="12" t="s">
        <v>811</v>
      </c>
      <c r="B263" s="7" t="s">
        <v>812</v>
      </c>
      <c r="C263" s="8" t="s">
        <v>669</v>
      </c>
      <c r="D263" s="9">
        <v>1</v>
      </c>
      <c r="E263" s="9">
        <v>94.49</v>
      </c>
      <c r="F263" s="9">
        <v>94.49</v>
      </c>
      <c r="G263" s="10" t="s">
        <v>813</v>
      </c>
      <c r="H263" s="16" t="s">
        <v>243</v>
      </c>
      <c r="I263" s="17"/>
      <c r="J263" s="17"/>
      <c r="K263" s="17"/>
    </row>
    <row r="264" spans="1:11" s="18" customFormat="1" ht="42.75">
      <c r="A264" s="12" t="s">
        <v>814</v>
      </c>
      <c r="B264" s="7" t="s">
        <v>815</v>
      </c>
      <c r="C264" s="8" t="s">
        <v>669</v>
      </c>
      <c r="D264" s="9">
        <v>1</v>
      </c>
      <c r="E264" s="9">
        <v>73.89</v>
      </c>
      <c r="F264" s="9">
        <v>73.89</v>
      </c>
      <c r="G264" s="10" t="s">
        <v>816</v>
      </c>
      <c r="H264" s="16" t="s">
        <v>243</v>
      </c>
      <c r="I264" s="17"/>
      <c r="J264" s="17"/>
      <c r="K264" s="17"/>
    </row>
    <row r="265" spans="1:11" s="18" customFormat="1" ht="42.75">
      <c r="A265" s="12" t="s">
        <v>817</v>
      </c>
      <c r="B265" s="7" t="s">
        <v>818</v>
      </c>
      <c r="C265" s="8" t="s">
        <v>669</v>
      </c>
      <c r="D265" s="9">
        <v>1</v>
      </c>
      <c r="E265" s="9">
        <v>92.43</v>
      </c>
      <c r="F265" s="9">
        <v>92.43</v>
      </c>
      <c r="G265" s="10" t="s">
        <v>819</v>
      </c>
      <c r="H265" s="16" t="s">
        <v>243</v>
      </c>
      <c r="I265" s="17"/>
      <c r="J265" s="17"/>
      <c r="K265" s="17"/>
    </row>
    <row r="266" spans="1:11" s="18" customFormat="1" ht="42.75">
      <c r="A266" s="12" t="s">
        <v>820</v>
      </c>
      <c r="B266" s="7" t="s">
        <v>821</v>
      </c>
      <c r="C266" s="8" t="s">
        <v>669</v>
      </c>
      <c r="D266" s="9">
        <v>1</v>
      </c>
      <c r="E266" s="9">
        <v>61.98</v>
      </c>
      <c r="F266" s="9">
        <v>61.98</v>
      </c>
      <c r="G266" s="10" t="s">
        <v>822</v>
      </c>
      <c r="H266" s="16" t="s">
        <v>243</v>
      </c>
      <c r="I266" s="17"/>
      <c r="J266" s="17"/>
      <c r="K266" s="17"/>
    </row>
    <row r="267" spans="1:11" s="18" customFormat="1" ht="42.75">
      <c r="A267" s="12" t="s">
        <v>823</v>
      </c>
      <c r="B267" s="7" t="s">
        <v>824</v>
      </c>
      <c r="C267" s="8" t="s">
        <v>669</v>
      </c>
      <c r="D267" s="9">
        <v>1</v>
      </c>
      <c r="E267" s="9">
        <v>154.66</v>
      </c>
      <c r="F267" s="9">
        <v>154.66</v>
      </c>
      <c r="G267" s="10" t="s">
        <v>825</v>
      </c>
      <c r="H267" s="16" t="s">
        <v>243</v>
      </c>
      <c r="I267" s="17"/>
      <c r="J267" s="17"/>
      <c r="K267" s="17"/>
    </row>
    <row r="268" spans="1:11" s="18" customFormat="1" ht="42.75">
      <c r="A268" s="12" t="s">
        <v>826</v>
      </c>
      <c r="B268" s="7" t="s">
        <v>827</v>
      </c>
      <c r="C268" s="8" t="s">
        <v>669</v>
      </c>
      <c r="D268" s="9">
        <v>1</v>
      </c>
      <c r="E268" s="9">
        <v>67.709999999999994</v>
      </c>
      <c r="F268" s="9">
        <v>67.709999999999994</v>
      </c>
      <c r="G268" s="10" t="s">
        <v>828</v>
      </c>
      <c r="H268" s="16" t="s">
        <v>243</v>
      </c>
      <c r="I268" s="17"/>
      <c r="J268" s="17"/>
      <c r="K268" s="17"/>
    </row>
    <row r="269" spans="1:11" s="18" customFormat="1" ht="42.75">
      <c r="A269" s="12" t="s">
        <v>829</v>
      </c>
      <c r="B269" s="7" t="s">
        <v>830</v>
      </c>
      <c r="C269" s="8" t="s">
        <v>669</v>
      </c>
      <c r="D269" s="9">
        <v>1</v>
      </c>
      <c r="E269" s="9">
        <v>54.25</v>
      </c>
      <c r="F269" s="9">
        <v>54.25</v>
      </c>
      <c r="G269" s="10" t="s">
        <v>831</v>
      </c>
      <c r="H269" s="16" t="s">
        <v>243</v>
      </c>
      <c r="I269" s="17"/>
      <c r="J269" s="17"/>
      <c r="K269" s="17"/>
    </row>
    <row r="270" spans="1:11" s="18" customFormat="1" ht="42.75">
      <c r="A270" s="12" t="s">
        <v>832</v>
      </c>
      <c r="B270" s="7" t="s">
        <v>833</v>
      </c>
      <c r="C270" s="8" t="s">
        <v>669</v>
      </c>
      <c r="D270" s="9">
        <v>1</v>
      </c>
      <c r="E270" s="9">
        <v>90.3</v>
      </c>
      <c r="F270" s="9">
        <v>90.3</v>
      </c>
      <c r="G270" s="10" t="s">
        <v>834</v>
      </c>
      <c r="H270" s="16" t="s">
        <v>243</v>
      </c>
      <c r="I270" s="17"/>
      <c r="J270" s="17"/>
      <c r="K270" s="17"/>
    </row>
    <row r="271" spans="1:11" s="18" customFormat="1" ht="42.75">
      <c r="A271" s="12" t="s">
        <v>835</v>
      </c>
      <c r="B271" s="7" t="s">
        <v>836</v>
      </c>
      <c r="C271" s="8" t="s">
        <v>669</v>
      </c>
      <c r="D271" s="9">
        <v>1</v>
      </c>
      <c r="E271" s="9">
        <v>67.13</v>
      </c>
      <c r="F271" s="9">
        <v>67.13</v>
      </c>
      <c r="G271" s="10" t="s">
        <v>837</v>
      </c>
      <c r="H271" s="16" t="s">
        <v>243</v>
      </c>
      <c r="I271" s="17"/>
      <c r="J271" s="17"/>
      <c r="K271" s="17"/>
    </row>
    <row r="272" spans="1:11" s="18" customFormat="1" ht="42.75">
      <c r="A272" s="12" t="s">
        <v>838</v>
      </c>
      <c r="B272" s="7" t="s">
        <v>839</v>
      </c>
      <c r="C272" s="8" t="s">
        <v>669</v>
      </c>
      <c r="D272" s="9">
        <v>1</v>
      </c>
      <c r="E272" s="9">
        <v>56.83</v>
      </c>
      <c r="F272" s="9">
        <v>56.83</v>
      </c>
      <c r="G272" s="10" t="s">
        <v>840</v>
      </c>
      <c r="H272" s="16" t="s">
        <v>243</v>
      </c>
      <c r="I272" s="17"/>
      <c r="J272" s="17"/>
      <c r="K272" s="17"/>
    </row>
    <row r="273" spans="1:11" s="18" customFormat="1" ht="42.75">
      <c r="A273" s="12" t="s">
        <v>841</v>
      </c>
      <c r="B273" s="7" t="s">
        <v>842</v>
      </c>
      <c r="C273" s="8" t="s">
        <v>669</v>
      </c>
      <c r="D273" s="9">
        <v>1</v>
      </c>
      <c r="E273" s="9">
        <v>68.67</v>
      </c>
      <c r="F273" s="9">
        <v>68.67</v>
      </c>
      <c r="G273" s="10" t="s">
        <v>843</v>
      </c>
      <c r="H273" s="16" t="s">
        <v>243</v>
      </c>
      <c r="I273" s="17"/>
      <c r="J273" s="17"/>
      <c r="K273" s="17"/>
    </row>
    <row r="274" spans="1:11" s="18" customFormat="1" ht="42.75">
      <c r="A274" s="12" t="s">
        <v>844</v>
      </c>
      <c r="B274" s="7" t="s">
        <v>845</v>
      </c>
      <c r="C274" s="8" t="s">
        <v>669</v>
      </c>
      <c r="D274" s="9">
        <v>1</v>
      </c>
      <c r="E274" s="9">
        <v>59.92</v>
      </c>
      <c r="F274" s="9">
        <v>59.92</v>
      </c>
      <c r="G274" s="10" t="s">
        <v>846</v>
      </c>
      <c r="H274" s="16" t="s">
        <v>243</v>
      </c>
      <c r="I274" s="17"/>
      <c r="J274" s="17"/>
      <c r="K274" s="17"/>
    </row>
    <row r="275" spans="1:11" s="18" customFormat="1" ht="42.75">
      <c r="A275" s="12" t="s">
        <v>847</v>
      </c>
      <c r="B275" s="7" t="s">
        <v>848</v>
      </c>
      <c r="C275" s="8" t="s">
        <v>669</v>
      </c>
      <c r="D275" s="9">
        <v>1</v>
      </c>
      <c r="E275" s="9">
        <v>58.37</v>
      </c>
      <c r="F275" s="9">
        <v>58.37</v>
      </c>
      <c r="G275" s="10" t="s">
        <v>849</v>
      </c>
      <c r="H275" s="16" t="s">
        <v>243</v>
      </c>
      <c r="I275" s="17"/>
      <c r="J275" s="17"/>
      <c r="K275" s="17"/>
    </row>
    <row r="276" spans="1:11" s="18" customFormat="1" ht="42.75">
      <c r="A276" s="12" t="s">
        <v>850</v>
      </c>
      <c r="B276" s="7" t="s">
        <v>851</v>
      </c>
      <c r="C276" s="8" t="s">
        <v>669</v>
      </c>
      <c r="D276" s="9">
        <v>1</v>
      </c>
      <c r="E276" s="9">
        <v>68.209999999999994</v>
      </c>
      <c r="F276" s="9">
        <v>68.209999999999994</v>
      </c>
      <c r="G276" s="10" t="s">
        <v>852</v>
      </c>
      <c r="H276" s="16" t="s">
        <v>243</v>
      </c>
      <c r="I276" s="17"/>
      <c r="J276" s="17"/>
      <c r="K276" s="17"/>
    </row>
    <row r="277" spans="1:11" s="18" customFormat="1" ht="42.75">
      <c r="A277" s="12" t="s">
        <v>853</v>
      </c>
      <c r="B277" s="7" t="s">
        <v>854</v>
      </c>
      <c r="C277" s="8" t="s">
        <v>669</v>
      </c>
      <c r="D277" s="9">
        <v>1</v>
      </c>
      <c r="E277" s="9">
        <v>72.33</v>
      </c>
      <c r="F277" s="9">
        <v>72.33</v>
      </c>
      <c r="G277" s="10" t="s">
        <v>855</v>
      </c>
      <c r="H277" s="16" t="s">
        <v>243</v>
      </c>
      <c r="I277" s="17"/>
      <c r="J277" s="17"/>
      <c r="K277" s="17"/>
    </row>
    <row r="278" spans="1:11" s="18" customFormat="1" ht="42.75">
      <c r="A278" s="12" t="s">
        <v>856</v>
      </c>
      <c r="B278" s="7" t="s">
        <v>857</v>
      </c>
      <c r="C278" s="8" t="s">
        <v>669</v>
      </c>
      <c r="D278" s="9">
        <v>1</v>
      </c>
      <c r="E278" s="9">
        <v>111.47</v>
      </c>
      <c r="F278" s="9">
        <v>111.47</v>
      </c>
      <c r="G278" s="10" t="s">
        <v>858</v>
      </c>
      <c r="H278" s="16" t="s">
        <v>243</v>
      </c>
      <c r="I278" s="17"/>
      <c r="J278" s="17"/>
      <c r="K278" s="17"/>
    </row>
    <row r="279" spans="1:11" s="18" customFormat="1" ht="42.75">
      <c r="A279" s="12" t="s">
        <v>859</v>
      </c>
      <c r="B279" s="7" t="s">
        <v>860</v>
      </c>
      <c r="C279" s="8" t="s">
        <v>669</v>
      </c>
      <c r="D279" s="9">
        <v>1</v>
      </c>
      <c r="E279" s="9">
        <v>101.17</v>
      </c>
      <c r="F279" s="9">
        <v>101.17</v>
      </c>
      <c r="G279" s="10" t="s">
        <v>861</v>
      </c>
      <c r="H279" s="16" t="s">
        <v>243</v>
      </c>
      <c r="I279" s="17"/>
      <c r="J279" s="17"/>
      <c r="K279" s="17"/>
    </row>
    <row r="280" spans="1:11" s="18" customFormat="1" ht="42.75">
      <c r="A280" s="12" t="s">
        <v>862</v>
      </c>
      <c r="B280" s="7" t="s">
        <v>863</v>
      </c>
      <c r="C280" s="8" t="s">
        <v>669</v>
      </c>
      <c r="D280" s="9">
        <v>1</v>
      </c>
      <c r="E280" s="9">
        <v>81.62</v>
      </c>
      <c r="F280" s="9">
        <v>81.62</v>
      </c>
      <c r="G280" s="10" t="s">
        <v>864</v>
      </c>
      <c r="H280" s="16" t="s">
        <v>243</v>
      </c>
      <c r="I280" s="17"/>
      <c r="J280" s="17"/>
      <c r="K280" s="17"/>
    </row>
    <row r="281" spans="1:11" s="18" customFormat="1" ht="42.75">
      <c r="A281" s="12" t="s">
        <v>865</v>
      </c>
      <c r="B281" s="7" t="s">
        <v>866</v>
      </c>
      <c r="C281" s="8" t="s">
        <v>669</v>
      </c>
      <c r="D281" s="9">
        <v>1</v>
      </c>
      <c r="E281" s="9">
        <v>79.040000000000006</v>
      </c>
      <c r="F281" s="9">
        <v>79.040000000000006</v>
      </c>
      <c r="G281" s="10" t="s">
        <v>867</v>
      </c>
      <c r="H281" s="16" t="s">
        <v>243</v>
      </c>
      <c r="I281" s="17"/>
      <c r="J281" s="17"/>
      <c r="K281" s="17"/>
    </row>
    <row r="282" spans="1:11" s="18" customFormat="1" ht="42.75">
      <c r="A282" s="12" t="s">
        <v>868</v>
      </c>
      <c r="B282" s="7" t="s">
        <v>869</v>
      </c>
      <c r="C282" s="8" t="s">
        <v>669</v>
      </c>
      <c r="D282" s="9">
        <v>1</v>
      </c>
      <c r="E282" s="9">
        <v>99.64</v>
      </c>
      <c r="F282" s="9">
        <v>99.64</v>
      </c>
      <c r="G282" s="10" t="s">
        <v>870</v>
      </c>
      <c r="H282" s="16" t="s">
        <v>243</v>
      </c>
      <c r="I282" s="17"/>
      <c r="J282" s="17"/>
      <c r="K282" s="17"/>
    </row>
    <row r="283" spans="1:11" s="18" customFormat="1" ht="42.75">
      <c r="A283" s="12" t="s">
        <v>871</v>
      </c>
      <c r="B283" s="7" t="s">
        <v>872</v>
      </c>
      <c r="C283" s="8" t="s">
        <v>669</v>
      </c>
      <c r="D283" s="9">
        <v>1</v>
      </c>
      <c r="E283" s="9">
        <v>74.92</v>
      </c>
      <c r="F283" s="9">
        <v>74.92</v>
      </c>
      <c r="G283" s="10" t="s">
        <v>873</v>
      </c>
      <c r="H283" s="16" t="s">
        <v>243</v>
      </c>
      <c r="I283" s="17"/>
      <c r="J283" s="17"/>
      <c r="K283" s="17"/>
    </row>
    <row r="284" spans="1:11" s="18" customFormat="1" ht="42.75">
      <c r="A284" s="12" t="s">
        <v>874</v>
      </c>
      <c r="B284" s="7" t="s">
        <v>875</v>
      </c>
      <c r="C284" s="8" t="s">
        <v>669</v>
      </c>
      <c r="D284" s="9">
        <v>1</v>
      </c>
      <c r="E284" s="9">
        <v>72.28</v>
      </c>
      <c r="F284" s="9">
        <v>72.28</v>
      </c>
      <c r="G284" s="10" t="s">
        <v>876</v>
      </c>
      <c r="H284" s="16" t="s">
        <v>243</v>
      </c>
      <c r="I284" s="17"/>
      <c r="J284" s="17"/>
      <c r="K284" s="17"/>
    </row>
    <row r="285" spans="1:11" s="18" customFormat="1" ht="42.75">
      <c r="A285" s="12" t="s">
        <v>877</v>
      </c>
      <c r="B285" s="7" t="s">
        <v>878</v>
      </c>
      <c r="C285" s="8" t="s">
        <v>13</v>
      </c>
      <c r="D285" s="9">
        <v>1</v>
      </c>
      <c r="E285" s="9">
        <v>43.77</v>
      </c>
      <c r="F285" s="9">
        <v>43.77</v>
      </c>
      <c r="G285" s="10" t="s">
        <v>879</v>
      </c>
      <c r="H285" s="16" t="s">
        <v>243</v>
      </c>
      <c r="I285" s="17"/>
      <c r="J285" s="17"/>
      <c r="K285" s="17"/>
    </row>
    <row r="286" spans="1:11" s="18" customFormat="1" ht="42.75">
      <c r="A286" s="12" t="s">
        <v>880</v>
      </c>
      <c r="B286" s="7" t="s">
        <v>881</v>
      </c>
      <c r="C286" s="8" t="s">
        <v>882</v>
      </c>
      <c r="D286" s="9">
        <v>1</v>
      </c>
      <c r="E286" s="9">
        <v>28.11</v>
      </c>
      <c r="F286" s="9">
        <v>28.11</v>
      </c>
      <c r="G286" s="10" t="s">
        <v>883</v>
      </c>
      <c r="H286" s="16" t="s">
        <v>243</v>
      </c>
      <c r="I286" s="17"/>
      <c r="J286" s="17"/>
      <c r="K286" s="17"/>
    </row>
    <row r="287" spans="1:11" s="18" customFormat="1" ht="42.75">
      <c r="A287" s="12" t="s">
        <v>884</v>
      </c>
      <c r="B287" s="7" t="s">
        <v>885</v>
      </c>
      <c r="C287" s="8" t="s">
        <v>13</v>
      </c>
      <c r="D287" s="9">
        <v>1</v>
      </c>
      <c r="E287" s="9">
        <v>239.86</v>
      </c>
      <c r="F287" s="9">
        <v>239.86</v>
      </c>
      <c r="G287" s="10" t="s">
        <v>886</v>
      </c>
      <c r="H287" s="16" t="s">
        <v>243</v>
      </c>
      <c r="I287" s="17"/>
      <c r="J287" s="17"/>
      <c r="K287" s="17"/>
    </row>
    <row r="288" spans="1:11" ht="33">
      <c r="A288" s="6" t="s">
        <v>887</v>
      </c>
      <c r="B288" s="7" t="s">
        <v>888</v>
      </c>
      <c r="C288" s="8" t="s">
        <v>4</v>
      </c>
      <c r="D288" s="9">
        <v>1</v>
      </c>
      <c r="E288" s="9"/>
      <c r="F288" s="9">
        <v>5050770.37</v>
      </c>
      <c r="G288" s="10" t="s">
        <v>242</v>
      </c>
      <c r="H288" s="11" t="s">
        <v>243</v>
      </c>
    </row>
    <row r="289" spans="1:8" ht="42.75">
      <c r="A289" s="12" t="s">
        <v>889</v>
      </c>
      <c r="B289" s="7" t="s">
        <v>890</v>
      </c>
      <c r="C289" s="8" t="s">
        <v>4</v>
      </c>
      <c r="D289" s="9">
        <v>1</v>
      </c>
      <c r="E289" s="9">
        <v>88179.19</v>
      </c>
      <c r="F289" s="9">
        <v>88179.19</v>
      </c>
      <c r="G289" s="10" t="s">
        <v>891</v>
      </c>
      <c r="H289" s="11" t="s">
        <v>243</v>
      </c>
    </row>
    <row r="290" spans="1:8" ht="42.75">
      <c r="A290" s="12" t="s">
        <v>892</v>
      </c>
      <c r="B290" s="7" t="s">
        <v>893</v>
      </c>
      <c r="C290" s="8" t="s">
        <v>4</v>
      </c>
      <c r="D290" s="9">
        <v>1</v>
      </c>
      <c r="E290" s="9">
        <v>149702.84</v>
      </c>
      <c r="F290" s="9">
        <v>149702.84</v>
      </c>
      <c r="G290" s="10" t="s">
        <v>894</v>
      </c>
      <c r="H290" s="11" t="s">
        <v>243</v>
      </c>
    </row>
    <row r="291" spans="1:8" ht="42.75">
      <c r="A291" s="12" t="s">
        <v>895</v>
      </c>
      <c r="B291" s="7" t="s">
        <v>896</v>
      </c>
      <c r="C291" s="8" t="s">
        <v>4</v>
      </c>
      <c r="D291" s="9">
        <v>1</v>
      </c>
      <c r="E291" s="9">
        <v>168290.82</v>
      </c>
      <c r="F291" s="9">
        <v>168290.82</v>
      </c>
      <c r="G291" s="10" t="s">
        <v>897</v>
      </c>
      <c r="H291" s="11" t="s">
        <v>243</v>
      </c>
    </row>
    <row r="292" spans="1:8" ht="42.75">
      <c r="A292" s="12" t="s">
        <v>898</v>
      </c>
      <c r="B292" s="7" t="s">
        <v>899</v>
      </c>
      <c r="C292" s="8" t="s">
        <v>4</v>
      </c>
      <c r="D292" s="9">
        <v>1</v>
      </c>
      <c r="E292" s="9">
        <v>23946.69</v>
      </c>
      <c r="F292" s="9">
        <v>23946.69</v>
      </c>
      <c r="G292" s="10" t="s">
        <v>900</v>
      </c>
      <c r="H292" s="11" t="s">
        <v>243</v>
      </c>
    </row>
    <row r="293" spans="1:8" ht="47.25">
      <c r="A293" s="12" t="s">
        <v>901</v>
      </c>
      <c r="B293" s="7" t="s">
        <v>902</v>
      </c>
      <c r="C293" s="8" t="s">
        <v>0</v>
      </c>
      <c r="D293" s="9">
        <v>11</v>
      </c>
      <c r="E293" s="9">
        <v>42797.67</v>
      </c>
      <c r="F293" s="9">
        <v>470774.37</v>
      </c>
      <c r="G293" s="10" t="s">
        <v>903</v>
      </c>
      <c r="H293" s="11" t="s">
        <v>243</v>
      </c>
    </row>
    <row r="294" spans="1:8" ht="47.25">
      <c r="A294" s="12" t="s">
        <v>904</v>
      </c>
      <c r="B294" s="7" t="s">
        <v>905</v>
      </c>
      <c r="C294" s="8" t="s">
        <v>0</v>
      </c>
      <c r="D294" s="9">
        <v>9</v>
      </c>
      <c r="E294" s="9">
        <v>60396.71</v>
      </c>
      <c r="F294" s="9">
        <v>543570.39</v>
      </c>
      <c r="G294" s="10" t="s">
        <v>906</v>
      </c>
      <c r="H294" s="11" t="s">
        <v>243</v>
      </c>
    </row>
    <row r="295" spans="1:8" ht="47.25">
      <c r="A295" s="12" t="s">
        <v>907</v>
      </c>
      <c r="B295" s="7" t="s">
        <v>908</v>
      </c>
      <c r="C295" s="8" t="s">
        <v>0</v>
      </c>
      <c r="D295" s="9">
        <v>10</v>
      </c>
      <c r="E295" s="9">
        <v>34998.089999999997</v>
      </c>
      <c r="F295" s="9">
        <v>349980.9</v>
      </c>
      <c r="G295" s="10" t="s">
        <v>909</v>
      </c>
      <c r="H295" s="11" t="s">
        <v>243</v>
      </c>
    </row>
    <row r="296" spans="1:8" ht="33">
      <c r="A296" s="12" t="s">
        <v>910</v>
      </c>
      <c r="B296" s="7" t="s">
        <v>911</v>
      </c>
      <c r="C296" s="8" t="s">
        <v>0</v>
      </c>
      <c r="D296" s="9">
        <v>8</v>
      </c>
      <c r="E296" s="9">
        <v>9999.4500000000007</v>
      </c>
      <c r="F296" s="9">
        <v>79995.600000000006</v>
      </c>
      <c r="G296" s="10" t="s">
        <v>912</v>
      </c>
      <c r="H296" s="11" t="s">
        <v>243</v>
      </c>
    </row>
    <row r="297" spans="1:8" ht="33">
      <c r="A297" s="12" t="s">
        <v>913</v>
      </c>
      <c r="B297" s="7" t="s">
        <v>914</v>
      </c>
      <c r="C297" s="8" t="s">
        <v>15</v>
      </c>
      <c r="D297" s="9">
        <v>2</v>
      </c>
      <c r="E297" s="9">
        <v>1499.92</v>
      </c>
      <c r="F297" s="9">
        <v>2999.84</v>
      </c>
      <c r="G297" s="10" t="s">
        <v>915</v>
      </c>
      <c r="H297" s="11" t="s">
        <v>243</v>
      </c>
    </row>
    <row r="298" spans="1:8" ht="33">
      <c r="A298" s="12" t="s">
        <v>916</v>
      </c>
      <c r="B298" s="7" t="s">
        <v>917</v>
      </c>
      <c r="C298" s="8" t="s">
        <v>15</v>
      </c>
      <c r="D298" s="9">
        <v>2</v>
      </c>
      <c r="E298" s="9">
        <v>3999.78</v>
      </c>
      <c r="F298" s="9">
        <v>7999.56</v>
      </c>
      <c r="G298" s="10" t="s">
        <v>918</v>
      </c>
      <c r="H298" s="11" t="s">
        <v>243</v>
      </c>
    </row>
    <row r="299" spans="1:8" ht="33">
      <c r="A299" s="12" t="s">
        <v>919</v>
      </c>
      <c r="B299" s="7" t="s">
        <v>920</v>
      </c>
      <c r="C299" s="8" t="s">
        <v>8</v>
      </c>
      <c r="D299" s="9">
        <v>44.6</v>
      </c>
      <c r="E299" s="9">
        <v>799.96</v>
      </c>
      <c r="F299" s="9">
        <v>35678.22</v>
      </c>
      <c r="G299" s="10" t="s">
        <v>921</v>
      </c>
      <c r="H299" s="11" t="s">
        <v>243</v>
      </c>
    </row>
    <row r="300" spans="1:8" ht="33">
      <c r="A300" s="12" t="s">
        <v>922</v>
      </c>
      <c r="B300" s="7" t="s">
        <v>923</v>
      </c>
      <c r="C300" s="8" t="s">
        <v>15</v>
      </c>
      <c r="D300" s="9">
        <v>10</v>
      </c>
      <c r="E300" s="9">
        <v>11299.38</v>
      </c>
      <c r="F300" s="9">
        <v>112993.8</v>
      </c>
      <c r="G300" s="10" t="s">
        <v>924</v>
      </c>
      <c r="H300" s="11" t="s">
        <v>243</v>
      </c>
    </row>
    <row r="301" spans="1:8" ht="33">
      <c r="A301" s="12" t="s">
        <v>925</v>
      </c>
      <c r="B301" s="7" t="s">
        <v>926</v>
      </c>
      <c r="C301" s="8" t="s">
        <v>15</v>
      </c>
      <c r="D301" s="9">
        <v>5</v>
      </c>
      <c r="E301" s="9">
        <v>17999.02</v>
      </c>
      <c r="F301" s="9">
        <v>89995.1</v>
      </c>
      <c r="G301" s="10" t="s">
        <v>927</v>
      </c>
      <c r="H301" s="11" t="s">
        <v>243</v>
      </c>
    </row>
    <row r="302" spans="1:8" ht="33">
      <c r="A302" s="12" t="s">
        <v>928</v>
      </c>
      <c r="B302" s="7" t="s">
        <v>929</v>
      </c>
      <c r="C302" s="8" t="s">
        <v>15</v>
      </c>
      <c r="D302" s="9">
        <v>17</v>
      </c>
      <c r="E302" s="9">
        <v>4199.7700000000004</v>
      </c>
      <c r="F302" s="9">
        <v>71396.09</v>
      </c>
      <c r="G302" s="10" t="s">
        <v>930</v>
      </c>
      <c r="H302" s="11" t="s">
        <v>243</v>
      </c>
    </row>
    <row r="303" spans="1:8" ht="57">
      <c r="A303" s="12" t="s">
        <v>931</v>
      </c>
      <c r="B303" s="7" t="s">
        <v>932</v>
      </c>
      <c r="C303" s="8" t="s">
        <v>290</v>
      </c>
      <c r="D303" s="9">
        <v>1</v>
      </c>
      <c r="E303" s="9">
        <v>112957.32</v>
      </c>
      <c r="F303" s="9">
        <v>112957.32</v>
      </c>
      <c r="G303" s="10" t="s">
        <v>933</v>
      </c>
      <c r="H303" s="11" t="s">
        <v>243</v>
      </c>
    </row>
    <row r="304" spans="1:8" ht="57">
      <c r="A304" s="12" t="s">
        <v>934</v>
      </c>
      <c r="B304" s="7" t="s">
        <v>935</v>
      </c>
      <c r="C304" s="8" t="s">
        <v>4</v>
      </c>
      <c r="D304" s="9">
        <v>1</v>
      </c>
      <c r="E304" s="9">
        <v>322482.40999999997</v>
      </c>
      <c r="F304" s="9">
        <v>322482.40999999997</v>
      </c>
      <c r="G304" s="10" t="s">
        <v>936</v>
      </c>
      <c r="H304" s="11" t="s">
        <v>243</v>
      </c>
    </row>
    <row r="305" spans="1:8" ht="33">
      <c r="A305" s="12" t="s">
        <v>937</v>
      </c>
      <c r="B305" s="7" t="s">
        <v>938</v>
      </c>
      <c r="C305" s="8" t="s">
        <v>15</v>
      </c>
      <c r="D305" s="9">
        <v>17</v>
      </c>
      <c r="E305" s="9">
        <v>99994.55</v>
      </c>
      <c r="F305" s="9">
        <v>1699907.35</v>
      </c>
      <c r="G305" s="10" t="s">
        <v>939</v>
      </c>
      <c r="H305" s="11" t="s">
        <v>243</v>
      </c>
    </row>
    <row r="306" spans="1:8" ht="33">
      <c r="A306" s="12" t="s">
        <v>940</v>
      </c>
      <c r="B306" s="7" t="s">
        <v>941</v>
      </c>
      <c r="C306" s="8" t="s">
        <v>583</v>
      </c>
      <c r="D306" s="9">
        <v>2</v>
      </c>
      <c r="E306" s="9">
        <v>14999.18</v>
      </c>
      <c r="F306" s="9">
        <v>29998.36</v>
      </c>
      <c r="G306" s="10" t="s">
        <v>942</v>
      </c>
      <c r="H306" s="11" t="s">
        <v>243</v>
      </c>
    </row>
    <row r="307" spans="1:8" ht="33">
      <c r="A307" s="12" t="s">
        <v>943</v>
      </c>
      <c r="B307" s="7" t="s">
        <v>944</v>
      </c>
      <c r="C307" s="8" t="s">
        <v>15</v>
      </c>
      <c r="D307" s="9">
        <v>1</v>
      </c>
      <c r="E307" s="9">
        <v>1499.92</v>
      </c>
      <c r="F307" s="9">
        <v>1499.92</v>
      </c>
      <c r="G307" s="10" t="s">
        <v>945</v>
      </c>
      <c r="H307" s="11" t="s">
        <v>243</v>
      </c>
    </row>
    <row r="308" spans="1:8" ht="33">
      <c r="A308" s="12" t="s">
        <v>946</v>
      </c>
      <c r="B308" s="7" t="s">
        <v>947</v>
      </c>
      <c r="C308" s="8" t="s">
        <v>19</v>
      </c>
      <c r="D308" s="9">
        <v>2</v>
      </c>
      <c r="E308" s="9">
        <v>2599.86</v>
      </c>
      <c r="F308" s="9">
        <v>5199.72</v>
      </c>
      <c r="G308" s="10" t="s">
        <v>948</v>
      </c>
      <c r="H308" s="11" t="s">
        <v>243</v>
      </c>
    </row>
    <row r="309" spans="1:8" ht="33">
      <c r="A309" s="12" t="s">
        <v>949</v>
      </c>
      <c r="B309" s="7" t="s">
        <v>950</v>
      </c>
      <c r="C309" s="8" t="s">
        <v>19</v>
      </c>
      <c r="D309" s="9">
        <v>9</v>
      </c>
      <c r="E309" s="9">
        <v>4459.76</v>
      </c>
      <c r="F309" s="9">
        <v>40137.839999999997</v>
      </c>
      <c r="G309" s="10" t="s">
        <v>951</v>
      </c>
      <c r="H309" s="11" t="s">
        <v>243</v>
      </c>
    </row>
    <row r="310" spans="1:8" ht="33">
      <c r="A310" s="12" t="s">
        <v>952</v>
      </c>
      <c r="B310" s="7" t="s">
        <v>953</v>
      </c>
      <c r="C310" s="8" t="s">
        <v>8</v>
      </c>
      <c r="D310" s="9">
        <v>180</v>
      </c>
      <c r="E310" s="9">
        <v>596.98</v>
      </c>
      <c r="F310" s="9">
        <v>107456.4</v>
      </c>
      <c r="G310" s="10" t="s">
        <v>954</v>
      </c>
      <c r="H310" s="11" t="s">
        <v>243</v>
      </c>
    </row>
    <row r="311" spans="1:8" ht="33">
      <c r="A311" s="12" t="s">
        <v>955</v>
      </c>
      <c r="B311" s="7" t="s">
        <v>956</v>
      </c>
      <c r="C311" s="8" t="s">
        <v>8</v>
      </c>
      <c r="D311" s="9">
        <v>60</v>
      </c>
      <c r="E311" s="9">
        <v>67.42</v>
      </c>
      <c r="F311" s="9">
        <v>4045.2</v>
      </c>
      <c r="G311" s="10" t="s">
        <v>957</v>
      </c>
      <c r="H311" s="11" t="s">
        <v>243</v>
      </c>
    </row>
    <row r="312" spans="1:8" ht="33">
      <c r="A312" s="12" t="s">
        <v>958</v>
      </c>
      <c r="B312" s="7" t="s">
        <v>959</v>
      </c>
      <c r="C312" s="8" t="s">
        <v>8</v>
      </c>
      <c r="D312" s="9">
        <v>1032</v>
      </c>
      <c r="E312" s="9">
        <v>29.42</v>
      </c>
      <c r="F312" s="9">
        <v>30361.439999999999</v>
      </c>
      <c r="G312" s="10" t="s">
        <v>960</v>
      </c>
      <c r="H312" s="11" t="s">
        <v>243</v>
      </c>
    </row>
    <row r="313" spans="1:8" ht="33">
      <c r="A313" s="12" t="s">
        <v>961</v>
      </c>
      <c r="B313" s="7" t="s">
        <v>962</v>
      </c>
      <c r="C313" s="8" t="s">
        <v>8</v>
      </c>
      <c r="D313" s="9">
        <v>1103</v>
      </c>
      <c r="E313" s="9">
        <v>147.1</v>
      </c>
      <c r="F313" s="9">
        <v>162251.29999999999</v>
      </c>
      <c r="G313" s="10" t="s">
        <v>963</v>
      </c>
      <c r="H313" s="11" t="s">
        <v>243</v>
      </c>
    </row>
    <row r="314" spans="1:8" ht="47.25">
      <c r="A314" s="12" t="s">
        <v>964</v>
      </c>
      <c r="B314" s="7" t="s">
        <v>219</v>
      </c>
      <c r="C314" s="8" t="s">
        <v>8</v>
      </c>
      <c r="D314" s="9">
        <v>2064</v>
      </c>
      <c r="E314" s="9">
        <v>78.459999999999994</v>
      </c>
      <c r="F314" s="9">
        <v>161941.44</v>
      </c>
      <c r="G314" s="10" t="s">
        <v>965</v>
      </c>
      <c r="H314" s="11" t="s">
        <v>243</v>
      </c>
    </row>
    <row r="315" spans="1:8" ht="33">
      <c r="A315" s="12" t="s">
        <v>966</v>
      </c>
      <c r="B315" s="7" t="s">
        <v>967</v>
      </c>
      <c r="C315" s="8" t="s">
        <v>4</v>
      </c>
      <c r="D315" s="9">
        <v>1</v>
      </c>
      <c r="E315" s="9">
        <v>24062.69</v>
      </c>
      <c r="F315" s="9">
        <v>24062.69</v>
      </c>
      <c r="G315" s="10" t="s">
        <v>968</v>
      </c>
      <c r="H315" s="11" t="s">
        <v>243</v>
      </c>
    </row>
    <row r="316" spans="1:8" ht="33">
      <c r="A316" s="12" t="s">
        <v>969</v>
      </c>
      <c r="B316" s="7" t="s">
        <v>970</v>
      </c>
      <c r="C316" s="8" t="s">
        <v>8</v>
      </c>
      <c r="D316" s="9">
        <v>1011</v>
      </c>
      <c r="E316" s="9">
        <v>35.549999999999997</v>
      </c>
      <c r="F316" s="9">
        <v>35941.050000000003</v>
      </c>
      <c r="G316" s="10" t="s">
        <v>971</v>
      </c>
      <c r="H316" s="11" t="s">
        <v>243</v>
      </c>
    </row>
    <row r="317" spans="1:8" ht="33">
      <c r="A317" s="12" t="s">
        <v>972</v>
      </c>
      <c r="B317" s="7" t="s">
        <v>220</v>
      </c>
      <c r="C317" s="8" t="s">
        <v>8</v>
      </c>
      <c r="D317" s="9">
        <v>946</v>
      </c>
      <c r="E317" s="9">
        <v>60.07</v>
      </c>
      <c r="F317" s="9">
        <v>56826.22</v>
      </c>
      <c r="G317" s="10" t="s">
        <v>973</v>
      </c>
      <c r="H317" s="11" t="s">
        <v>243</v>
      </c>
    </row>
    <row r="318" spans="1:8" ht="33">
      <c r="A318" s="12" t="s">
        <v>974</v>
      </c>
      <c r="B318" s="7" t="s">
        <v>975</v>
      </c>
      <c r="C318" s="8" t="s">
        <v>8</v>
      </c>
      <c r="D318" s="9">
        <v>55</v>
      </c>
      <c r="E318" s="9">
        <v>125.03</v>
      </c>
      <c r="F318" s="9">
        <v>6876.65</v>
      </c>
      <c r="G318" s="10" t="s">
        <v>976</v>
      </c>
      <c r="H318" s="11" t="s">
        <v>243</v>
      </c>
    </row>
    <row r="319" spans="1:8" ht="33">
      <c r="A319" s="12" t="s">
        <v>977</v>
      </c>
      <c r="B319" s="7" t="s">
        <v>978</v>
      </c>
      <c r="C319" s="8" t="s">
        <v>8</v>
      </c>
      <c r="D319" s="9">
        <v>22</v>
      </c>
      <c r="E319" s="9">
        <v>178.97</v>
      </c>
      <c r="F319" s="9">
        <v>3937.34</v>
      </c>
      <c r="G319" s="10" t="s">
        <v>979</v>
      </c>
      <c r="H319" s="11" t="s">
        <v>243</v>
      </c>
    </row>
    <row r="320" spans="1:8" ht="33">
      <c r="A320" s="12" t="s">
        <v>980</v>
      </c>
      <c r="B320" s="7" t="s">
        <v>981</v>
      </c>
      <c r="C320" s="8" t="s">
        <v>4</v>
      </c>
      <c r="D320" s="9">
        <v>1</v>
      </c>
      <c r="E320" s="9">
        <v>19812.919999999998</v>
      </c>
      <c r="F320" s="9">
        <v>19812.919999999998</v>
      </c>
      <c r="G320" s="10" t="s">
        <v>982</v>
      </c>
      <c r="H320" s="11" t="s">
        <v>243</v>
      </c>
    </row>
    <row r="321" spans="1:8" ht="33">
      <c r="A321" s="12" t="s">
        <v>983</v>
      </c>
      <c r="B321" s="7" t="s">
        <v>984</v>
      </c>
      <c r="C321" s="8" t="s">
        <v>4</v>
      </c>
      <c r="D321" s="9">
        <v>1</v>
      </c>
      <c r="E321" s="9">
        <v>29571.39</v>
      </c>
      <c r="F321" s="9">
        <v>29571.39</v>
      </c>
      <c r="G321" s="10" t="s">
        <v>985</v>
      </c>
      <c r="H321" s="11" t="s">
        <v>243</v>
      </c>
    </row>
    <row r="322" spans="1:8" ht="33">
      <c r="A322" s="6" t="s">
        <v>986</v>
      </c>
      <c r="B322" s="7" t="s">
        <v>987</v>
      </c>
      <c r="C322" s="8" t="s">
        <v>4</v>
      </c>
      <c r="D322" s="9">
        <v>1</v>
      </c>
      <c r="E322" s="9"/>
      <c r="F322" s="9">
        <v>5388420.4299999997</v>
      </c>
      <c r="G322" s="10" t="s">
        <v>242</v>
      </c>
      <c r="H322" s="11" t="s">
        <v>243</v>
      </c>
    </row>
    <row r="323" spans="1:8" ht="42.75">
      <c r="A323" s="12" t="s">
        <v>988</v>
      </c>
      <c r="B323" s="7" t="s">
        <v>989</v>
      </c>
      <c r="C323" s="8" t="s">
        <v>8</v>
      </c>
      <c r="D323" s="9">
        <v>1132</v>
      </c>
      <c r="E323" s="9">
        <v>247.19</v>
      </c>
      <c r="F323" s="9">
        <v>279819.08</v>
      </c>
      <c r="G323" s="10" t="s">
        <v>990</v>
      </c>
      <c r="H323" s="11" t="s">
        <v>243</v>
      </c>
    </row>
    <row r="324" spans="1:8" ht="42.75">
      <c r="A324" s="12" t="s">
        <v>991</v>
      </c>
      <c r="B324" s="7" t="s">
        <v>992</v>
      </c>
      <c r="C324" s="8" t="s">
        <v>8</v>
      </c>
      <c r="D324" s="9">
        <v>1132</v>
      </c>
      <c r="E324" s="9">
        <v>236.89</v>
      </c>
      <c r="F324" s="9">
        <v>268159.48</v>
      </c>
      <c r="G324" s="10" t="s">
        <v>993</v>
      </c>
      <c r="H324" s="11" t="s">
        <v>243</v>
      </c>
    </row>
    <row r="325" spans="1:8" ht="33">
      <c r="A325" s="12" t="s">
        <v>994</v>
      </c>
      <c r="B325" s="7" t="s">
        <v>995</v>
      </c>
      <c r="C325" s="8" t="s">
        <v>13</v>
      </c>
      <c r="D325" s="9">
        <v>6198</v>
      </c>
      <c r="E325" s="9">
        <v>252.34</v>
      </c>
      <c r="F325" s="9">
        <v>1564003.32</v>
      </c>
      <c r="G325" s="10" t="s">
        <v>996</v>
      </c>
      <c r="H325" s="11" t="s">
        <v>243</v>
      </c>
    </row>
    <row r="326" spans="1:8" ht="47.25">
      <c r="A326" s="12" t="s">
        <v>997</v>
      </c>
      <c r="B326" s="7" t="s">
        <v>998</v>
      </c>
      <c r="C326" s="8" t="s">
        <v>4</v>
      </c>
      <c r="D326" s="9">
        <v>1</v>
      </c>
      <c r="E326" s="9">
        <v>349980.91</v>
      </c>
      <c r="F326" s="9">
        <v>349980.91</v>
      </c>
      <c r="G326" s="10" t="s">
        <v>999</v>
      </c>
      <c r="H326" s="11" t="s">
        <v>243</v>
      </c>
    </row>
    <row r="327" spans="1:8" ht="42.75">
      <c r="A327" s="12" t="s">
        <v>1000</v>
      </c>
      <c r="B327" s="7" t="s">
        <v>1001</v>
      </c>
      <c r="C327" s="8" t="s">
        <v>16</v>
      </c>
      <c r="D327" s="9">
        <v>2052</v>
      </c>
      <c r="E327" s="9">
        <v>931.07</v>
      </c>
      <c r="F327" s="9">
        <v>1910555.64</v>
      </c>
      <c r="G327" s="10" t="s">
        <v>1002</v>
      </c>
      <c r="H327" s="11" t="s">
        <v>243</v>
      </c>
    </row>
    <row r="328" spans="1:8" ht="42.75">
      <c r="A328" s="12" t="s">
        <v>1003</v>
      </c>
      <c r="B328" s="7" t="s">
        <v>728</v>
      </c>
      <c r="C328" s="8" t="s">
        <v>6</v>
      </c>
      <c r="D328" s="9">
        <v>300</v>
      </c>
      <c r="E328" s="9">
        <v>3386.34</v>
      </c>
      <c r="F328" s="9">
        <v>1015902</v>
      </c>
      <c r="G328" s="10" t="s">
        <v>729</v>
      </c>
      <c r="H328" s="11" t="s">
        <v>243</v>
      </c>
    </row>
    <row r="329" spans="1:8" ht="33">
      <c r="A329" s="6" t="s">
        <v>103</v>
      </c>
      <c r="B329" s="7" t="s">
        <v>11</v>
      </c>
      <c r="C329" s="8" t="s">
        <v>4</v>
      </c>
      <c r="D329" s="9">
        <v>1</v>
      </c>
      <c r="E329" s="9"/>
      <c r="F329" s="9">
        <v>8155586.3899999997</v>
      </c>
      <c r="G329" s="10" t="s">
        <v>242</v>
      </c>
      <c r="H329" s="11" t="s">
        <v>243</v>
      </c>
    </row>
    <row r="330" spans="1:8" ht="33">
      <c r="A330" s="12" t="s">
        <v>104</v>
      </c>
      <c r="B330" s="7" t="s">
        <v>1004</v>
      </c>
      <c r="C330" s="8" t="s">
        <v>4</v>
      </c>
      <c r="D330" s="9">
        <v>1</v>
      </c>
      <c r="E330" s="9">
        <v>716633.92</v>
      </c>
      <c r="F330" s="9">
        <v>716633.92</v>
      </c>
      <c r="G330" s="10" t="s">
        <v>1005</v>
      </c>
      <c r="H330" s="11" t="s">
        <v>243</v>
      </c>
    </row>
    <row r="331" spans="1:8" ht="33">
      <c r="A331" s="12" t="s">
        <v>105</v>
      </c>
      <c r="B331" s="7" t="s">
        <v>1006</v>
      </c>
      <c r="C331" s="8" t="s">
        <v>1007</v>
      </c>
      <c r="D331" s="9">
        <v>7</v>
      </c>
      <c r="E331" s="9">
        <v>49997.27</v>
      </c>
      <c r="F331" s="9">
        <v>349980.89</v>
      </c>
      <c r="G331" s="10" t="s">
        <v>1008</v>
      </c>
      <c r="H331" s="11" t="s">
        <v>243</v>
      </c>
    </row>
    <row r="332" spans="1:8" ht="71.25">
      <c r="A332" s="12" t="s">
        <v>106</v>
      </c>
      <c r="B332" s="7" t="s">
        <v>1009</v>
      </c>
      <c r="C332" s="8" t="s">
        <v>1010</v>
      </c>
      <c r="D332" s="9">
        <v>730</v>
      </c>
      <c r="E332" s="9">
        <v>805.95</v>
      </c>
      <c r="F332" s="9">
        <v>588343.5</v>
      </c>
      <c r="G332" s="10" t="s">
        <v>1011</v>
      </c>
      <c r="H332" s="11" t="s">
        <v>243</v>
      </c>
    </row>
    <row r="333" spans="1:8" ht="33">
      <c r="A333" s="12" t="s">
        <v>107</v>
      </c>
      <c r="B333" s="7" t="s">
        <v>1012</v>
      </c>
      <c r="C333" s="8" t="s">
        <v>1007</v>
      </c>
      <c r="D333" s="9">
        <v>2</v>
      </c>
      <c r="E333" s="9">
        <v>49997.27</v>
      </c>
      <c r="F333" s="9">
        <v>99994.54</v>
      </c>
      <c r="G333" s="10" t="s">
        <v>1013</v>
      </c>
      <c r="H333" s="11" t="s">
        <v>243</v>
      </c>
    </row>
    <row r="334" spans="1:8" ht="33">
      <c r="A334" s="12" t="s">
        <v>108</v>
      </c>
      <c r="B334" s="7" t="s">
        <v>1014</v>
      </c>
      <c r="C334" s="8" t="s">
        <v>1015</v>
      </c>
      <c r="D334" s="9">
        <v>19</v>
      </c>
      <c r="E334" s="9">
        <v>179990.18</v>
      </c>
      <c r="F334" s="9">
        <v>3419813.42</v>
      </c>
      <c r="G334" s="10" t="s">
        <v>1016</v>
      </c>
      <c r="H334" s="11" t="s">
        <v>243</v>
      </c>
    </row>
    <row r="335" spans="1:8" ht="42.75">
      <c r="A335" s="12" t="s">
        <v>109</v>
      </c>
      <c r="B335" s="7" t="s">
        <v>1017</v>
      </c>
      <c r="C335" s="8" t="s">
        <v>4</v>
      </c>
      <c r="D335" s="9">
        <v>1</v>
      </c>
      <c r="E335" s="9">
        <v>205971.45</v>
      </c>
      <c r="F335" s="9">
        <v>205971.45</v>
      </c>
      <c r="G335" s="10" t="s">
        <v>1018</v>
      </c>
      <c r="H335" s="11" t="s">
        <v>243</v>
      </c>
    </row>
    <row r="336" spans="1:8" ht="33">
      <c r="A336" s="12" t="s">
        <v>156</v>
      </c>
      <c r="B336" s="7" t="s">
        <v>1019</v>
      </c>
      <c r="C336" s="8" t="s">
        <v>4</v>
      </c>
      <c r="D336" s="9">
        <v>1</v>
      </c>
      <c r="E336" s="9">
        <v>2424867.7599999998</v>
      </c>
      <c r="F336" s="9">
        <v>2424867.7599999998</v>
      </c>
      <c r="G336" s="10" t="s">
        <v>1020</v>
      </c>
      <c r="H336" s="11" t="s">
        <v>243</v>
      </c>
    </row>
    <row r="337" spans="1:8" ht="33">
      <c r="A337" s="12" t="s">
        <v>155</v>
      </c>
      <c r="B337" s="7" t="s">
        <v>1021</v>
      </c>
      <c r="C337" s="8" t="s">
        <v>4</v>
      </c>
      <c r="D337" s="9">
        <v>1</v>
      </c>
      <c r="E337" s="9">
        <v>349980.91</v>
      </c>
      <c r="F337" s="9">
        <v>349980.91</v>
      </c>
      <c r="G337" s="10" t="s">
        <v>1022</v>
      </c>
      <c r="H337" s="11" t="s">
        <v>243</v>
      </c>
    </row>
    <row r="338" spans="1:8" ht="33">
      <c r="A338" s="6" t="s">
        <v>110</v>
      </c>
      <c r="B338" s="7" t="s">
        <v>25</v>
      </c>
      <c r="C338" s="8" t="s">
        <v>4</v>
      </c>
      <c r="D338" s="9">
        <v>1</v>
      </c>
      <c r="E338" s="9"/>
      <c r="F338" s="9">
        <v>3063382.33</v>
      </c>
      <c r="G338" s="10" t="s">
        <v>242</v>
      </c>
      <c r="H338" s="11" t="s">
        <v>243</v>
      </c>
    </row>
    <row r="339" spans="1:8" ht="63">
      <c r="A339" s="12" t="s">
        <v>111</v>
      </c>
      <c r="B339" s="7" t="s">
        <v>1023</v>
      </c>
      <c r="C339" s="8" t="s">
        <v>7</v>
      </c>
      <c r="D339" s="9">
        <v>295</v>
      </c>
      <c r="E339" s="9">
        <v>299.98</v>
      </c>
      <c r="F339" s="9">
        <v>88494.1</v>
      </c>
      <c r="G339" s="10" t="s">
        <v>1024</v>
      </c>
      <c r="H339" s="11" t="s">
        <v>243</v>
      </c>
    </row>
    <row r="340" spans="1:8" ht="47.25">
      <c r="A340" s="12" t="s">
        <v>112</v>
      </c>
      <c r="B340" s="7" t="s">
        <v>1025</v>
      </c>
      <c r="C340" s="8" t="s">
        <v>15</v>
      </c>
      <c r="D340" s="9">
        <v>59</v>
      </c>
      <c r="E340" s="9">
        <v>2999.84</v>
      </c>
      <c r="F340" s="9">
        <v>176990.56</v>
      </c>
      <c r="G340" s="10" t="s">
        <v>1026</v>
      </c>
      <c r="H340" s="11" t="s">
        <v>243</v>
      </c>
    </row>
    <row r="341" spans="1:8" ht="33">
      <c r="A341" s="12" t="s">
        <v>113</v>
      </c>
      <c r="B341" s="7" t="s">
        <v>1027</v>
      </c>
      <c r="C341" s="8" t="s">
        <v>15</v>
      </c>
      <c r="D341" s="9">
        <v>59</v>
      </c>
      <c r="E341" s="9">
        <v>149.99</v>
      </c>
      <c r="F341" s="9">
        <v>8849.41</v>
      </c>
      <c r="G341" s="10" t="s">
        <v>1028</v>
      </c>
      <c r="H341" s="11" t="s">
        <v>243</v>
      </c>
    </row>
    <row r="342" spans="1:8" ht="47.25">
      <c r="A342" s="12" t="s">
        <v>114</v>
      </c>
      <c r="B342" s="7" t="s">
        <v>1029</v>
      </c>
      <c r="C342" s="8" t="s">
        <v>1030</v>
      </c>
      <c r="D342" s="9">
        <v>9</v>
      </c>
      <c r="E342" s="9">
        <v>1199.93</v>
      </c>
      <c r="F342" s="9">
        <v>10799.37</v>
      </c>
      <c r="G342" s="10" t="s">
        <v>1031</v>
      </c>
      <c r="H342" s="11" t="s">
        <v>243</v>
      </c>
    </row>
    <row r="343" spans="1:8" ht="63">
      <c r="A343" s="12" t="s">
        <v>152</v>
      </c>
      <c r="B343" s="7" t="s">
        <v>1032</v>
      </c>
      <c r="C343" s="8" t="s">
        <v>15</v>
      </c>
      <c r="D343" s="9">
        <v>22</v>
      </c>
      <c r="E343" s="9">
        <v>649.96</v>
      </c>
      <c r="F343" s="9">
        <v>14299.12</v>
      </c>
      <c r="G343" s="10" t="s">
        <v>1033</v>
      </c>
      <c r="H343" s="11" t="s">
        <v>243</v>
      </c>
    </row>
    <row r="344" spans="1:8" ht="63">
      <c r="A344" s="12" t="s">
        <v>151</v>
      </c>
      <c r="B344" s="7" t="s">
        <v>1034</v>
      </c>
      <c r="C344" s="8" t="s">
        <v>15</v>
      </c>
      <c r="D344" s="9">
        <v>22</v>
      </c>
      <c r="E344" s="9">
        <v>1299.93</v>
      </c>
      <c r="F344" s="9">
        <v>28598.46</v>
      </c>
      <c r="G344" s="10" t="s">
        <v>1035</v>
      </c>
      <c r="H344" s="11" t="s">
        <v>243</v>
      </c>
    </row>
    <row r="345" spans="1:8" ht="63">
      <c r="A345" s="12" t="s">
        <v>150</v>
      </c>
      <c r="B345" s="7" t="s">
        <v>1036</v>
      </c>
      <c r="C345" s="8" t="s">
        <v>15</v>
      </c>
      <c r="D345" s="9">
        <v>5</v>
      </c>
      <c r="E345" s="9">
        <v>3499.81</v>
      </c>
      <c r="F345" s="9">
        <v>17499.05</v>
      </c>
      <c r="G345" s="10" t="s">
        <v>1037</v>
      </c>
      <c r="H345" s="11" t="s">
        <v>243</v>
      </c>
    </row>
    <row r="346" spans="1:8" ht="63">
      <c r="A346" s="12" t="s">
        <v>149</v>
      </c>
      <c r="B346" s="7" t="s">
        <v>1038</v>
      </c>
      <c r="C346" s="8" t="s">
        <v>15</v>
      </c>
      <c r="D346" s="9">
        <v>5</v>
      </c>
      <c r="E346" s="9">
        <v>699.96</v>
      </c>
      <c r="F346" s="9">
        <v>3499.8</v>
      </c>
      <c r="G346" s="10" t="s">
        <v>1039</v>
      </c>
      <c r="H346" s="11" t="s">
        <v>243</v>
      </c>
    </row>
    <row r="347" spans="1:8" ht="47.25">
      <c r="A347" s="12" t="s">
        <v>148</v>
      </c>
      <c r="B347" s="7" t="s">
        <v>1040</v>
      </c>
      <c r="C347" s="8" t="s">
        <v>14</v>
      </c>
      <c r="D347" s="9">
        <v>1</v>
      </c>
      <c r="E347" s="9">
        <v>14999.18</v>
      </c>
      <c r="F347" s="9">
        <v>14999.18</v>
      </c>
      <c r="G347" s="10" t="s">
        <v>1041</v>
      </c>
      <c r="H347" s="11" t="s">
        <v>243</v>
      </c>
    </row>
    <row r="348" spans="1:8" ht="47.25">
      <c r="A348" s="12" t="s">
        <v>1042</v>
      </c>
      <c r="B348" s="7" t="s">
        <v>1043</v>
      </c>
      <c r="C348" s="8" t="s">
        <v>15</v>
      </c>
      <c r="D348" s="9">
        <v>1</v>
      </c>
      <c r="E348" s="9">
        <v>5999.67</v>
      </c>
      <c r="F348" s="9">
        <v>5999.67</v>
      </c>
      <c r="G348" s="10" t="s">
        <v>1044</v>
      </c>
      <c r="H348" s="11" t="s">
        <v>243</v>
      </c>
    </row>
    <row r="349" spans="1:8" ht="94.5">
      <c r="A349" s="12" t="s">
        <v>1045</v>
      </c>
      <c r="B349" s="7" t="s">
        <v>1046</v>
      </c>
      <c r="C349" s="8" t="s">
        <v>15</v>
      </c>
      <c r="D349" s="9">
        <v>1</v>
      </c>
      <c r="E349" s="9">
        <v>49497.3</v>
      </c>
      <c r="F349" s="9">
        <v>49497.3</v>
      </c>
      <c r="G349" s="10" t="s">
        <v>1047</v>
      </c>
      <c r="H349" s="11" t="s">
        <v>243</v>
      </c>
    </row>
    <row r="350" spans="1:8" ht="63">
      <c r="A350" s="12" t="s">
        <v>1048</v>
      </c>
      <c r="B350" s="7" t="s">
        <v>1049</v>
      </c>
      <c r="C350" s="8" t="s">
        <v>15</v>
      </c>
      <c r="D350" s="9">
        <v>6</v>
      </c>
      <c r="E350" s="9">
        <v>2999.84</v>
      </c>
      <c r="F350" s="9">
        <v>17999.04</v>
      </c>
      <c r="G350" s="10" t="s">
        <v>1050</v>
      </c>
      <c r="H350" s="11" t="s">
        <v>243</v>
      </c>
    </row>
    <row r="351" spans="1:8" ht="33">
      <c r="A351" s="12" t="s">
        <v>1051</v>
      </c>
      <c r="B351" s="7" t="s">
        <v>1052</v>
      </c>
      <c r="C351" s="8" t="s">
        <v>14</v>
      </c>
      <c r="D351" s="9">
        <v>75</v>
      </c>
      <c r="E351" s="9">
        <v>11999.35</v>
      </c>
      <c r="F351" s="9">
        <v>899951.25</v>
      </c>
      <c r="G351" s="10" t="s">
        <v>1053</v>
      </c>
      <c r="H351" s="11" t="s">
        <v>243</v>
      </c>
    </row>
    <row r="352" spans="1:8" ht="33">
      <c r="A352" s="12" t="s">
        <v>1054</v>
      </c>
      <c r="B352" s="7" t="s">
        <v>1055</v>
      </c>
      <c r="C352" s="8" t="s">
        <v>1007</v>
      </c>
      <c r="D352" s="9">
        <v>75</v>
      </c>
      <c r="E352" s="9">
        <v>1499.92</v>
      </c>
      <c r="F352" s="9">
        <v>112494</v>
      </c>
      <c r="G352" s="10" t="s">
        <v>1056</v>
      </c>
      <c r="H352" s="11" t="s">
        <v>243</v>
      </c>
    </row>
    <row r="353" spans="1:8" ht="63">
      <c r="A353" s="12" t="s">
        <v>1057</v>
      </c>
      <c r="B353" s="7" t="s">
        <v>1058</v>
      </c>
      <c r="C353" s="8" t="s">
        <v>15</v>
      </c>
      <c r="D353" s="9">
        <v>1</v>
      </c>
      <c r="E353" s="9">
        <v>11999.35</v>
      </c>
      <c r="F353" s="9">
        <v>11999.35</v>
      </c>
      <c r="G353" s="10" t="s">
        <v>1059</v>
      </c>
      <c r="H353" s="11" t="s">
        <v>243</v>
      </c>
    </row>
    <row r="354" spans="1:8" ht="47.25">
      <c r="A354" s="12" t="s">
        <v>1060</v>
      </c>
      <c r="B354" s="7" t="s">
        <v>1061</v>
      </c>
      <c r="C354" s="8" t="s">
        <v>15</v>
      </c>
      <c r="D354" s="9">
        <v>1</v>
      </c>
      <c r="E354" s="9">
        <v>1999.89</v>
      </c>
      <c r="F354" s="9">
        <v>1999.89</v>
      </c>
      <c r="G354" s="10" t="s">
        <v>1062</v>
      </c>
      <c r="H354" s="11" t="s">
        <v>243</v>
      </c>
    </row>
    <row r="355" spans="1:8" ht="63">
      <c r="A355" s="12" t="s">
        <v>1063</v>
      </c>
      <c r="B355" s="7" t="s">
        <v>1064</v>
      </c>
      <c r="C355" s="8" t="s">
        <v>15</v>
      </c>
      <c r="D355" s="9">
        <v>11</v>
      </c>
      <c r="E355" s="9">
        <v>2999.84</v>
      </c>
      <c r="F355" s="9">
        <v>32998.239999999998</v>
      </c>
      <c r="G355" s="10" t="s">
        <v>1065</v>
      </c>
      <c r="H355" s="11" t="s">
        <v>243</v>
      </c>
    </row>
    <row r="356" spans="1:8" ht="47.25">
      <c r="A356" s="12" t="s">
        <v>1066</v>
      </c>
      <c r="B356" s="7" t="s">
        <v>1067</v>
      </c>
      <c r="C356" s="8" t="s">
        <v>15</v>
      </c>
      <c r="D356" s="9">
        <v>3</v>
      </c>
      <c r="E356" s="9">
        <v>1399.92</v>
      </c>
      <c r="F356" s="9">
        <v>4199.76</v>
      </c>
      <c r="G356" s="10" t="s">
        <v>1068</v>
      </c>
      <c r="H356" s="11" t="s">
        <v>243</v>
      </c>
    </row>
    <row r="357" spans="1:8" ht="63">
      <c r="A357" s="12" t="s">
        <v>1069</v>
      </c>
      <c r="B357" s="7" t="s">
        <v>1070</v>
      </c>
      <c r="C357" s="8" t="s">
        <v>14</v>
      </c>
      <c r="D357" s="9">
        <v>5</v>
      </c>
      <c r="E357" s="9">
        <v>17999.02</v>
      </c>
      <c r="F357" s="9">
        <v>89995.1</v>
      </c>
      <c r="G357" s="10" t="s">
        <v>1071</v>
      </c>
      <c r="H357" s="11" t="s">
        <v>243</v>
      </c>
    </row>
    <row r="358" spans="1:8" ht="47.25">
      <c r="A358" s="12" t="s">
        <v>1072</v>
      </c>
      <c r="B358" s="7" t="s">
        <v>1073</v>
      </c>
      <c r="C358" s="8" t="s">
        <v>14</v>
      </c>
      <c r="D358" s="9">
        <v>1</v>
      </c>
      <c r="E358" s="9">
        <v>8999.51</v>
      </c>
      <c r="F358" s="9">
        <v>8999.51</v>
      </c>
      <c r="G358" s="10" t="s">
        <v>1074</v>
      </c>
      <c r="H358" s="11" t="s">
        <v>243</v>
      </c>
    </row>
    <row r="359" spans="1:8" ht="47.25">
      <c r="A359" s="12" t="s">
        <v>1075</v>
      </c>
      <c r="B359" s="7" t="s">
        <v>1076</v>
      </c>
      <c r="C359" s="8" t="s">
        <v>15</v>
      </c>
      <c r="D359" s="9">
        <v>2</v>
      </c>
      <c r="E359" s="9">
        <v>5999.67</v>
      </c>
      <c r="F359" s="9">
        <v>11999.34</v>
      </c>
      <c r="G359" s="10" t="s">
        <v>1077</v>
      </c>
      <c r="H359" s="11" t="s">
        <v>243</v>
      </c>
    </row>
    <row r="360" spans="1:8" ht="47.25">
      <c r="A360" s="12" t="s">
        <v>1078</v>
      </c>
      <c r="B360" s="7" t="s">
        <v>1079</v>
      </c>
      <c r="C360" s="8" t="s">
        <v>14</v>
      </c>
      <c r="D360" s="9">
        <v>1</v>
      </c>
      <c r="E360" s="9">
        <v>2499.86</v>
      </c>
      <c r="F360" s="9">
        <v>2499.86</v>
      </c>
      <c r="G360" s="10" t="s">
        <v>1080</v>
      </c>
      <c r="H360" s="11" t="s">
        <v>243</v>
      </c>
    </row>
    <row r="361" spans="1:8" ht="47.25">
      <c r="A361" s="12" t="s">
        <v>1081</v>
      </c>
      <c r="B361" s="7" t="s">
        <v>1082</v>
      </c>
      <c r="C361" s="8" t="s">
        <v>14</v>
      </c>
      <c r="D361" s="9">
        <v>1</v>
      </c>
      <c r="E361" s="9">
        <v>2499.86</v>
      </c>
      <c r="F361" s="9">
        <v>2499.86</v>
      </c>
      <c r="G361" s="10" t="s">
        <v>1083</v>
      </c>
      <c r="H361" s="11" t="s">
        <v>243</v>
      </c>
    </row>
    <row r="362" spans="1:8" ht="47.25">
      <c r="A362" s="12" t="s">
        <v>1084</v>
      </c>
      <c r="B362" s="7" t="s">
        <v>1085</v>
      </c>
      <c r="C362" s="8" t="s">
        <v>15</v>
      </c>
      <c r="D362" s="9">
        <v>4</v>
      </c>
      <c r="E362" s="9">
        <v>2999.84</v>
      </c>
      <c r="F362" s="9">
        <v>11999.36</v>
      </c>
      <c r="G362" s="10" t="s">
        <v>1086</v>
      </c>
      <c r="H362" s="11" t="s">
        <v>243</v>
      </c>
    </row>
    <row r="363" spans="1:8" ht="63">
      <c r="A363" s="12" t="s">
        <v>1087</v>
      </c>
      <c r="B363" s="7" t="s">
        <v>1088</v>
      </c>
      <c r="C363" s="8" t="s">
        <v>15</v>
      </c>
      <c r="D363" s="9">
        <v>2</v>
      </c>
      <c r="E363" s="9">
        <v>19998.91</v>
      </c>
      <c r="F363" s="9">
        <v>39997.82</v>
      </c>
      <c r="G363" s="10" t="s">
        <v>1089</v>
      </c>
      <c r="H363" s="11" t="s">
        <v>243</v>
      </c>
    </row>
    <row r="364" spans="1:8" ht="47.25">
      <c r="A364" s="12" t="s">
        <v>1090</v>
      </c>
      <c r="B364" s="7" t="s">
        <v>1091</v>
      </c>
      <c r="C364" s="8" t="s">
        <v>14</v>
      </c>
      <c r="D364" s="9">
        <v>1</v>
      </c>
      <c r="E364" s="9">
        <v>14999.18</v>
      </c>
      <c r="F364" s="9">
        <v>14999.18</v>
      </c>
      <c r="G364" s="10" t="s">
        <v>1092</v>
      </c>
      <c r="H364" s="11" t="s">
        <v>243</v>
      </c>
    </row>
    <row r="365" spans="1:8" ht="47.25">
      <c r="A365" s="12" t="s">
        <v>1093</v>
      </c>
      <c r="B365" s="7" t="s">
        <v>1094</v>
      </c>
      <c r="C365" s="8" t="s">
        <v>1095</v>
      </c>
      <c r="D365" s="9">
        <v>3</v>
      </c>
      <c r="E365" s="9">
        <v>1299.93</v>
      </c>
      <c r="F365" s="9">
        <v>3899.79</v>
      </c>
      <c r="G365" s="10" t="s">
        <v>1096</v>
      </c>
      <c r="H365" s="11" t="s">
        <v>243</v>
      </c>
    </row>
    <row r="366" spans="1:8" ht="33">
      <c r="A366" s="12" t="s">
        <v>1097</v>
      </c>
      <c r="B366" s="7" t="s">
        <v>1098</v>
      </c>
      <c r="C366" s="8" t="s">
        <v>1095</v>
      </c>
      <c r="D366" s="9">
        <v>4</v>
      </c>
      <c r="E366" s="9">
        <v>999.95</v>
      </c>
      <c r="F366" s="9">
        <v>3999.8</v>
      </c>
      <c r="G366" s="10" t="s">
        <v>1099</v>
      </c>
      <c r="H366" s="11" t="s">
        <v>243</v>
      </c>
    </row>
    <row r="367" spans="1:8" ht="33">
      <c r="A367" s="12" t="s">
        <v>1100</v>
      </c>
      <c r="B367" s="7" t="s">
        <v>1101</v>
      </c>
      <c r="C367" s="8" t="s">
        <v>15</v>
      </c>
      <c r="D367" s="9">
        <v>2</v>
      </c>
      <c r="E367" s="9">
        <v>8999.51</v>
      </c>
      <c r="F367" s="9">
        <v>17999.02</v>
      </c>
      <c r="G367" s="10" t="s">
        <v>1102</v>
      </c>
      <c r="H367" s="11" t="s">
        <v>243</v>
      </c>
    </row>
    <row r="368" spans="1:8" ht="47.25">
      <c r="A368" s="12" t="s">
        <v>1103</v>
      </c>
      <c r="B368" s="7" t="s">
        <v>1104</v>
      </c>
      <c r="C368" s="8" t="s">
        <v>15</v>
      </c>
      <c r="D368" s="9">
        <v>4</v>
      </c>
      <c r="E368" s="9">
        <v>4199.7700000000004</v>
      </c>
      <c r="F368" s="9">
        <v>16799.080000000002</v>
      </c>
      <c r="G368" s="10" t="s">
        <v>1105</v>
      </c>
      <c r="H368" s="11" t="s">
        <v>243</v>
      </c>
    </row>
    <row r="369" spans="1:8" ht="47.25">
      <c r="A369" s="12" t="s">
        <v>1106</v>
      </c>
      <c r="B369" s="7" t="s">
        <v>1107</v>
      </c>
      <c r="C369" s="8" t="s">
        <v>14</v>
      </c>
      <c r="D369" s="9">
        <v>2</v>
      </c>
      <c r="E369" s="9">
        <v>999.95</v>
      </c>
      <c r="F369" s="9">
        <v>1999.9</v>
      </c>
      <c r="G369" s="10" t="s">
        <v>1108</v>
      </c>
      <c r="H369" s="11" t="s">
        <v>243</v>
      </c>
    </row>
    <row r="370" spans="1:8" ht="47.25">
      <c r="A370" s="12" t="s">
        <v>1109</v>
      </c>
      <c r="B370" s="7" t="s">
        <v>224</v>
      </c>
      <c r="C370" s="8" t="s">
        <v>15</v>
      </c>
      <c r="D370" s="9">
        <v>12</v>
      </c>
      <c r="E370" s="9">
        <v>4499.75</v>
      </c>
      <c r="F370" s="9">
        <v>53997</v>
      </c>
      <c r="G370" s="10" t="s">
        <v>1110</v>
      </c>
      <c r="H370" s="11" t="s">
        <v>243</v>
      </c>
    </row>
    <row r="371" spans="1:8" ht="33">
      <c r="A371" s="12" t="s">
        <v>1111</v>
      </c>
      <c r="B371" s="7" t="s">
        <v>1112</v>
      </c>
      <c r="C371" s="8" t="s">
        <v>15</v>
      </c>
      <c r="D371" s="9">
        <v>2</v>
      </c>
      <c r="E371" s="9">
        <v>636265.30000000005</v>
      </c>
      <c r="F371" s="9">
        <v>1272530.6000000001</v>
      </c>
      <c r="G371" s="10" t="s">
        <v>1113</v>
      </c>
      <c r="H371" s="11" t="s">
        <v>243</v>
      </c>
    </row>
    <row r="372" spans="1:8" ht="47.25">
      <c r="A372" s="12" t="s">
        <v>1114</v>
      </c>
      <c r="B372" s="7" t="s">
        <v>1115</v>
      </c>
      <c r="C372" s="8" t="s">
        <v>1116</v>
      </c>
      <c r="D372" s="9">
        <v>4</v>
      </c>
      <c r="E372" s="9">
        <v>1999.89</v>
      </c>
      <c r="F372" s="9">
        <v>7999.56</v>
      </c>
      <c r="G372" s="10" t="s">
        <v>1117</v>
      </c>
      <c r="H372" s="11" t="s">
        <v>243</v>
      </c>
    </row>
    <row r="373" spans="1:8" ht="33">
      <c r="A373" s="6" t="s">
        <v>115</v>
      </c>
      <c r="B373" s="7" t="s">
        <v>1118</v>
      </c>
      <c r="C373" s="8" t="s">
        <v>4</v>
      </c>
      <c r="D373" s="9">
        <v>1</v>
      </c>
      <c r="E373" s="9"/>
      <c r="F373" s="9">
        <v>993885.6</v>
      </c>
      <c r="G373" s="10" t="s">
        <v>242</v>
      </c>
      <c r="H373" s="11" t="s">
        <v>243</v>
      </c>
    </row>
    <row r="374" spans="1:8" ht="42.75">
      <c r="A374" s="12" t="s">
        <v>116</v>
      </c>
      <c r="B374" s="7" t="s">
        <v>26</v>
      </c>
      <c r="C374" s="8" t="s">
        <v>20</v>
      </c>
      <c r="D374" s="9">
        <v>48</v>
      </c>
      <c r="E374" s="9">
        <v>13067.55</v>
      </c>
      <c r="F374" s="9">
        <v>627242.4</v>
      </c>
      <c r="G374" s="10" t="s">
        <v>1119</v>
      </c>
      <c r="H374" s="11" t="s">
        <v>243</v>
      </c>
    </row>
    <row r="375" spans="1:8" ht="57">
      <c r="A375" s="12" t="s">
        <v>117</v>
      </c>
      <c r="B375" s="7" t="s">
        <v>27</v>
      </c>
      <c r="C375" s="8" t="s">
        <v>21</v>
      </c>
      <c r="D375" s="9">
        <v>6720</v>
      </c>
      <c r="E375" s="9">
        <v>54.56</v>
      </c>
      <c r="F375" s="9">
        <v>366643.20000000001</v>
      </c>
      <c r="G375" s="10" t="s">
        <v>1120</v>
      </c>
      <c r="H375" s="11" t="s">
        <v>243</v>
      </c>
    </row>
    <row r="376" spans="1:8" ht="33">
      <c r="A376" s="6" t="s">
        <v>118</v>
      </c>
      <c r="B376" s="7" t="s">
        <v>1121</v>
      </c>
      <c r="C376" s="8" t="s">
        <v>4</v>
      </c>
      <c r="D376" s="9">
        <v>1</v>
      </c>
      <c r="E376" s="9"/>
      <c r="F376" s="9">
        <v>7754116.6299999999</v>
      </c>
      <c r="G376" s="10" t="s">
        <v>242</v>
      </c>
      <c r="H376" s="11" t="s">
        <v>243</v>
      </c>
    </row>
    <row r="377" spans="1:8" ht="42.75">
      <c r="A377" s="12" t="s">
        <v>119</v>
      </c>
      <c r="B377" s="7" t="s">
        <v>1122</v>
      </c>
      <c r="C377" s="8" t="s">
        <v>8</v>
      </c>
      <c r="D377" s="9">
        <v>1294.97</v>
      </c>
      <c r="E377" s="9">
        <v>3662.03</v>
      </c>
      <c r="F377" s="9">
        <v>4742218.99</v>
      </c>
      <c r="G377" s="10" t="s">
        <v>1123</v>
      </c>
      <c r="H377" s="11" t="s">
        <v>243</v>
      </c>
    </row>
    <row r="378" spans="1:8" ht="47.25">
      <c r="A378" s="12" t="s">
        <v>120</v>
      </c>
      <c r="B378" s="7" t="s">
        <v>1124</v>
      </c>
      <c r="C378" s="8" t="s">
        <v>13</v>
      </c>
      <c r="D378" s="9">
        <v>1840.93</v>
      </c>
      <c r="E378" s="9">
        <v>352.98</v>
      </c>
      <c r="F378" s="9">
        <v>649811.47</v>
      </c>
      <c r="G378" s="10" t="s">
        <v>1125</v>
      </c>
      <c r="H378" s="11" t="s">
        <v>243</v>
      </c>
    </row>
    <row r="379" spans="1:8" ht="42.75">
      <c r="A379" s="12" t="s">
        <v>121</v>
      </c>
      <c r="B379" s="7" t="s">
        <v>32</v>
      </c>
      <c r="C379" s="8" t="s">
        <v>7</v>
      </c>
      <c r="D379" s="9">
        <v>59</v>
      </c>
      <c r="E379" s="9">
        <v>217.01</v>
      </c>
      <c r="F379" s="9">
        <v>12803.59</v>
      </c>
      <c r="G379" s="10" t="s">
        <v>1126</v>
      </c>
      <c r="H379" s="11" t="s">
        <v>243</v>
      </c>
    </row>
    <row r="380" spans="1:8" ht="33">
      <c r="A380" s="12" t="s">
        <v>122</v>
      </c>
      <c r="B380" s="7" t="s">
        <v>33</v>
      </c>
      <c r="C380" s="8" t="s">
        <v>5</v>
      </c>
      <c r="D380" s="9">
        <v>30</v>
      </c>
      <c r="E380" s="9">
        <v>50</v>
      </c>
      <c r="F380" s="9">
        <v>1500</v>
      </c>
      <c r="G380" s="10" t="s">
        <v>1127</v>
      </c>
      <c r="H380" s="11" t="s">
        <v>243</v>
      </c>
    </row>
    <row r="381" spans="1:8" ht="42.75">
      <c r="A381" s="12" t="s">
        <v>123</v>
      </c>
      <c r="B381" s="7" t="s">
        <v>1128</v>
      </c>
      <c r="C381" s="8" t="s">
        <v>0</v>
      </c>
      <c r="D381" s="9">
        <v>19</v>
      </c>
      <c r="E381" s="9">
        <v>1900.88</v>
      </c>
      <c r="F381" s="9">
        <v>36116.720000000001</v>
      </c>
      <c r="G381" s="10" t="s">
        <v>1129</v>
      </c>
      <c r="H381" s="11" t="s">
        <v>243</v>
      </c>
    </row>
    <row r="382" spans="1:8" ht="42.75">
      <c r="A382" s="12" t="s">
        <v>124</v>
      </c>
      <c r="B382" s="7" t="s">
        <v>1130</v>
      </c>
      <c r="C382" s="8" t="s">
        <v>0</v>
      </c>
      <c r="D382" s="9">
        <v>10</v>
      </c>
      <c r="E382" s="9">
        <v>1230.67</v>
      </c>
      <c r="F382" s="9">
        <v>12306.7</v>
      </c>
      <c r="G382" s="10" t="s">
        <v>1131</v>
      </c>
      <c r="H382" s="11" t="s">
        <v>243</v>
      </c>
    </row>
    <row r="383" spans="1:8" ht="42.75">
      <c r="A383" s="12" t="s">
        <v>125</v>
      </c>
      <c r="B383" s="7" t="s">
        <v>30</v>
      </c>
      <c r="C383" s="8" t="s">
        <v>0</v>
      </c>
      <c r="D383" s="9">
        <v>577</v>
      </c>
      <c r="E383" s="9">
        <v>1666.03</v>
      </c>
      <c r="F383" s="9">
        <v>961299.31</v>
      </c>
      <c r="G383" s="10" t="s">
        <v>1132</v>
      </c>
      <c r="H383" s="11" t="s">
        <v>243</v>
      </c>
    </row>
    <row r="384" spans="1:8" ht="47.25">
      <c r="A384" s="12" t="s">
        <v>126</v>
      </c>
      <c r="B384" s="7" t="s">
        <v>1133</v>
      </c>
      <c r="C384" s="8" t="s">
        <v>0</v>
      </c>
      <c r="D384" s="9">
        <v>2</v>
      </c>
      <c r="E384" s="9">
        <v>48510.35</v>
      </c>
      <c r="F384" s="9">
        <v>97020.7</v>
      </c>
      <c r="G384" s="10" t="s">
        <v>1134</v>
      </c>
      <c r="H384" s="11" t="s">
        <v>243</v>
      </c>
    </row>
    <row r="385" spans="1:8" ht="85.5">
      <c r="A385" s="12" t="s">
        <v>127</v>
      </c>
      <c r="B385" s="7" t="s">
        <v>28</v>
      </c>
      <c r="C385" s="8" t="s">
        <v>22</v>
      </c>
      <c r="D385" s="9">
        <v>19</v>
      </c>
      <c r="E385" s="9">
        <v>587.07000000000005</v>
      </c>
      <c r="F385" s="9">
        <v>11154.33</v>
      </c>
      <c r="G385" s="10" t="s">
        <v>1135</v>
      </c>
      <c r="H385" s="11" t="s">
        <v>243</v>
      </c>
    </row>
    <row r="386" spans="1:8" ht="42.75">
      <c r="A386" s="12" t="s">
        <v>128</v>
      </c>
      <c r="B386" s="7" t="s">
        <v>1136</v>
      </c>
      <c r="C386" s="8" t="s">
        <v>7</v>
      </c>
      <c r="D386" s="9">
        <v>19</v>
      </c>
      <c r="E386" s="9">
        <v>664.14</v>
      </c>
      <c r="F386" s="9">
        <v>12618.66</v>
      </c>
      <c r="G386" s="10" t="s">
        <v>1137</v>
      </c>
      <c r="H386" s="11" t="s">
        <v>243</v>
      </c>
    </row>
    <row r="387" spans="1:8" ht="33">
      <c r="A387" s="12" t="s">
        <v>129</v>
      </c>
      <c r="B387" s="7" t="s">
        <v>1138</v>
      </c>
      <c r="C387" s="8" t="s">
        <v>1139</v>
      </c>
      <c r="D387" s="9">
        <v>2</v>
      </c>
      <c r="E387" s="9">
        <v>9999.4500000000007</v>
      </c>
      <c r="F387" s="9">
        <v>19998.900000000001</v>
      </c>
      <c r="G387" s="10" t="s">
        <v>1140</v>
      </c>
      <c r="H387" s="11" t="s">
        <v>243</v>
      </c>
    </row>
    <row r="388" spans="1:8" ht="33">
      <c r="A388" s="12" t="s">
        <v>1141</v>
      </c>
      <c r="B388" s="7" t="s">
        <v>1142</v>
      </c>
      <c r="C388" s="8" t="s">
        <v>8</v>
      </c>
      <c r="D388" s="9">
        <v>698.15</v>
      </c>
      <c r="E388" s="9">
        <v>209.99</v>
      </c>
      <c r="F388" s="9">
        <v>146604.51999999999</v>
      </c>
      <c r="G388" s="10" t="s">
        <v>1143</v>
      </c>
      <c r="H388" s="11" t="s">
        <v>243</v>
      </c>
    </row>
    <row r="389" spans="1:8" ht="33">
      <c r="A389" s="12" t="s">
        <v>1144</v>
      </c>
      <c r="B389" s="7" t="s">
        <v>1145</v>
      </c>
      <c r="C389" s="8" t="s">
        <v>8</v>
      </c>
      <c r="D389" s="9">
        <v>2498.77</v>
      </c>
      <c r="E389" s="9">
        <v>299.98</v>
      </c>
      <c r="F389" s="9">
        <v>749581.02</v>
      </c>
      <c r="G389" s="10" t="s">
        <v>1146</v>
      </c>
      <c r="H389" s="11" t="s">
        <v>243</v>
      </c>
    </row>
    <row r="390" spans="1:8" ht="33">
      <c r="A390" s="12" t="s">
        <v>1147</v>
      </c>
      <c r="B390" s="7" t="s">
        <v>1148</v>
      </c>
      <c r="C390" s="8" t="s">
        <v>8</v>
      </c>
      <c r="D390" s="9">
        <v>1396.3</v>
      </c>
      <c r="E390" s="9">
        <v>199.99</v>
      </c>
      <c r="F390" s="9">
        <v>279246.03999999998</v>
      </c>
      <c r="G390" s="10" t="s">
        <v>1149</v>
      </c>
      <c r="H390" s="11" t="s">
        <v>243</v>
      </c>
    </row>
    <row r="391" spans="1:8" ht="33">
      <c r="A391" s="12" t="s">
        <v>1150</v>
      </c>
      <c r="B391" s="7" t="s">
        <v>1151</v>
      </c>
      <c r="C391" s="8" t="s">
        <v>4</v>
      </c>
      <c r="D391" s="9">
        <v>1</v>
      </c>
      <c r="E391" s="9">
        <v>21835.68</v>
      </c>
      <c r="F391" s="9">
        <v>21835.68</v>
      </c>
      <c r="G391" s="10" t="s">
        <v>1152</v>
      </c>
      <c r="H391" s="11" t="s">
        <v>243</v>
      </c>
    </row>
    <row r="392" spans="1:8" ht="33">
      <c r="A392" s="6" t="s">
        <v>130</v>
      </c>
      <c r="B392" s="7" t="s">
        <v>34</v>
      </c>
      <c r="C392" s="8" t="s">
        <v>4</v>
      </c>
      <c r="D392" s="9">
        <v>1</v>
      </c>
      <c r="E392" s="9"/>
      <c r="F392" s="9">
        <v>3112577.47</v>
      </c>
      <c r="G392" s="10" t="s">
        <v>242</v>
      </c>
      <c r="H392" s="11" t="s">
        <v>243</v>
      </c>
    </row>
    <row r="393" spans="1:8" ht="33">
      <c r="A393" s="12" t="s">
        <v>131</v>
      </c>
      <c r="B393" s="7" t="s">
        <v>146</v>
      </c>
      <c r="C393" s="8" t="s">
        <v>1007</v>
      </c>
      <c r="D393" s="9">
        <v>10</v>
      </c>
      <c r="E393" s="9">
        <v>770</v>
      </c>
      <c r="F393" s="9">
        <v>7700</v>
      </c>
      <c r="G393" s="10" t="s">
        <v>1153</v>
      </c>
      <c r="H393" s="11" t="s">
        <v>243</v>
      </c>
    </row>
    <row r="394" spans="1:8" ht="33">
      <c r="A394" s="12" t="s">
        <v>132</v>
      </c>
      <c r="B394" s="7" t="s">
        <v>145</v>
      </c>
      <c r="C394" s="8" t="s">
        <v>1</v>
      </c>
      <c r="D394" s="9">
        <v>100</v>
      </c>
      <c r="E394" s="9">
        <v>201</v>
      </c>
      <c r="F394" s="9">
        <v>20100</v>
      </c>
      <c r="G394" s="10" t="s">
        <v>1154</v>
      </c>
      <c r="H394" s="11" t="s">
        <v>243</v>
      </c>
    </row>
    <row r="395" spans="1:8" ht="33">
      <c r="A395" s="12" t="s">
        <v>133</v>
      </c>
      <c r="B395" s="7" t="s">
        <v>144</v>
      </c>
      <c r="C395" s="8" t="s">
        <v>9</v>
      </c>
      <c r="D395" s="9">
        <v>50</v>
      </c>
      <c r="E395" s="9">
        <v>300</v>
      </c>
      <c r="F395" s="9">
        <v>15000</v>
      </c>
      <c r="G395" s="10" t="s">
        <v>1155</v>
      </c>
      <c r="H395" s="11" t="s">
        <v>243</v>
      </c>
    </row>
    <row r="396" spans="1:8" ht="33">
      <c r="A396" s="12" t="s">
        <v>134</v>
      </c>
      <c r="B396" s="7" t="s">
        <v>35</v>
      </c>
      <c r="C396" s="8" t="s">
        <v>15</v>
      </c>
      <c r="D396" s="9">
        <v>75</v>
      </c>
      <c r="E396" s="9">
        <v>650</v>
      </c>
      <c r="F396" s="9">
        <v>48750</v>
      </c>
      <c r="G396" s="10" t="s">
        <v>1156</v>
      </c>
      <c r="H396" s="11" t="s">
        <v>243</v>
      </c>
    </row>
    <row r="397" spans="1:8" ht="33">
      <c r="A397" s="12" t="s">
        <v>135</v>
      </c>
      <c r="B397" s="7" t="s">
        <v>143</v>
      </c>
      <c r="C397" s="8" t="s">
        <v>3</v>
      </c>
      <c r="D397" s="9">
        <v>200</v>
      </c>
      <c r="E397" s="9">
        <v>28</v>
      </c>
      <c r="F397" s="9">
        <v>5600</v>
      </c>
      <c r="G397" s="10" t="s">
        <v>1157</v>
      </c>
      <c r="H397" s="11" t="s">
        <v>243</v>
      </c>
    </row>
    <row r="398" spans="1:8" ht="33">
      <c r="A398" s="12" t="s">
        <v>136</v>
      </c>
      <c r="B398" s="7" t="s">
        <v>36</v>
      </c>
      <c r="C398" s="8" t="s">
        <v>3</v>
      </c>
      <c r="D398" s="9">
        <v>100</v>
      </c>
      <c r="E398" s="9">
        <v>500</v>
      </c>
      <c r="F398" s="9">
        <v>50000</v>
      </c>
      <c r="G398" s="10" t="s">
        <v>1158</v>
      </c>
      <c r="H398" s="11" t="s">
        <v>243</v>
      </c>
    </row>
    <row r="399" spans="1:8" ht="33">
      <c r="A399" s="12" t="s">
        <v>137</v>
      </c>
      <c r="B399" s="7" t="s">
        <v>1159</v>
      </c>
      <c r="C399" s="8" t="s">
        <v>18</v>
      </c>
      <c r="D399" s="9">
        <v>75</v>
      </c>
      <c r="E399" s="9">
        <v>280</v>
      </c>
      <c r="F399" s="9">
        <v>21000</v>
      </c>
      <c r="G399" s="10" t="s">
        <v>1160</v>
      </c>
      <c r="H399" s="11" t="s">
        <v>243</v>
      </c>
    </row>
    <row r="400" spans="1:8" ht="47.25">
      <c r="A400" s="12" t="s">
        <v>138</v>
      </c>
      <c r="B400" s="7" t="s">
        <v>37</v>
      </c>
      <c r="C400" s="8" t="s">
        <v>18</v>
      </c>
      <c r="D400" s="9">
        <v>50</v>
      </c>
      <c r="E400" s="9">
        <v>350</v>
      </c>
      <c r="F400" s="9">
        <v>17500</v>
      </c>
      <c r="G400" s="10" t="s">
        <v>1161</v>
      </c>
      <c r="H400" s="11" t="s">
        <v>243</v>
      </c>
    </row>
    <row r="401" spans="1:8" ht="33">
      <c r="A401" s="12" t="s">
        <v>139</v>
      </c>
      <c r="B401" s="7" t="s">
        <v>1162</v>
      </c>
      <c r="C401" s="8" t="s">
        <v>15</v>
      </c>
      <c r="D401" s="9">
        <v>10</v>
      </c>
      <c r="E401" s="9">
        <v>560</v>
      </c>
      <c r="F401" s="9">
        <v>5600</v>
      </c>
      <c r="G401" s="10" t="s">
        <v>1163</v>
      </c>
      <c r="H401" s="11" t="s">
        <v>243</v>
      </c>
    </row>
    <row r="402" spans="1:8" ht="33">
      <c r="A402" s="12" t="s">
        <v>140</v>
      </c>
      <c r="B402" s="7" t="s">
        <v>38</v>
      </c>
      <c r="C402" s="8" t="s">
        <v>7</v>
      </c>
      <c r="D402" s="9">
        <v>4</v>
      </c>
      <c r="E402" s="9">
        <v>250</v>
      </c>
      <c r="F402" s="9">
        <v>1000</v>
      </c>
      <c r="G402" s="10" t="s">
        <v>1164</v>
      </c>
      <c r="H402" s="11" t="s">
        <v>243</v>
      </c>
    </row>
    <row r="403" spans="1:8" ht="47.25">
      <c r="A403" s="12" t="s">
        <v>141</v>
      </c>
      <c r="B403" s="7" t="s">
        <v>1165</v>
      </c>
      <c r="C403" s="8" t="s">
        <v>15</v>
      </c>
      <c r="D403" s="9">
        <v>5</v>
      </c>
      <c r="E403" s="9">
        <v>8300</v>
      </c>
      <c r="F403" s="9">
        <v>41500</v>
      </c>
      <c r="G403" s="10" t="s">
        <v>1166</v>
      </c>
      <c r="H403" s="11" t="s">
        <v>243</v>
      </c>
    </row>
    <row r="404" spans="1:8" ht="33">
      <c r="A404" s="12" t="s">
        <v>1167</v>
      </c>
      <c r="B404" s="7" t="s">
        <v>1168</v>
      </c>
      <c r="C404" s="8" t="s">
        <v>15</v>
      </c>
      <c r="D404" s="9">
        <v>5</v>
      </c>
      <c r="E404" s="9">
        <v>1160</v>
      </c>
      <c r="F404" s="9">
        <v>5800</v>
      </c>
      <c r="G404" s="10" t="s">
        <v>1169</v>
      </c>
      <c r="H404" s="11" t="s">
        <v>243</v>
      </c>
    </row>
    <row r="405" spans="1:8" ht="47.25">
      <c r="A405" s="12" t="s">
        <v>1170</v>
      </c>
      <c r="B405" s="7" t="s">
        <v>1171</v>
      </c>
      <c r="C405" s="8" t="s">
        <v>15</v>
      </c>
      <c r="D405" s="9">
        <v>5</v>
      </c>
      <c r="E405" s="9">
        <v>600</v>
      </c>
      <c r="F405" s="9">
        <v>3000</v>
      </c>
      <c r="G405" s="10" t="s">
        <v>1172</v>
      </c>
      <c r="H405" s="11" t="s">
        <v>243</v>
      </c>
    </row>
    <row r="406" spans="1:8" ht="47.25">
      <c r="A406" s="12" t="s">
        <v>1173</v>
      </c>
      <c r="B406" s="7" t="s">
        <v>1174</v>
      </c>
      <c r="C406" s="8" t="s">
        <v>15</v>
      </c>
      <c r="D406" s="9">
        <v>5</v>
      </c>
      <c r="E406" s="9">
        <v>1800</v>
      </c>
      <c r="F406" s="9">
        <v>9000</v>
      </c>
      <c r="G406" s="10" t="s">
        <v>1175</v>
      </c>
      <c r="H406" s="11" t="s">
        <v>243</v>
      </c>
    </row>
    <row r="407" spans="1:8" ht="33">
      <c r="A407" s="12" t="s">
        <v>1176</v>
      </c>
      <c r="B407" s="7" t="s">
        <v>1177</v>
      </c>
      <c r="C407" s="8" t="s">
        <v>15</v>
      </c>
      <c r="D407" s="9">
        <v>80</v>
      </c>
      <c r="E407" s="9">
        <v>2200</v>
      </c>
      <c r="F407" s="9">
        <v>176000</v>
      </c>
      <c r="G407" s="10" t="s">
        <v>1178</v>
      </c>
      <c r="H407" s="11" t="s">
        <v>243</v>
      </c>
    </row>
    <row r="408" spans="1:8" ht="33">
      <c r="A408" s="12" t="s">
        <v>1179</v>
      </c>
      <c r="B408" s="7" t="s">
        <v>39</v>
      </c>
      <c r="C408" s="8" t="s">
        <v>4</v>
      </c>
      <c r="D408" s="9">
        <v>1</v>
      </c>
      <c r="E408" s="9">
        <v>232697.98</v>
      </c>
      <c r="F408" s="9">
        <v>232697.98</v>
      </c>
      <c r="G408" s="10" t="s">
        <v>1180</v>
      </c>
      <c r="H408" s="11" t="s">
        <v>243</v>
      </c>
    </row>
    <row r="409" spans="1:8" ht="33">
      <c r="A409" s="12" t="s">
        <v>1181</v>
      </c>
      <c r="B409" s="7" t="s">
        <v>1182</v>
      </c>
      <c r="C409" s="8" t="s">
        <v>8</v>
      </c>
      <c r="D409" s="9">
        <v>5000</v>
      </c>
      <c r="E409" s="9">
        <v>13</v>
      </c>
      <c r="F409" s="9">
        <v>65000</v>
      </c>
      <c r="G409" s="10" t="s">
        <v>1183</v>
      </c>
      <c r="H409" s="11" t="s">
        <v>243</v>
      </c>
    </row>
    <row r="410" spans="1:8" ht="42.75">
      <c r="A410" s="12" t="s">
        <v>1184</v>
      </c>
      <c r="B410" s="7" t="s">
        <v>225</v>
      </c>
      <c r="C410" s="8" t="s">
        <v>226</v>
      </c>
      <c r="D410" s="9">
        <v>48</v>
      </c>
      <c r="E410" s="9">
        <v>47468</v>
      </c>
      <c r="F410" s="9">
        <v>2278464</v>
      </c>
      <c r="G410" s="10" t="s">
        <v>1185</v>
      </c>
      <c r="H410" s="11" t="s">
        <v>243</v>
      </c>
    </row>
    <row r="411" spans="1:8" ht="42.75">
      <c r="A411" s="12" t="s">
        <v>1186</v>
      </c>
      <c r="B411" s="7" t="s">
        <v>1187</v>
      </c>
      <c r="C411" s="8" t="s">
        <v>4</v>
      </c>
      <c r="D411" s="9">
        <v>1</v>
      </c>
      <c r="E411" s="9">
        <v>108865.49</v>
      </c>
      <c r="F411" s="9">
        <v>108865.49</v>
      </c>
      <c r="G411" s="10" t="s">
        <v>1188</v>
      </c>
      <c r="H411" s="11" t="s">
        <v>243</v>
      </c>
    </row>
    <row r="412" spans="1:8" ht="33">
      <c r="A412" s="6" t="s">
        <v>1189</v>
      </c>
      <c r="B412" s="7" t="s">
        <v>227</v>
      </c>
      <c r="C412" s="8" t="s">
        <v>4</v>
      </c>
      <c r="D412" s="9">
        <v>1</v>
      </c>
      <c r="E412" s="9"/>
      <c r="F412" s="9">
        <v>2769229.16</v>
      </c>
      <c r="G412" s="10" t="s">
        <v>242</v>
      </c>
      <c r="H412" s="11" t="s">
        <v>243</v>
      </c>
    </row>
    <row r="413" spans="1:8" ht="42.75">
      <c r="A413" s="12" t="s">
        <v>1190</v>
      </c>
      <c r="B413" s="7" t="s">
        <v>228</v>
      </c>
      <c r="C413" s="8" t="s">
        <v>226</v>
      </c>
      <c r="D413" s="9">
        <v>48</v>
      </c>
      <c r="E413" s="9">
        <v>47468</v>
      </c>
      <c r="F413" s="9">
        <v>2278464</v>
      </c>
      <c r="G413" s="10" t="s">
        <v>1191</v>
      </c>
      <c r="H413" s="11" t="s">
        <v>243</v>
      </c>
    </row>
    <row r="414" spans="1:8" ht="42.75">
      <c r="A414" s="12" t="s">
        <v>1192</v>
      </c>
      <c r="B414" s="7" t="s">
        <v>1193</v>
      </c>
      <c r="C414" s="8" t="s">
        <v>4</v>
      </c>
      <c r="D414" s="9">
        <v>1</v>
      </c>
      <c r="E414" s="9">
        <v>490765.16</v>
      </c>
      <c r="F414" s="9">
        <v>490765.16</v>
      </c>
      <c r="G414" s="10" t="s">
        <v>1194</v>
      </c>
      <c r="H414" s="11" t="s">
        <v>243</v>
      </c>
    </row>
    <row r="415" spans="1:8" ht="33">
      <c r="A415" s="6" t="s">
        <v>1195</v>
      </c>
      <c r="B415" s="7" t="s">
        <v>1196</v>
      </c>
      <c r="C415" s="8" t="s">
        <v>4</v>
      </c>
      <c r="D415" s="9">
        <v>1</v>
      </c>
      <c r="E415" s="9"/>
      <c r="F415" s="9">
        <v>25220489.469999999</v>
      </c>
      <c r="G415" s="10" t="s">
        <v>1197</v>
      </c>
      <c r="H415" s="11" t="s">
        <v>243</v>
      </c>
    </row>
    <row r="416" spans="1:8" ht="85.5">
      <c r="A416" s="6" t="s">
        <v>1198</v>
      </c>
      <c r="B416" s="7" t="s">
        <v>1199</v>
      </c>
      <c r="C416" s="8" t="s">
        <v>4</v>
      </c>
      <c r="D416" s="9">
        <v>1</v>
      </c>
      <c r="E416" s="9"/>
      <c r="F416" s="9">
        <v>1987650</v>
      </c>
      <c r="G416" s="10" t="s">
        <v>1200</v>
      </c>
      <c r="H416" s="11" t="s">
        <v>243</v>
      </c>
    </row>
    <row r="417" spans="1:8" ht="33">
      <c r="A417" s="12" t="s">
        <v>1201</v>
      </c>
      <c r="B417" s="7" t="s">
        <v>1199</v>
      </c>
      <c r="C417" s="8" t="s">
        <v>6</v>
      </c>
      <c r="D417" s="9">
        <v>13251</v>
      </c>
      <c r="E417" s="9">
        <v>150</v>
      </c>
      <c r="F417" s="9">
        <v>1987650</v>
      </c>
      <c r="G417" s="10" t="s">
        <v>1202</v>
      </c>
      <c r="H417" s="11" t="s">
        <v>243</v>
      </c>
    </row>
    <row r="418" spans="1:8" ht="85.5">
      <c r="A418" s="6" t="s">
        <v>1203</v>
      </c>
      <c r="B418" s="7" t="s">
        <v>1204</v>
      </c>
      <c r="C418" s="8" t="s">
        <v>4</v>
      </c>
      <c r="D418" s="9">
        <v>1</v>
      </c>
      <c r="E418" s="9"/>
      <c r="F418" s="9">
        <v>56000</v>
      </c>
      <c r="G418" s="10" t="s">
        <v>1205</v>
      </c>
      <c r="H418" s="11" t="s">
        <v>243</v>
      </c>
    </row>
    <row r="419" spans="1:8" ht="33">
      <c r="A419" s="12" t="s">
        <v>1206</v>
      </c>
      <c r="B419" s="7" t="s">
        <v>1207</v>
      </c>
      <c r="C419" s="8" t="s">
        <v>13</v>
      </c>
      <c r="D419" s="9">
        <v>1000</v>
      </c>
      <c r="E419" s="9">
        <v>56</v>
      </c>
      <c r="F419" s="9">
        <v>56000</v>
      </c>
      <c r="G419" s="10" t="s">
        <v>1208</v>
      </c>
      <c r="H419" s="11" t="s">
        <v>243</v>
      </c>
    </row>
    <row r="420" spans="1:8" ht="33">
      <c r="A420" s="6"/>
      <c r="B420" s="7" t="s">
        <v>1209</v>
      </c>
      <c r="C420" s="8"/>
      <c r="D420" s="9"/>
      <c r="E420" s="9"/>
      <c r="F420" s="9">
        <v>257600000</v>
      </c>
      <c r="G420" s="10"/>
      <c r="H420" s="11" t="s">
        <v>243</v>
      </c>
    </row>
    <row r="421" spans="1:8" ht="33">
      <c r="A421" s="6"/>
      <c r="B421" s="7" t="s">
        <v>1210</v>
      </c>
      <c r="C421" s="8"/>
      <c r="D421" s="9"/>
      <c r="E421" s="9"/>
      <c r="F421" s="9">
        <v>257600000</v>
      </c>
      <c r="G421" s="10"/>
      <c r="H421" s="11" t="s">
        <v>243</v>
      </c>
    </row>
    <row r="422" spans="1:8">
      <c r="A422" s="674" t="s">
        <v>1211</v>
      </c>
      <c r="B422" s="675"/>
      <c r="C422" s="675"/>
      <c r="D422" s="675"/>
      <c r="E422" s="675"/>
      <c r="F422" s="675"/>
      <c r="G422" s="676"/>
    </row>
    <row r="423" spans="1:8" ht="181.5" customHeight="1">
      <c r="A423" s="677" t="s">
        <v>1212</v>
      </c>
      <c r="B423" s="678"/>
      <c r="C423" s="678"/>
      <c r="D423" s="678"/>
      <c r="E423" s="678"/>
      <c r="F423" s="678"/>
      <c r="G423" s="679"/>
    </row>
  </sheetData>
  <mergeCells count="8">
    <mergeCell ref="A422:G422"/>
    <mergeCell ref="A423:G423"/>
    <mergeCell ref="A1:G1"/>
    <mergeCell ref="A2:G2"/>
    <mergeCell ref="A3:G3"/>
    <mergeCell ref="A4:G4"/>
    <mergeCell ref="A5:E5"/>
    <mergeCell ref="F5:G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D539-3EB1-4D8C-9974-633841A871FF}">
  <sheetPr codeName="工作表1">
    <tabColor theme="5" tint="0.39997558519241921"/>
  </sheetPr>
  <dimension ref="A1:O585"/>
  <sheetViews>
    <sheetView view="pageBreakPreview" topLeftCell="A169" zoomScaleNormal="100" zoomScaleSheetLayoutView="100" workbookViewId="0">
      <selection activeCell="G180" sqref="G180:H180"/>
    </sheetView>
  </sheetViews>
  <sheetFormatPr defaultColWidth="10.28515625" defaultRowHeight="16.5"/>
  <cols>
    <col min="1" max="1" width="6" style="78" customWidth="1"/>
    <col min="2" max="2" width="18.42578125" style="78" customWidth="1"/>
    <col min="3" max="3" width="6.28515625" style="78" customWidth="1"/>
    <col min="4" max="5" width="14.28515625" style="33" customWidth="1"/>
    <col min="6" max="6" width="38.140625" style="27" customWidth="1"/>
    <col min="7" max="7" width="55.5703125" style="27" customWidth="1"/>
    <col min="8" max="9" width="14.28515625" style="29" customWidth="1"/>
    <col min="10" max="11" width="0.7109375" style="29" customWidth="1"/>
    <col min="12" max="12" width="0.5703125" style="29" customWidth="1"/>
    <col min="13" max="13" width="17" style="142" customWidth="1"/>
    <col min="14" max="14" width="17.42578125" style="25" customWidth="1"/>
    <col min="15" max="15" width="17.140625" style="30" customWidth="1"/>
    <col min="16" max="257" width="10.28515625" style="30"/>
    <col min="258" max="258" width="6" style="30" customWidth="1"/>
    <col min="259" max="259" width="30" style="30" customWidth="1"/>
    <col min="260" max="260" width="6.28515625" style="30" customWidth="1"/>
    <col min="261" max="261" width="9.5703125" style="30" customWidth="1"/>
    <col min="262" max="263" width="12.42578125" style="30" customWidth="1"/>
    <col min="264" max="264" width="17.42578125" style="30" customWidth="1"/>
    <col min="265" max="265" width="0.85546875" style="30" customWidth="1"/>
    <col min="266" max="267" width="0.7109375" style="30" customWidth="1"/>
    <col min="268" max="268" width="0.5703125" style="30" customWidth="1"/>
    <col min="269" max="513" width="10.28515625" style="30"/>
    <col min="514" max="514" width="6" style="30" customWidth="1"/>
    <col min="515" max="515" width="30" style="30" customWidth="1"/>
    <col min="516" max="516" width="6.28515625" style="30" customWidth="1"/>
    <col min="517" max="517" width="9.5703125" style="30" customWidth="1"/>
    <col min="518" max="519" width="12.42578125" style="30" customWidth="1"/>
    <col min="520" max="520" width="17.42578125" style="30" customWidth="1"/>
    <col min="521" max="521" width="0.85546875" style="30" customWidth="1"/>
    <col min="522" max="523" width="0.7109375" style="30" customWidth="1"/>
    <col min="524" max="524" width="0.5703125" style="30" customWidth="1"/>
    <col min="525" max="769" width="10.28515625" style="30"/>
    <col min="770" max="770" width="6" style="30" customWidth="1"/>
    <col min="771" max="771" width="30" style="30" customWidth="1"/>
    <col min="772" max="772" width="6.28515625" style="30" customWidth="1"/>
    <col min="773" max="773" width="9.5703125" style="30" customWidth="1"/>
    <col min="774" max="775" width="12.42578125" style="30" customWidth="1"/>
    <col min="776" max="776" width="17.42578125" style="30" customWidth="1"/>
    <col min="777" max="777" width="0.85546875" style="30" customWidth="1"/>
    <col min="778" max="779" width="0.7109375" style="30" customWidth="1"/>
    <col min="780" max="780" width="0.5703125" style="30" customWidth="1"/>
    <col min="781" max="1025" width="10.28515625" style="30"/>
    <col min="1026" max="1026" width="6" style="30" customWidth="1"/>
    <col min="1027" max="1027" width="30" style="30" customWidth="1"/>
    <col min="1028" max="1028" width="6.28515625" style="30" customWidth="1"/>
    <col min="1029" max="1029" width="9.5703125" style="30" customWidth="1"/>
    <col min="1030" max="1031" width="12.42578125" style="30" customWidth="1"/>
    <col min="1032" max="1032" width="17.42578125" style="30" customWidth="1"/>
    <col min="1033" max="1033" width="0.85546875" style="30" customWidth="1"/>
    <col min="1034" max="1035" width="0.7109375" style="30" customWidth="1"/>
    <col min="1036" max="1036" width="0.5703125" style="30" customWidth="1"/>
    <col min="1037" max="1281" width="10.28515625" style="30"/>
    <col min="1282" max="1282" width="6" style="30" customWidth="1"/>
    <col min="1283" max="1283" width="30" style="30" customWidth="1"/>
    <col min="1284" max="1284" width="6.28515625" style="30" customWidth="1"/>
    <col min="1285" max="1285" width="9.5703125" style="30" customWidth="1"/>
    <col min="1286" max="1287" width="12.42578125" style="30" customWidth="1"/>
    <col min="1288" max="1288" width="17.42578125" style="30" customWidth="1"/>
    <col min="1289" max="1289" width="0.85546875" style="30" customWidth="1"/>
    <col min="1290" max="1291" width="0.7109375" style="30" customWidth="1"/>
    <col min="1292" max="1292" width="0.5703125" style="30" customWidth="1"/>
    <col min="1293" max="1537" width="10.28515625" style="30"/>
    <col min="1538" max="1538" width="6" style="30" customWidth="1"/>
    <col min="1539" max="1539" width="30" style="30" customWidth="1"/>
    <col min="1540" max="1540" width="6.28515625" style="30" customWidth="1"/>
    <col min="1541" max="1541" width="9.5703125" style="30" customWidth="1"/>
    <col min="1542" max="1543" width="12.42578125" style="30" customWidth="1"/>
    <col min="1544" max="1544" width="17.42578125" style="30" customWidth="1"/>
    <col min="1545" max="1545" width="0.85546875" style="30" customWidth="1"/>
    <col min="1546" max="1547" width="0.7109375" style="30" customWidth="1"/>
    <col min="1548" max="1548" width="0.5703125" style="30" customWidth="1"/>
    <col min="1549" max="1793" width="10.28515625" style="30"/>
    <col min="1794" max="1794" width="6" style="30" customWidth="1"/>
    <col min="1795" max="1795" width="30" style="30" customWidth="1"/>
    <col min="1796" max="1796" width="6.28515625" style="30" customWidth="1"/>
    <col min="1797" max="1797" width="9.5703125" style="30" customWidth="1"/>
    <col min="1798" max="1799" width="12.42578125" style="30" customWidth="1"/>
    <col min="1800" max="1800" width="17.42578125" style="30" customWidth="1"/>
    <col min="1801" max="1801" width="0.85546875" style="30" customWidth="1"/>
    <col min="1802" max="1803" width="0.7109375" style="30" customWidth="1"/>
    <col min="1804" max="1804" width="0.5703125" style="30" customWidth="1"/>
    <col min="1805" max="2049" width="10.28515625" style="30"/>
    <col min="2050" max="2050" width="6" style="30" customWidth="1"/>
    <col min="2051" max="2051" width="30" style="30" customWidth="1"/>
    <col min="2052" max="2052" width="6.28515625" style="30" customWidth="1"/>
    <col min="2053" max="2053" width="9.5703125" style="30" customWidth="1"/>
    <col min="2054" max="2055" width="12.42578125" style="30" customWidth="1"/>
    <col min="2056" max="2056" width="17.42578125" style="30" customWidth="1"/>
    <col min="2057" max="2057" width="0.85546875" style="30" customWidth="1"/>
    <col min="2058" max="2059" width="0.7109375" style="30" customWidth="1"/>
    <col min="2060" max="2060" width="0.5703125" style="30" customWidth="1"/>
    <col min="2061" max="2305" width="10.28515625" style="30"/>
    <col min="2306" max="2306" width="6" style="30" customWidth="1"/>
    <col min="2307" max="2307" width="30" style="30" customWidth="1"/>
    <col min="2308" max="2308" width="6.28515625" style="30" customWidth="1"/>
    <col min="2309" max="2309" width="9.5703125" style="30" customWidth="1"/>
    <col min="2310" max="2311" width="12.42578125" style="30" customWidth="1"/>
    <col min="2312" max="2312" width="17.42578125" style="30" customWidth="1"/>
    <col min="2313" max="2313" width="0.85546875" style="30" customWidth="1"/>
    <col min="2314" max="2315" width="0.7109375" style="30" customWidth="1"/>
    <col min="2316" max="2316" width="0.5703125" style="30" customWidth="1"/>
    <col min="2317" max="2561" width="10.28515625" style="30"/>
    <col min="2562" max="2562" width="6" style="30" customWidth="1"/>
    <col min="2563" max="2563" width="30" style="30" customWidth="1"/>
    <col min="2564" max="2564" width="6.28515625" style="30" customWidth="1"/>
    <col min="2565" max="2565" width="9.5703125" style="30" customWidth="1"/>
    <col min="2566" max="2567" width="12.42578125" style="30" customWidth="1"/>
    <col min="2568" max="2568" width="17.42578125" style="30" customWidth="1"/>
    <col min="2569" max="2569" width="0.85546875" style="30" customWidth="1"/>
    <col min="2570" max="2571" width="0.7109375" style="30" customWidth="1"/>
    <col min="2572" max="2572" width="0.5703125" style="30" customWidth="1"/>
    <col min="2573" max="2817" width="10.28515625" style="30"/>
    <col min="2818" max="2818" width="6" style="30" customWidth="1"/>
    <col min="2819" max="2819" width="30" style="30" customWidth="1"/>
    <col min="2820" max="2820" width="6.28515625" style="30" customWidth="1"/>
    <col min="2821" max="2821" width="9.5703125" style="30" customWidth="1"/>
    <col min="2822" max="2823" width="12.42578125" style="30" customWidth="1"/>
    <col min="2824" max="2824" width="17.42578125" style="30" customWidth="1"/>
    <col min="2825" max="2825" width="0.85546875" style="30" customWidth="1"/>
    <col min="2826" max="2827" width="0.7109375" style="30" customWidth="1"/>
    <col min="2828" max="2828" width="0.5703125" style="30" customWidth="1"/>
    <col min="2829" max="3073" width="10.28515625" style="30"/>
    <col min="3074" max="3074" width="6" style="30" customWidth="1"/>
    <col min="3075" max="3075" width="30" style="30" customWidth="1"/>
    <col min="3076" max="3076" width="6.28515625" style="30" customWidth="1"/>
    <col min="3077" max="3077" width="9.5703125" style="30" customWidth="1"/>
    <col min="3078" max="3079" width="12.42578125" style="30" customWidth="1"/>
    <col min="3080" max="3080" width="17.42578125" style="30" customWidth="1"/>
    <col min="3081" max="3081" width="0.85546875" style="30" customWidth="1"/>
    <col min="3082" max="3083" width="0.7109375" style="30" customWidth="1"/>
    <col min="3084" max="3084" width="0.5703125" style="30" customWidth="1"/>
    <col min="3085" max="3329" width="10.28515625" style="30"/>
    <col min="3330" max="3330" width="6" style="30" customWidth="1"/>
    <col min="3331" max="3331" width="30" style="30" customWidth="1"/>
    <col min="3332" max="3332" width="6.28515625" style="30" customWidth="1"/>
    <col min="3333" max="3333" width="9.5703125" style="30" customWidth="1"/>
    <col min="3334" max="3335" width="12.42578125" style="30" customWidth="1"/>
    <col min="3336" max="3336" width="17.42578125" style="30" customWidth="1"/>
    <col min="3337" max="3337" width="0.85546875" style="30" customWidth="1"/>
    <col min="3338" max="3339" width="0.7109375" style="30" customWidth="1"/>
    <col min="3340" max="3340" width="0.5703125" style="30" customWidth="1"/>
    <col min="3341" max="3585" width="10.28515625" style="30"/>
    <col min="3586" max="3586" width="6" style="30" customWidth="1"/>
    <col min="3587" max="3587" width="30" style="30" customWidth="1"/>
    <col min="3588" max="3588" width="6.28515625" style="30" customWidth="1"/>
    <col min="3589" max="3589" width="9.5703125" style="30" customWidth="1"/>
    <col min="3590" max="3591" width="12.42578125" style="30" customWidth="1"/>
    <col min="3592" max="3592" width="17.42578125" style="30" customWidth="1"/>
    <col min="3593" max="3593" width="0.85546875" style="30" customWidth="1"/>
    <col min="3594" max="3595" width="0.7109375" style="30" customWidth="1"/>
    <col min="3596" max="3596" width="0.5703125" style="30" customWidth="1"/>
    <col min="3597" max="3841" width="10.28515625" style="30"/>
    <col min="3842" max="3842" width="6" style="30" customWidth="1"/>
    <col min="3843" max="3843" width="30" style="30" customWidth="1"/>
    <col min="3844" max="3844" width="6.28515625" style="30" customWidth="1"/>
    <col min="3845" max="3845" width="9.5703125" style="30" customWidth="1"/>
    <col min="3846" max="3847" width="12.42578125" style="30" customWidth="1"/>
    <col min="3848" max="3848" width="17.42578125" style="30" customWidth="1"/>
    <col min="3849" max="3849" width="0.85546875" style="30" customWidth="1"/>
    <col min="3850" max="3851" width="0.7109375" style="30" customWidth="1"/>
    <col min="3852" max="3852" width="0.5703125" style="30" customWidth="1"/>
    <col min="3853" max="4097" width="10.28515625" style="30"/>
    <col min="4098" max="4098" width="6" style="30" customWidth="1"/>
    <col min="4099" max="4099" width="30" style="30" customWidth="1"/>
    <col min="4100" max="4100" width="6.28515625" style="30" customWidth="1"/>
    <col min="4101" max="4101" width="9.5703125" style="30" customWidth="1"/>
    <col min="4102" max="4103" width="12.42578125" style="30" customWidth="1"/>
    <col min="4104" max="4104" width="17.42578125" style="30" customWidth="1"/>
    <col min="4105" max="4105" width="0.85546875" style="30" customWidth="1"/>
    <col min="4106" max="4107" width="0.7109375" style="30" customWidth="1"/>
    <col min="4108" max="4108" width="0.5703125" style="30" customWidth="1"/>
    <col min="4109" max="4353" width="10.28515625" style="30"/>
    <col min="4354" max="4354" width="6" style="30" customWidth="1"/>
    <col min="4355" max="4355" width="30" style="30" customWidth="1"/>
    <col min="4356" max="4356" width="6.28515625" style="30" customWidth="1"/>
    <col min="4357" max="4357" width="9.5703125" style="30" customWidth="1"/>
    <col min="4358" max="4359" width="12.42578125" style="30" customWidth="1"/>
    <col min="4360" max="4360" width="17.42578125" style="30" customWidth="1"/>
    <col min="4361" max="4361" width="0.85546875" style="30" customWidth="1"/>
    <col min="4362" max="4363" width="0.7109375" style="30" customWidth="1"/>
    <col min="4364" max="4364" width="0.5703125" style="30" customWidth="1"/>
    <col min="4365" max="4609" width="10.28515625" style="30"/>
    <col min="4610" max="4610" width="6" style="30" customWidth="1"/>
    <col min="4611" max="4611" width="30" style="30" customWidth="1"/>
    <col min="4612" max="4612" width="6.28515625" style="30" customWidth="1"/>
    <col min="4613" max="4613" width="9.5703125" style="30" customWidth="1"/>
    <col min="4614" max="4615" width="12.42578125" style="30" customWidth="1"/>
    <col min="4616" max="4616" width="17.42578125" style="30" customWidth="1"/>
    <col min="4617" max="4617" width="0.85546875" style="30" customWidth="1"/>
    <col min="4618" max="4619" width="0.7109375" style="30" customWidth="1"/>
    <col min="4620" max="4620" width="0.5703125" style="30" customWidth="1"/>
    <col min="4621" max="4865" width="10.28515625" style="30"/>
    <col min="4866" max="4866" width="6" style="30" customWidth="1"/>
    <col min="4867" max="4867" width="30" style="30" customWidth="1"/>
    <col min="4868" max="4868" width="6.28515625" style="30" customWidth="1"/>
    <col min="4869" max="4869" width="9.5703125" style="30" customWidth="1"/>
    <col min="4870" max="4871" width="12.42578125" style="30" customWidth="1"/>
    <col min="4872" max="4872" width="17.42578125" style="30" customWidth="1"/>
    <col min="4873" max="4873" width="0.85546875" style="30" customWidth="1"/>
    <col min="4874" max="4875" width="0.7109375" style="30" customWidth="1"/>
    <col min="4876" max="4876" width="0.5703125" style="30" customWidth="1"/>
    <col min="4877" max="5121" width="10.28515625" style="30"/>
    <col min="5122" max="5122" width="6" style="30" customWidth="1"/>
    <col min="5123" max="5123" width="30" style="30" customWidth="1"/>
    <col min="5124" max="5124" width="6.28515625" style="30" customWidth="1"/>
    <col min="5125" max="5125" width="9.5703125" style="30" customWidth="1"/>
    <col min="5126" max="5127" width="12.42578125" style="30" customWidth="1"/>
    <col min="5128" max="5128" width="17.42578125" style="30" customWidth="1"/>
    <col min="5129" max="5129" width="0.85546875" style="30" customWidth="1"/>
    <col min="5130" max="5131" width="0.7109375" style="30" customWidth="1"/>
    <col min="5132" max="5132" width="0.5703125" style="30" customWidth="1"/>
    <col min="5133" max="5377" width="10.28515625" style="30"/>
    <col min="5378" max="5378" width="6" style="30" customWidth="1"/>
    <col min="5379" max="5379" width="30" style="30" customWidth="1"/>
    <col min="5380" max="5380" width="6.28515625" style="30" customWidth="1"/>
    <col min="5381" max="5381" width="9.5703125" style="30" customWidth="1"/>
    <col min="5382" max="5383" width="12.42578125" style="30" customWidth="1"/>
    <col min="5384" max="5384" width="17.42578125" style="30" customWidth="1"/>
    <col min="5385" max="5385" width="0.85546875" style="30" customWidth="1"/>
    <col min="5386" max="5387" width="0.7109375" style="30" customWidth="1"/>
    <col min="5388" max="5388" width="0.5703125" style="30" customWidth="1"/>
    <col min="5389" max="5633" width="10.28515625" style="30"/>
    <col min="5634" max="5634" width="6" style="30" customWidth="1"/>
    <col min="5635" max="5635" width="30" style="30" customWidth="1"/>
    <col min="5636" max="5636" width="6.28515625" style="30" customWidth="1"/>
    <col min="5637" max="5637" width="9.5703125" style="30" customWidth="1"/>
    <col min="5638" max="5639" width="12.42578125" style="30" customWidth="1"/>
    <col min="5640" max="5640" width="17.42578125" style="30" customWidth="1"/>
    <col min="5641" max="5641" width="0.85546875" style="30" customWidth="1"/>
    <col min="5642" max="5643" width="0.7109375" style="30" customWidth="1"/>
    <col min="5644" max="5644" width="0.5703125" style="30" customWidth="1"/>
    <col min="5645" max="5889" width="10.28515625" style="30"/>
    <col min="5890" max="5890" width="6" style="30" customWidth="1"/>
    <col min="5891" max="5891" width="30" style="30" customWidth="1"/>
    <col min="5892" max="5892" width="6.28515625" style="30" customWidth="1"/>
    <col min="5893" max="5893" width="9.5703125" style="30" customWidth="1"/>
    <col min="5894" max="5895" width="12.42578125" style="30" customWidth="1"/>
    <col min="5896" max="5896" width="17.42578125" style="30" customWidth="1"/>
    <col min="5897" max="5897" width="0.85546875" style="30" customWidth="1"/>
    <col min="5898" max="5899" width="0.7109375" style="30" customWidth="1"/>
    <col min="5900" max="5900" width="0.5703125" style="30" customWidth="1"/>
    <col min="5901" max="6145" width="10.28515625" style="30"/>
    <col min="6146" max="6146" width="6" style="30" customWidth="1"/>
    <col min="6147" max="6147" width="30" style="30" customWidth="1"/>
    <col min="6148" max="6148" width="6.28515625" style="30" customWidth="1"/>
    <col min="6149" max="6149" width="9.5703125" style="30" customWidth="1"/>
    <col min="6150" max="6151" width="12.42578125" style="30" customWidth="1"/>
    <col min="6152" max="6152" width="17.42578125" style="30" customWidth="1"/>
    <col min="6153" max="6153" width="0.85546875" style="30" customWidth="1"/>
    <col min="6154" max="6155" width="0.7109375" style="30" customWidth="1"/>
    <col min="6156" max="6156" width="0.5703125" style="30" customWidth="1"/>
    <col min="6157" max="6401" width="10.28515625" style="30"/>
    <col min="6402" max="6402" width="6" style="30" customWidth="1"/>
    <col min="6403" max="6403" width="30" style="30" customWidth="1"/>
    <col min="6404" max="6404" width="6.28515625" style="30" customWidth="1"/>
    <col min="6405" max="6405" width="9.5703125" style="30" customWidth="1"/>
    <col min="6406" max="6407" width="12.42578125" style="30" customWidth="1"/>
    <col min="6408" max="6408" width="17.42578125" style="30" customWidth="1"/>
    <col min="6409" max="6409" width="0.85546875" style="30" customWidth="1"/>
    <col min="6410" max="6411" width="0.7109375" style="30" customWidth="1"/>
    <col min="6412" max="6412" width="0.5703125" style="30" customWidth="1"/>
    <col min="6413" max="6657" width="10.28515625" style="30"/>
    <col min="6658" max="6658" width="6" style="30" customWidth="1"/>
    <col min="6659" max="6659" width="30" style="30" customWidth="1"/>
    <col min="6660" max="6660" width="6.28515625" style="30" customWidth="1"/>
    <col min="6661" max="6661" width="9.5703125" style="30" customWidth="1"/>
    <col min="6662" max="6663" width="12.42578125" style="30" customWidth="1"/>
    <col min="6664" max="6664" width="17.42578125" style="30" customWidth="1"/>
    <col min="6665" max="6665" width="0.85546875" style="30" customWidth="1"/>
    <col min="6666" max="6667" width="0.7109375" style="30" customWidth="1"/>
    <col min="6668" max="6668" width="0.5703125" style="30" customWidth="1"/>
    <col min="6669" max="6913" width="10.28515625" style="30"/>
    <col min="6914" max="6914" width="6" style="30" customWidth="1"/>
    <col min="6915" max="6915" width="30" style="30" customWidth="1"/>
    <col min="6916" max="6916" width="6.28515625" style="30" customWidth="1"/>
    <col min="6917" max="6917" width="9.5703125" style="30" customWidth="1"/>
    <col min="6918" max="6919" width="12.42578125" style="30" customWidth="1"/>
    <col min="6920" max="6920" width="17.42578125" style="30" customWidth="1"/>
    <col min="6921" max="6921" width="0.85546875" style="30" customWidth="1"/>
    <col min="6922" max="6923" width="0.7109375" style="30" customWidth="1"/>
    <col min="6924" max="6924" width="0.5703125" style="30" customWidth="1"/>
    <col min="6925" max="7169" width="10.28515625" style="30"/>
    <col min="7170" max="7170" width="6" style="30" customWidth="1"/>
    <col min="7171" max="7171" width="30" style="30" customWidth="1"/>
    <col min="7172" max="7172" width="6.28515625" style="30" customWidth="1"/>
    <col min="7173" max="7173" width="9.5703125" style="30" customWidth="1"/>
    <col min="7174" max="7175" width="12.42578125" style="30" customWidth="1"/>
    <col min="7176" max="7176" width="17.42578125" style="30" customWidth="1"/>
    <col min="7177" max="7177" width="0.85546875" style="30" customWidth="1"/>
    <col min="7178" max="7179" width="0.7109375" style="30" customWidth="1"/>
    <col min="7180" max="7180" width="0.5703125" style="30" customWidth="1"/>
    <col min="7181" max="7425" width="10.28515625" style="30"/>
    <col min="7426" max="7426" width="6" style="30" customWidth="1"/>
    <col min="7427" max="7427" width="30" style="30" customWidth="1"/>
    <col min="7428" max="7428" width="6.28515625" style="30" customWidth="1"/>
    <col min="7429" max="7429" width="9.5703125" style="30" customWidth="1"/>
    <col min="7430" max="7431" width="12.42578125" style="30" customWidth="1"/>
    <col min="7432" max="7432" width="17.42578125" style="30" customWidth="1"/>
    <col min="7433" max="7433" width="0.85546875" style="30" customWidth="1"/>
    <col min="7434" max="7435" width="0.7109375" style="30" customWidth="1"/>
    <col min="7436" max="7436" width="0.5703125" style="30" customWidth="1"/>
    <col min="7437" max="7681" width="10.28515625" style="30"/>
    <col min="7682" max="7682" width="6" style="30" customWidth="1"/>
    <col min="7683" max="7683" width="30" style="30" customWidth="1"/>
    <col min="7684" max="7684" width="6.28515625" style="30" customWidth="1"/>
    <col min="7685" max="7685" width="9.5703125" style="30" customWidth="1"/>
    <col min="7686" max="7687" width="12.42578125" style="30" customWidth="1"/>
    <col min="7688" max="7688" width="17.42578125" style="30" customWidth="1"/>
    <col min="7689" max="7689" width="0.85546875" style="30" customWidth="1"/>
    <col min="7690" max="7691" width="0.7109375" style="30" customWidth="1"/>
    <col min="7692" max="7692" width="0.5703125" style="30" customWidth="1"/>
    <col min="7693" max="7937" width="10.28515625" style="30"/>
    <col min="7938" max="7938" width="6" style="30" customWidth="1"/>
    <col min="7939" max="7939" width="30" style="30" customWidth="1"/>
    <col min="7940" max="7940" width="6.28515625" style="30" customWidth="1"/>
    <col min="7941" max="7941" width="9.5703125" style="30" customWidth="1"/>
    <col min="7942" max="7943" width="12.42578125" style="30" customWidth="1"/>
    <col min="7944" max="7944" width="17.42578125" style="30" customWidth="1"/>
    <col min="7945" max="7945" width="0.85546875" style="30" customWidth="1"/>
    <col min="7946" max="7947" width="0.7109375" style="30" customWidth="1"/>
    <col min="7948" max="7948" width="0.5703125" style="30" customWidth="1"/>
    <col min="7949" max="8193" width="10.28515625" style="30"/>
    <col min="8194" max="8194" width="6" style="30" customWidth="1"/>
    <col min="8195" max="8195" width="30" style="30" customWidth="1"/>
    <col min="8196" max="8196" width="6.28515625" style="30" customWidth="1"/>
    <col min="8197" max="8197" width="9.5703125" style="30" customWidth="1"/>
    <col min="8198" max="8199" width="12.42578125" style="30" customWidth="1"/>
    <col min="8200" max="8200" width="17.42578125" style="30" customWidth="1"/>
    <col min="8201" max="8201" width="0.85546875" style="30" customWidth="1"/>
    <col min="8202" max="8203" width="0.7109375" style="30" customWidth="1"/>
    <col min="8204" max="8204" width="0.5703125" style="30" customWidth="1"/>
    <col min="8205" max="8449" width="10.28515625" style="30"/>
    <col min="8450" max="8450" width="6" style="30" customWidth="1"/>
    <col min="8451" max="8451" width="30" style="30" customWidth="1"/>
    <col min="8452" max="8452" width="6.28515625" style="30" customWidth="1"/>
    <col min="8453" max="8453" width="9.5703125" style="30" customWidth="1"/>
    <col min="8454" max="8455" width="12.42578125" style="30" customWidth="1"/>
    <col min="8456" max="8456" width="17.42578125" style="30" customWidth="1"/>
    <col min="8457" max="8457" width="0.85546875" style="30" customWidth="1"/>
    <col min="8458" max="8459" width="0.7109375" style="30" customWidth="1"/>
    <col min="8460" max="8460" width="0.5703125" style="30" customWidth="1"/>
    <col min="8461" max="8705" width="10.28515625" style="30"/>
    <col min="8706" max="8706" width="6" style="30" customWidth="1"/>
    <col min="8707" max="8707" width="30" style="30" customWidth="1"/>
    <col min="8708" max="8708" width="6.28515625" style="30" customWidth="1"/>
    <col min="8709" max="8709" width="9.5703125" style="30" customWidth="1"/>
    <col min="8710" max="8711" width="12.42578125" style="30" customWidth="1"/>
    <col min="8712" max="8712" width="17.42578125" style="30" customWidth="1"/>
    <col min="8713" max="8713" width="0.85546875" style="30" customWidth="1"/>
    <col min="8714" max="8715" width="0.7109375" style="30" customWidth="1"/>
    <col min="8716" max="8716" width="0.5703125" style="30" customWidth="1"/>
    <col min="8717" max="8961" width="10.28515625" style="30"/>
    <col min="8962" max="8962" width="6" style="30" customWidth="1"/>
    <col min="8963" max="8963" width="30" style="30" customWidth="1"/>
    <col min="8964" max="8964" width="6.28515625" style="30" customWidth="1"/>
    <col min="8965" max="8965" width="9.5703125" style="30" customWidth="1"/>
    <col min="8966" max="8967" width="12.42578125" style="30" customWidth="1"/>
    <col min="8968" max="8968" width="17.42578125" style="30" customWidth="1"/>
    <col min="8969" max="8969" width="0.85546875" style="30" customWidth="1"/>
    <col min="8970" max="8971" width="0.7109375" style="30" customWidth="1"/>
    <col min="8972" max="8972" width="0.5703125" style="30" customWidth="1"/>
    <col min="8973" max="9217" width="10.28515625" style="30"/>
    <col min="9218" max="9218" width="6" style="30" customWidth="1"/>
    <col min="9219" max="9219" width="30" style="30" customWidth="1"/>
    <col min="9220" max="9220" width="6.28515625" style="30" customWidth="1"/>
    <col min="9221" max="9221" width="9.5703125" style="30" customWidth="1"/>
    <col min="9222" max="9223" width="12.42578125" style="30" customWidth="1"/>
    <col min="9224" max="9224" width="17.42578125" style="30" customWidth="1"/>
    <col min="9225" max="9225" width="0.85546875" style="30" customWidth="1"/>
    <col min="9226" max="9227" width="0.7109375" style="30" customWidth="1"/>
    <col min="9228" max="9228" width="0.5703125" style="30" customWidth="1"/>
    <col min="9229" max="9473" width="10.28515625" style="30"/>
    <col min="9474" max="9474" width="6" style="30" customWidth="1"/>
    <col min="9475" max="9475" width="30" style="30" customWidth="1"/>
    <col min="9476" max="9476" width="6.28515625" style="30" customWidth="1"/>
    <col min="9477" max="9477" width="9.5703125" style="30" customWidth="1"/>
    <col min="9478" max="9479" width="12.42578125" style="30" customWidth="1"/>
    <col min="9480" max="9480" width="17.42578125" style="30" customWidth="1"/>
    <col min="9481" max="9481" width="0.85546875" style="30" customWidth="1"/>
    <col min="9482" max="9483" width="0.7109375" style="30" customWidth="1"/>
    <col min="9484" max="9484" width="0.5703125" style="30" customWidth="1"/>
    <col min="9485" max="9729" width="10.28515625" style="30"/>
    <col min="9730" max="9730" width="6" style="30" customWidth="1"/>
    <col min="9731" max="9731" width="30" style="30" customWidth="1"/>
    <col min="9732" max="9732" width="6.28515625" style="30" customWidth="1"/>
    <col min="9733" max="9733" width="9.5703125" style="30" customWidth="1"/>
    <col min="9734" max="9735" width="12.42578125" style="30" customWidth="1"/>
    <col min="9736" max="9736" width="17.42578125" style="30" customWidth="1"/>
    <col min="9737" max="9737" width="0.85546875" style="30" customWidth="1"/>
    <col min="9738" max="9739" width="0.7109375" style="30" customWidth="1"/>
    <col min="9740" max="9740" width="0.5703125" style="30" customWidth="1"/>
    <col min="9741" max="9985" width="10.28515625" style="30"/>
    <col min="9986" max="9986" width="6" style="30" customWidth="1"/>
    <col min="9987" max="9987" width="30" style="30" customWidth="1"/>
    <col min="9988" max="9988" width="6.28515625" style="30" customWidth="1"/>
    <col min="9989" max="9989" width="9.5703125" style="30" customWidth="1"/>
    <col min="9990" max="9991" width="12.42578125" style="30" customWidth="1"/>
    <col min="9992" max="9992" width="17.42578125" style="30" customWidth="1"/>
    <col min="9993" max="9993" width="0.85546875" style="30" customWidth="1"/>
    <col min="9994" max="9995" width="0.7109375" style="30" customWidth="1"/>
    <col min="9996" max="9996" width="0.5703125" style="30" customWidth="1"/>
    <col min="9997" max="10241" width="10.28515625" style="30"/>
    <col min="10242" max="10242" width="6" style="30" customWidth="1"/>
    <col min="10243" max="10243" width="30" style="30" customWidth="1"/>
    <col min="10244" max="10244" width="6.28515625" style="30" customWidth="1"/>
    <col min="10245" max="10245" width="9.5703125" style="30" customWidth="1"/>
    <col min="10246" max="10247" width="12.42578125" style="30" customWidth="1"/>
    <col min="10248" max="10248" width="17.42578125" style="30" customWidth="1"/>
    <col min="10249" max="10249" width="0.85546875" style="30" customWidth="1"/>
    <col min="10250" max="10251" width="0.7109375" style="30" customWidth="1"/>
    <col min="10252" max="10252" width="0.5703125" style="30" customWidth="1"/>
    <col min="10253" max="10497" width="10.28515625" style="30"/>
    <col min="10498" max="10498" width="6" style="30" customWidth="1"/>
    <col min="10499" max="10499" width="30" style="30" customWidth="1"/>
    <col min="10500" max="10500" width="6.28515625" style="30" customWidth="1"/>
    <col min="10501" max="10501" width="9.5703125" style="30" customWidth="1"/>
    <col min="10502" max="10503" width="12.42578125" style="30" customWidth="1"/>
    <col min="10504" max="10504" width="17.42578125" style="30" customWidth="1"/>
    <col min="10505" max="10505" width="0.85546875" style="30" customWidth="1"/>
    <col min="10506" max="10507" width="0.7109375" style="30" customWidth="1"/>
    <col min="10508" max="10508" width="0.5703125" style="30" customWidth="1"/>
    <col min="10509" max="10753" width="10.28515625" style="30"/>
    <col min="10754" max="10754" width="6" style="30" customWidth="1"/>
    <col min="10755" max="10755" width="30" style="30" customWidth="1"/>
    <col min="10756" max="10756" width="6.28515625" style="30" customWidth="1"/>
    <col min="10757" max="10757" width="9.5703125" style="30" customWidth="1"/>
    <col min="10758" max="10759" width="12.42578125" style="30" customWidth="1"/>
    <col min="10760" max="10760" width="17.42578125" style="30" customWidth="1"/>
    <col min="10761" max="10761" width="0.85546875" style="30" customWidth="1"/>
    <col min="10762" max="10763" width="0.7109375" style="30" customWidth="1"/>
    <col min="10764" max="10764" width="0.5703125" style="30" customWidth="1"/>
    <col min="10765" max="11009" width="10.28515625" style="30"/>
    <col min="11010" max="11010" width="6" style="30" customWidth="1"/>
    <col min="11011" max="11011" width="30" style="30" customWidth="1"/>
    <col min="11012" max="11012" width="6.28515625" style="30" customWidth="1"/>
    <col min="11013" max="11013" width="9.5703125" style="30" customWidth="1"/>
    <col min="11014" max="11015" width="12.42578125" style="30" customWidth="1"/>
    <col min="11016" max="11016" width="17.42578125" style="30" customWidth="1"/>
    <col min="11017" max="11017" width="0.85546875" style="30" customWidth="1"/>
    <col min="11018" max="11019" width="0.7109375" style="30" customWidth="1"/>
    <col min="11020" max="11020" width="0.5703125" style="30" customWidth="1"/>
    <col min="11021" max="11265" width="10.28515625" style="30"/>
    <col min="11266" max="11266" width="6" style="30" customWidth="1"/>
    <col min="11267" max="11267" width="30" style="30" customWidth="1"/>
    <col min="11268" max="11268" width="6.28515625" style="30" customWidth="1"/>
    <col min="11269" max="11269" width="9.5703125" style="30" customWidth="1"/>
    <col min="11270" max="11271" width="12.42578125" style="30" customWidth="1"/>
    <col min="11272" max="11272" width="17.42578125" style="30" customWidth="1"/>
    <col min="11273" max="11273" width="0.85546875" style="30" customWidth="1"/>
    <col min="11274" max="11275" width="0.7109375" style="30" customWidth="1"/>
    <col min="11276" max="11276" width="0.5703125" style="30" customWidth="1"/>
    <col min="11277" max="11521" width="10.28515625" style="30"/>
    <col min="11522" max="11522" width="6" style="30" customWidth="1"/>
    <col min="11523" max="11523" width="30" style="30" customWidth="1"/>
    <col min="11524" max="11524" width="6.28515625" style="30" customWidth="1"/>
    <col min="11525" max="11525" width="9.5703125" style="30" customWidth="1"/>
    <col min="11526" max="11527" width="12.42578125" style="30" customWidth="1"/>
    <col min="11528" max="11528" width="17.42578125" style="30" customWidth="1"/>
    <col min="11529" max="11529" width="0.85546875" style="30" customWidth="1"/>
    <col min="11530" max="11531" width="0.7109375" style="30" customWidth="1"/>
    <col min="11532" max="11532" width="0.5703125" style="30" customWidth="1"/>
    <col min="11533" max="11777" width="10.28515625" style="30"/>
    <col min="11778" max="11778" width="6" style="30" customWidth="1"/>
    <col min="11779" max="11779" width="30" style="30" customWidth="1"/>
    <col min="11780" max="11780" width="6.28515625" style="30" customWidth="1"/>
    <col min="11781" max="11781" width="9.5703125" style="30" customWidth="1"/>
    <col min="11782" max="11783" width="12.42578125" style="30" customWidth="1"/>
    <col min="11784" max="11784" width="17.42578125" style="30" customWidth="1"/>
    <col min="11785" max="11785" width="0.85546875" style="30" customWidth="1"/>
    <col min="11786" max="11787" width="0.7109375" style="30" customWidth="1"/>
    <col min="11788" max="11788" width="0.5703125" style="30" customWidth="1"/>
    <col min="11789" max="12033" width="10.28515625" style="30"/>
    <col min="12034" max="12034" width="6" style="30" customWidth="1"/>
    <col min="12035" max="12035" width="30" style="30" customWidth="1"/>
    <col min="12036" max="12036" width="6.28515625" style="30" customWidth="1"/>
    <col min="12037" max="12037" width="9.5703125" style="30" customWidth="1"/>
    <col min="12038" max="12039" width="12.42578125" style="30" customWidth="1"/>
    <col min="12040" max="12040" width="17.42578125" style="30" customWidth="1"/>
    <col min="12041" max="12041" width="0.85546875" style="30" customWidth="1"/>
    <col min="12042" max="12043" width="0.7109375" style="30" customWidth="1"/>
    <col min="12044" max="12044" width="0.5703125" style="30" customWidth="1"/>
    <col min="12045" max="12289" width="10.28515625" style="30"/>
    <col min="12290" max="12290" width="6" style="30" customWidth="1"/>
    <col min="12291" max="12291" width="30" style="30" customWidth="1"/>
    <col min="12292" max="12292" width="6.28515625" style="30" customWidth="1"/>
    <col min="12293" max="12293" width="9.5703125" style="30" customWidth="1"/>
    <col min="12294" max="12295" width="12.42578125" style="30" customWidth="1"/>
    <col min="12296" max="12296" width="17.42578125" style="30" customWidth="1"/>
    <col min="12297" max="12297" width="0.85546875" style="30" customWidth="1"/>
    <col min="12298" max="12299" width="0.7109375" style="30" customWidth="1"/>
    <col min="12300" max="12300" width="0.5703125" style="30" customWidth="1"/>
    <col min="12301" max="12545" width="10.28515625" style="30"/>
    <col min="12546" max="12546" width="6" style="30" customWidth="1"/>
    <col min="12547" max="12547" width="30" style="30" customWidth="1"/>
    <col min="12548" max="12548" width="6.28515625" style="30" customWidth="1"/>
    <col min="12549" max="12549" width="9.5703125" style="30" customWidth="1"/>
    <col min="12550" max="12551" width="12.42578125" style="30" customWidth="1"/>
    <col min="12552" max="12552" width="17.42578125" style="30" customWidth="1"/>
    <col min="12553" max="12553" width="0.85546875" style="30" customWidth="1"/>
    <col min="12554" max="12555" width="0.7109375" style="30" customWidth="1"/>
    <col min="12556" max="12556" width="0.5703125" style="30" customWidth="1"/>
    <col min="12557" max="12801" width="10.28515625" style="30"/>
    <col min="12802" max="12802" width="6" style="30" customWidth="1"/>
    <col min="12803" max="12803" width="30" style="30" customWidth="1"/>
    <col min="12804" max="12804" width="6.28515625" style="30" customWidth="1"/>
    <col min="12805" max="12805" width="9.5703125" style="30" customWidth="1"/>
    <col min="12806" max="12807" width="12.42578125" style="30" customWidth="1"/>
    <col min="12808" max="12808" width="17.42578125" style="30" customWidth="1"/>
    <col min="12809" max="12809" width="0.85546875" style="30" customWidth="1"/>
    <col min="12810" max="12811" width="0.7109375" style="30" customWidth="1"/>
    <col min="12812" max="12812" width="0.5703125" style="30" customWidth="1"/>
    <col min="12813" max="13057" width="10.28515625" style="30"/>
    <col min="13058" max="13058" width="6" style="30" customWidth="1"/>
    <col min="13059" max="13059" width="30" style="30" customWidth="1"/>
    <col min="13060" max="13060" width="6.28515625" style="30" customWidth="1"/>
    <col min="13061" max="13061" width="9.5703125" style="30" customWidth="1"/>
    <col min="13062" max="13063" width="12.42578125" style="30" customWidth="1"/>
    <col min="13064" max="13064" width="17.42578125" style="30" customWidth="1"/>
    <col min="13065" max="13065" width="0.85546875" style="30" customWidth="1"/>
    <col min="13066" max="13067" width="0.7109375" style="30" customWidth="1"/>
    <col min="13068" max="13068" width="0.5703125" style="30" customWidth="1"/>
    <col min="13069" max="13313" width="10.28515625" style="30"/>
    <col min="13314" max="13314" width="6" style="30" customWidth="1"/>
    <col min="13315" max="13315" width="30" style="30" customWidth="1"/>
    <col min="13316" max="13316" width="6.28515625" style="30" customWidth="1"/>
    <col min="13317" max="13317" width="9.5703125" style="30" customWidth="1"/>
    <col min="13318" max="13319" width="12.42578125" style="30" customWidth="1"/>
    <col min="13320" max="13320" width="17.42578125" style="30" customWidth="1"/>
    <col min="13321" max="13321" width="0.85546875" style="30" customWidth="1"/>
    <col min="13322" max="13323" width="0.7109375" style="30" customWidth="1"/>
    <col min="13324" max="13324" width="0.5703125" style="30" customWidth="1"/>
    <col min="13325" max="13569" width="10.28515625" style="30"/>
    <col min="13570" max="13570" width="6" style="30" customWidth="1"/>
    <col min="13571" max="13571" width="30" style="30" customWidth="1"/>
    <col min="13572" max="13572" width="6.28515625" style="30" customWidth="1"/>
    <col min="13573" max="13573" width="9.5703125" style="30" customWidth="1"/>
    <col min="13574" max="13575" width="12.42578125" style="30" customWidth="1"/>
    <col min="13576" max="13576" width="17.42578125" style="30" customWidth="1"/>
    <col min="13577" max="13577" width="0.85546875" style="30" customWidth="1"/>
    <col min="13578" max="13579" width="0.7109375" style="30" customWidth="1"/>
    <col min="13580" max="13580" width="0.5703125" style="30" customWidth="1"/>
    <col min="13581" max="13825" width="10.28515625" style="30"/>
    <col min="13826" max="13826" width="6" style="30" customWidth="1"/>
    <col min="13827" max="13827" width="30" style="30" customWidth="1"/>
    <col min="13828" max="13828" width="6.28515625" style="30" customWidth="1"/>
    <col min="13829" max="13829" width="9.5703125" style="30" customWidth="1"/>
    <col min="13830" max="13831" width="12.42578125" style="30" customWidth="1"/>
    <col min="13832" max="13832" width="17.42578125" style="30" customWidth="1"/>
    <col min="13833" max="13833" width="0.85546875" style="30" customWidth="1"/>
    <col min="13834" max="13835" width="0.7109375" style="30" customWidth="1"/>
    <col min="13836" max="13836" width="0.5703125" style="30" customWidth="1"/>
    <col min="13837" max="14081" width="10.28515625" style="30"/>
    <col min="14082" max="14082" width="6" style="30" customWidth="1"/>
    <col min="14083" max="14083" width="30" style="30" customWidth="1"/>
    <col min="14084" max="14084" width="6.28515625" style="30" customWidth="1"/>
    <col min="14085" max="14085" width="9.5703125" style="30" customWidth="1"/>
    <col min="14086" max="14087" width="12.42578125" style="30" customWidth="1"/>
    <col min="14088" max="14088" width="17.42578125" style="30" customWidth="1"/>
    <col min="14089" max="14089" width="0.85546875" style="30" customWidth="1"/>
    <col min="14090" max="14091" width="0.7109375" style="30" customWidth="1"/>
    <col min="14092" max="14092" width="0.5703125" style="30" customWidth="1"/>
    <col min="14093" max="14337" width="10.28515625" style="30"/>
    <col min="14338" max="14338" width="6" style="30" customWidth="1"/>
    <col min="14339" max="14339" width="30" style="30" customWidth="1"/>
    <col min="14340" max="14340" width="6.28515625" style="30" customWidth="1"/>
    <col min="14341" max="14341" width="9.5703125" style="30" customWidth="1"/>
    <col min="14342" max="14343" width="12.42578125" style="30" customWidth="1"/>
    <col min="14344" max="14344" width="17.42578125" style="30" customWidth="1"/>
    <col min="14345" max="14345" width="0.85546875" style="30" customWidth="1"/>
    <col min="14346" max="14347" width="0.7109375" style="30" customWidth="1"/>
    <col min="14348" max="14348" width="0.5703125" style="30" customWidth="1"/>
    <col min="14349" max="14593" width="10.28515625" style="30"/>
    <col min="14594" max="14594" width="6" style="30" customWidth="1"/>
    <col min="14595" max="14595" width="30" style="30" customWidth="1"/>
    <col min="14596" max="14596" width="6.28515625" style="30" customWidth="1"/>
    <col min="14597" max="14597" width="9.5703125" style="30" customWidth="1"/>
    <col min="14598" max="14599" width="12.42578125" style="30" customWidth="1"/>
    <col min="14600" max="14600" width="17.42578125" style="30" customWidth="1"/>
    <col min="14601" max="14601" width="0.85546875" style="30" customWidth="1"/>
    <col min="14602" max="14603" width="0.7109375" style="30" customWidth="1"/>
    <col min="14604" max="14604" width="0.5703125" style="30" customWidth="1"/>
    <col min="14605" max="14849" width="10.28515625" style="30"/>
    <col min="14850" max="14850" width="6" style="30" customWidth="1"/>
    <col min="14851" max="14851" width="30" style="30" customWidth="1"/>
    <col min="14852" max="14852" width="6.28515625" style="30" customWidth="1"/>
    <col min="14853" max="14853" width="9.5703125" style="30" customWidth="1"/>
    <col min="14854" max="14855" width="12.42578125" style="30" customWidth="1"/>
    <col min="14856" max="14856" width="17.42578125" style="30" customWidth="1"/>
    <col min="14857" max="14857" width="0.85546875" style="30" customWidth="1"/>
    <col min="14858" max="14859" width="0.7109375" style="30" customWidth="1"/>
    <col min="14860" max="14860" width="0.5703125" style="30" customWidth="1"/>
    <col min="14861" max="15105" width="10.28515625" style="30"/>
    <col min="15106" max="15106" width="6" style="30" customWidth="1"/>
    <col min="15107" max="15107" width="30" style="30" customWidth="1"/>
    <col min="15108" max="15108" width="6.28515625" style="30" customWidth="1"/>
    <col min="15109" max="15109" width="9.5703125" style="30" customWidth="1"/>
    <col min="15110" max="15111" width="12.42578125" style="30" customWidth="1"/>
    <col min="15112" max="15112" width="17.42578125" style="30" customWidth="1"/>
    <col min="15113" max="15113" width="0.85546875" style="30" customWidth="1"/>
    <col min="15114" max="15115" width="0.7109375" style="30" customWidth="1"/>
    <col min="15116" max="15116" width="0.5703125" style="30" customWidth="1"/>
    <col min="15117" max="15361" width="10.28515625" style="30"/>
    <col min="15362" max="15362" width="6" style="30" customWidth="1"/>
    <col min="15363" max="15363" width="30" style="30" customWidth="1"/>
    <col min="15364" max="15364" width="6.28515625" style="30" customWidth="1"/>
    <col min="15365" max="15365" width="9.5703125" style="30" customWidth="1"/>
    <col min="15366" max="15367" width="12.42578125" style="30" customWidth="1"/>
    <col min="15368" max="15368" width="17.42578125" style="30" customWidth="1"/>
    <col min="15369" max="15369" width="0.85546875" style="30" customWidth="1"/>
    <col min="15370" max="15371" width="0.7109375" style="30" customWidth="1"/>
    <col min="15372" max="15372" width="0.5703125" style="30" customWidth="1"/>
    <col min="15373" max="15617" width="10.28515625" style="30"/>
    <col min="15618" max="15618" width="6" style="30" customWidth="1"/>
    <col min="15619" max="15619" width="30" style="30" customWidth="1"/>
    <col min="15620" max="15620" width="6.28515625" style="30" customWidth="1"/>
    <col min="15621" max="15621" width="9.5703125" style="30" customWidth="1"/>
    <col min="15622" max="15623" width="12.42578125" style="30" customWidth="1"/>
    <col min="15624" max="15624" width="17.42578125" style="30" customWidth="1"/>
    <col min="15625" max="15625" width="0.85546875" style="30" customWidth="1"/>
    <col min="15626" max="15627" width="0.7109375" style="30" customWidth="1"/>
    <col min="15628" max="15628" width="0.5703125" style="30" customWidth="1"/>
    <col min="15629" max="15873" width="10.28515625" style="30"/>
    <col min="15874" max="15874" width="6" style="30" customWidth="1"/>
    <col min="15875" max="15875" width="30" style="30" customWidth="1"/>
    <col min="15876" max="15876" width="6.28515625" style="30" customWidth="1"/>
    <col min="15877" max="15877" width="9.5703125" style="30" customWidth="1"/>
    <col min="15878" max="15879" width="12.42578125" style="30" customWidth="1"/>
    <col min="15880" max="15880" width="17.42578125" style="30" customWidth="1"/>
    <col min="15881" max="15881" width="0.85546875" style="30" customWidth="1"/>
    <col min="15882" max="15883" width="0.7109375" style="30" customWidth="1"/>
    <col min="15884" max="15884" width="0.5703125" style="30" customWidth="1"/>
    <col min="15885" max="16129" width="10.28515625" style="30"/>
    <col min="16130" max="16130" width="6" style="30" customWidth="1"/>
    <col min="16131" max="16131" width="30" style="30" customWidth="1"/>
    <col min="16132" max="16132" width="6.28515625" style="30" customWidth="1"/>
    <col min="16133" max="16133" width="9.5703125" style="30" customWidth="1"/>
    <col min="16134" max="16135" width="12.42578125" style="30" customWidth="1"/>
    <col min="16136" max="16136" width="17.42578125" style="30" customWidth="1"/>
    <col min="16137" max="16137" width="0.85546875" style="30" customWidth="1"/>
    <col min="16138" max="16139" width="0.7109375" style="30" customWidth="1"/>
    <col min="16140" max="16140" width="0.5703125" style="30" customWidth="1"/>
    <col min="16141" max="16384" width="10.28515625" style="30"/>
  </cols>
  <sheetData>
    <row r="1" spans="1:15" s="26" customFormat="1" ht="15.75" customHeight="1">
      <c r="A1" s="21" t="s">
        <v>230</v>
      </c>
      <c r="B1" s="21"/>
      <c r="C1" s="21"/>
      <c r="D1" s="21"/>
      <c r="E1" s="21"/>
      <c r="F1" s="22"/>
      <c r="G1" s="22"/>
      <c r="H1" s="21"/>
      <c r="I1" s="23"/>
      <c r="J1" s="24"/>
      <c r="K1" s="24"/>
      <c r="L1" s="24"/>
      <c r="M1" s="141"/>
      <c r="N1" s="25"/>
    </row>
    <row r="2" spans="1:15" s="26" customFormat="1" ht="15.75" customHeight="1">
      <c r="A2" s="21" t="s">
        <v>207</v>
      </c>
      <c r="B2" s="21"/>
      <c r="C2" s="21"/>
      <c r="D2" s="21"/>
      <c r="E2" s="21"/>
      <c r="F2" s="22"/>
      <c r="G2" s="22"/>
      <c r="H2" s="21"/>
      <c r="I2" s="23"/>
      <c r="J2" s="24"/>
      <c r="K2" s="24"/>
      <c r="L2" s="24"/>
      <c r="M2" s="141"/>
      <c r="N2" s="25"/>
    </row>
    <row r="3" spans="1:15" ht="13.5" customHeight="1">
      <c r="A3" s="682" t="s">
        <v>232</v>
      </c>
      <c r="B3" s="682"/>
      <c r="C3" s="682"/>
      <c r="D3" s="682"/>
      <c r="E3" s="682"/>
      <c r="F3" s="682"/>
      <c r="H3" s="27"/>
      <c r="I3" s="28"/>
    </row>
    <row r="4" spans="1:15" s="2" customFormat="1" ht="13.5" customHeight="1">
      <c r="A4" s="31" t="s">
        <v>1213</v>
      </c>
      <c r="B4" s="31"/>
      <c r="C4" s="32"/>
      <c r="D4" s="33"/>
      <c r="E4" s="33"/>
      <c r="F4" s="34" t="s">
        <v>1214</v>
      </c>
      <c r="G4" s="34"/>
      <c r="H4" s="29"/>
      <c r="M4" s="143"/>
      <c r="N4" s="35"/>
    </row>
    <row r="5" spans="1:15" s="43" customFormat="1" ht="30" customHeight="1">
      <c r="A5" s="36" t="s">
        <v>235</v>
      </c>
      <c r="B5" s="37" t="s">
        <v>1577</v>
      </c>
      <c r="C5" s="37" t="s">
        <v>237</v>
      </c>
      <c r="D5" s="37" t="s">
        <v>1439</v>
      </c>
      <c r="E5" s="38" t="s">
        <v>1438</v>
      </c>
      <c r="F5" s="39" t="s">
        <v>221</v>
      </c>
      <c r="G5" s="39"/>
      <c r="H5" s="40" t="s">
        <v>1540</v>
      </c>
      <c r="I5" s="41" t="s">
        <v>142</v>
      </c>
      <c r="J5" s="42"/>
      <c r="K5" s="42"/>
      <c r="L5" s="42"/>
      <c r="M5" s="144" t="s">
        <v>1538</v>
      </c>
      <c r="N5" s="35" t="s">
        <v>1578</v>
      </c>
      <c r="O5" s="43" t="s">
        <v>1579</v>
      </c>
    </row>
    <row r="6" spans="1:15" ht="21.95" customHeight="1">
      <c r="A6" s="6" t="s">
        <v>10</v>
      </c>
      <c r="B6" s="7" t="s">
        <v>12</v>
      </c>
      <c r="C6" s="8" t="s">
        <v>4</v>
      </c>
      <c r="D6" s="44">
        <v>1</v>
      </c>
      <c r="E6" s="44"/>
      <c r="F6" s="45"/>
      <c r="G6" s="45"/>
      <c r="H6" s="44" t="s">
        <v>242</v>
      </c>
      <c r="I6" s="46" t="s">
        <v>243</v>
      </c>
    </row>
    <row r="7" spans="1:15" ht="21.95" customHeight="1">
      <c r="A7" s="6" t="s">
        <v>206</v>
      </c>
      <c r="B7" s="7" t="s">
        <v>2</v>
      </c>
      <c r="C7" s="8" t="s">
        <v>4</v>
      </c>
      <c r="D7" s="44">
        <v>1</v>
      </c>
      <c r="E7" s="44"/>
      <c r="F7" s="45"/>
      <c r="G7" s="45"/>
      <c r="H7" s="44" t="s">
        <v>242</v>
      </c>
      <c r="I7" s="46" t="s">
        <v>243</v>
      </c>
    </row>
    <row r="8" spans="1:15" ht="21.95" customHeight="1">
      <c r="A8" s="145" t="s">
        <v>40</v>
      </c>
      <c r="B8" s="146" t="s">
        <v>244</v>
      </c>
      <c r="C8" s="147" t="s">
        <v>4</v>
      </c>
      <c r="D8" s="148">
        <v>1</v>
      </c>
      <c r="E8" s="148"/>
      <c r="F8" s="149"/>
      <c r="G8" s="149"/>
      <c r="H8" s="148" t="s">
        <v>242</v>
      </c>
      <c r="I8" s="150" t="s">
        <v>243</v>
      </c>
    </row>
    <row r="9" spans="1:15" ht="33" customHeight="1">
      <c r="A9" s="12" t="s">
        <v>41</v>
      </c>
      <c r="B9" s="10" t="s">
        <v>1215</v>
      </c>
      <c r="C9" s="8" t="s">
        <v>6</v>
      </c>
      <c r="D9" s="44">
        <v>720.24</v>
      </c>
      <c r="E9" s="44"/>
      <c r="F9" s="45" t="s">
        <v>1246</v>
      </c>
      <c r="G9" s="47" t="s">
        <v>1239</v>
      </c>
      <c r="H9" s="44">
        <f>(290*2*0.15*0.2+12*5*0.15*0.2)+(53*2*0.15*0.2+3*4*0.14*0.2)</f>
        <v>22.716000000000001</v>
      </c>
      <c r="I9" s="48">
        <f>SUM(H9:H13)</f>
        <v>200.24699999999999</v>
      </c>
      <c r="M9" s="142">
        <v>123.7</v>
      </c>
      <c r="N9" s="49">
        <f>I9-M9</f>
        <v>76.546999999999983</v>
      </c>
    </row>
    <row r="10" spans="1:15">
      <c r="A10" s="12"/>
      <c r="B10" s="10"/>
      <c r="C10" s="8"/>
      <c r="D10" s="44"/>
      <c r="E10" s="44"/>
      <c r="F10" s="45" t="s">
        <v>1233</v>
      </c>
      <c r="G10" s="47" t="s">
        <v>1238</v>
      </c>
      <c r="H10" s="44">
        <f>27.2*10.5*0.25</f>
        <v>71.399999999999991</v>
      </c>
      <c r="I10" s="48"/>
      <c r="N10" s="49"/>
    </row>
    <row r="11" spans="1:15" ht="16.5" customHeight="1">
      <c r="A11" s="12"/>
      <c r="B11" s="10"/>
      <c r="C11" s="8"/>
      <c r="D11" s="44"/>
      <c r="E11" s="44"/>
      <c r="F11" s="45" t="s">
        <v>1231</v>
      </c>
      <c r="G11" s="47" t="s">
        <v>1237</v>
      </c>
      <c r="H11" s="44">
        <f>11.5*(7.5+4.5)/2*0.23</f>
        <v>15.870000000000001</v>
      </c>
      <c r="I11" s="46"/>
      <c r="N11" s="49"/>
    </row>
    <row r="12" spans="1:15" ht="16.5" customHeight="1">
      <c r="A12" s="12"/>
      <c r="B12" s="10"/>
      <c r="C12" s="8"/>
      <c r="D12" s="44"/>
      <c r="E12" s="44"/>
      <c r="F12" s="50" t="s">
        <v>1256</v>
      </c>
      <c r="G12" s="51" t="s">
        <v>1255</v>
      </c>
      <c r="H12" s="44">
        <f>(77.5+169.3+170.9+49.4)*0.15</f>
        <v>70.064999999999998</v>
      </c>
      <c r="I12" s="46"/>
      <c r="N12" s="49"/>
    </row>
    <row r="13" spans="1:15" ht="16.5" customHeight="1">
      <c r="A13" s="12"/>
      <c r="B13" s="10"/>
      <c r="C13" s="8"/>
      <c r="D13" s="44"/>
      <c r="E13" s="44"/>
      <c r="F13" s="45" t="s">
        <v>1240</v>
      </c>
      <c r="G13" s="47" t="s">
        <v>1241</v>
      </c>
      <c r="H13" s="44">
        <f>10.8*(7.5+9.5)/2*0.22</f>
        <v>20.196000000000002</v>
      </c>
      <c r="I13" s="46"/>
      <c r="N13" s="49"/>
    </row>
    <row r="14" spans="1:15" ht="16.5" customHeight="1">
      <c r="A14" s="12"/>
      <c r="B14" s="10"/>
      <c r="C14" s="8"/>
      <c r="D14" s="44"/>
      <c r="E14" s="44"/>
      <c r="F14" s="45"/>
      <c r="G14" s="47"/>
      <c r="H14" s="44"/>
      <c r="I14" s="46"/>
      <c r="N14" s="49"/>
    </row>
    <row r="15" spans="1:15" ht="36" customHeight="1">
      <c r="A15" s="12" t="s">
        <v>42</v>
      </c>
      <c r="B15" s="10" t="s">
        <v>1740</v>
      </c>
      <c r="C15" s="8" t="s">
        <v>6</v>
      </c>
      <c r="D15" s="44">
        <v>4813.4399999999996</v>
      </c>
      <c r="E15" s="44"/>
      <c r="F15" s="45" t="s">
        <v>1273</v>
      </c>
      <c r="G15" s="47" t="s">
        <v>1232</v>
      </c>
      <c r="H15" s="44">
        <f>(1.2*0.5*8*39)+(1.2*0.5*8*7)</f>
        <v>220.79999999999998</v>
      </c>
      <c r="I15" s="48">
        <f>SUM(H15:H34)</f>
        <v>4091.1705088000003</v>
      </c>
      <c r="M15" s="142">
        <v>4069.5999999999995</v>
      </c>
      <c r="N15" s="49">
        <f t="shared" ref="N15:N72" si="0">I15-M15</f>
        <v>21.57050880000088</v>
      </c>
    </row>
    <row r="16" spans="1:15" ht="52.5" customHeight="1">
      <c r="A16" s="12"/>
      <c r="B16" s="7"/>
      <c r="C16" s="8"/>
      <c r="D16" s="44"/>
      <c r="E16" s="44"/>
      <c r="F16" s="45" t="s">
        <v>1244</v>
      </c>
      <c r="G16" s="47" t="s">
        <v>1262</v>
      </c>
      <c r="H16" s="44">
        <f>((27.2*10.3*0.3+0.3*1.1*27.2*2)+(13.2*1.25*0.6*7*2)+(6.8*1.25*0.5*7)+(((1.9+0.8)/2*1.2*7.8)+1.9*2.5*1.2)+((1.25*1.25*3.14*3.6)))</f>
        <v>306.34850000000006</v>
      </c>
      <c r="I16" s="46"/>
      <c r="N16" s="49"/>
    </row>
    <row r="17" spans="1:14" ht="33" customHeight="1">
      <c r="A17" s="12"/>
      <c r="B17" s="7"/>
      <c r="C17" s="8"/>
      <c r="D17" s="44"/>
      <c r="E17" s="44"/>
      <c r="F17" s="45" t="s">
        <v>1245</v>
      </c>
      <c r="G17" s="52" t="s">
        <v>1263</v>
      </c>
      <c r="H17" s="44">
        <f>(10.3*1.8*4.2+10.3*1.8*2.8)*2+(10.3*2.8*1.8)*2+((60.65*(3.9+2.2)/2*0.55)+(10.3*3.9*0.6))</f>
        <v>489.22637500000008</v>
      </c>
      <c r="I17" s="46"/>
      <c r="N17" s="49"/>
    </row>
    <row r="18" spans="1:14" ht="33" customHeight="1">
      <c r="A18" s="12"/>
      <c r="B18" s="7"/>
      <c r="C18" s="8"/>
      <c r="D18" s="44"/>
      <c r="E18" s="44"/>
      <c r="F18" s="45" t="s">
        <v>1243</v>
      </c>
      <c r="G18" s="47" t="s">
        <v>1277</v>
      </c>
      <c r="H18" s="44">
        <f>((3.75*(0.3+0.6)/2*63.7)+(5.5*0.85*63.7))+(26.8*7*0.6+18.5*7*0.35)</f>
        <v>563.17624999999998</v>
      </c>
      <c r="I18" s="46"/>
      <c r="N18" s="49"/>
    </row>
    <row r="19" spans="1:14" ht="33" customHeight="1">
      <c r="A19" s="12"/>
      <c r="B19" s="7"/>
      <c r="C19" s="8"/>
      <c r="D19" s="44"/>
      <c r="E19" s="44"/>
      <c r="F19" s="45" t="s">
        <v>1242</v>
      </c>
      <c r="G19" s="47" t="s">
        <v>1266</v>
      </c>
      <c r="H19" s="44">
        <f>((19.3*0.52*0.8*4)+(19.3*7.2*0.3)+(6.8*2.2*0.8*2)+(9.5*3*0.8+9.5*1.8*0.3)+(17.8*0.55*2.8*2))</f>
        <v>180.49320000000003</v>
      </c>
      <c r="I19" s="46"/>
      <c r="N19" s="49"/>
    </row>
    <row r="20" spans="1:14" ht="33" customHeight="1">
      <c r="A20" s="12"/>
      <c r="B20" s="7"/>
      <c r="C20" s="8"/>
      <c r="D20" s="44"/>
      <c r="E20" s="44"/>
      <c r="F20" s="45" t="s">
        <v>1248</v>
      </c>
      <c r="G20" s="45" t="s">
        <v>1249</v>
      </c>
      <c r="H20" s="44">
        <f>((0.9*0.25*80)+(1.25*0.25*263)+(1.15*0.2*263+0.5*0.5*1.05*31))</f>
        <v>168.815</v>
      </c>
      <c r="I20" s="46"/>
      <c r="N20" s="49"/>
    </row>
    <row r="21" spans="1:14" ht="16.5" customHeight="1">
      <c r="A21" s="12"/>
      <c r="B21" s="7"/>
      <c r="C21" s="8"/>
      <c r="D21" s="44"/>
      <c r="E21" s="44"/>
      <c r="F21" s="45" t="s">
        <v>1274</v>
      </c>
      <c r="G21" s="45" t="s">
        <v>1247</v>
      </c>
      <c r="H21" s="44">
        <f>((1.1*0.8-(0.04*0.04*3.14*6))*263+(1.15*5))</f>
        <v>229.26212800000005</v>
      </c>
      <c r="I21" s="46"/>
      <c r="N21" s="49"/>
    </row>
    <row r="22" spans="1:14" ht="16.5" customHeight="1">
      <c r="A22" s="12"/>
      <c r="B22" s="7"/>
      <c r="C22" s="8"/>
      <c r="D22" s="44"/>
      <c r="E22" s="44"/>
      <c r="F22" s="45" t="s">
        <v>1276</v>
      </c>
      <c r="G22" s="45" t="s">
        <v>1275</v>
      </c>
      <c r="H22" s="44">
        <f>((2.1*2.4)-(1.5*1.75))*25.7+(2.1*1.25*0.6)</f>
        <v>63.640500000000003</v>
      </c>
      <c r="I22" s="46"/>
      <c r="N22" s="49"/>
    </row>
    <row r="23" spans="1:14" ht="16.5" customHeight="1">
      <c r="A23" s="12"/>
      <c r="B23" s="7"/>
      <c r="C23" s="8"/>
      <c r="D23" s="44"/>
      <c r="E23" s="44"/>
      <c r="F23" s="45" t="s">
        <v>1250</v>
      </c>
      <c r="G23" s="45" t="s">
        <v>1265</v>
      </c>
      <c r="H23" s="44">
        <f>((3.75*(0.3+0.6)/2*35.65)+(5.5*0.85*35.65))</f>
        <v>226.82312499999998</v>
      </c>
      <c r="I23" s="46"/>
      <c r="N23" s="49"/>
    </row>
    <row r="24" spans="1:14" ht="33" customHeight="1">
      <c r="A24" s="12"/>
      <c r="B24" s="7"/>
      <c r="C24" s="8"/>
      <c r="D24" s="44"/>
      <c r="E24" s="44"/>
      <c r="F24" s="45" t="s">
        <v>1251</v>
      </c>
      <c r="G24" s="45" t="s">
        <v>1253</v>
      </c>
      <c r="H24" s="44">
        <f>((3.75*(0.3+0.6)/2*6.7)+(2.1*0.6*18.7)+(0.35*1.5*18.7)+(0.35*3.75*3.2))</f>
        <v>48.885749999999994</v>
      </c>
      <c r="I24" s="46"/>
      <c r="N24" s="49"/>
    </row>
    <row r="25" spans="1:14" ht="16.5" customHeight="1">
      <c r="A25" s="12"/>
      <c r="B25" s="7"/>
      <c r="C25" s="8"/>
      <c r="D25" s="44"/>
      <c r="E25" s="44"/>
      <c r="F25" s="45" t="s">
        <v>1257</v>
      </c>
      <c r="G25" s="45" t="s">
        <v>1254</v>
      </c>
      <c r="H25" s="44">
        <f>(277.6*0.525)</f>
        <v>145.74</v>
      </c>
      <c r="I25" s="46"/>
      <c r="N25" s="49"/>
    </row>
    <row r="26" spans="1:14" ht="33" customHeight="1">
      <c r="A26" s="12"/>
      <c r="B26" s="7"/>
      <c r="C26" s="8"/>
      <c r="D26" s="44"/>
      <c r="E26" s="44"/>
      <c r="F26" s="45" t="s">
        <v>1252</v>
      </c>
      <c r="G26" s="45" t="s">
        <v>1264</v>
      </c>
      <c r="H26" s="44">
        <f>(1.1*0.35*196.3)+((0.38*0.38*3.14-0.3*0.3*3.14)*196.3)+2.85*2</f>
        <v>114.80668080000002</v>
      </c>
      <c r="I26" s="46"/>
      <c r="N26" s="49"/>
    </row>
    <row r="27" spans="1:14" ht="16.5" customHeight="1">
      <c r="A27" s="12"/>
      <c r="B27" s="7"/>
      <c r="C27" s="8"/>
      <c r="D27" s="44"/>
      <c r="E27" s="44"/>
      <c r="F27" s="45" t="s">
        <v>1261</v>
      </c>
      <c r="G27" s="50" t="s">
        <v>1260</v>
      </c>
      <c r="H27" s="44">
        <f>(401.1+1104.5+1276+169.3+767.7+52.1)*0.3</f>
        <v>1131.21</v>
      </c>
      <c r="I27" s="46"/>
      <c r="N27" s="49"/>
    </row>
    <row r="28" spans="1:14" ht="16.5" customHeight="1">
      <c r="A28" s="12"/>
      <c r="B28" s="7"/>
      <c r="C28" s="8"/>
      <c r="D28" s="44"/>
      <c r="E28" s="44"/>
      <c r="F28" s="45" t="s">
        <v>1258</v>
      </c>
      <c r="G28" s="50" t="s">
        <v>1259</v>
      </c>
      <c r="H28" s="44">
        <f>(77.5+169.3+170.9+49.4)*0.25</f>
        <v>116.77500000000001</v>
      </c>
      <c r="I28" s="46"/>
      <c r="N28" s="49"/>
    </row>
    <row r="29" spans="1:14" ht="33" customHeight="1">
      <c r="A29" s="12"/>
      <c r="B29" s="7"/>
      <c r="C29" s="8"/>
      <c r="D29" s="44"/>
      <c r="E29" s="44"/>
      <c r="F29" s="45" t="s">
        <v>1267</v>
      </c>
      <c r="G29" s="50" t="s">
        <v>1268</v>
      </c>
      <c r="H29" s="44">
        <f>((112.1+241.1+229.5+0+60.8+0)*0.033)+((3+8+5.7+2.9)*0.5*0.75)</f>
        <v>28.585500000000003</v>
      </c>
      <c r="I29" s="46"/>
      <c r="N29" s="49"/>
    </row>
    <row r="30" spans="1:14" ht="16.5" customHeight="1">
      <c r="A30" s="12"/>
      <c r="B30" s="7"/>
      <c r="C30" s="8"/>
      <c r="D30" s="44"/>
      <c r="E30" s="44"/>
      <c r="F30" s="45" t="s">
        <v>1271</v>
      </c>
      <c r="G30" s="45" t="s">
        <v>1272</v>
      </c>
      <c r="H30" s="44">
        <f>(0.8*(0.75+0.35)/2*18.2)+(0.8*0.8*1.45*7)</f>
        <v>14.504000000000001</v>
      </c>
      <c r="I30" s="46"/>
      <c r="N30" s="49"/>
    </row>
    <row r="31" spans="1:14" ht="33" customHeight="1">
      <c r="A31" s="12"/>
      <c r="B31" s="7"/>
      <c r="C31" s="8"/>
      <c r="D31" s="44"/>
      <c r="E31" s="44"/>
      <c r="F31" s="45" t="s">
        <v>1269</v>
      </c>
      <c r="G31" s="45" t="s">
        <v>1270</v>
      </c>
      <c r="H31" s="44">
        <f>(0.25*1.65*39)+((3.5*(0.3+0.6)/2*5.6)+(2.1*0.6*2.3))+(6.2*5.3*0.35+2.1*2.2*0.6)</f>
        <v>42.078499999999991</v>
      </c>
      <c r="I31" s="46"/>
      <c r="N31" s="49"/>
    </row>
    <row r="32" spans="1:14" ht="16.5" customHeight="1">
      <c r="A32" s="12"/>
      <c r="B32" s="7"/>
      <c r="C32" s="8"/>
      <c r="D32" s="44"/>
      <c r="E32" s="44"/>
      <c r="F32" s="45"/>
      <c r="G32" s="45"/>
      <c r="H32" s="44"/>
      <c r="I32" s="46"/>
      <c r="N32" s="49"/>
    </row>
    <row r="33" spans="1:14" ht="16.5" customHeight="1">
      <c r="A33" s="12"/>
      <c r="B33" s="7"/>
      <c r="C33" s="8"/>
      <c r="D33" s="44"/>
      <c r="E33" s="44"/>
      <c r="F33" s="45"/>
      <c r="G33" s="45"/>
      <c r="H33" s="44"/>
      <c r="I33" s="46"/>
      <c r="N33" s="49"/>
    </row>
    <row r="34" spans="1:14" ht="16.5" customHeight="1">
      <c r="A34" s="12"/>
      <c r="B34" s="7"/>
      <c r="C34" s="8"/>
      <c r="D34" s="44"/>
      <c r="E34" s="44"/>
      <c r="F34" s="45"/>
      <c r="G34" s="45"/>
      <c r="H34" s="44"/>
      <c r="I34" s="46"/>
      <c r="N34" s="49"/>
    </row>
    <row r="35" spans="1:14" ht="30.75" customHeight="1">
      <c r="A35" s="12" t="s">
        <v>43</v>
      </c>
      <c r="B35" s="7" t="s">
        <v>249</v>
      </c>
      <c r="C35" s="8" t="s">
        <v>8</v>
      </c>
      <c r="D35" s="44">
        <v>1743</v>
      </c>
      <c r="E35" s="44"/>
      <c r="F35" s="45" t="s">
        <v>1235</v>
      </c>
      <c r="G35" s="47" t="s">
        <v>1236</v>
      </c>
      <c r="H35" s="44">
        <f>(27.2*16+10.5*6)+(1.25*6*12*5)+(2.3*6*7*2)+(3.8*6+5.2*8)+(2.5*3.14*6)</f>
        <v>1252.9000000000001</v>
      </c>
      <c r="I35" s="48">
        <f>SUM(H35:H37)</f>
        <v>1747.3000000000002</v>
      </c>
      <c r="M35" s="142">
        <v>1741.3</v>
      </c>
      <c r="N35" s="49">
        <f t="shared" si="0"/>
        <v>6.0000000000002274</v>
      </c>
    </row>
    <row r="36" spans="1:14" ht="16.5" customHeight="1">
      <c r="A36" s="12"/>
      <c r="B36" s="7"/>
      <c r="C36" s="8"/>
      <c r="D36" s="44"/>
      <c r="E36" s="44"/>
      <c r="F36" s="45" t="s">
        <v>1281</v>
      </c>
      <c r="G36" s="47" t="s">
        <v>1280</v>
      </c>
      <c r="H36" s="44">
        <f>18*12+8.5*4+(1.1*6*12*3+0.8)+(3*2)</f>
        <v>494.40000000000003</v>
      </c>
      <c r="I36" s="46"/>
      <c r="N36" s="49"/>
    </row>
    <row r="37" spans="1:14" ht="16.5" customHeight="1">
      <c r="A37" s="12"/>
      <c r="B37" s="7"/>
      <c r="C37" s="8"/>
      <c r="D37" s="44"/>
      <c r="E37" s="44"/>
      <c r="F37" s="45"/>
      <c r="G37" s="47"/>
      <c r="H37" s="44"/>
      <c r="I37" s="46"/>
      <c r="N37" s="49"/>
    </row>
    <row r="38" spans="1:14" ht="38.25" customHeight="1">
      <c r="A38" s="12" t="s">
        <v>44</v>
      </c>
      <c r="B38" s="53" t="s">
        <v>229</v>
      </c>
      <c r="C38" s="8" t="s">
        <v>23</v>
      </c>
      <c r="D38" s="44">
        <v>26370</v>
      </c>
      <c r="E38" s="44">
        <v>28009.56</v>
      </c>
      <c r="F38" s="45" t="s">
        <v>1279</v>
      </c>
      <c r="G38" s="51" t="s">
        <v>1278</v>
      </c>
      <c r="H38" s="54">
        <v>26370</v>
      </c>
      <c r="I38" s="48">
        <f>SUM(H38:H41)</f>
        <v>28009.56</v>
      </c>
      <c r="M38" s="142">
        <v>25080</v>
      </c>
      <c r="N38" s="49">
        <f t="shared" si="0"/>
        <v>2929.5600000000013</v>
      </c>
    </row>
    <row r="39" spans="1:14" ht="33" customHeight="1">
      <c r="A39" s="12"/>
      <c r="B39" s="7"/>
      <c r="C39" s="8"/>
      <c r="D39" s="44"/>
      <c r="E39" s="44"/>
      <c r="F39" s="45" t="s">
        <v>1286</v>
      </c>
      <c r="G39" s="47" t="s">
        <v>1287</v>
      </c>
      <c r="H39" s="44">
        <f>((5*6*6.5*2)+(13*3.5*6.8)+(3.2*8.5*1.6))+((747.2+149.44))</f>
        <v>1639.56</v>
      </c>
      <c r="I39" s="46"/>
      <c r="N39" s="49"/>
    </row>
    <row r="40" spans="1:14" ht="16.5" customHeight="1">
      <c r="A40" s="12"/>
      <c r="B40" s="7"/>
      <c r="C40" s="8"/>
      <c r="D40" s="44"/>
      <c r="E40" s="44"/>
      <c r="F40" s="45"/>
      <c r="G40" s="47"/>
      <c r="H40" s="44"/>
      <c r="I40" s="46"/>
      <c r="N40" s="49"/>
    </row>
    <row r="41" spans="1:14" ht="16.5" customHeight="1">
      <c r="A41" s="12"/>
      <c r="B41" s="7"/>
      <c r="C41" s="8"/>
      <c r="D41" s="44"/>
      <c r="E41" s="44"/>
      <c r="F41" s="45"/>
      <c r="G41" s="47"/>
      <c r="H41" s="44"/>
      <c r="I41" s="46"/>
      <c r="N41" s="49"/>
    </row>
    <row r="42" spans="1:14" ht="33">
      <c r="A42" s="12" t="s">
        <v>45</v>
      </c>
      <c r="B42" s="10" t="s">
        <v>252</v>
      </c>
      <c r="C42" s="8" t="s">
        <v>6</v>
      </c>
      <c r="D42" s="44">
        <v>4726.67</v>
      </c>
      <c r="E42" s="44"/>
      <c r="F42" s="45" t="s">
        <v>1284</v>
      </c>
      <c r="G42" s="45" t="s">
        <v>1285</v>
      </c>
      <c r="H42" s="44">
        <f>(7.5*55*0.24)+(9.6*37*0.25)+(7.1*243*0.24)</f>
        <v>601.87199999999996</v>
      </c>
      <c r="I42" s="48">
        <f>SUM(H42:H44)</f>
        <v>601.87199999999996</v>
      </c>
      <c r="M42" s="142">
        <v>569.4</v>
      </c>
      <c r="N42" s="49">
        <f t="shared" si="0"/>
        <v>32.47199999999998</v>
      </c>
    </row>
    <row r="43" spans="1:14">
      <c r="A43" s="12"/>
      <c r="B43" s="7"/>
      <c r="C43" s="8"/>
      <c r="D43" s="44"/>
      <c r="E43" s="44"/>
      <c r="F43" s="45"/>
      <c r="G43" s="45"/>
      <c r="H43" s="44"/>
      <c r="I43" s="46"/>
      <c r="M43" s="30"/>
      <c r="N43" s="49"/>
    </row>
    <row r="44" spans="1:14">
      <c r="A44" s="12"/>
      <c r="B44" s="7"/>
      <c r="C44" s="8"/>
      <c r="D44" s="44"/>
      <c r="E44" s="44"/>
      <c r="F44" s="45"/>
      <c r="G44" s="45"/>
      <c r="H44" s="44"/>
      <c r="I44" s="46"/>
      <c r="M44" s="30"/>
      <c r="N44" s="49"/>
    </row>
    <row r="45" spans="1:14" ht="33">
      <c r="A45" s="12" t="s">
        <v>254</v>
      </c>
      <c r="B45" s="7" t="s">
        <v>255</v>
      </c>
      <c r="C45" s="8" t="s">
        <v>6</v>
      </c>
      <c r="D45" s="44">
        <v>13120</v>
      </c>
      <c r="E45" s="44"/>
      <c r="F45" s="45" t="s">
        <v>1319</v>
      </c>
      <c r="G45" s="45" t="s">
        <v>1290</v>
      </c>
      <c r="H45" s="44">
        <f>(16.5*9.2*4.6+21.2*4.7*4.2)+(11.2*3.2*4.6)+(9.5*3.5*2.9)</f>
        <v>1378.0569999999998</v>
      </c>
      <c r="I45" s="48">
        <f>SUM(H45:H51)</f>
        <v>3967.7769999999996</v>
      </c>
      <c r="M45" s="142">
        <v>2172</v>
      </c>
      <c r="N45" s="49">
        <f t="shared" si="0"/>
        <v>1795.7769999999996</v>
      </c>
    </row>
    <row r="46" spans="1:14">
      <c r="A46" s="12"/>
      <c r="B46" s="7"/>
      <c r="C46" s="8"/>
      <c r="D46" s="44"/>
      <c r="E46" s="44"/>
      <c r="F46" s="45" t="s">
        <v>1288</v>
      </c>
      <c r="G46" s="45" t="s">
        <v>1289</v>
      </c>
      <c r="H46" s="44">
        <f>(0.8*4.5*52.3)+(1.2*4.5*52.3)</f>
        <v>470.69999999999993</v>
      </c>
      <c r="I46" s="46"/>
      <c r="N46" s="49"/>
    </row>
    <row r="47" spans="1:14">
      <c r="A47" s="12"/>
      <c r="B47" s="7"/>
      <c r="C47" s="8"/>
      <c r="D47" s="44"/>
      <c r="E47" s="44"/>
      <c r="F47" s="45" t="s">
        <v>1292</v>
      </c>
      <c r="G47" s="50" t="s">
        <v>1291</v>
      </c>
      <c r="H47" s="55">
        <f>381.5*0.8</f>
        <v>305.2</v>
      </c>
      <c r="I47" s="46"/>
      <c r="N47" s="49"/>
    </row>
    <row r="48" spans="1:14">
      <c r="A48" s="12"/>
      <c r="B48" s="7"/>
      <c r="C48" s="8"/>
      <c r="D48" s="44"/>
      <c r="E48" s="44"/>
      <c r="F48" s="45" t="s">
        <v>1293</v>
      </c>
      <c r="G48" s="56" t="s">
        <v>1296</v>
      </c>
      <c r="H48" s="55">
        <f>(0.8*1.9*2*23+3.4*2.7*23)+(0.8*2.1*2*41)</f>
        <v>418.82000000000005</v>
      </c>
      <c r="I48" s="46"/>
      <c r="N48" s="49"/>
    </row>
    <row r="49" spans="1:14">
      <c r="A49" s="12"/>
      <c r="B49" s="7"/>
      <c r="C49" s="8"/>
      <c r="D49" s="44"/>
      <c r="E49" s="44"/>
      <c r="F49" s="45" t="s">
        <v>1294</v>
      </c>
      <c r="G49" s="45"/>
      <c r="H49" s="44"/>
      <c r="I49" s="46"/>
      <c r="N49" s="49"/>
    </row>
    <row r="50" spans="1:14">
      <c r="A50" s="12"/>
      <c r="B50" s="7"/>
      <c r="C50" s="8"/>
      <c r="D50" s="44"/>
      <c r="E50" s="44"/>
      <c r="F50" s="45" t="s">
        <v>1295</v>
      </c>
      <c r="G50" s="151" t="s">
        <v>1581</v>
      </c>
      <c r="H50" s="152">
        <f>775*1.8</f>
        <v>1395</v>
      </c>
      <c r="I50" s="46"/>
      <c r="N50" s="49"/>
    </row>
    <row r="51" spans="1:14">
      <c r="A51" s="12"/>
      <c r="B51" s="7"/>
      <c r="C51" s="8"/>
      <c r="D51" s="44"/>
      <c r="E51" s="44"/>
      <c r="F51" s="45"/>
      <c r="G51" s="45"/>
      <c r="H51" s="44"/>
      <c r="I51" s="46"/>
      <c r="N51" s="49"/>
    </row>
    <row r="52" spans="1:14" ht="29.25" customHeight="1">
      <c r="A52" s="12" t="s">
        <v>257</v>
      </c>
      <c r="B52" s="7" t="s">
        <v>258</v>
      </c>
      <c r="C52" s="8" t="s">
        <v>23</v>
      </c>
      <c r="D52" s="44">
        <v>13251</v>
      </c>
      <c r="E52" s="44"/>
      <c r="F52" s="45" t="s">
        <v>1283</v>
      </c>
      <c r="G52" s="45" t="s">
        <v>1283</v>
      </c>
      <c r="H52" s="44">
        <v>10404</v>
      </c>
      <c r="I52" s="48">
        <f>H52</f>
        <v>10404</v>
      </c>
      <c r="M52" s="142">
        <v>10404</v>
      </c>
      <c r="N52" s="49">
        <f t="shared" si="0"/>
        <v>0</v>
      </c>
    </row>
    <row r="53" spans="1:14" ht="33">
      <c r="A53" s="12" t="s">
        <v>260</v>
      </c>
      <c r="B53" s="10" t="s">
        <v>261</v>
      </c>
      <c r="C53" s="8" t="s">
        <v>6</v>
      </c>
      <c r="D53" s="44">
        <v>4601.4399999999996</v>
      </c>
      <c r="E53" s="44"/>
      <c r="F53" s="45"/>
      <c r="G53" s="45"/>
      <c r="H53" s="44"/>
      <c r="I53" s="46" t="s">
        <v>243</v>
      </c>
      <c r="N53" s="49"/>
    </row>
    <row r="54" spans="1:14" ht="57">
      <c r="A54" s="12" t="s">
        <v>263</v>
      </c>
      <c r="B54" s="10" t="s">
        <v>264</v>
      </c>
      <c r="C54" s="8" t="s">
        <v>13</v>
      </c>
      <c r="D54" s="44">
        <v>2588.5</v>
      </c>
      <c r="E54" s="44"/>
      <c r="F54" s="45"/>
      <c r="G54" s="45"/>
      <c r="H54" s="44"/>
      <c r="I54" s="46" t="s">
        <v>243</v>
      </c>
      <c r="N54" s="49"/>
    </row>
    <row r="55" spans="1:14">
      <c r="A55" s="12"/>
      <c r="B55" s="7"/>
      <c r="C55" s="8"/>
      <c r="D55" s="44"/>
      <c r="E55" s="44"/>
      <c r="F55" s="45"/>
      <c r="G55" s="45"/>
      <c r="H55" s="44"/>
      <c r="I55" s="46"/>
      <c r="N55" s="49"/>
    </row>
    <row r="56" spans="1:14" ht="57">
      <c r="A56" s="12" t="s">
        <v>266</v>
      </c>
      <c r="B56" s="10" t="s">
        <v>267</v>
      </c>
      <c r="C56" s="8" t="s">
        <v>13</v>
      </c>
      <c r="D56" s="44">
        <v>9177</v>
      </c>
      <c r="E56" s="44"/>
      <c r="F56" s="45" t="s">
        <v>1284</v>
      </c>
      <c r="G56" s="45" t="s">
        <v>1297</v>
      </c>
      <c r="H56" s="44">
        <f>(7.5*55*2.5)+(9.6*37*2.5)+(7.1*243*2.5)</f>
        <v>6232.5</v>
      </c>
      <c r="I56" s="48">
        <f>H56</f>
        <v>6232.5</v>
      </c>
      <c r="M56" s="142">
        <v>4745</v>
      </c>
      <c r="N56" s="49">
        <f t="shared" si="0"/>
        <v>1487.5</v>
      </c>
    </row>
    <row r="57" spans="1:14">
      <c r="A57" s="12"/>
      <c r="B57" s="7"/>
      <c r="C57" s="8"/>
      <c r="D57" s="44"/>
      <c r="E57" s="44"/>
      <c r="F57" s="45"/>
      <c r="G57" s="45"/>
      <c r="H57" s="44"/>
      <c r="I57" s="48"/>
      <c r="N57" s="49"/>
    </row>
    <row r="58" spans="1:14" ht="42.75">
      <c r="A58" s="12" t="s">
        <v>269</v>
      </c>
      <c r="B58" s="10" t="s">
        <v>270</v>
      </c>
      <c r="C58" s="8" t="s">
        <v>8</v>
      </c>
      <c r="D58" s="44">
        <v>162.5</v>
      </c>
      <c r="E58" s="44"/>
      <c r="F58" s="45" t="s">
        <v>1298</v>
      </c>
      <c r="G58" s="45" t="s">
        <v>1299</v>
      </c>
      <c r="H58" s="44">
        <f>(27.9+9.6+7.5+7.1)</f>
        <v>52.1</v>
      </c>
      <c r="I58" s="48">
        <f t="shared" ref="I58:I64" si="1">H58</f>
        <v>52.1</v>
      </c>
      <c r="M58" s="142">
        <v>0</v>
      </c>
      <c r="N58" s="49">
        <f t="shared" si="0"/>
        <v>52.1</v>
      </c>
    </row>
    <row r="59" spans="1:14">
      <c r="A59" s="12"/>
      <c r="B59" s="7"/>
      <c r="C59" s="8"/>
      <c r="D59" s="44"/>
      <c r="E59" s="44"/>
      <c r="F59" s="45"/>
      <c r="G59" s="45"/>
      <c r="H59" s="44"/>
      <c r="I59" s="48"/>
      <c r="M59" s="30"/>
      <c r="N59" s="49"/>
    </row>
    <row r="60" spans="1:14" ht="42.75">
      <c r="A60" s="12" t="s">
        <v>272</v>
      </c>
      <c r="B60" s="10" t="s">
        <v>273</v>
      </c>
      <c r="C60" s="8" t="s">
        <v>13</v>
      </c>
      <c r="D60" s="44">
        <v>5217.7</v>
      </c>
      <c r="E60" s="44"/>
      <c r="F60" s="50" t="s">
        <v>1437</v>
      </c>
      <c r="G60" s="50" t="s">
        <v>1300</v>
      </c>
      <c r="H60" s="44">
        <v>3637</v>
      </c>
      <c r="I60" s="48">
        <f t="shared" si="1"/>
        <v>3637</v>
      </c>
      <c r="M60" s="142">
        <v>3637</v>
      </c>
      <c r="N60" s="49">
        <f t="shared" si="0"/>
        <v>0</v>
      </c>
    </row>
    <row r="61" spans="1:14">
      <c r="A61" s="12"/>
      <c r="B61" s="7"/>
      <c r="C61" s="8"/>
      <c r="D61" s="44"/>
      <c r="E61" s="44"/>
      <c r="F61" s="45"/>
      <c r="G61" s="45"/>
      <c r="H61" s="44"/>
      <c r="I61" s="48"/>
      <c r="M61" s="30"/>
      <c r="N61" s="49"/>
    </row>
    <row r="62" spans="1:14" ht="31.5">
      <c r="A62" s="12" t="s">
        <v>275</v>
      </c>
      <c r="B62" s="7" t="s">
        <v>276</v>
      </c>
      <c r="C62" s="8" t="s">
        <v>6</v>
      </c>
      <c r="D62" s="44">
        <v>782.66</v>
      </c>
      <c r="E62" s="44"/>
      <c r="F62" s="45" t="s">
        <v>1282</v>
      </c>
      <c r="G62" s="151" t="s">
        <v>1580</v>
      </c>
      <c r="H62" s="152">
        <f>61+14</f>
        <v>75</v>
      </c>
      <c r="I62" s="48">
        <f t="shared" si="1"/>
        <v>75</v>
      </c>
      <c r="M62" s="142">
        <v>61</v>
      </c>
      <c r="N62" s="49">
        <f t="shared" si="0"/>
        <v>14</v>
      </c>
    </row>
    <row r="63" spans="1:14" ht="33">
      <c r="A63" s="12" t="s">
        <v>278</v>
      </c>
      <c r="B63" s="7" t="s">
        <v>279</v>
      </c>
      <c r="C63" s="8" t="s">
        <v>14</v>
      </c>
      <c r="D63" s="44">
        <v>425</v>
      </c>
      <c r="E63" s="44"/>
      <c r="F63" s="45" t="s">
        <v>1301</v>
      </c>
      <c r="G63" s="45">
        <v>425</v>
      </c>
      <c r="H63" s="44">
        <v>425</v>
      </c>
      <c r="I63" s="48">
        <f t="shared" si="1"/>
        <v>425</v>
      </c>
      <c r="M63" s="142">
        <v>425</v>
      </c>
      <c r="N63" s="49">
        <f t="shared" si="0"/>
        <v>0</v>
      </c>
    </row>
    <row r="64" spans="1:14" ht="43.5" customHeight="1">
      <c r="A64" s="12" t="s">
        <v>281</v>
      </c>
      <c r="B64" s="10" t="s">
        <v>282</v>
      </c>
      <c r="C64" s="8" t="s">
        <v>8</v>
      </c>
      <c r="D64" s="44">
        <v>255.5</v>
      </c>
      <c r="E64" s="44"/>
      <c r="F64" s="45" t="s">
        <v>1302</v>
      </c>
      <c r="G64" s="45" t="s">
        <v>1303</v>
      </c>
      <c r="H64" s="44">
        <f>35+(55-0.5*7)+(27*8+6.5+5.3)</f>
        <v>314.3</v>
      </c>
      <c r="I64" s="48">
        <f t="shared" si="1"/>
        <v>314.3</v>
      </c>
      <c r="M64" s="142">
        <v>176</v>
      </c>
      <c r="N64" s="49">
        <f t="shared" si="0"/>
        <v>138.30000000000001</v>
      </c>
    </row>
    <row r="65" spans="1:14">
      <c r="A65" s="12"/>
      <c r="B65" s="7"/>
      <c r="C65" s="8"/>
      <c r="D65" s="44"/>
      <c r="E65" s="44"/>
      <c r="F65" s="45"/>
      <c r="G65" s="45"/>
      <c r="H65" s="44"/>
      <c r="I65" s="46"/>
      <c r="N65" s="49"/>
    </row>
    <row r="66" spans="1:14">
      <c r="A66" s="12"/>
      <c r="B66" s="7"/>
      <c r="C66" s="8"/>
      <c r="D66" s="44"/>
      <c r="E66" s="44"/>
      <c r="F66" s="45"/>
      <c r="G66" s="45"/>
      <c r="H66" s="44"/>
      <c r="I66" s="46"/>
      <c r="N66" s="49"/>
    </row>
    <row r="67" spans="1:14" ht="31.5">
      <c r="A67" s="12" t="s">
        <v>284</v>
      </c>
      <c r="B67" s="7" t="s">
        <v>285</v>
      </c>
      <c r="C67" s="8" t="s">
        <v>286</v>
      </c>
      <c r="D67" s="44">
        <v>2204</v>
      </c>
      <c r="E67" s="44"/>
      <c r="F67" s="45" t="s">
        <v>1282</v>
      </c>
      <c r="G67" s="151" t="s">
        <v>1582</v>
      </c>
      <c r="H67" s="152">
        <f>1633+306</f>
        <v>1939</v>
      </c>
      <c r="I67" s="48">
        <f>H67</f>
        <v>1939</v>
      </c>
      <c r="M67" s="142">
        <v>1633</v>
      </c>
      <c r="N67" s="49">
        <f t="shared" si="0"/>
        <v>306</v>
      </c>
    </row>
    <row r="68" spans="1:14" ht="33">
      <c r="A68" s="12" t="s">
        <v>288</v>
      </c>
      <c r="B68" s="7" t="s">
        <v>289</v>
      </c>
      <c r="C68" s="8" t="s">
        <v>290</v>
      </c>
      <c r="D68" s="44">
        <v>66</v>
      </c>
      <c r="E68" s="44"/>
      <c r="F68" s="45" t="s">
        <v>1304</v>
      </c>
      <c r="G68" s="45" t="s">
        <v>1305</v>
      </c>
      <c r="H68" s="44">
        <f>9+12+22*2</f>
        <v>65</v>
      </c>
      <c r="I68" s="48">
        <f t="shared" ref="I68:I72" si="2">H68</f>
        <v>65</v>
      </c>
      <c r="M68" s="142">
        <v>65</v>
      </c>
      <c r="N68" s="49">
        <f t="shared" si="0"/>
        <v>0</v>
      </c>
    </row>
    <row r="69" spans="1:14">
      <c r="A69" s="12" t="s">
        <v>292</v>
      </c>
      <c r="B69" s="7" t="s">
        <v>293</v>
      </c>
      <c r="C69" s="8" t="s">
        <v>0</v>
      </c>
      <c r="D69" s="44">
        <v>18</v>
      </c>
      <c r="E69" s="44"/>
      <c r="F69" s="45"/>
      <c r="G69" s="151" t="s">
        <v>1306</v>
      </c>
      <c r="H69" s="152">
        <v>18</v>
      </c>
      <c r="I69" s="48">
        <f t="shared" si="2"/>
        <v>18</v>
      </c>
      <c r="M69" s="142">
        <v>14</v>
      </c>
      <c r="N69" s="49">
        <f t="shared" si="0"/>
        <v>4</v>
      </c>
    </row>
    <row r="70" spans="1:14">
      <c r="A70" s="12" t="s">
        <v>295</v>
      </c>
      <c r="B70" s="7" t="s">
        <v>296</v>
      </c>
      <c r="C70" s="8" t="s">
        <v>0</v>
      </c>
      <c r="D70" s="44">
        <v>4</v>
      </c>
      <c r="E70" s="44"/>
      <c r="F70" s="45"/>
      <c r="G70" s="45"/>
      <c r="H70" s="44"/>
      <c r="I70" s="48">
        <f t="shared" si="2"/>
        <v>0</v>
      </c>
      <c r="M70" s="142">
        <v>0</v>
      </c>
      <c r="N70" s="49">
        <f t="shared" si="0"/>
        <v>0</v>
      </c>
    </row>
    <row r="71" spans="1:14">
      <c r="A71" s="12" t="s">
        <v>298</v>
      </c>
      <c r="B71" s="7" t="s">
        <v>299</v>
      </c>
      <c r="C71" s="8" t="s">
        <v>0</v>
      </c>
      <c r="D71" s="44">
        <v>20</v>
      </c>
      <c r="E71" s="44"/>
      <c r="F71" s="45" t="s">
        <v>1230</v>
      </c>
      <c r="G71" s="151"/>
      <c r="H71" s="152">
        <v>20</v>
      </c>
      <c r="I71" s="48">
        <f t="shared" si="2"/>
        <v>20</v>
      </c>
      <c r="M71" s="142">
        <v>0</v>
      </c>
      <c r="N71" s="49">
        <f>I71-M71</f>
        <v>20</v>
      </c>
    </row>
    <row r="72" spans="1:14">
      <c r="A72" s="12" t="s">
        <v>301</v>
      </c>
      <c r="B72" s="7" t="s">
        <v>302</v>
      </c>
      <c r="C72" s="8" t="s">
        <v>0</v>
      </c>
      <c r="D72" s="44">
        <v>15</v>
      </c>
      <c r="E72" s="44"/>
      <c r="F72" s="45" t="s">
        <v>1307</v>
      </c>
      <c r="G72" s="45">
        <v>10</v>
      </c>
      <c r="H72" s="44">
        <v>10</v>
      </c>
      <c r="I72" s="48">
        <f t="shared" si="2"/>
        <v>10</v>
      </c>
      <c r="M72" s="142">
        <v>10</v>
      </c>
      <c r="N72" s="49">
        <f t="shared" si="0"/>
        <v>0</v>
      </c>
    </row>
    <row r="73" spans="1:14">
      <c r="A73" s="12"/>
      <c r="B73" s="7"/>
      <c r="C73" s="8"/>
      <c r="D73" s="44"/>
      <c r="E73" s="44"/>
      <c r="F73" s="45"/>
      <c r="G73" s="45"/>
      <c r="H73" s="44"/>
      <c r="I73" s="46"/>
      <c r="N73" s="49"/>
    </row>
    <row r="74" spans="1:14" ht="28.5">
      <c r="A74" s="12" t="s">
        <v>304</v>
      </c>
      <c r="B74" s="10" t="s">
        <v>1308</v>
      </c>
      <c r="C74" s="8" t="s">
        <v>4</v>
      </c>
      <c r="D74" s="44">
        <v>1</v>
      </c>
      <c r="E74" s="44"/>
      <c r="F74" s="45" t="s">
        <v>1309</v>
      </c>
      <c r="G74" s="45"/>
      <c r="H74" s="44">
        <v>1</v>
      </c>
      <c r="I74" s="48">
        <f>H74</f>
        <v>1</v>
      </c>
      <c r="M74" s="142">
        <v>1</v>
      </c>
      <c r="N74" s="49">
        <f t="shared" ref="N74:N117" si="3">I74-M74</f>
        <v>0</v>
      </c>
    </row>
    <row r="75" spans="1:14" ht="42.75">
      <c r="A75" s="12" t="s">
        <v>307</v>
      </c>
      <c r="B75" s="10" t="s">
        <v>31</v>
      </c>
      <c r="C75" s="8" t="s">
        <v>16</v>
      </c>
      <c r="D75" s="44">
        <v>30800</v>
      </c>
      <c r="E75" s="44"/>
      <c r="F75" s="45" t="s">
        <v>1310</v>
      </c>
      <c r="G75" s="151" t="s">
        <v>1583</v>
      </c>
      <c r="H75" s="152">
        <f>14761+3220</f>
        <v>17981</v>
      </c>
      <c r="I75" s="48">
        <f t="shared" ref="I75:I77" si="4">H75</f>
        <v>17981</v>
      </c>
      <c r="M75" s="142">
        <v>14761</v>
      </c>
      <c r="N75" s="49">
        <f t="shared" si="3"/>
        <v>3220</v>
      </c>
    </row>
    <row r="76" spans="1:14" ht="28.5">
      <c r="A76" s="12" t="s">
        <v>1311</v>
      </c>
      <c r="B76" s="10" t="s">
        <v>1312</v>
      </c>
      <c r="C76" s="8" t="s">
        <v>13</v>
      </c>
      <c r="D76" s="44"/>
      <c r="E76" s="44">
        <v>2150</v>
      </c>
      <c r="F76" s="45" t="s">
        <v>1317</v>
      </c>
      <c r="G76" s="45">
        <v>2150</v>
      </c>
      <c r="H76" s="44">
        <v>2150</v>
      </c>
      <c r="I76" s="48">
        <f t="shared" si="4"/>
        <v>2150</v>
      </c>
      <c r="M76" s="142">
        <v>2150</v>
      </c>
      <c r="N76" s="49">
        <f t="shared" si="3"/>
        <v>0</v>
      </c>
    </row>
    <row r="77" spans="1:14">
      <c r="A77" s="12" t="s">
        <v>1313</v>
      </c>
      <c r="B77" s="7" t="s">
        <v>1314</v>
      </c>
      <c r="C77" s="8" t="s">
        <v>1315</v>
      </c>
      <c r="D77" s="44"/>
      <c r="E77" s="44">
        <v>111</v>
      </c>
      <c r="F77" s="50" t="s">
        <v>1316</v>
      </c>
      <c r="G77" s="50" t="s">
        <v>1316</v>
      </c>
      <c r="H77" s="44">
        <v>86</v>
      </c>
      <c r="I77" s="48">
        <f t="shared" si="4"/>
        <v>86</v>
      </c>
      <c r="M77" s="142">
        <v>86</v>
      </c>
      <c r="N77" s="49">
        <f t="shared" si="3"/>
        <v>0</v>
      </c>
    </row>
    <row r="78" spans="1:14" ht="33">
      <c r="A78" s="145" t="s">
        <v>46</v>
      </c>
      <c r="B78" s="146" t="s">
        <v>309</v>
      </c>
      <c r="C78" s="147" t="s">
        <v>4</v>
      </c>
      <c r="D78" s="148">
        <v>1</v>
      </c>
      <c r="E78" s="148"/>
      <c r="F78" s="149"/>
      <c r="G78" s="149"/>
      <c r="H78" s="148"/>
      <c r="I78" s="150" t="s">
        <v>243</v>
      </c>
      <c r="N78" s="49"/>
    </row>
    <row r="79" spans="1:14" ht="33">
      <c r="A79" s="12" t="s">
        <v>47</v>
      </c>
      <c r="B79" s="7" t="s">
        <v>310</v>
      </c>
      <c r="C79" s="8" t="s">
        <v>223</v>
      </c>
      <c r="D79" s="44">
        <v>1887.64</v>
      </c>
      <c r="E79" s="44"/>
      <c r="F79" s="45"/>
      <c r="G79" s="45"/>
      <c r="H79" s="44"/>
      <c r="I79" s="46" t="s">
        <v>243</v>
      </c>
      <c r="M79" s="142">
        <v>0</v>
      </c>
      <c r="N79" s="49"/>
    </row>
    <row r="80" spans="1:14" ht="33">
      <c r="A80" s="12" t="s">
        <v>48</v>
      </c>
      <c r="B80" s="10" t="s">
        <v>312</v>
      </c>
      <c r="C80" s="8" t="s">
        <v>223</v>
      </c>
      <c r="D80" s="44">
        <v>402.21</v>
      </c>
      <c r="E80" s="44"/>
      <c r="F80" s="45"/>
      <c r="G80" s="45"/>
      <c r="H80" s="44"/>
      <c r="I80" s="46" t="s">
        <v>243</v>
      </c>
      <c r="M80" s="142">
        <v>0</v>
      </c>
      <c r="N80" s="49"/>
    </row>
    <row r="81" spans="1:14" ht="21.95" customHeight="1">
      <c r="A81" s="12" t="s">
        <v>49</v>
      </c>
      <c r="B81" s="7" t="s">
        <v>192</v>
      </c>
      <c r="C81" s="8" t="s">
        <v>17</v>
      </c>
      <c r="D81" s="44">
        <v>18865.759999999998</v>
      </c>
      <c r="E81" s="44"/>
      <c r="F81" s="45"/>
      <c r="G81" s="45"/>
      <c r="H81" s="44"/>
      <c r="I81" s="46" t="s">
        <v>243</v>
      </c>
      <c r="M81" s="142">
        <v>0</v>
      </c>
      <c r="N81" s="49"/>
    </row>
    <row r="82" spans="1:14" ht="33">
      <c r="A82" s="12" t="s">
        <v>50</v>
      </c>
      <c r="B82" s="10" t="s">
        <v>315</v>
      </c>
      <c r="C82" s="8" t="s">
        <v>6</v>
      </c>
      <c r="D82" s="44">
        <v>107.91</v>
      </c>
      <c r="E82" s="44"/>
      <c r="F82" s="45"/>
      <c r="G82" s="45"/>
      <c r="H82" s="44"/>
      <c r="I82" s="46" t="s">
        <v>243</v>
      </c>
      <c r="M82" s="142">
        <v>0</v>
      </c>
      <c r="N82" s="49"/>
    </row>
    <row r="83" spans="1:14" ht="33">
      <c r="A83" s="12" t="s">
        <v>51</v>
      </c>
      <c r="B83" s="10" t="s">
        <v>24</v>
      </c>
      <c r="C83" s="8" t="s">
        <v>6</v>
      </c>
      <c r="D83" s="44">
        <v>564.01</v>
      </c>
      <c r="E83" s="44"/>
      <c r="F83" s="45"/>
      <c r="G83" s="45"/>
      <c r="H83" s="44"/>
      <c r="I83" s="46" t="s">
        <v>243</v>
      </c>
      <c r="M83" s="142">
        <v>0</v>
      </c>
      <c r="N83" s="49"/>
    </row>
    <row r="84" spans="1:14" ht="21.95" customHeight="1">
      <c r="A84" s="12" t="s">
        <v>52</v>
      </c>
      <c r="B84" s="7" t="s">
        <v>193</v>
      </c>
      <c r="C84" s="8" t="s">
        <v>13</v>
      </c>
      <c r="D84" s="44">
        <v>1926.87</v>
      </c>
      <c r="E84" s="44"/>
      <c r="F84" s="45"/>
      <c r="G84" s="45"/>
      <c r="H84" s="44"/>
      <c r="I84" s="46" t="s">
        <v>243</v>
      </c>
      <c r="M84" s="142">
        <v>0</v>
      </c>
      <c r="N84" s="49"/>
    </row>
    <row r="85" spans="1:14" ht="21.95" customHeight="1">
      <c r="A85" s="12" t="s">
        <v>53</v>
      </c>
      <c r="B85" s="7" t="s">
        <v>319</v>
      </c>
      <c r="C85" s="8" t="s">
        <v>13</v>
      </c>
      <c r="D85" s="44">
        <v>301.33</v>
      </c>
      <c r="E85" s="44"/>
      <c r="F85" s="45"/>
      <c r="G85" s="45"/>
      <c r="H85" s="44"/>
      <c r="I85" s="46" t="s">
        <v>243</v>
      </c>
      <c r="M85" s="142">
        <v>0</v>
      </c>
      <c r="N85" s="49"/>
    </row>
    <row r="86" spans="1:14" ht="21.95" customHeight="1">
      <c r="A86" s="12" t="s">
        <v>54</v>
      </c>
      <c r="B86" s="7" t="s">
        <v>321</v>
      </c>
      <c r="C86" s="8" t="s">
        <v>17</v>
      </c>
      <c r="D86" s="44">
        <v>5991.34</v>
      </c>
      <c r="E86" s="44"/>
      <c r="F86" s="45"/>
      <c r="G86" s="45"/>
      <c r="H86" s="44"/>
      <c r="I86" s="46" t="s">
        <v>243</v>
      </c>
      <c r="M86" s="142">
        <v>0</v>
      </c>
      <c r="N86" s="49"/>
    </row>
    <row r="87" spans="1:14" ht="47.25">
      <c r="A87" s="12" t="s">
        <v>55</v>
      </c>
      <c r="B87" s="7" t="s">
        <v>323</v>
      </c>
      <c r="C87" s="8" t="s">
        <v>17</v>
      </c>
      <c r="D87" s="44">
        <v>5991.34</v>
      </c>
      <c r="E87" s="44"/>
      <c r="F87" s="45"/>
      <c r="G87" s="45"/>
      <c r="H87" s="44"/>
      <c r="I87" s="46" t="s">
        <v>243</v>
      </c>
      <c r="M87" s="142">
        <v>0</v>
      </c>
      <c r="N87" s="49"/>
    </row>
    <row r="88" spans="1:14" ht="56.25">
      <c r="A88" s="12" t="s">
        <v>56</v>
      </c>
      <c r="B88" s="53" t="s">
        <v>325</v>
      </c>
      <c r="C88" s="8" t="s">
        <v>17</v>
      </c>
      <c r="D88" s="44">
        <v>1180.03</v>
      </c>
      <c r="E88" s="44"/>
      <c r="F88" s="45"/>
      <c r="G88" s="45"/>
      <c r="H88" s="44"/>
      <c r="I88" s="46" t="s">
        <v>243</v>
      </c>
      <c r="M88" s="142">
        <v>0</v>
      </c>
      <c r="N88" s="49"/>
    </row>
    <row r="89" spans="1:14" ht="21.95" customHeight="1">
      <c r="A89" s="12" t="s">
        <v>57</v>
      </c>
      <c r="B89" s="7" t="s">
        <v>327</v>
      </c>
      <c r="C89" s="8" t="s">
        <v>13</v>
      </c>
      <c r="D89" s="44">
        <v>3879.21</v>
      </c>
      <c r="E89" s="44"/>
      <c r="F89" s="45"/>
      <c r="G89" s="45"/>
      <c r="H89" s="44"/>
      <c r="I89" s="46" t="s">
        <v>243</v>
      </c>
      <c r="M89" s="142">
        <v>0</v>
      </c>
      <c r="N89" s="49"/>
    </row>
    <row r="90" spans="1:14" ht="42.75">
      <c r="A90" s="12" t="s">
        <v>58</v>
      </c>
      <c r="B90" s="10" t="s">
        <v>329</v>
      </c>
      <c r="C90" s="8" t="s">
        <v>13</v>
      </c>
      <c r="D90" s="44">
        <v>462.9</v>
      </c>
      <c r="E90" s="44"/>
      <c r="F90" s="45"/>
      <c r="G90" s="45"/>
      <c r="H90" s="44"/>
      <c r="I90" s="46" t="s">
        <v>243</v>
      </c>
      <c r="M90" s="142">
        <v>0</v>
      </c>
      <c r="N90" s="49"/>
    </row>
    <row r="91" spans="1:14" ht="21.95" customHeight="1">
      <c r="A91" s="12" t="s">
        <v>59</v>
      </c>
      <c r="B91" s="7" t="s">
        <v>331</v>
      </c>
      <c r="C91" s="8" t="s">
        <v>13</v>
      </c>
      <c r="D91" s="44">
        <v>5.09</v>
      </c>
      <c r="E91" s="44"/>
      <c r="F91" s="45"/>
      <c r="G91" s="45"/>
      <c r="H91" s="44"/>
      <c r="I91" s="46" t="s">
        <v>243</v>
      </c>
      <c r="M91" s="142">
        <v>0</v>
      </c>
      <c r="N91" s="49"/>
    </row>
    <row r="92" spans="1:14" ht="21.95" customHeight="1">
      <c r="A92" s="12" t="s">
        <v>60</v>
      </c>
      <c r="B92" s="7" t="s">
        <v>333</v>
      </c>
      <c r="C92" s="8" t="s">
        <v>13</v>
      </c>
      <c r="D92" s="44">
        <v>18.760000000000002</v>
      </c>
      <c r="E92" s="44"/>
      <c r="F92" s="45"/>
      <c r="G92" s="45"/>
      <c r="H92" s="44"/>
      <c r="I92" s="46" t="s">
        <v>243</v>
      </c>
      <c r="M92" s="142">
        <v>0</v>
      </c>
      <c r="N92" s="49"/>
    </row>
    <row r="93" spans="1:14" ht="21.95" customHeight="1">
      <c r="A93" s="12" t="s">
        <v>61</v>
      </c>
      <c r="B93" s="7" t="s">
        <v>335</v>
      </c>
      <c r="C93" s="8" t="s">
        <v>13</v>
      </c>
      <c r="D93" s="44">
        <v>118.92</v>
      </c>
      <c r="E93" s="44"/>
      <c r="F93" s="45"/>
      <c r="G93" s="45"/>
      <c r="H93" s="44"/>
      <c r="I93" s="46" t="s">
        <v>243</v>
      </c>
      <c r="M93" s="142">
        <v>0</v>
      </c>
      <c r="N93" s="49"/>
    </row>
    <row r="94" spans="1:14" ht="21.95" customHeight="1">
      <c r="A94" s="12" t="s">
        <v>62</v>
      </c>
      <c r="B94" s="7" t="s">
        <v>337</v>
      </c>
      <c r="C94" s="8" t="s">
        <v>13</v>
      </c>
      <c r="D94" s="44">
        <v>173.3</v>
      </c>
      <c r="E94" s="44"/>
      <c r="F94" s="45"/>
      <c r="G94" s="45"/>
      <c r="H94" s="44"/>
      <c r="I94" s="46" t="s">
        <v>243</v>
      </c>
      <c r="M94" s="142">
        <v>0</v>
      </c>
      <c r="N94" s="49"/>
    </row>
    <row r="95" spans="1:14" ht="21.95" customHeight="1">
      <c r="A95" s="12" t="s">
        <v>63</v>
      </c>
      <c r="B95" s="7" t="s">
        <v>339</v>
      </c>
      <c r="C95" s="8" t="s">
        <v>0</v>
      </c>
      <c r="D95" s="44">
        <v>1</v>
      </c>
      <c r="E95" s="44"/>
      <c r="F95" s="45"/>
      <c r="G95" s="45"/>
      <c r="H95" s="44"/>
      <c r="I95" s="46" t="s">
        <v>243</v>
      </c>
      <c r="M95" s="142">
        <v>0</v>
      </c>
      <c r="N95" s="49"/>
    </row>
    <row r="96" spans="1:14" ht="21.95" customHeight="1">
      <c r="A96" s="12" t="s">
        <v>64</v>
      </c>
      <c r="B96" s="7" t="s">
        <v>341</v>
      </c>
      <c r="C96" s="8" t="s">
        <v>223</v>
      </c>
      <c r="D96" s="44">
        <v>156.68</v>
      </c>
      <c r="E96" s="44"/>
      <c r="F96" s="45"/>
      <c r="G96" s="45"/>
      <c r="H96" s="44"/>
      <c r="I96" s="46" t="s">
        <v>243</v>
      </c>
      <c r="M96" s="142">
        <v>0</v>
      </c>
      <c r="N96" s="49"/>
    </row>
    <row r="97" spans="1:14" ht="21.95" customHeight="1">
      <c r="A97" s="12" t="s">
        <v>65</v>
      </c>
      <c r="B97" s="7" t="s">
        <v>343</v>
      </c>
      <c r="C97" s="8" t="s">
        <v>8</v>
      </c>
      <c r="D97" s="44">
        <v>689.86</v>
      </c>
      <c r="E97" s="44"/>
      <c r="F97" s="45"/>
      <c r="G97" s="45"/>
      <c r="H97" s="44"/>
      <c r="I97" s="46" t="s">
        <v>243</v>
      </c>
      <c r="M97" s="142">
        <v>0</v>
      </c>
      <c r="N97" s="49"/>
    </row>
    <row r="98" spans="1:14" ht="21.95" customHeight="1">
      <c r="A98" s="12" t="s">
        <v>66</v>
      </c>
      <c r="B98" s="7" t="s">
        <v>345</v>
      </c>
      <c r="C98" s="8" t="s">
        <v>8</v>
      </c>
      <c r="D98" s="44">
        <v>12.91</v>
      </c>
      <c r="E98" s="44"/>
      <c r="F98" s="45"/>
      <c r="G98" s="45"/>
      <c r="H98" s="44"/>
      <c r="I98" s="46" t="s">
        <v>243</v>
      </c>
      <c r="M98" s="142">
        <v>0</v>
      </c>
      <c r="N98" s="49"/>
    </row>
    <row r="99" spans="1:14" ht="21.95" customHeight="1">
      <c r="A99" s="12" t="s">
        <v>67</v>
      </c>
      <c r="B99" s="7" t="s">
        <v>347</v>
      </c>
      <c r="C99" s="8" t="s">
        <v>8</v>
      </c>
      <c r="D99" s="44">
        <v>56.09</v>
      </c>
      <c r="E99" s="44"/>
      <c r="F99" s="45"/>
      <c r="G99" s="45"/>
      <c r="H99" s="44"/>
      <c r="I99" s="46" t="s">
        <v>243</v>
      </c>
      <c r="M99" s="142">
        <v>0</v>
      </c>
      <c r="N99" s="49"/>
    </row>
    <row r="100" spans="1:14" ht="21.95" customHeight="1">
      <c r="A100" s="12" t="s">
        <v>68</v>
      </c>
      <c r="B100" s="7" t="s">
        <v>349</v>
      </c>
      <c r="C100" s="8" t="s">
        <v>8</v>
      </c>
      <c r="D100" s="44">
        <v>656.91</v>
      </c>
      <c r="E100" s="44"/>
      <c r="F100" s="45"/>
      <c r="G100" s="45"/>
      <c r="H100" s="44"/>
      <c r="I100" s="46" t="s">
        <v>243</v>
      </c>
      <c r="M100" s="142">
        <v>0</v>
      </c>
      <c r="N100" s="49"/>
    </row>
    <row r="101" spans="1:14" ht="21.95" customHeight="1">
      <c r="A101" s="12" t="s">
        <v>69</v>
      </c>
      <c r="B101" s="7" t="s">
        <v>351</v>
      </c>
      <c r="C101" s="8" t="s">
        <v>8</v>
      </c>
      <c r="D101" s="44">
        <v>1254.1300000000001</v>
      </c>
      <c r="E101" s="44"/>
      <c r="F101" s="45"/>
      <c r="G101" s="45"/>
      <c r="H101" s="44"/>
      <c r="I101" s="46" t="s">
        <v>243</v>
      </c>
      <c r="M101" s="142">
        <v>0</v>
      </c>
      <c r="N101" s="49"/>
    </row>
    <row r="102" spans="1:14" ht="21.95" customHeight="1">
      <c r="A102" s="12" t="s">
        <v>70</v>
      </c>
      <c r="B102" s="7" t="s">
        <v>353</v>
      </c>
      <c r="C102" s="8" t="s">
        <v>8</v>
      </c>
      <c r="D102" s="44">
        <v>44.64</v>
      </c>
      <c r="E102" s="44"/>
      <c r="F102" s="45"/>
      <c r="G102" s="45"/>
      <c r="H102" s="44"/>
      <c r="I102" s="46" t="s">
        <v>243</v>
      </c>
      <c r="M102" s="142">
        <v>0</v>
      </c>
      <c r="N102" s="49"/>
    </row>
    <row r="103" spans="1:14" ht="21.95" customHeight="1">
      <c r="A103" s="12" t="s">
        <v>71</v>
      </c>
      <c r="B103" s="7" t="s">
        <v>355</v>
      </c>
      <c r="C103" s="8" t="s">
        <v>8</v>
      </c>
      <c r="D103" s="44">
        <v>142.26</v>
      </c>
      <c r="E103" s="44"/>
      <c r="F103" s="45"/>
      <c r="G103" s="45"/>
      <c r="H103" s="44"/>
      <c r="I103" s="46" t="s">
        <v>243</v>
      </c>
      <c r="M103" s="142">
        <v>0</v>
      </c>
      <c r="N103" s="49"/>
    </row>
    <row r="104" spans="1:14" ht="21.95" customHeight="1">
      <c r="A104" s="12" t="s">
        <v>72</v>
      </c>
      <c r="B104" s="7" t="s">
        <v>357</v>
      </c>
      <c r="C104" s="8" t="s">
        <v>8</v>
      </c>
      <c r="D104" s="44">
        <v>8.5</v>
      </c>
      <c r="E104" s="44"/>
      <c r="F104" s="45"/>
      <c r="G104" s="45"/>
      <c r="H104" s="44"/>
      <c r="I104" s="46" t="s">
        <v>243</v>
      </c>
      <c r="M104" s="142">
        <v>0</v>
      </c>
      <c r="N104" s="49"/>
    </row>
    <row r="105" spans="1:14" ht="21.95" customHeight="1">
      <c r="A105" s="12" t="s">
        <v>73</v>
      </c>
      <c r="B105" s="7" t="s">
        <v>359</v>
      </c>
      <c r="C105" s="8" t="s">
        <v>13</v>
      </c>
      <c r="D105" s="44">
        <v>20.48</v>
      </c>
      <c r="E105" s="44"/>
      <c r="F105" s="45"/>
      <c r="G105" s="45"/>
      <c r="H105" s="44"/>
      <c r="I105" s="46" t="s">
        <v>243</v>
      </c>
      <c r="M105" s="142">
        <v>0</v>
      </c>
      <c r="N105" s="49"/>
    </row>
    <row r="106" spans="1:14" ht="21.95" customHeight="1">
      <c r="A106" s="12" t="s">
        <v>74</v>
      </c>
      <c r="B106" s="7" t="s">
        <v>361</v>
      </c>
      <c r="C106" s="8" t="s">
        <v>8</v>
      </c>
      <c r="D106" s="44">
        <v>56.1</v>
      </c>
      <c r="E106" s="44"/>
      <c r="F106" s="45"/>
      <c r="G106" s="45"/>
      <c r="H106" s="44"/>
      <c r="I106" s="46" t="s">
        <v>243</v>
      </c>
      <c r="M106" s="142">
        <v>0</v>
      </c>
      <c r="N106" s="49"/>
    </row>
    <row r="107" spans="1:14" ht="21.95" customHeight="1">
      <c r="A107" s="12" t="s">
        <v>75</v>
      </c>
      <c r="B107" s="7" t="s">
        <v>363</v>
      </c>
      <c r="C107" s="8" t="s">
        <v>8</v>
      </c>
      <c r="D107" s="44">
        <v>16.600000000000001</v>
      </c>
      <c r="E107" s="44"/>
      <c r="F107" s="45"/>
      <c r="G107" s="45"/>
      <c r="H107" s="44"/>
      <c r="I107" s="46" t="s">
        <v>243</v>
      </c>
      <c r="M107" s="142">
        <v>0</v>
      </c>
      <c r="N107" s="49"/>
    </row>
    <row r="108" spans="1:14" ht="21.95" customHeight="1">
      <c r="A108" s="12" t="s">
        <v>76</v>
      </c>
      <c r="B108" s="7" t="s">
        <v>365</v>
      </c>
      <c r="C108" s="8" t="s">
        <v>8</v>
      </c>
      <c r="D108" s="44">
        <v>2</v>
      </c>
      <c r="E108" s="44"/>
      <c r="F108" s="45"/>
      <c r="G108" s="45"/>
      <c r="H108" s="44"/>
      <c r="I108" s="46" t="s">
        <v>243</v>
      </c>
      <c r="M108" s="142">
        <v>0</v>
      </c>
      <c r="N108" s="49"/>
    </row>
    <row r="109" spans="1:14" ht="21.95" customHeight="1">
      <c r="A109" s="12" t="s">
        <v>215</v>
      </c>
      <c r="B109" s="7" t="s">
        <v>367</v>
      </c>
      <c r="C109" s="8" t="s">
        <v>0</v>
      </c>
      <c r="D109" s="44">
        <v>7</v>
      </c>
      <c r="E109" s="44"/>
      <c r="F109" s="45"/>
      <c r="G109" s="45"/>
      <c r="H109" s="44"/>
      <c r="I109" s="46" t="s">
        <v>243</v>
      </c>
      <c r="M109" s="142">
        <v>0</v>
      </c>
      <c r="N109" s="49"/>
    </row>
    <row r="110" spans="1:14" ht="21.95" customHeight="1">
      <c r="A110" s="12" t="s">
        <v>216</v>
      </c>
      <c r="B110" s="7" t="s">
        <v>369</v>
      </c>
      <c r="C110" s="8" t="s">
        <v>8</v>
      </c>
      <c r="D110" s="44">
        <v>19.2</v>
      </c>
      <c r="E110" s="44"/>
      <c r="F110" s="45"/>
      <c r="G110" s="45"/>
      <c r="H110" s="44"/>
      <c r="I110" s="46" t="s">
        <v>243</v>
      </c>
      <c r="M110" s="142">
        <v>0</v>
      </c>
      <c r="N110" s="49"/>
    </row>
    <row r="111" spans="1:14" ht="21.95" customHeight="1">
      <c r="A111" s="12" t="s">
        <v>371</v>
      </c>
      <c r="B111" s="7" t="s">
        <v>372</v>
      </c>
      <c r="C111" s="8" t="s">
        <v>0</v>
      </c>
      <c r="D111" s="44">
        <v>2</v>
      </c>
      <c r="E111" s="44"/>
      <c r="F111" s="45"/>
      <c r="G111" s="45"/>
      <c r="H111" s="44"/>
      <c r="I111" s="46" t="s">
        <v>243</v>
      </c>
      <c r="M111" s="142">
        <v>0</v>
      </c>
      <c r="N111" s="49"/>
    </row>
    <row r="112" spans="1:14" ht="21.95" customHeight="1">
      <c r="A112" s="12" t="s">
        <v>208</v>
      </c>
      <c r="B112" s="7" t="s">
        <v>374</v>
      </c>
      <c r="C112" s="8" t="s">
        <v>0</v>
      </c>
      <c r="D112" s="44">
        <v>8</v>
      </c>
      <c r="E112" s="44"/>
      <c r="F112" s="45"/>
      <c r="G112" s="45"/>
      <c r="H112" s="44"/>
      <c r="I112" s="46" t="s">
        <v>243</v>
      </c>
      <c r="M112" s="142">
        <v>0</v>
      </c>
      <c r="N112" s="49"/>
    </row>
    <row r="113" spans="1:14" ht="21.95" customHeight="1">
      <c r="A113" s="12" t="s">
        <v>209</v>
      </c>
      <c r="B113" s="7" t="s">
        <v>376</v>
      </c>
      <c r="C113" s="8" t="s">
        <v>0</v>
      </c>
      <c r="D113" s="44">
        <v>3</v>
      </c>
      <c r="E113" s="44"/>
      <c r="F113" s="45"/>
      <c r="G113" s="45"/>
      <c r="H113" s="44"/>
      <c r="I113" s="46" t="s">
        <v>243</v>
      </c>
      <c r="M113" s="142">
        <v>0</v>
      </c>
      <c r="N113" s="49"/>
    </row>
    <row r="114" spans="1:14" ht="21.95" customHeight="1">
      <c r="A114" s="12" t="s">
        <v>210</v>
      </c>
      <c r="B114" s="7" t="s">
        <v>378</v>
      </c>
      <c r="C114" s="8" t="s">
        <v>8</v>
      </c>
      <c r="D114" s="44">
        <v>30.1</v>
      </c>
      <c r="E114" s="44"/>
      <c r="F114" s="45"/>
      <c r="G114" s="45"/>
      <c r="H114" s="44"/>
      <c r="I114" s="46" t="s">
        <v>243</v>
      </c>
      <c r="M114" s="142">
        <v>0</v>
      </c>
      <c r="N114" s="49"/>
    </row>
    <row r="115" spans="1:14" ht="21.95" customHeight="1">
      <c r="A115" s="12" t="s">
        <v>211</v>
      </c>
      <c r="B115" s="7" t="s">
        <v>380</v>
      </c>
      <c r="C115" s="8" t="s">
        <v>8</v>
      </c>
      <c r="D115" s="44">
        <v>31.2</v>
      </c>
      <c r="E115" s="44"/>
      <c r="F115" s="50" t="s">
        <v>1318</v>
      </c>
      <c r="G115" s="50">
        <v>23.8</v>
      </c>
      <c r="H115" s="44">
        <v>21</v>
      </c>
      <c r="I115" s="46">
        <v>21</v>
      </c>
      <c r="M115" s="142">
        <v>21</v>
      </c>
      <c r="N115" s="49">
        <f t="shared" si="3"/>
        <v>0</v>
      </c>
    </row>
    <row r="116" spans="1:14" ht="21.95" customHeight="1">
      <c r="A116" s="12" t="s">
        <v>382</v>
      </c>
      <c r="B116" s="7" t="s">
        <v>383</v>
      </c>
      <c r="C116" s="8" t="s">
        <v>8</v>
      </c>
      <c r="D116" s="44">
        <v>17.899999999999999</v>
      </c>
      <c r="E116" s="44"/>
      <c r="F116" s="50" t="s">
        <v>1318</v>
      </c>
      <c r="G116" s="50">
        <v>19.8</v>
      </c>
      <c r="H116" s="44">
        <v>15</v>
      </c>
      <c r="I116" s="46">
        <v>15</v>
      </c>
      <c r="M116" s="142">
        <v>15</v>
      </c>
      <c r="N116" s="49">
        <f t="shared" si="3"/>
        <v>0</v>
      </c>
    </row>
    <row r="117" spans="1:14" ht="21.95" customHeight="1">
      <c r="A117" s="12" t="s">
        <v>385</v>
      </c>
      <c r="B117" s="7" t="s">
        <v>386</v>
      </c>
      <c r="C117" s="8" t="s">
        <v>8</v>
      </c>
      <c r="D117" s="44">
        <v>19.600000000000001</v>
      </c>
      <c r="E117" s="44"/>
      <c r="F117" s="45"/>
      <c r="G117" s="45"/>
      <c r="H117" s="44"/>
      <c r="I117" s="48">
        <f>H117</f>
        <v>0</v>
      </c>
      <c r="M117" s="142">
        <v>0</v>
      </c>
      <c r="N117" s="49">
        <f t="shared" si="3"/>
        <v>0</v>
      </c>
    </row>
    <row r="118" spans="1:14" ht="21.95" customHeight="1">
      <c r="A118" s="12" t="s">
        <v>388</v>
      </c>
      <c r="B118" s="7" t="s">
        <v>389</v>
      </c>
      <c r="C118" s="8" t="s">
        <v>8</v>
      </c>
      <c r="D118" s="44">
        <v>24.9</v>
      </c>
      <c r="E118" s="44"/>
      <c r="F118" s="45"/>
      <c r="G118" s="45"/>
      <c r="H118" s="44"/>
      <c r="I118" s="46" t="s">
        <v>243</v>
      </c>
      <c r="M118" s="142">
        <v>0</v>
      </c>
      <c r="N118" s="49"/>
    </row>
    <row r="119" spans="1:14" ht="21.95" customHeight="1">
      <c r="A119" s="12" t="s">
        <v>391</v>
      </c>
      <c r="B119" s="7" t="s">
        <v>392</v>
      </c>
      <c r="C119" s="8" t="s">
        <v>8</v>
      </c>
      <c r="D119" s="44">
        <v>3.5</v>
      </c>
      <c r="E119" s="44"/>
      <c r="F119" s="45"/>
      <c r="G119" s="45"/>
      <c r="H119" s="44"/>
      <c r="I119" s="46" t="s">
        <v>243</v>
      </c>
      <c r="M119" s="142">
        <v>0</v>
      </c>
      <c r="N119" s="49"/>
    </row>
    <row r="120" spans="1:14" ht="21.95" customHeight="1">
      <c r="A120" s="12" t="s">
        <v>394</v>
      </c>
      <c r="B120" s="7" t="s">
        <v>395</v>
      </c>
      <c r="C120" s="8" t="s">
        <v>0</v>
      </c>
      <c r="D120" s="44">
        <v>1</v>
      </c>
      <c r="E120" s="44"/>
      <c r="F120" s="45"/>
      <c r="G120" s="45"/>
      <c r="H120" s="44"/>
      <c r="I120" s="46" t="s">
        <v>243</v>
      </c>
      <c r="M120" s="142">
        <v>0</v>
      </c>
      <c r="N120" s="49"/>
    </row>
    <row r="121" spans="1:14" ht="21.95" customHeight="1">
      <c r="A121" s="12" t="s">
        <v>397</v>
      </c>
      <c r="B121" s="7" t="s">
        <v>398</v>
      </c>
      <c r="C121" s="8" t="s">
        <v>0</v>
      </c>
      <c r="D121" s="44">
        <v>1</v>
      </c>
      <c r="E121" s="44"/>
      <c r="F121" s="45"/>
      <c r="G121" s="45"/>
      <c r="H121" s="44"/>
      <c r="I121" s="46" t="s">
        <v>243</v>
      </c>
      <c r="M121" s="142">
        <v>0</v>
      </c>
      <c r="N121" s="49"/>
    </row>
    <row r="122" spans="1:14" ht="21.95" customHeight="1">
      <c r="A122" s="12" t="s">
        <v>400</v>
      </c>
      <c r="B122" s="7" t="s">
        <v>401</v>
      </c>
      <c r="C122" s="8" t="s">
        <v>0</v>
      </c>
      <c r="D122" s="44">
        <v>1</v>
      </c>
      <c r="E122" s="44"/>
      <c r="F122" s="45"/>
      <c r="G122" s="45"/>
      <c r="H122" s="44"/>
      <c r="I122" s="46" t="s">
        <v>243</v>
      </c>
      <c r="M122" s="142">
        <v>0</v>
      </c>
      <c r="N122" s="49"/>
    </row>
    <row r="123" spans="1:14" ht="21.95" customHeight="1">
      <c r="A123" s="12" t="s">
        <v>403</v>
      </c>
      <c r="B123" s="7" t="s">
        <v>404</v>
      </c>
      <c r="C123" s="8" t="s">
        <v>0</v>
      </c>
      <c r="D123" s="44">
        <v>1</v>
      </c>
      <c r="E123" s="44"/>
      <c r="F123" s="45"/>
      <c r="G123" s="45"/>
      <c r="H123" s="44"/>
      <c r="I123" s="46" t="s">
        <v>243</v>
      </c>
      <c r="M123" s="142">
        <v>0</v>
      </c>
      <c r="N123" s="49"/>
    </row>
    <row r="124" spans="1:14" ht="21.95" customHeight="1">
      <c r="A124" s="12" t="s">
        <v>406</v>
      </c>
      <c r="B124" s="7" t="s">
        <v>407</v>
      </c>
      <c r="C124" s="8" t="s">
        <v>0</v>
      </c>
      <c r="D124" s="44">
        <v>1</v>
      </c>
      <c r="E124" s="44"/>
      <c r="F124" s="45"/>
      <c r="G124" s="45"/>
      <c r="H124" s="44"/>
      <c r="I124" s="46" t="s">
        <v>243</v>
      </c>
      <c r="M124" s="142">
        <v>0</v>
      </c>
      <c r="N124" s="49"/>
    </row>
    <row r="125" spans="1:14" ht="21.95" customHeight="1">
      <c r="A125" s="12" t="s">
        <v>409</v>
      </c>
      <c r="B125" s="7" t="s">
        <v>410</v>
      </c>
      <c r="C125" s="8" t="s">
        <v>8</v>
      </c>
      <c r="D125" s="44">
        <v>149.5</v>
      </c>
      <c r="E125" s="44"/>
      <c r="F125" s="45"/>
      <c r="G125" s="45"/>
      <c r="H125" s="44"/>
      <c r="I125" s="46" t="s">
        <v>243</v>
      </c>
      <c r="M125" s="142">
        <v>0</v>
      </c>
      <c r="N125" s="49"/>
    </row>
    <row r="126" spans="1:14" ht="21.95" customHeight="1">
      <c r="A126" s="12" t="s">
        <v>412</v>
      </c>
      <c r="B126" s="7" t="s">
        <v>413</v>
      </c>
      <c r="C126" s="8" t="s">
        <v>8</v>
      </c>
      <c r="D126" s="44">
        <v>39.299999999999997</v>
      </c>
      <c r="E126" s="44"/>
      <c r="F126" s="45"/>
      <c r="G126" s="45"/>
      <c r="H126" s="44"/>
      <c r="I126" s="46" t="s">
        <v>243</v>
      </c>
      <c r="M126" s="142">
        <v>0</v>
      </c>
      <c r="N126" s="49"/>
    </row>
    <row r="127" spans="1:14" ht="21.95" customHeight="1">
      <c r="A127" s="12" t="s">
        <v>415</v>
      </c>
      <c r="B127" s="7" t="s">
        <v>416</v>
      </c>
      <c r="C127" s="8" t="s">
        <v>8</v>
      </c>
      <c r="D127" s="44">
        <v>51.3</v>
      </c>
      <c r="E127" s="44"/>
      <c r="F127" s="45"/>
      <c r="G127" s="45"/>
      <c r="H127" s="44"/>
      <c r="I127" s="46" t="s">
        <v>243</v>
      </c>
      <c r="M127" s="142">
        <v>0</v>
      </c>
      <c r="N127" s="49"/>
    </row>
    <row r="128" spans="1:14" ht="21.95" customHeight="1">
      <c r="A128" s="12" t="s">
        <v>418</v>
      </c>
      <c r="B128" s="7" t="s">
        <v>419</v>
      </c>
      <c r="C128" s="8" t="s">
        <v>0</v>
      </c>
      <c r="D128" s="44">
        <v>1</v>
      </c>
      <c r="E128" s="44"/>
      <c r="F128" s="45"/>
      <c r="G128" s="45"/>
      <c r="H128" s="44"/>
      <c r="I128" s="46" t="s">
        <v>243</v>
      </c>
      <c r="M128" s="142">
        <v>0</v>
      </c>
      <c r="N128" s="49"/>
    </row>
    <row r="129" spans="1:14" ht="21.95" customHeight="1">
      <c r="A129" s="12" t="s">
        <v>421</v>
      </c>
      <c r="B129" s="7" t="s">
        <v>422</v>
      </c>
      <c r="C129" s="8" t="s">
        <v>0</v>
      </c>
      <c r="D129" s="44">
        <v>2</v>
      </c>
      <c r="E129" s="44"/>
      <c r="F129" s="45"/>
      <c r="G129" s="45"/>
      <c r="H129" s="44"/>
      <c r="I129" s="46" t="s">
        <v>243</v>
      </c>
      <c r="M129" s="142">
        <v>0</v>
      </c>
      <c r="N129" s="49"/>
    </row>
    <row r="130" spans="1:14" ht="21.95" customHeight="1">
      <c r="A130" s="12" t="s">
        <v>424</v>
      </c>
      <c r="B130" s="7" t="s">
        <v>425</v>
      </c>
      <c r="C130" s="8" t="s">
        <v>0</v>
      </c>
      <c r="D130" s="44">
        <v>1</v>
      </c>
      <c r="E130" s="44"/>
      <c r="F130" s="45"/>
      <c r="G130" s="45"/>
      <c r="H130" s="44"/>
      <c r="I130" s="46" t="s">
        <v>243</v>
      </c>
      <c r="M130" s="142">
        <v>0</v>
      </c>
      <c r="N130" s="49"/>
    </row>
    <row r="131" spans="1:14" ht="21.95" customHeight="1">
      <c r="A131" s="12" t="s">
        <v>427</v>
      </c>
      <c r="B131" s="7" t="s">
        <v>428</v>
      </c>
      <c r="C131" s="8" t="s">
        <v>0</v>
      </c>
      <c r="D131" s="44">
        <v>2</v>
      </c>
      <c r="E131" s="44"/>
      <c r="F131" s="45"/>
      <c r="G131" s="45"/>
      <c r="H131" s="44"/>
      <c r="I131" s="46" t="s">
        <v>243</v>
      </c>
      <c r="M131" s="142">
        <v>0</v>
      </c>
      <c r="N131" s="49"/>
    </row>
    <row r="132" spans="1:14" ht="21.95" customHeight="1">
      <c r="A132" s="12" t="s">
        <v>430</v>
      </c>
      <c r="B132" s="7" t="s">
        <v>431</v>
      </c>
      <c r="C132" s="8" t="s">
        <v>0</v>
      </c>
      <c r="D132" s="44">
        <v>2</v>
      </c>
      <c r="E132" s="44"/>
      <c r="F132" s="45"/>
      <c r="G132" s="45"/>
      <c r="H132" s="44"/>
      <c r="I132" s="46" t="s">
        <v>243</v>
      </c>
      <c r="M132" s="142">
        <v>0</v>
      </c>
      <c r="N132" s="49"/>
    </row>
    <row r="133" spans="1:14" ht="21.95" customHeight="1">
      <c r="A133" s="12" t="s">
        <v>433</v>
      </c>
      <c r="B133" s="7" t="s">
        <v>434</v>
      </c>
      <c r="C133" s="8" t="s">
        <v>0</v>
      </c>
      <c r="D133" s="44">
        <v>1</v>
      </c>
      <c r="E133" s="44"/>
      <c r="F133" s="45"/>
      <c r="G133" s="45"/>
      <c r="H133" s="44"/>
      <c r="I133" s="46" t="s">
        <v>243</v>
      </c>
      <c r="M133" s="142">
        <v>0</v>
      </c>
      <c r="N133" s="49"/>
    </row>
    <row r="134" spans="1:14" ht="21.95" customHeight="1">
      <c r="A134" s="12" t="s">
        <v>436</v>
      </c>
      <c r="B134" s="7" t="s">
        <v>437</v>
      </c>
      <c r="C134" s="8" t="s">
        <v>0</v>
      </c>
      <c r="D134" s="44">
        <v>1</v>
      </c>
      <c r="E134" s="44"/>
      <c r="F134" s="45"/>
      <c r="G134" s="45"/>
      <c r="H134" s="44"/>
      <c r="I134" s="46" t="s">
        <v>243</v>
      </c>
      <c r="M134" s="142">
        <v>0</v>
      </c>
      <c r="N134" s="49"/>
    </row>
    <row r="135" spans="1:14" ht="21.95" customHeight="1">
      <c r="A135" s="12" t="s">
        <v>439</v>
      </c>
      <c r="B135" s="7" t="s">
        <v>440</v>
      </c>
      <c r="C135" s="8" t="s">
        <v>0</v>
      </c>
      <c r="D135" s="44">
        <v>1</v>
      </c>
      <c r="E135" s="44"/>
      <c r="F135" s="45"/>
      <c r="G135" s="45"/>
      <c r="H135" s="44"/>
      <c r="I135" s="46" t="s">
        <v>243</v>
      </c>
      <c r="M135" s="142">
        <v>0</v>
      </c>
      <c r="N135" s="49"/>
    </row>
    <row r="136" spans="1:14" ht="21.95" customHeight="1">
      <c r="A136" s="12" t="s">
        <v>442</v>
      </c>
      <c r="B136" s="7" t="s">
        <v>443</v>
      </c>
      <c r="C136" s="8" t="s">
        <v>0</v>
      </c>
      <c r="D136" s="44">
        <v>4</v>
      </c>
      <c r="E136" s="44"/>
      <c r="F136" s="45"/>
      <c r="G136" s="45"/>
      <c r="H136" s="44"/>
      <c r="I136" s="46" t="s">
        <v>243</v>
      </c>
      <c r="M136" s="142">
        <v>0</v>
      </c>
      <c r="N136" s="49"/>
    </row>
    <row r="137" spans="1:14" ht="21.95" customHeight="1">
      <c r="A137" s="12" t="s">
        <v>445</v>
      </c>
      <c r="B137" s="7" t="s">
        <v>446</v>
      </c>
      <c r="C137" s="8" t="s">
        <v>0</v>
      </c>
      <c r="D137" s="44">
        <v>6</v>
      </c>
      <c r="E137" s="44"/>
      <c r="F137" s="45"/>
      <c r="G137" s="45"/>
      <c r="H137" s="44"/>
      <c r="I137" s="46" t="s">
        <v>243</v>
      </c>
      <c r="M137" s="142">
        <v>0</v>
      </c>
      <c r="N137" s="49"/>
    </row>
    <row r="138" spans="1:14" ht="21.95" customHeight="1">
      <c r="A138" s="12" t="s">
        <v>448</v>
      </c>
      <c r="B138" s="7" t="s">
        <v>449</v>
      </c>
      <c r="C138" s="8" t="s">
        <v>0</v>
      </c>
      <c r="D138" s="44">
        <v>1</v>
      </c>
      <c r="E138" s="44"/>
      <c r="F138" s="45"/>
      <c r="G138" s="45"/>
      <c r="H138" s="44"/>
      <c r="I138" s="46" t="s">
        <v>243</v>
      </c>
      <c r="M138" s="142">
        <v>0</v>
      </c>
      <c r="N138" s="49"/>
    </row>
    <row r="139" spans="1:14" ht="21.95" customHeight="1">
      <c r="A139" s="12" t="s">
        <v>451</v>
      </c>
      <c r="B139" s="7" t="s">
        <v>452</v>
      </c>
      <c r="C139" s="8" t="s">
        <v>0</v>
      </c>
      <c r="D139" s="44">
        <v>1</v>
      </c>
      <c r="E139" s="44"/>
      <c r="F139" s="45"/>
      <c r="G139" s="45"/>
      <c r="H139" s="44"/>
      <c r="I139" s="46" t="s">
        <v>243</v>
      </c>
      <c r="M139" s="142">
        <v>0</v>
      </c>
      <c r="N139" s="49"/>
    </row>
    <row r="140" spans="1:14" ht="21.95" customHeight="1">
      <c r="A140" s="12" t="s">
        <v>454</v>
      </c>
      <c r="B140" s="7" t="s">
        <v>455</v>
      </c>
      <c r="C140" s="8" t="s">
        <v>0</v>
      </c>
      <c r="D140" s="44">
        <v>1</v>
      </c>
      <c r="E140" s="44"/>
      <c r="F140" s="45"/>
      <c r="G140" s="45"/>
      <c r="H140" s="44"/>
      <c r="I140" s="46" t="s">
        <v>243</v>
      </c>
      <c r="M140" s="142">
        <v>0</v>
      </c>
      <c r="N140" s="49"/>
    </row>
    <row r="141" spans="1:14" ht="21.95" customHeight="1">
      <c r="A141" s="12" t="s">
        <v>457</v>
      </c>
      <c r="B141" s="7" t="s">
        <v>458</v>
      </c>
      <c r="C141" s="8" t="s">
        <v>0</v>
      </c>
      <c r="D141" s="44">
        <v>1</v>
      </c>
      <c r="E141" s="44"/>
      <c r="F141" s="45"/>
      <c r="G141" s="45"/>
      <c r="H141" s="44"/>
      <c r="I141" s="46" t="s">
        <v>243</v>
      </c>
      <c r="M141" s="142">
        <v>0</v>
      </c>
      <c r="N141" s="49"/>
    </row>
    <row r="142" spans="1:14" ht="21.95" customHeight="1">
      <c r="A142" s="12" t="s">
        <v>460</v>
      </c>
      <c r="B142" s="7" t="s">
        <v>461</v>
      </c>
      <c r="C142" s="8" t="s">
        <v>0</v>
      </c>
      <c r="D142" s="44">
        <v>1</v>
      </c>
      <c r="E142" s="44"/>
      <c r="F142" s="45"/>
      <c r="G142" s="45"/>
      <c r="H142" s="44"/>
      <c r="I142" s="46" t="s">
        <v>243</v>
      </c>
      <c r="M142" s="142">
        <v>0</v>
      </c>
      <c r="N142" s="49"/>
    </row>
    <row r="143" spans="1:14" ht="21.95" customHeight="1">
      <c r="A143" s="12" t="s">
        <v>463</v>
      </c>
      <c r="B143" s="7" t="s">
        <v>464</v>
      </c>
      <c r="C143" s="8" t="s">
        <v>0</v>
      </c>
      <c r="D143" s="44">
        <v>3</v>
      </c>
      <c r="E143" s="44"/>
      <c r="F143" s="45"/>
      <c r="G143" s="45"/>
      <c r="H143" s="44"/>
      <c r="I143" s="46" t="s">
        <v>243</v>
      </c>
      <c r="M143" s="142">
        <v>0</v>
      </c>
      <c r="N143" s="49"/>
    </row>
    <row r="144" spans="1:14" ht="21.95" customHeight="1">
      <c r="A144" s="12" t="s">
        <v>466</v>
      </c>
      <c r="B144" s="7" t="s">
        <v>467</v>
      </c>
      <c r="C144" s="8" t="s">
        <v>0</v>
      </c>
      <c r="D144" s="44">
        <v>7</v>
      </c>
      <c r="E144" s="44"/>
      <c r="F144" s="45"/>
      <c r="G144" s="45"/>
      <c r="H144" s="44"/>
      <c r="I144" s="46" t="s">
        <v>243</v>
      </c>
      <c r="M144" s="142">
        <v>0</v>
      </c>
      <c r="N144" s="49"/>
    </row>
    <row r="145" spans="1:14" ht="21.95" customHeight="1">
      <c r="A145" s="12" t="s">
        <v>469</v>
      </c>
      <c r="B145" s="7" t="s">
        <v>470</v>
      </c>
      <c r="C145" s="8" t="s">
        <v>0</v>
      </c>
      <c r="D145" s="44">
        <v>1</v>
      </c>
      <c r="E145" s="44"/>
      <c r="F145" s="45"/>
      <c r="G145" s="45"/>
      <c r="H145" s="44"/>
      <c r="I145" s="46" t="s">
        <v>243</v>
      </c>
      <c r="M145" s="142">
        <v>0</v>
      </c>
      <c r="N145" s="49"/>
    </row>
    <row r="146" spans="1:14" ht="57">
      <c r="A146" s="12" t="s">
        <v>472</v>
      </c>
      <c r="B146" s="10" t="s">
        <v>473</v>
      </c>
      <c r="C146" s="8" t="s">
        <v>13</v>
      </c>
      <c r="D146" s="44">
        <v>759.43</v>
      </c>
      <c r="E146" s="44"/>
      <c r="F146" s="45"/>
      <c r="G146" s="45"/>
      <c r="H146" s="44"/>
      <c r="I146" s="46" t="s">
        <v>243</v>
      </c>
      <c r="M146" s="142">
        <v>0</v>
      </c>
      <c r="N146" s="49"/>
    </row>
    <row r="147" spans="1:14" ht="21.95" customHeight="1">
      <c r="A147" s="12" t="s">
        <v>475</v>
      </c>
      <c r="B147" s="7" t="s">
        <v>476</v>
      </c>
      <c r="C147" s="8" t="s">
        <v>15</v>
      </c>
      <c r="D147" s="44">
        <v>1</v>
      </c>
      <c r="E147" s="44"/>
      <c r="F147" s="45"/>
      <c r="G147" s="45"/>
      <c r="H147" s="44"/>
      <c r="I147" s="46" t="s">
        <v>243</v>
      </c>
      <c r="M147" s="142">
        <v>0</v>
      </c>
      <c r="N147" s="49"/>
    </row>
    <row r="148" spans="1:14" ht="21.95" customHeight="1">
      <c r="A148" s="12" t="s">
        <v>478</v>
      </c>
      <c r="B148" s="7" t="s">
        <v>479</v>
      </c>
      <c r="C148" s="8" t="s">
        <v>15</v>
      </c>
      <c r="D148" s="44">
        <v>3</v>
      </c>
      <c r="E148" s="44"/>
      <c r="F148" s="45"/>
      <c r="G148" s="45"/>
      <c r="H148" s="44"/>
      <c r="I148" s="46" t="s">
        <v>243</v>
      </c>
      <c r="M148" s="142">
        <v>0</v>
      </c>
      <c r="N148" s="49"/>
    </row>
    <row r="149" spans="1:14" ht="21.95" customHeight="1">
      <c r="A149" s="12" t="s">
        <v>481</v>
      </c>
      <c r="B149" s="7" t="s">
        <v>482</v>
      </c>
      <c r="C149" s="8" t="s">
        <v>483</v>
      </c>
      <c r="D149" s="44">
        <v>88.17</v>
      </c>
      <c r="E149" s="44"/>
      <c r="F149" s="45"/>
      <c r="G149" s="45"/>
      <c r="H149" s="44"/>
      <c r="I149" s="46" t="s">
        <v>243</v>
      </c>
      <c r="M149" s="142">
        <v>0</v>
      </c>
      <c r="N149" s="49"/>
    </row>
    <row r="150" spans="1:14" ht="21.95" customHeight="1">
      <c r="A150" s="12" t="s">
        <v>485</v>
      </c>
      <c r="B150" s="7" t="s">
        <v>486</v>
      </c>
      <c r="C150" s="8" t="s">
        <v>0</v>
      </c>
      <c r="D150" s="44">
        <v>25</v>
      </c>
      <c r="E150" s="44"/>
      <c r="F150" s="45"/>
      <c r="G150" s="45"/>
      <c r="H150" s="44"/>
      <c r="I150" s="46" t="s">
        <v>243</v>
      </c>
      <c r="M150" s="142">
        <v>0</v>
      </c>
      <c r="N150" s="49"/>
    </row>
    <row r="151" spans="1:14" ht="21.95" customHeight="1">
      <c r="A151" s="12" t="s">
        <v>488</v>
      </c>
      <c r="B151" s="7" t="s">
        <v>489</v>
      </c>
      <c r="C151" s="8" t="s">
        <v>0</v>
      </c>
      <c r="D151" s="44">
        <v>13</v>
      </c>
      <c r="E151" s="44"/>
      <c r="F151" s="45"/>
      <c r="G151" s="45"/>
      <c r="H151" s="44"/>
      <c r="I151" s="46" t="s">
        <v>243</v>
      </c>
      <c r="M151" s="142">
        <v>0</v>
      </c>
      <c r="N151" s="49"/>
    </row>
    <row r="152" spans="1:14" ht="21.95" customHeight="1">
      <c r="A152" s="12" t="s">
        <v>491</v>
      </c>
      <c r="B152" s="7" t="s">
        <v>492</v>
      </c>
      <c r="C152" s="8" t="s">
        <v>8</v>
      </c>
      <c r="D152" s="44">
        <v>9.8000000000000007</v>
      </c>
      <c r="E152" s="44"/>
      <c r="F152" s="45"/>
      <c r="G152" s="45"/>
      <c r="H152" s="44"/>
      <c r="I152" s="46" t="s">
        <v>243</v>
      </c>
      <c r="M152" s="142">
        <v>0</v>
      </c>
      <c r="N152" s="49"/>
    </row>
    <row r="153" spans="1:14" ht="21.95" customHeight="1">
      <c r="A153" s="12" t="s">
        <v>494</v>
      </c>
      <c r="B153" s="7" t="s">
        <v>495</v>
      </c>
      <c r="C153" s="8" t="s">
        <v>8</v>
      </c>
      <c r="D153" s="44">
        <v>6.2</v>
      </c>
      <c r="E153" s="44"/>
      <c r="F153" s="45"/>
      <c r="G153" s="45"/>
      <c r="H153" s="44"/>
      <c r="I153" s="46" t="s">
        <v>243</v>
      </c>
      <c r="M153" s="142">
        <v>0</v>
      </c>
      <c r="N153" s="49"/>
    </row>
    <row r="154" spans="1:14" ht="21.95" customHeight="1">
      <c r="A154" s="12" t="s">
        <v>497</v>
      </c>
      <c r="B154" s="7" t="s">
        <v>498</v>
      </c>
      <c r="C154" s="8" t="s">
        <v>8</v>
      </c>
      <c r="D154" s="44">
        <v>3.3</v>
      </c>
      <c r="E154" s="44"/>
      <c r="F154" s="45"/>
      <c r="G154" s="45"/>
      <c r="H154" s="44"/>
      <c r="I154" s="46" t="s">
        <v>243</v>
      </c>
      <c r="M154" s="142">
        <v>0</v>
      </c>
      <c r="N154" s="49"/>
    </row>
    <row r="155" spans="1:14" ht="33" customHeight="1">
      <c r="A155" s="12" t="s">
        <v>500</v>
      </c>
      <c r="B155" s="7" t="s">
        <v>501</v>
      </c>
      <c r="C155" s="8" t="s">
        <v>8</v>
      </c>
      <c r="D155" s="44">
        <v>40.6</v>
      </c>
      <c r="E155" s="44"/>
      <c r="F155" s="45"/>
      <c r="G155" s="45"/>
      <c r="H155" s="44"/>
      <c r="I155" s="46" t="s">
        <v>243</v>
      </c>
      <c r="M155" s="142">
        <v>0</v>
      </c>
      <c r="N155" s="49"/>
    </row>
    <row r="156" spans="1:14" ht="28.5">
      <c r="A156" s="57" t="s">
        <v>503</v>
      </c>
      <c r="B156" s="7" t="s">
        <v>504</v>
      </c>
      <c r="C156" s="8" t="s">
        <v>8</v>
      </c>
      <c r="D156" s="58">
        <v>176.7</v>
      </c>
      <c r="E156" s="58"/>
      <c r="F156" s="59"/>
      <c r="G156" s="59"/>
      <c r="H156" s="58"/>
      <c r="I156" s="10" t="s">
        <v>243</v>
      </c>
      <c r="J156" s="60"/>
      <c r="K156" s="60"/>
      <c r="L156" s="60"/>
      <c r="M156" s="153">
        <v>0</v>
      </c>
      <c r="N156" s="61"/>
    </row>
    <row r="157" spans="1:14" ht="28.5">
      <c r="A157" s="57" t="s">
        <v>506</v>
      </c>
      <c r="B157" s="7" t="s">
        <v>507</v>
      </c>
      <c r="C157" s="8" t="s">
        <v>8</v>
      </c>
      <c r="D157" s="58">
        <v>251.7</v>
      </c>
      <c r="E157" s="58"/>
      <c r="F157" s="59"/>
      <c r="G157" s="59"/>
      <c r="H157" s="58"/>
      <c r="I157" s="10" t="s">
        <v>243</v>
      </c>
      <c r="J157" s="60"/>
      <c r="K157" s="60"/>
      <c r="L157" s="60"/>
      <c r="M157" s="153">
        <v>0</v>
      </c>
      <c r="N157" s="61"/>
    </row>
    <row r="158" spans="1:14" ht="31.5">
      <c r="A158" s="57" t="s">
        <v>509</v>
      </c>
      <c r="B158" s="7" t="s">
        <v>510</v>
      </c>
      <c r="C158" s="8" t="s">
        <v>8</v>
      </c>
      <c r="D158" s="58">
        <v>6.8</v>
      </c>
      <c r="E158" s="58"/>
      <c r="F158" s="59"/>
      <c r="G158" s="59"/>
      <c r="H158" s="58"/>
      <c r="I158" s="10" t="s">
        <v>243</v>
      </c>
      <c r="J158" s="60"/>
      <c r="K158" s="60"/>
      <c r="L158" s="60"/>
      <c r="M158" s="153">
        <v>0</v>
      </c>
      <c r="N158" s="61"/>
    </row>
    <row r="159" spans="1:14" ht="31.5">
      <c r="A159" s="57" t="s">
        <v>512</v>
      </c>
      <c r="B159" s="7" t="s">
        <v>513</v>
      </c>
      <c r="C159" s="8" t="s">
        <v>8</v>
      </c>
      <c r="D159" s="58">
        <v>44.2</v>
      </c>
      <c r="E159" s="58"/>
      <c r="F159" s="59"/>
      <c r="G159" s="59"/>
      <c r="H159" s="58"/>
      <c r="I159" s="10" t="s">
        <v>243</v>
      </c>
      <c r="J159" s="60"/>
      <c r="K159" s="60"/>
      <c r="L159" s="60"/>
      <c r="M159" s="153">
        <v>0</v>
      </c>
      <c r="N159" s="61"/>
    </row>
    <row r="160" spans="1:14" ht="31.5">
      <c r="A160" s="57" t="s">
        <v>515</v>
      </c>
      <c r="B160" s="7" t="s">
        <v>516</v>
      </c>
      <c r="C160" s="8" t="s">
        <v>8</v>
      </c>
      <c r="D160" s="58">
        <v>10.7</v>
      </c>
      <c r="E160" s="58"/>
      <c r="F160" s="59"/>
      <c r="G160" s="59"/>
      <c r="H160" s="58"/>
      <c r="I160" s="10" t="s">
        <v>243</v>
      </c>
      <c r="J160" s="60"/>
      <c r="K160" s="60"/>
      <c r="L160" s="60"/>
      <c r="M160" s="153">
        <v>0</v>
      </c>
      <c r="N160" s="61"/>
    </row>
    <row r="161" spans="1:14" ht="29.25" customHeight="1">
      <c r="A161" s="57" t="s">
        <v>518</v>
      </c>
      <c r="B161" s="7" t="s">
        <v>519</v>
      </c>
      <c r="C161" s="8" t="s">
        <v>8</v>
      </c>
      <c r="D161" s="58">
        <v>62.5</v>
      </c>
      <c r="E161" s="58"/>
      <c r="F161" s="59"/>
      <c r="G161" s="59"/>
      <c r="H161" s="58"/>
      <c r="I161" s="10" t="s">
        <v>243</v>
      </c>
      <c r="J161" s="60"/>
      <c r="K161" s="60"/>
      <c r="L161" s="60"/>
      <c r="M161" s="153">
        <v>0</v>
      </c>
      <c r="N161" s="61"/>
    </row>
    <row r="162" spans="1:14" ht="21.95" customHeight="1">
      <c r="A162" s="12" t="s">
        <v>521</v>
      </c>
      <c r="B162" s="7" t="s">
        <v>522</v>
      </c>
      <c r="C162" s="8" t="s">
        <v>8</v>
      </c>
      <c r="D162" s="44">
        <v>84.8</v>
      </c>
      <c r="E162" s="44"/>
      <c r="F162" s="45"/>
      <c r="G162" s="45"/>
      <c r="H162" s="44"/>
      <c r="I162" s="46" t="s">
        <v>243</v>
      </c>
      <c r="M162" s="142">
        <v>0</v>
      </c>
      <c r="N162" s="49"/>
    </row>
    <row r="163" spans="1:14" ht="21.95" customHeight="1">
      <c r="A163" s="12" t="s">
        <v>524</v>
      </c>
      <c r="B163" s="7" t="s">
        <v>525</v>
      </c>
      <c r="C163" s="8" t="s">
        <v>0</v>
      </c>
      <c r="D163" s="44">
        <v>2</v>
      </c>
      <c r="E163" s="44"/>
      <c r="F163" s="45"/>
      <c r="G163" s="45"/>
      <c r="H163" s="44"/>
      <c r="I163" s="46" t="s">
        <v>243</v>
      </c>
      <c r="M163" s="142">
        <v>0</v>
      </c>
      <c r="N163" s="49"/>
    </row>
    <row r="164" spans="1:14" ht="33">
      <c r="A164" s="145" t="s">
        <v>77</v>
      </c>
      <c r="B164" s="146" t="s">
        <v>527</v>
      </c>
      <c r="C164" s="147" t="s">
        <v>4</v>
      </c>
      <c r="D164" s="148">
        <v>1</v>
      </c>
      <c r="E164" s="148"/>
      <c r="F164" s="149"/>
      <c r="G164" s="149"/>
      <c r="H164" s="148"/>
      <c r="I164" s="150" t="s">
        <v>243</v>
      </c>
      <c r="N164" s="49"/>
    </row>
    <row r="165" spans="1:14" ht="31.5">
      <c r="A165" s="12" t="s">
        <v>78</v>
      </c>
      <c r="B165" s="7" t="s">
        <v>310</v>
      </c>
      <c r="C165" s="8" t="s">
        <v>223</v>
      </c>
      <c r="D165" s="44">
        <v>185.59</v>
      </c>
      <c r="E165" s="44">
        <v>928.51</v>
      </c>
      <c r="F165" s="45" t="s">
        <v>1320</v>
      </c>
      <c r="G165" s="151" t="s">
        <v>1321</v>
      </c>
      <c r="H165" s="152">
        <f>((5*6*6.5*2)+(13*3.5*6.8)+(3.2*8.5*1.6))</f>
        <v>742.92</v>
      </c>
      <c r="I165" s="48">
        <f>SUM(H165:H167)</f>
        <v>839.39</v>
      </c>
      <c r="M165" s="142">
        <v>327</v>
      </c>
      <c r="N165" s="49">
        <f t="shared" ref="N165:N196" si="5">I165-M165</f>
        <v>512.39</v>
      </c>
    </row>
    <row r="166" spans="1:14" ht="33">
      <c r="A166" s="12"/>
      <c r="B166" s="7"/>
      <c r="C166" s="8"/>
      <c r="D166" s="44"/>
      <c r="E166" s="44"/>
      <c r="F166" s="45" t="s">
        <v>1323</v>
      </c>
      <c r="G166" s="151" t="s">
        <v>1322</v>
      </c>
      <c r="H166" s="152">
        <f>(14.35*0.8*1.25+14.35*0.8*2.75+15*0.8*2.75)+((5.1+1.92)*2*1.25)</f>
        <v>96.47</v>
      </c>
      <c r="I166" s="46"/>
      <c r="N166" s="49"/>
    </row>
    <row r="167" spans="1:14">
      <c r="A167" s="12"/>
      <c r="B167" s="7"/>
      <c r="C167" s="8"/>
      <c r="D167" s="44"/>
      <c r="E167" s="44"/>
      <c r="F167" s="45"/>
      <c r="G167" s="45"/>
      <c r="H167" s="44"/>
      <c r="I167" s="46"/>
      <c r="N167" s="49"/>
    </row>
    <row r="168" spans="1:14" ht="28.5">
      <c r="A168" s="12" t="s">
        <v>79</v>
      </c>
      <c r="B168" s="10" t="s">
        <v>315</v>
      </c>
      <c r="C168" s="8" t="s">
        <v>6</v>
      </c>
      <c r="D168" s="44">
        <v>26.33</v>
      </c>
      <c r="E168" s="44"/>
      <c r="F168" s="45" t="s">
        <v>1325</v>
      </c>
      <c r="G168" s="45" t="s">
        <v>1332</v>
      </c>
      <c r="H168" s="44">
        <f>(15.2*1.9*0.1)+(14.55*1.9*0.1)</f>
        <v>5.6524999999999999</v>
      </c>
      <c r="I168" s="62">
        <f>SUM(H168:H173)</f>
        <v>10.211459999999999</v>
      </c>
      <c r="J168" s="25"/>
      <c r="K168" s="25"/>
      <c r="L168" s="25"/>
      <c r="M168" s="154">
        <v>17.239999999999998</v>
      </c>
      <c r="N168" s="49">
        <f t="shared" si="5"/>
        <v>-7.0285399999999996</v>
      </c>
    </row>
    <row r="169" spans="1:14">
      <c r="A169" s="12"/>
      <c r="B169" s="10"/>
      <c r="C169" s="8"/>
      <c r="D169" s="44"/>
      <c r="E169" s="44"/>
      <c r="F169" s="45" t="s">
        <v>1326</v>
      </c>
      <c r="G169" s="45" t="s">
        <v>1333</v>
      </c>
      <c r="H169" s="44">
        <f>(3.08*4.87*0.1)+(3.7*1.7*0.1)</f>
        <v>2.1289600000000002</v>
      </c>
      <c r="I169" s="46"/>
      <c r="N169" s="49"/>
    </row>
    <row r="170" spans="1:14">
      <c r="A170" s="12"/>
      <c r="B170" s="10"/>
      <c r="C170" s="8"/>
      <c r="D170" s="44"/>
      <c r="E170" s="44"/>
      <c r="F170" s="45" t="s">
        <v>1388</v>
      </c>
      <c r="G170" s="45" t="s">
        <v>1385</v>
      </c>
      <c r="H170" s="44">
        <f>16.2*1.5*0.1</f>
        <v>2.4299999999999997</v>
      </c>
      <c r="I170" s="46"/>
      <c r="N170" s="49"/>
    </row>
    <row r="171" spans="1:14">
      <c r="A171" s="12"/>
      <c r="B171" s="10"/>
      <c r="C171" s="8"/>
      <c r="D171" s="44"/>
      <c r="E171" s="44"/>
      <c r="F171" s="50" t="s">
        <v>1327</v>
      </c>
      <c r="G171" s="45"/>
      <c r="H171" s="44"/>
      <c r="I171" s="46"/>
      <c r="N171" s="49"/>
    </row>
    <row r="172" spans="1:14">
      <c r="A172" s="12"/>
      <c r="B172" s="10"/>
      <c r="C172" s="8"/>
      <c r="D172" s="44"/>
      <c r="E172" s="44"/>
      <c r="F172" s="45"/>
      <c r="G172" s="45"/>
      <c r="H172" s="44"/>
      <c r="I172" s="46"/>
      <c r="N172" s="49"/>
    </row>
    <row r="173" spans="1:14">
      <c r="A173" s="12"/>
      <c r="B173" s="10"/>
      <c r="C173" s="8"/>
      <c r="D173" s="44"/>
      <c r="E173" s="44"/>
      <c r="F173" s="45"/>
      <c r="G173" s="45"/>
      <c r="H173" s="44"/>
      <c r="I173" s="46"/>
      <c r="N173" s="49"/>
    </row>
    <row r="174" spans="1:14" ht="33">
      <c r="A174" s="12" t="s">
        <v>80</v>
      </c>
      <c r="B174" s="10" t="s">
        <v>24</v>
      </c>
      <c r="C174" s="8" t="s">
        <v>6</v>
      </c>
      <c r="D174" s="44">
        <v>36.86</v>
      </c>
      <c r="E174" s="44"/>
      <c r="F174" s="45" t="s">
        <v>1328</v>
      </c>
      <c r="G174" s="45"/>
      <c r="H174" s="44"/>
      <c r="I174" s="48">
        <f>H174</f>
        <v>0</v>
      </c>
      <c r="M174" s="142">
        <v>0</v>
      </c>
      <c r="N174" s="49">
        <f t="shared" si="5"/>
        <v>0</v>
      </c>
    </row>
    <row r="175" spans="1:14" ht="49.5">
      <c r="A175" s="12" t="s">
        <v>81</v>
      </c>
      <c r="B175" s="10" t="s">
        <v>528</v>
      </c>
      <c r="C175" s="8" t="s">
        <v>6</v>
      </c>
      <c r="D175" s="44">
        <v>654.83000000000004</v>
      </c>
      <c r="E175" s="44"/>
      <c r="F175" s="45" t="s">
        <v>1330</v>
      </c>
      <c r="G175" s="45" t="s">
        <v>1339</v>
      </c>
      <c r="H175" s="44">
        <f>((14.35+15.2)*1.15*1.5)+((14.35+15.2)*1.5*0.5)+((14.35+15.2)*(0.42*0.3+0.4*0.42/2))+(2.2*0.45*0.75*14)</f>
        <v>89.736749999999986</v>
      </c>
      <c r="I175" s="48">
        <f>SUM(H175:H182)</f>
        <v>260.30066500000004</v>
      </c>
      <c r="M175" s="142">
        <v>200.13</v>
      </c>
      <c r="N175" s="49">
        <f t="shared" si="5"/>
        <v>60.170665000000042</v>
      </c>
    </row>
    <row r="176" spans="1:14" ht="49.5">
      <c r="A176" s="12"/>
      <c r="B176" s="7"/>
      <c r="C176" s="8"/>
      <c r="D176" s="44"/>
      <c r="E176" s="44"/>
      <c r="F176" s="45" t="s">
        <v>1331</v>
      </c>
      <c r="G176" s="45" t="s">
        <v>1338</v>
      </c>
      <c r="H176" s="44">
        <f>((2.88*4.67*1.15)+(0.5*1*(1.88+1+1.8+2.67)))+((1.5*3.5*1.15)+(0.5*3.5*1)+(0.3*1*2)+(3.5*(0.42*0.3+0.4*0.42/2))+(2.1*0.45*0.75*4))</f>
        <v>31.099539999999998</v>
      </c>
      <c r="I176" s="46"/>
      <c r="N176" s="49"/>
    </row>
    <row r="177" spans="1:15">
      <c r="A177" s="12"/>
      <c r="B177" s="7"/>
      <c r="C177" s="8"/>
      <c r="D177" s="44"/>
      <c r="E177" s="44"/>
      <c r="F177" s="45" t="s">
        <v>1388</v>
      </c>
      <c r="G177" s="45" t="s">
        <v>1386</v>
      </c>
      <c r="H177" s="44">
        <f>(15.8*0.3*3.45)+(1.2*0.4*15.8)</f>
        <v>23.937000000000001</v>
      </c>
      <c r="I177" s="46"/>
      <c r="N177" s="49"/>
    </row>
    <row r="178" spans="1:15">
      <c r="A178" s="12"/>
      <c r="B178" s="7"/>
      <c r="C178" s="8"/>
      <c r="D178" s="44"/>
      <c r="E178" s="44"/>
      <c r="F178" s="45" t="s">
        <v>1334</v>
      </c>
      <c r="G178" s="151" t="s">
        <v>1337</v>
      </c>
      <c r="H178" s="152">
        <f>(((16.55+15.7)/2*13.3*0.25)-(12.6*0.6*0.05))</f>
        <v>53.237625000000001</v>
      </c>
      <c r="I178" s="46"/>
      <c r="N178" s="49"/>
    </row>
    <row r="179" spans="1:15">
      <c r="A179" s="12"/>
      <c r="B179" s="7"/>
      <c r="C179" s="8"/>
      <c r="D179" s="44"/>
      <c r="E179" s="44"/>
      <c r="F179" s="50" t="s">
        <v>1341</v>
      </c>
      <c r="G179" s="155" t="s">
        <v>1340</v>
      </c>
      <c r="H179" s="152">
        <f>(13.3*5*0.3*2)</f>
        <v>39.9</v>
      </c>
      <c r="I179" s="46"/>
      <c r="N179" s="49"/>
    </row>
    <row r="180" spans="1:15">
      <c r="A180" s="12"/>
      <c r="B180" s="7"/>
      <c r="C180" s="8"/>
      <c r="D180" s="44"/>
      <c r="E180" s="44"/>
      <c r="F180" s="45" t="s">
        <v>1405</v>
      </c>
      <c r="G180" s="45" t="s">
        <v>1406</v>
      </c>
      <c r="H180" s="44">
        <f>(2.85*(7.6+6.35)*0.3)+(0.5*(7.6+6.35)*1.5)</f>
        <v>22.389749999999999</v>
      </c>
      <c r="I180" s="46"/>
      <c r="N180" s="49"/>
    </row>
    <row r="181" spans="1:15">
      <c r="A181" s="12"/>
      <c r="B181" s="7"/>
      <c r="C181" s="8"/>
      <c r="D181" s="44"/>
      <c r="E181" s="44"/>
      <c r="F181" s="50" t="s">
        <v>1418</v>
      </c>
      <c r="G181" s="45"/>
      <c r="H181" s="44"/>
      <c r="I181" s="46"/>
      <c r="N181" s="49"/>
    </row>
    <row r="182" spans="1:15">
      <c r="A182" s="12"/>
      <c r="B182" s="7"/>
      <c r="C182" s="8"/>
      <c r="D182" s="44"/>
      <c r="E182" s="44"/>
      <c r="F182" s="45"/>
      <c r="G182" s="45"/>
      <c r="H182" s="44"/>
      <c r="I182" s="46"/>
      <c r="N182" s="49"/>
    </row>
    <row r="183" spans="1:15" ht="33">
      <c r="A183" s="12" t="s">
        <v>82</v>
      </c>
      <c r="B183" s="7" t="s">
        <v>192</v>
      </c>
      <c r="C183" s="8" t="s">
        <v>17</v>
      </c>
      <c r="D183" s="44">
        <v>6240.88</v>
      </c>
      <c r="E183" s="44"/>
      <c r="F183" s="45" t="s">
        <v>1329</v>
      </c>
      <c r="G183" s="45"/>
      <c r="H183" s="44"/>
      <c r="I183" s="63">
        <f>SUM(H183:H186)</f>
        <v>0</v>
      </c>
      <c r="M183" s="142">
        <v>0</v>
      </c>
      <c r="N183" s="49">
        <f t="shared" si="5"/>
        <v>0</v>
      </c>
    </row>
    <row r="184" spans="1:15">
      <c r="A184" s="12"/>
      <c r="B184" s="7"/>
      <c r="C184" s="8"/>
      <c r="D184" s="44"/>
      <c r="E184" s="44"/>
      <c r="F184" s="45"/>
      <c r="G184" s="45"/>
      <c r="H184" s="44"/>
      <c r="I184" s="63"/>
      <c r="N184" s="49"/>
    </row>
    <row r="185" spans="1:15">
      <c r="A185" s="12"/>
      <c r="B185" s="7"/>
      <c r="C185" s="8"/>
      <c r="D185" s="44"/>
      <c r="E185" s="44"/>
      <c r="F185" s="45"/>
      <c r="G185" s="45"/>
      <c r="H185" s="44"/>
      <c r="I185" s="64"/>
      <c r="N185" s="49"/>
    </row>
    <row r="186" spans="1:15">
      <c r="A186" s="12"/>
      <c r="B186" s="7"/>
      <c r="C186" s="8"/>
      <c r="D186" s="44"/>
      <c r="E186" s="44"/>
      <c r="F186" s="45"/>
      <c r="G186" s="45"/>
      <c r="H186" s="44"/>
      <c r="I186" s="64"/>
      <c r="N186" s="49"/>
    </row>
    <row r="187" spans="1:15">
      <c r="A187" s="156" t="s">
        <v>83</v>
      </c>
      <c r="B187" s="157" t="s">
        <v>530</v>
      </c>
      <c r="C187" s="158" t="s">
        <v>17</v>
      </c>
      <c r="D187" s="159">
        <v>102796.95</v>
      </c>
      <c r="E187" s="159"/>
      <c r="F187" s="160" t="s">
        <v>1330</v>
      </c>
      <c r="G187" s="160" t="s">
        <v>1345</v>
      </c>
      <c r="H187" s="159">
        <v>17610.894619999999</v>
      </c>
      <c r="I187" s="161">
        <f>SUM(H187:H194)</f>
        <v>54396.0167</v>
      </c>
      <c r="M187" s="154">
        <v>73893</v>
      </c>
      <c r="N187" s="49">
        <f t="shared" si="5"/>
        <v>-19496.9833</v>
      </c>
      <c r="O187" s="65" t="s">
        <v>1459</v>
      </c>
    </row>
    <row r="188" spans="1:15">
      <c r="A188" s="12"/>
      <c r="B188" s="7"/>
      <c r="C188" s="8"/>
      <c r="D188" s="44"/>
      <c r="E188" s="44"/>
      <c r="F188" s="45" t="s">
        <v>1331</v>
      </c>
      <c r="G188" s="45" t="s">
        <v>1345</v>
      </c>
      <c r="H188" s="44">
        <v>3561.5824800000005</v>
      </c>
      <c r="I188" s="46"/>
      <c r="M188" s="30"/>
      <c r="N188" s="49"/>
    </row>
    <row r="189" spans="1:15">
      <c r="A189" s="12"/>
      <c r="B189" s="7"/>
      <c r="C189" s="8"/>
      <c r="D189" s="44"/>
      <c r="E189" s="44"/>
      <c r="F189" s="45" t="s">
        <v>1388</v>
      </c>
      <c r="G189" s="45" t="s">
        <v>1345</v>
      </c>
      <c r="H189" s="44">
        <v>2609.5680000000002</v>
      </c>
      <c r="I189" s="46"/>
      <c r="M189" s="30"/>
      <c r="N189" s="49"/>
    </row>
    <row r="190" spans="1:15">
      <c r="A190" s="12"/>
      <c r="B190" s="7"/>
      <c r="C190" s="8"/>
      <c r="D190" s="44"/>
      <c r="E190" s="44"/>
      <c r="F190" s="45" t="s">
        <v>1334</v>
      </c>
      <c r="G190" s="45" t="s">
        <v>1345</v>
      </c>
      <c r="H190" s="44">
        <v>20557.43</v>
      </c>
      <c r="I190" s="46"/>
      <c r="M190" s="30"/>
      <c r="N190" s="49"/>
    </row>
    <row r="191" spans="1:15">
      <c r="A191" s="12"/>
      <c r="B191" s="7"/>
      <c r="C191" s="8"/>
      <c r="D191" s="44"/>
      <c r="E191" s="44"/>
      <c r="F191" s="56" t="s">
        <v>1335</v>
      </c>
      <c r="G191" s="45" t="s">
        <v>1345</v>
      </c>
      <c r="H191" s="44">
        <v>8433.9359999999997</v>
      </c>
      <c r="I191" s="46"/>
      <c r="M191" s="30"/>
      <c r="N191" s="49"/>
    </row>
    <row r="192" spans="1:15">
      <c r="A192" s="12"/>
      <c r="B192" s="7"/>
      <c r="C192" s="8"/>
      <c r="D192" s="44"/>
      <c r="E192" s="44"/>
      <c r="F192" s="45" t="s">
        <v>1336</v>
      </c>
      <c r="G192" s="45" t="s">
        <v>1345</v>
      </c>
      <c r="H192" s="44">
        <v>1622.6056000000001</v>
      </c>
      <c r="I192" s="46"/>
      <c r="M192" s="30"/>
      <c r="N192" s="49"/>
    </row>
    <row r="193" spans="1:14">
      <c r="A193" s="12"/>
      <c r="B193" s="7"/>
      <c r="C193" s="8"/>
      <c r="D193" s="44"/>
      <c r="E193" s="44"/>
      <c r="F193" s="45"/>
      <c r="G193" s="45"/>
      <c r="H193" s="44"/>
      <c r="I193" s="46"/>
      <c r="M193" s="30"/>
      <c r="N193" s="49"/>
    </row>
    <row r="194" spans="1:14">
      <c r="A194" s="12"/>
      <c r="B194" s="7"/>
      <c r="C194" s="8"/>
      <c r="D194" s="44"/>
      <c r="E194" s="44"/>
      <c r="F194" s="45"/>
      <c r="G194" s="45"/>
      <c r="H194" s="44"/>
      <c r="I194" s="46"/>
      <c r="N194" s="49"/>
    </row>
    <row r="195" spans="1:14" ht="33">
      <c r="A195" s="12" t="s">
        <v>84</v>
      </c>
      <c r="B195" s="7" t="s">
        <v>532</v>
      </c>
      <c r="C195" s="8" t="s">
        <v>13</v>
      </c>
      <c r="D195" s="44">
        <v>223.3</v>
      </c>
      <c r="E195" s="44"/>
      <c r="F195" s="45" t="s">
        <v>1329</v>
      </c>
      <c r="G195" s="45"/>
      <c r="H195" s="44"/>
      <c r="I195" s="48">
        <f>H195</f>
        <v>0</v>
      </c>
      <c r="M195" s="142">
        <v>0</v>
      </c>
      <c r="N195" s="49">
        <f t="shared" si="5"/>
        <v>0</v>
      </c>
    </row>
    <row r="196" spans="1:14" ht="49.5">
      <c r="A196" s="12" t="s">
        <v>85</v>
      </c>
      <c r="B196" s="7" t="s">
        <v>534</v>
      </c>
      <c r="C196" s="8" t="s">
        <v>13</v>
      </c>
      <c r="D196" s="44">
        <v>450.04</v>
      </c>
      <c r="E196" s="44"/>
      <c r="F196" s="45" t="s">
        <v>1330</v>
      </c>
      <c r="G196" s="45" t="s">
        <v>1350</v>
      </c>
      <c r="H196" s="44">
        <f>(15.3+14.35)*(1.15+1.5+2.75+0.1*2)+(1.5*1.15+1.5*0.5+0.42*0.7)*2*2+(0.25*0.6*4)*14+(2.2*0.45*2+0.75*2.2+1.05*0.6)*14</f>
        <v>245.15600000000003</v>
      </c>
      <c r="I196" s="63">
        <f>SUM(H196:H201)</f>
        <v>573.20400000000006</v>
      </c>
      <c r="M196" s="142">
        <v>357.02</v>
      </c>
      <c r="N196" s="49">
        <f t="shared" si="5"/>
        <v>216.18400000000008</v>
      </c>
    </row>
    <row r="197" spans="1:14" ht="49.5">
      <c r="A197" s="12"/>
      <c r="B197" s="7"/>
      <c r="C197" s="8"/>
      <c r="D197" s="44"/>
      <c r="E197" s="44"/>
      <c r="F197" s="45" t="s">
        <v>1342</v>
      </c>
      <c r="G197" s="56" t="s">
        <v>1352</v>
      </c>
      <c r="H197" s="55">
        <f>(2.38+1.95+0.5+0.5+2.67)*2*1+(0.25*0.6*4)*4+((3.5*2.15)+(3.5*2.35)+1.5*1.15*2+1*0.5*2*0.42*0.7*2)+(2*0.45*2+0.75*2+1.05*0.6)*4</f>
        <v>53.908000000000001</v>
      </c>
      <c r="I197" s="64"/>
      <c r="N197" s="49"/>
    </row>
    <row r="198" spans="1:14" ht="33">
      <c r="A198" s="12"/>
      <c r="B198" s="7"/>
      <c r="C198" s="8"/>
      <c r="D198" s="44"/>
      <c r="E198" s="44"/>
      <c r="F198" s="45" t="s">
        <v>1334</v>
      </c>
      <c r="G198" s="151" t="s">
        <v>1348</v>
      </c>
      <c r="H198" s="152">
        <f>(18.6+16.96)/2*(13.3-0.7*7+0.1*14)+(0.2*(18.6+16.96)/2)+(0.25*(15.3+14.5))</f>
        <v>185.25000000000006</v>
      </c>
      <c r="I198" s="64"/>
      <c r="N198" s="49"/>
    </row>
    <row r="199" spans="1:14">
      <c r="A199" s="12"/>
      <c r="B199" s="7"/>
      <c r="C199" s="8"/>
      <c r="D199" s="44"/>
      <c r="E199" s="44"/>
      <c r="F199" s="50" t="s">
        <v>1347</v>
      </c>
      <c r="G199" s="50">
        <f>(1.54+0.95)*(18.83+16.87)</f>
        <v>88.893000000000015</v>
      </c>
      <c r="H199" s="54">
        <v>88.89</v>
      </c>
      <c r="I199" s="64"/>
      <c r="N199" s="49"/>
    </row>
    <row r="200" spans="1:14">
      <c r="A200" s="12"/>
      <c r="B200" s="7"/>
      <c r="C200" s="8"/>
      <c r="D200" s="44"/>
      <c r="E200" s="44"/>
      <c r="F200" s="50" t="s">
        <v>1335</v>
      </c>
      <c r="G200" s="45"/>
      <c r="H200" s="44"/>
      <c r="I200" s="64"/>
      <c r="N200" s="49"/>
    </row>
    <row r="201" spans="1:14">
      <c r="A201" s="12"/>
      <c r="B201" s="7"/>
      <c r="C201" s="8"/>
      <c r="D201" s="44"/>
      <c r="E201" s="44"/>
      <c r="F201" s="45"/>
      <c r="G201" s="45"/>
      <c r="H201" s="44"/>
      <c r="I201" s="64"/>
      <c r="N201" s="49"/>
    </row>
    <row r="202" spans="1:14" ht="33">
      <c r="A202" s="12" t="s">
        <v>86</v>
      </c>
      <c r="B202" s="7" t="s">
        <v>536</v>
      </c>
      <c r="C202" s="8" t="s">
        <v>13</v>
      </c>
      <c r="D202" s="44">
        <v>28.27</v>
      </c>
      <c r="E202" s="44"/>
      <c r="F202" s="45" t="s">
        <v>1349</v>
      </c>
      <c r="G202" s="151" t="s">
        <v>1353</v>
      </c>
      <c r="H202" s="152">
        <f>(4.67*1.15)*2+(2.88*1.15*2)+(5.05+3.1+3.9+1.9)*2*0.1+(15.7+14.75+1.9*2)*2*0.1</f>
        <v>27.004999999999999</v>
      </c>
      <c r="I202" s="63">
        <f>SUM(H202:H204)</f>
        <v>27.004999999999999</v>
      </c>
      <c r="M202" s="142">
        <v>11.2</v>
      </c>
      <c r="N202" s="49">
        <f t="shared" ref="N202:N263" si="6">I202-M202</f>
        <v>15.805</v>
      </c>
    </row>
    <row r="203" spans="1:14">
      <c r="A203" s="12"/>
      <c r="B203" s="7"/>
      <c r="C203" s="8"/>
      <c r="D203" s="44"/>
      <c r="E203" s="44"/>
      <c r="F203" s="45"/>
      <c r="G203" s="45"/>
      <c r="H203" s="44"/>
      <c r="I203" s="46"/>
      <c r="N203" s="49"/>
    </row>
    <row r="204" spans="1:14">
      <c r="A204" s="12"/>
      <c r="B204" s="7"/>
      <c r="C204" s="8"/>
      <c r="D204" s="44"/>
      <c r="E204" s="44"/>
      <c r="F204" s="45"/>
      <c r="G204" s="45"/>
      <c r="H204" s="44"/>
      <c r="I204" s="46"/>
      <c r="N204" s="49"/>
    </row>
    <row r="205" spans="1:14" ht="21.95" customHeight="1">
      <c r="A205" s="12" t="s">
        <v>87</v>
      </c>
      <c r="B205" s="7" t="s">
        <v>538</v>
      </c>
      <c r="C205" s="8" t="s">
        <v>539</v>
      </c>
      <c r="D205" s="44">
        <v>25655</v>
      </c>
      <c r="E205" s="44"/>
      <c r="F205" s="45"/>
      <c r="G205" s="45"/>
      <c r="H205" s="44"/>
      <c r="I205" s="46" t="s">
        <v>243</v>
      </c>
      <c r="M205" s="142">
        <v>0</v>
      </c>
      <c r="N205" s="49"/>
    </row>
    <row r="206" spans="1:14" ht="21.95" customHeight="1">
      <c r="A206" s="12" t="s">
        <v>541</v>
      </c>
      <c r="B206" s="7" t="s">
        <v>321</v>
      </c>
      <c r="C206" s="8" t="s">
        <v>17</v>
      </c>
      <c r="D206" s="44">
        <v>3691</v>
      </c>
      <c r="E206" s="44"/>
      <c r="F206" s="45"/>
      <c r="G206" s="45"/>
      <c r="H206" s="44"/>
      <c r="I206" s="46" t="s">
        <v>243</v>
      </c>
      <c r="M206" s="142">
        <v>0</v>
      </c>
      <c r="N206" s="49"/>
    </row>
    <row r="207" spans="1:14" ht="42.75">
      <c r="A207" s="12" t="s">
        <v>88</v>
      </c>
      <c r="B207" s="10" t="s">
        <v>323</v>
      </c>
      <c r="C207" s="8" t="s">
        <v>17</v>
      </c>
      <c r="D207" s="44">
        <v>3691</v>
      </c>
      <c r="E207" s="44"/>
      <c r="F207" s="45"/>
      <c r="G207" s="45"/>
      <c r="H207" s="44"/>
      <c r="I207" s="46" t="s">
        <v>243</v>
      </c>
      <c r="M207" s="142">
        <v>0</v>
      </c>
      <c r="N207" s="49"/>
    </row>
    <row r="208" spans="1:14" ht="33">
      <c r="A208" s="12" t="s">
        <v>89</v>
      </c>
      <c r="B208" s="10" t="s">
        <v>542</v>
      </c>
      <c r="C208" s="8" t="s">
        <v>17</v>
      </c>
      <c r="D208" s="44">
        <v>2162</v>
      </c>
      <c r="E208" s="44"/>
      <c r="F208" s="45"/>
      <c r="G208" s="45"/>
      <c r="H208" s="44"/>
      <c r="I208" s="46" t="s">
        <v>243</v>
      </c>
      <c r="M208" s="142">
        <v>0</v>
      </c>
      <c r="N208" s="49"/>
    </row>
    <row r="209" spans="1:14" ht="42.75">
      <c r="A209" s="12" t="s">
        <v>90</v>
      </c>
      <c r="B209" s="10" t="s">
        <v>544</v>
      </c>
      <c r="C209" s="8" t="s">
        <v>13</v>
      </c>
      <c r="D209" s="44">
        <v>99.7</v>
      </c>
      <c r="E209" s="44"/>
      <c r="F209" s="45"/>
      <c r="G209" s="45"/>
      <c r="H209" s="44"/>
      <c r="I209" s="46" t="s">
        <v>243</v>
      </c>
      <c r="M209" s="142">
        <v>0</v>
      </c>
      <c r="N209" s="49"/>
    </row>
    <row r="210" spans="1:14" ht="99.75">
      <c r="A210" s="12" t="s">
        <v>91</v>
      </c>
      <c r="B210" s="10" t="s">
        <v>325</v>
      </c>
      <c r="C210" s="8" t="s">
        <v>17</v>
      </c>
      <c r="D210" s="44">
        <v>95900</v>
      </c>
      <c r="E210" s="44"/>
      <c r="F210" s="45" t="s">
        <v>1234</v>
      </c>
      <c r="G210" s="56" t="s">
        <v>1358</v>
      </c>
      <c r="H210" s="55">
        <v>47258</v>
      </c>
      <c r="I210" s="48">
        <f>SUM(H210:H211)</f>
        <v>96604.35</v>
      </c>
      <c r="M210" s="142">
        <v>47093</v>
      </c>
      <c r="N210" s="49">
        <f t="shared" si="6"/>
        <v>49511.350000000006</v>
      </c>
    </row>
    <row r="211" spans="1:14">
      <c r="A211" s="12"/>
      <c r="B211" s="7"/>
      <c r="C211" s="8"/>
      <c r="D211" s="44"/>
      <c r="E211" s="44"/>
      <c r="F211" s="45" t="s">
        <v>1324</v>
      </c>
      <c r="G211" s="56" t="s">
        <v>1344</v>
      </c>
      <c r="H211" s="55">
        <v>49346.35</v>
      </c>
      <c r="I211" s="46"/>
      <c r="N211" s="49"/>
    </row>
    <row r="212" spans="1:14" ht="33">
      <c r="A212" s="12" t="s">
        <v>203</v>
      </c>
      <c r="B212" s="66" t="s">
        <v>222</v>
      </c>
      <c r="C212" s="67" t="s">
        <v>13</v>
      </c>
      <c r="D212" s="55">
        <v>438.86</v>
      </c>
      <c r="E212" s="55"/>
      <c r="F212" s="56" t="s">
        <v>1355</v>
      </c>
      <c r="G212" s="56" t="s">
        <v>1356</v>
      </c>
      <c r="H212" s="55">
        <f>((1.8*12*3*2+1.8*9*2*2+1.8*8*2*5)+(1.8*3*2+1.8*5*4+1.8*5*2))</f>
        <v>403.20000000000005</v>
      </c>
      <c r="I212" s="63">
        <f>SUM(H212:H214)</f>
        <v>403.20000000000005</v>
      </c>
      <c r="M212" s="142">
        <v>385.16</v>
      </c>
      <c r="N212" s="49">
        <f t="shared" si="6"/>
        <v>18.04000000000002</v>
      </c>
    </row>
    <row r="213" spans="1:14">
      <c r="A213" s="12"/>
      <c r="B213" s="7"/>
      <c r="C213" s="8"/>
      <c r="D213" s="44"/>
      <c r="E213" s="44"/>
      <c r="F213" s="45"/>
      <c r="G213" s="45"/>
      <c r="H213" s="44"/>
      <c r="I213" s="46"/>
      <c r="M213" s="30"/>
      <c r="N213" s="49"/>
    </row>
    <row r="214" spans="1:14">
      <c r="A214" s="12"/>
      <c r="B214" s="7"/>
      <c r="C214" s="8"/>
      <c r="D214" s="44"/>
      <c r="E214" s="44"/>
      <c r="F214" s="45"/>
      <c r="G214" s="45"/>
      <c r="H214" s="44"/>
      <c r="I214" s="46"/>
      <c r="M214" s="30"/>
      <c r="N214" s="49"/>
    </row>
    <row r="215" spans="1:14" ht="57">
      <c r="A215" s="12" t="s">
        <v>202</v>
      </c>
      <c r="B215" s="10" t="s">
        <v>194</v>
      </c>
      <c r="C215" s="8" t="s">
        <v>23</v>
      </c>
      <c r="D215" s="44">
        <v>342.71</v>
      </c>
      <c r="E215" s="44"/>
      <c r="F215" s="45" t="s">
        <v>1343</v>
      </c>
      <c r="G215" s="45" t="s">
        <v>1354</v>
      </c>
      <c r="H215" s="44">
        <f>((16.2*3.35*2.7+16.8*3.25*1.8)+6.3*4.5*2+4.1*3.6*2.5)</f>
        <v>338.40899999999999</v>
      </c>
      <c r="I215" s="48">
        <f>H215</f>
        <v>338.40899999999999</v>
      </c>
      <c r="M215" s="142">
        <v>336</v>
      </c>
      <c r="N215" s="49">
        <f t="shared" si="6"/>
        <v>2.4089999999999918</v>
      </c>
    </row>
    <row r="216" spans="1:14" ht="42.75">
      <c r="A216" s="12" t="s">
        <v>201</v>
      </c>
      <c r="B216" s="10" t="s">
        <v>205</v>
      </c>
      <c r="C216" s="8" t="s">
        <v>23</v>
      </c>
      <c r="D216" s="44">
        <v>231.09</v>
      </c>
      <c r="E216" s="44"/>
      <c r="F216" s="45"/>
      <c r="G216" s="45"/>
      <c r="H216" s="44"/>
      <c r="I216" s="46" t="s">
        <v>243</v>
      </c>
      <c r="M216" s="142">
        <v>0</v>
      </c>
      <c r="N216" s="49"/>
    </row>
    <row r="217" spans="1:14">
      <c r="A217" s="12" t="s">
        <v>200</v>
      </c>
      <c r="B217" s="7" t="s">
        <v>548</v>
      </c>
      <c r="C217" s="8" t="s">
        <v>13</v>
      </c>
      <c r="D217" s="44">
        <v>183</v>
      </c>
      <c r="E217" s="44">
        <v>27956</v>
      </c>
      <c r="F217" s="45"/>
      <c r="G217" s="45" t="s">
        <v>1351</v>
      </c>
      <c r="H217" s="44">
        <v>11275</v>
      </c>
      <c r="I217" s="48">
        <f>H217</f>
        <v>11275</v>
      </c>
      <c r="M217" s="142">
        <v>11275</v>
      </c>
      <c r="N217" s="49">
        <f t="shared" si="6"/>
        <v>0</v>
      </c>
    </row>
    <row r="218" spans="1:14">
      <c r="A218" s="12"/>
      <c r="B218" s="7"/>
      <c r="C218" s="8"/>
      <c r="D218" s="44"/>
      <c r="E218" s="44"/>
      <c r="F218" s="45"/>
      <c r="G218" s="45"/>
      <c r="H218" s="44"/>
      <c r="I218" s="46"/>
      <c r="N218" s="49"/>
    </row>
    <row r="219" spans="1:14" ht="28.5">
      <c r="A219" s="12" t="s">
        <v>199</v>
      </c>
      <c r="B219" s="10" t="s">
        <v>550</v>
      </c>
      <c r="C219" s="8" t="s">
        <v>8</v>
      </c>
      <c r="D219" s="44">
        <v>322</v>
      </c>
      <c r="E219" s="44"/>
      <c r="F219" s="45" t="s">
        <v>1343</v>
      </c>
      <c r="G219" s="45" t="s">
        <v>1357</v>
      </c>
      <c r="H219" s="44">
        <f>2*45+3*36+4*31</f>
        <v>322</v>
      </c>
      <c r="I219" s="63">
        <f>H219</f>
        <v>322</v>
      </c>
      <c r="M219" s="142">
        <v>322</v>
      </c>
      <c r="N219" s="49">
        <f t="shared" si="6"/>
        <v>0</v>
      </c>
    </row>
    <row r="220" spans="1:14" ht="33">
      <c r="A220" s="12" t="s">
        <v>198</v>
      </c>
      <c r="B220" s="10" t="s">
        <v>552</v>
      </c>
      <c r="C220" s="8" t="s">
        <v>13</v>
      </c>
      <c r="D220" s="44">
        <v>100</v>
      </c>
      <c r="E220" s="44"/>
      <c r="F220" s="45"/>
      <c r="G220" s="45"/>
      <c r="H220" s="44"/>
      <c r="I220" s="46" t="s">
        <v>243</v>
      </c>
      <c r="M220" s="142">
        <v>0</v>
      </c>
      <c r="N220" s="49"/>
    </row>
    <row r="221" spans="1:14" ht="42.75">
      <c r="A221" s="12" t="s">
        <v>197</v>
      </c>
      <c r="B221" s="10" t="s">
        <v>554</v>
      </c>
      <c r="C221" s="8" t="s">
        <v>13</v>
      </c>
      <c r="D221" s="44">
        <v>83</v>
      </c>
      <c r="E221" s="44"/>
      <c r="F221" s="45"/>
      <c r="G221" s="45"/>
      <c r="H221" s="44"/>
      <c r="I221" s="46" t="s">
        <v>243</v>
      </c>
      <c r="M221" s="142">
        <v>0</v>
      </c>
      <c r="N221" s="49"/>
    </row>
    <row r="222" spans="1:14" ht="33">
      <c r="A222" s="12" t="s">
        <v>196</v>
      </c>
      <c r="B222" s="7" t="s">
        <v>556</v>
      </c>
      <c r="C222" s="8" t="s">
        <v>13</v>
      </c>
      <c r="D222" s="44">
        <v>2.1</v>
      </c>
      <c r="E222" s="44"/>
      <c r="F222" s="45"/>
      <c r="G222" s="45"/>
      <c r="H222" s="44"/>
      <c r="I222" s="46" t="s">
        <v>243</v>
      </c>
      <c r="M222" s="142">
        <v>0</v>
      </c>
      <c r="N222" s="49"/>
    </row>
    <row r="223" spans="1:14" ht="33">
      <c r="A223" s="12" t="s">
        <v>195</v>
      </c>
      <c r="B223" s="7" t="s">
        <v>558</v>
      </c>
      <c r="C223" s="8" t="s">
        <v>8</v>
      </c>
      <c r="D223" s="44">
        <v>62</v>
      </c>
      <c r="E223" s="44"/>
      <c r="F223" s="45"/>
      <c r="G223" s="45"/>
      <c r="H223" s="44"/>
      <c r="I223" s="46" t="s">
        <v>243</v>
      </c>
      <c r="M223" s="142">
        <v>0</v>
      </c>
      <c r="N223" s="49"/>
    </row>
    <row r="224" spans="1:14" ht="33">
      <c r="A224" s="12" t="s">
        <v>212</v>
      </c>
      <c r="B224" s="7" t="s">
        <v>560</v>
      </c>
      <c r="C224" s="8" t="s">
        <v>8</v>
      </c>
      <c r="D224" s="44">
        <v>33</v>
      </c>
      <c r="E224" s="44"/>
      <c r="F224" s="45"/>
      <c r="G224" s="45"/>
      <c r="H224" s="44"/>
      <c r="I224" s="46" t="s">
        <v>243</v>
      </c>
      <c r="M224" s="142">
        <v>0</v>
      </c>
      <c r="N224" s="49"/>
    </row>
    <row r="225" spans="1:14" ht="42.75">
      <c r="A225" s="12" t="s">
        <v>213</v>
      </c>
      <c r="B225" s="10" t="s">
        <v>562</v>
      </c>
      <c r="C225" s="8" t="s">
        <v>8</v>
      </c>
      <c r="D225" s="44">
        <v>32.6</v>
      </c>
      <c r="E225" s="44"/>
      <c r="F225" s="45"/>
      <c r="G225" s="45"/>
      <c r="H225" s="44"/>
      <c r="I225" s="46" t="s">
        <v>243</v>
      </c>
      <c r="M225" s="142">
        <v>0</v>
      </c>
      <c r="N225" s="49"/>
    </row>
    <row r="226" spans="1:14" ht="42.75">
      <c r="A226" s="12" t="s">
        <v>217</v>
      </c>
      <c r="B226" s="10" t="s">
        <v>564</v>
      </c>
      <c r="C226" s="8" t="s">
        <v>8</v>
      </c>
      <c r="D226" s="44">
        <v>32.6</v>
      </c>
      <c r="E226" s="44"/>
      <c r="F226" s="45"/>
      <c r="G226" s="45"/>
      <c r="H226" s="44"/>
      <c r="I226" s="46" t="s">
        <v>243</v>
      </c>
      <c r="M226" s="142">
        <v>0</v>
      </c>
      <c r="N226" s="49"/>
    </row>
    <row r="227" spans="1:14" ht="33">
      <c r="A227" s="12" t="s">
        <v>566</v>
      </c>
      <c r="B227" s="7" t="s">
        <v>567</v>
      </c>
      <c r="C227" s="8" t="s">
        <v>0</v>
      </c>
      <c r="D227" s="44">
        <v>1</v>
      </c>
      <c r="E227" s="44"/>
      <c r="F227" s="45"/>
      <c r="G227" s="45"/>
      <c r="H227" s="44"/>
      <c r="I227" s="46" t="s">
        <v>243</v>
      </c>
      <c r="M227" s="142">
        <v>0</v>
      </c>
      <c r="N227" s="49"/>
    </row>
    <row r="228" spans="1:14" ht="33">
      <c r="A228" s="12" t="s">
        <v>569</v>
      </c>
      <c r="B228" s="7" t="s">
        <v>570</v>
      </c>
      <c r="C228" s="8" t="s">
        <v>8</v>
      </c>
      <c r="D228" s="44">
        <v>9.6</v>
      </c>
      <c r="E228" s="44"/>
      <c r="F228" s="45"/>
      <c r="G228" s="45"/>
      <c r="H228" s="44"/>
      <c r="I228" s="46" t="s">
        <v>243</v>
      </c>
      <c r="M228" s="142">
        <v>0</v>
      </c>
      <c r="N228" s="49"/>
    </row>
    <row r="229" spans="1:14" ht="33">
      <c r="A229" s="12" t="s">
        <v>572</v>
      </c>
      <c r="B229" s="7" t="s">
        <v>573</v>
      </c>
      <c r="C229" s="8" t="s">
        <v>0</v>
      </c>
      <c r="D229" s="44">
        <v>1</v>
      </c>
      <c r="E229" s="44"/>
      <c r="F229" s="45"/>
      <c r="G229" s="45"/>
      <c r="H229" s="44"/>
      <c r="I229" s="46" t="s">
        <v>243</v>
      </c>
      <c r="M229" s="142">
        <v>0</v>
      </c>
      <c r="N229" s="49"/>
    </row>
    <row r="230" spans="1:14" ht="33">
      <c r="A230" s="12" t="s">
        <v>575</v>
      </c>
      <c r="B230" s="7" t="s">
        <v>576</v>
      </c>
      <c r="C230" s="8" t="s">
        <v>8</v>
      </c>
      <c r="D230" s="44">
        <v>32.6</v>
      </c>
      <c r="E230" s="44"/>
      <c r="F230" s="45"/>
      <c r="G230" s="45"/>
      <c r="H230" s="44"/>
      <c r="I230" s="46" t="s">
        <v>243</v>
      </c>
      <c r="M230" s="142">
        <v>0</v>
      </c>
      <c r="N230" s="49"/>
    </row>
    <row r="231" spans="1:14" ht="42.75">
      <c r="A231" s="12" t="s">
        <v>578</v>
      </c>
      <c r="B231" s="10" t="s">
        <v>579</v>
      </c>
      <c r="C231" s="8" t="s">
        <v>8</v>
      </c>
      <c r="D231" s="44">
        <v>32.6</v>
      </c>
      <c r="E231" s="44"/>
      <c r="F231" s="45"/>
      <c r="G231" s="45"/>
      <c r="H231" s="44"/>
      <c r="I231" s="46" t="s">
        <v>243</v>
      </c>
      <c r="M231" s="142">
        <v>0</v>
      </c>
      <c r="N231" s="49"/>
    </row>
    <row r="232" spans="1:14" ht="57">
      <c r="A232" s="12" t="s">
        <v>581</v>
      </c>
      <c r="B232" s="10" t="s">
        <v>582</v>
      </c>
      <c r="C232" s="8" t="s">
        <v>583</v>
      </c>
      <c r="D232" s="44">
        <v>4</v>
      </c>
      <c r="E232" s="44"/>
      <c r="F232" s="45" t="s">
        <v>1234</v>
      </c>
      <c r="G232" s="151">
        <v>4</v>
      </c>
      <c r="H232" s="152">
        <v>4</v>
      </c>
      <c r="I232" s="48">
        <f>H232</f>
        <v>4</v>
      </c>
      <c r="M232" s="142">
        <v>0</v>
      </c>
      <c r="N232" s="49">
        <f t="shared" si="6"/>
        <v>4</v>
      </c>
    </row>
    <row r="233" spans="1:14" ht="31.5">
      <c r="A233" s="12" t="s">
        <v>585</v>
      </c>
      <c r="B233" s="7" t="s">
        <v>586</v>
      </c>
      <c r="C233" s="8" t="s">
        <v>8</v>
      </c>
      <c r="D233" s="44">
        <v>4.8</v>
      </c>
      <c r="E233" s="44"/>
      <c r="F233" s="45"/>
      <c r="G233" s="45"/>
      <c r="H233" s="44"/>
      <c r="I233" s="48">
        <f t="shared" ref="I233:I234" si="7">H233</f>
        <v>0</v>
      </c>
      <c r="M233" s="142">
        <v>0</v>
      </c>
      <c r="N233" s="49">
        <f t="shared" si="6"/>
        <v>0</v>
      </c>
    </row>
    <row r="234" spans="1:14">
      <c r="A234" s="12" t="s">
        <v>588</v>
      </c>
      <c r="B234" s="7" t="s">
        <v>589</v>
      </c>
      <c r="C234" s="8" t="s">
        <v>0</v>
      </c>
      <c r="D234" s="44">
        <v>1</v>
      </c>
      <c r="E234" s="44"/>
      <c r="F234" s="45"/>
      <c r="G234" s="45"/>
      <c r="H234" s="44"/>
      <c r="I234" s="48">
        <f t="shared" si="7"/>
        <v>0</v>
      </c>
      <c r="M234" s="142">
        <v>0</v>
      </c>
      <c r="N234" s="49">
        <f t="shared" si="6"/>
        <v>0</v>
      </c>
    </row>
    <row r="235" spans="1:14">
      <c r="A235" s="12" t="s">
        <v>591</v>
      </c>
      <c r="B235" s="7" t="s">
        <v>592</v>
      </c>
      <c r="C235" s="8" t="s">
        <v>0</v>
      </c>
      <c r="D235" s="44">
        <v>1</v>
      </c>
      <c r="E235" s="44"/>
      <c r="F235" s="45"/>
      <c r="G235" s="45"/>
      <c r="H235" s="44">
        <v>1</v>
      </c>
      <c r="I235" s="48">
        <f>H235</f>
        <v>1</v>
      </c>
      <c r="M235" s="154">
        <v>0.8</v>
      </c>
      <c r="N235" s="49">
        <f t="shared" si="6"/>
        <v>0.19999999999999996</v>
      </c>
    </row>
    <row r="236" spans="1:14">
      <c r="A236" s="12" t="s">
        <v>1359</v>
      </c>
      <c r="B236" s="7" t="s">
        <v>1360</v>
      </c>
      <c r="C236" s="8" t="s">
        <v>606</v>
      </c>
      <c r="D236" s="44"/>
      <c r="E236" s="44">
        <v>2</v>
      </c>
      <c r="F236" s="45" t="s">
        <v>1343</v>
      </c>
      <c r="G236" s="45">
        <v>2</v>
      </c>
      <c r="H236" s="44">
        <v>2</v>
      </c>
      <c r="I236" s="48">
        <f>H236</f>
        <v>2</v>
      </c>
      <c r="M236" s="142">
        <v>2</v>
      </c>
      <c r="N236" s="49">
        <f t="shared" si="6"/>
        <v>0</v>
      </c>
    </row>
    <row r="237" spans="1:14">
      <c r="A237" s="12" t="s">
        <v>1361</v>
      </c>
      <c r="B237" s="7" t="s">
        <v>1362</v>
      </c>
      <c r="C237" s="8" t="s">
        <v>539</v>
      </c>
      <c r="D237" s="44"/>
      <c r="E237" s="44">
        <v>96850</v>
      </c>
      <c r="F237" s="45" t="s">
        <v>1343</v>
      </c>
      <c r="G237" s="151"/>
      <c r="H237" s="152">
        <f>I210</f>
        <v>96604.35</v>
      </c>
      <c r="I237" s="48">
        <f>H237</f>
        <v>96604.35</v>
      </c>
      <c r="M237" s="142">
        <v>0</v>
      </c>
      <c r="N237" s="49">
        <f t="shared" si="6"/>
        <v>96604.35</v>
      </c>
    </row>
    <row r="238" spans="1:14" ht="31.5">
      <c r="A238" s="12" t="s">
        <v>1363</v>
      </c>
      <c r="B238" s="7" t="s">
        <v>1364</v>
      </c>
      <c r="C238" s="8" t="s">
        <v>15</v>
      </c>
      <c r="D238" s="44"/>
      <c r="E238" s="44">
        <v>18</v>
      </c>
      <c r="F238" s="45" t="s">
        <v>1343</v>
      </c>
      <c r="G238" s="151" t="s">
        <v>1490</v>
      </c>
      <c r="H238" s="152">
        <v>18</v>
      </c>
      <c r="I238" s="48">
        <f>H238</f>
        <v>18</v>
      </c>
      <c r="M238" s="142">
        <v>0</v>
      </c>
      <c r="N238" s="49">
        <f t="shared" si="6"/>
        <v>18</v>
      </c>
    </row>
    <row r="239" spans="1:14" ht="33">
      <c r="A239" s="145" t="s">
        <v>92</v>
      </c>
      <c r="B239" s="146" t="s">
        <v>594</v>
      </c>
      <c r="C239" s="147" t="s">
        <v>4</v>
      </c>
      <c r="D239" s="148">
        <v>1</v>
      </c>
      <c r="E239" s="148"/>
      <c r="F239" s="149"/>
      <c r="G239" s="149"/>
      <c r="H239" s="148"/>
      <c r="I239" s="150" t="s">
        <v>243</v>
      </c>
      <c r="N239" s="49"/>
    </row>
    <row r="240" spans="1:14" ht="28.5">
      <c r="A240" s="12" t="s">
        <v>93</v>
      </c>
      <c r="B240" s="10" t="s">
        <v>1383</v>
      </c>
      <c r="C240" s="8" t="s">
        <v>6</v>
      </c>
      <c r="D240" s="44">
        <v>22</v>
      </c>
      <c r="E240" s="44"/>
      <c r="F240" s="45" t="s">
        <v>1511</v>
      </c>
      <c r="G240" s="45" t="s">
        <v>1390</v>
      </c>
      <c r="H240" s="44">
        <f>(246.3*0.85*0.05)+(1.7*0.1*(11.2+57.6))</f>
        <v>22.16375</v>
      </c>
      <c r="I240" s="48">
        <f>SUM(H240:H242)</f>
        <v>25.376750000000001</v>
      </c>
      <c r="M240" s="142">
        <v>16.880000000000003</v>
      </c>
      <c r="N240" s="49">
        <f t="shared" si="6"/>
        <v>8.4967499999999987</v>
      </c>
    </row>
    <row r="241" spans="1:14">
      <c r="A241" s="12"/>
      <c r="B241" s="10"/>
      <c r="C241" s="8"/>
      <c r="D241" s="44"/>
      <c r="E241" s="44"/>
      <c r="F241" s="50" t="s">
        <v>1443</v>
      </c>
      <c r="G241" s="45" t="s">
        <v>1442</v>
      </c>
      <c r="H241" s="44">
        <f>1.35*23.8*0.1</f>
        <v>3.2130000000000005</v>
      </c>
      <c r="I241" s="48"/>
      <c r="N241" s="49"/>
    </row>
    <row r="242" spans="1:14">
      <c r="A242" s="12"/>
      <c r="B242" s="10"/>
      <c r="C242" s="8"/>
      <c r="D242" s="44"/>
      <c r="E242" s="44"/>
      <c r="F242" s="45"/>
      <c r="G242" s="45"/>
      <c r="H242" s="44"/>
      <c r="I242" s="48"/>
      <c r="N242" s="49"/>
    </row>
    <row r="243" spans="1:14" ht="28.5">
      <c r="A243" s="156" t="s">
        <v>94</v>
      </c>
      <c r="B243" s="162" t="s">
        <v>24</v>
      </c>
      <c r="C243" s="158" t="s">
        <v>6</v>
      </c>
      <c r="D243" s="159">
        <v>302</v>
      </c>
      <c r="E243" s="159"/>
      <c r="F243" s="160" t="s">
        <v>1433</v>
      </c>
      <c r="G243" s="163" t="s">
        <v>1690</v>
      </c>
      <c r="H243" s="159">
        <f>58*7*(0.2*0.2*3.14)</f>
        <v>50.993600000000008</v>
      </c>
      <c r="I243" s="161">
        <f>SUM(H243:H247)</f>
        <v>92.397600000000011</v>
      </c>
      <c r="M243" s="164">
        <v>301.53000000000003</v>
      </c>
      <c r="N243" s="165">
        <f t="shared" si="6"/>
        <v>-209.13240000000002</v>
      </c>
    </row>
    <row r="244" spans="1:14">
      <c r="A244" s="12"/>
      <c r="B244" s="7"/>
      <c r="C244" s="8"/>
      <c r="D244" s="44"/>
      <c r="E244" s="44"/>
      <c r="F244" s="56" t="s">
        <v>1434</v>
      </c>
      <c r="G244" s="56" t="s">
        <v>1440</v>
      </c>
      <c r="H244" s="44">
        <f>0.6*0.4*(23.8+19.8)</f>
        <v>10.464</v>
      </c>
      <c r="I244" s="48"/>
      <c r="M244" s="154"/>
      <c r="N244" s="49"/>
    </row>
    <row r="245" spans="1:14">
      <c r="A245" s="12"/>
      <c r="B245" s="7"/>
      <c r="C245" s="8"/>
      <c r="D245" s="44"/>
      <c r="E245" s="44"/>
      <c r="F245" s="50" t="s">
        <v>1443</v>
      </c>
      <c r="G245" s="56" t="s">
        <v>1444</v>
      </c>
      <c r="H245" s="44">
        <f>(1.35+2.05)*23.8*0.3+0.8*0.35*23.8</f>
        <v>30.939999999999998</v>
      </c>
      <c r="I245" s="48"/>
      <c r="M245" s="154"/>
      <c r="N245" s="49"/>
    </row>
    <row r="246" spans="1:14">
      <c r="A246" s="12"/>
      <c r="B246" s="7"/>
      <c r="C246" s="8"/>
      <c r="D246" s="44"/>
      <c r="E246" s="44"/>
      <c r="F246" s="50"/>
      <c r="G246" s="68"/>
      <c r="H246" s="44"/>
      <c r="I246" s="48"/>
      <c r="M246" s="154"/>
      <c r="N246" s="49"/>
    </row>
    <row r="247" spans="1:14">
      <c r="A247" s="12"/>
      <c r="B247" s="7"/>
      <c r="C247" s="8"/>
      <c r="D247" s="44"/>
      <c r="E247" s="44"/>
      <c r="F247" s="45"/>
      <c r="G247" s="68"/>
      <c r="H247" s="44"/>
      <c r="I247" s="48"/>
      <c r="M247" s="154"/>
      <c r="N247" s="49"/>
    </row>
    <row r="248" spans="1:14" ht="33">
      <c r="A248" s="156" t="s">
        <v>95</v>
      </c>
      <c r="B248" s="162" t="s">
        <v>528</v>
      </c>
      <c r="C248" s="158" t="s">
        <v>6</v>
      </c>
      <c r="D248" s="159">
        <v>766</v>
      </c>
      <c r="E248" s="159">
        <v>0</v>
      </c>
      <c r="F248" s="160" t="s">
        <v>1366</v>
      </c>
      <c r="G248" s="166">
        <v>-423.75</v>
      </c>
      <c r="H248" s="159"/>
      <c r="I248" s="161"/>
      <c r="M248" s="154">
        <v>423.75</v>
      </c>
      <c r="N248" s="49">
        <f t="shared" si="6"/>
        <v>-423.75</v>
      </c>
    </row>
    <row r="249" spans="1:14" ht="31.5">
      <c r="A249" s="12" t="s">
        <v>96</v>
      </c>
      <c r="B249" s="7" t="s">
        <v>595</v>
      </c>
      <c r="C249" s="8" t="s">
        <v>6</v>
      </c>
      <c r="D249" s="44">
        <v>1090</v>
      </c>
      <c r="E249" s="44"/>
      <c r="F249" s="59" t="s">
        <v>1384</v>
      </c>
      <c r="G249" s="151"/>
      <c r="H249" s="152">
        <f>I290+I243+I240</f>
        <v>1199.93085</v>
      </c>
      <c r="I249" s="48">
        <f>H249</f>
        <v>1199.93085</v>
      </c>
      <c r="M249" s="142">
        <v>1012.36</v>
      </c>
      <c r="N249" s="49">
        <f t="shared" si="6"/>
        <v>187.57084999999995</v>
      </c>
    </row>
    <row r="250" spans="1:14">
      <c r="A250" s="12" t="s">
        <v>191</v>
      </c>
      <c r="B250" s="7" t="s">
        <v>534</v>
      </c>
      <c r="C250" s="8" t="s">
        <v>13</v>
      </c>
      <c r="D250" s="44">
        <v>1203</v>
      </c>
      <c r="E250" s="44"/>
      <c r="F250" s="45" t="s">
        <v>1382</v>
      </c>
      <c r="G250" s="45" t="s">
        <v>1391</v>
      </c>
      <c r="H250" s="44">
        <f>(1.5*2*246.3+1.5*0.75*12)</f>
        <v>752.40000000000009</v>
      </c>
      <c r="I250" s="63">
        <f>SUM(H250:H256)</f>
        <v>1422.7690000000002</v>
      </c>
      <c r="M250" s="142">
        <v>1181.83</v>
      </c>
      <c r="N250" s="49">
        <f t="shared" si="6"/>
        <v>240.93900000000031</v>
      </c>
    </row>
    <row r="251" spans="1:14" ht="49.5">
      <c r="A251" s="12"/>
      <c r="B251" s="7"/>
      <c r="C251" s="8"/>
      <c r="D251" s="44"/>
      <c r="E251" s="44"/>
      <c r="F251" s="45" t="s">
        <v>1398</v>
      </c>
      <c r="G251" s="45" t="s">
        <v>1401</v>
      </c>
      <c r="H251" s="44">
        <f>(3.63*41.1*1+(1.1+0.5)/2*3.6*3)+(2.1*16.5*1)+(3.95*11.2*1+(1.1+0.5)/2*3.95*2)</f>
        <v>243.04300000000003</v>
      </c>
      <c r="I251" s="69"/>
      <c r="N251" s="49"/>
    </row>
    <row r="252" spans="1:14">
      <c r="A252" s="12"/>
      <c r="B252" s="7"/>
      <c r="C252" s="8"/>
      <c r="D252" s="44"/>
      <c r="E252" s="44"/>
      <c r="F252" s="45" t="s">
        <v>1399</v>
      </c>
      <c r="G252" s="45" t="s">
        <v>1393</v>
      </c>
      <c r="H252" s="44">
        <f>((4.79+3.4)/2*17*2+(0.3+0.5)/2*(4.79+3.4)/2*2)</f>
        <v>142.506</v>
      </c>
      <c r="I252" s="46"/>
      <c r="N252" s="49"/>
    </row>
    <row r="253" spans="1:14">
      <c r="A253" s="12"/>
      <c r="B253" s="7"/>
      <c r="C253" s="8"/>
      <c r="D253" s="44"/>
      <c r="E253" s="44"/>
      <c r="F253" s="45" t="s">
        <v>1388</v>
      </c>
      <c r="G253" s="45" t="s">
        <v>1392</v>
      </c>
      <c r="H253" s="44">
        <f>(15.8*3.45-7.05*2.6)*2</f>
        <v>72.360000000000014</v>
      </c>
      <c r="I253" s="46"/>
      <c r="N253" s="49"/>
    </row>
    <row r="254" spans="1:14">
      <c r="A254" s="12"/>
      <c r="B254" s="7"/>
      <c r="C254" s="8"/>
      <c r="D254" s="44"/>
      <c r="E254" s="44"/>
      <c r="F254" s="45" t="s">
        <v>1394</v>
      </c>
      <c r="G254" s="45" t="s">
        <v>1396</v>
      </c>
      <c r="H254" s="44">
        <f>(9.8*3.3*2)</f>
        <v>64.680000000000007</v>
      </c>
      <c r="I254" s="46"/>
      <c r="N254" s="49"/>
    </row>
    <row r="255" spans="1:14" ht="33">
      <c r="A255" s="12"/>
      <c r="B255" s="7"/>
      <c r="C255" s="8"/>
      <c r="D255" s="44"/>
      <c r="E255" s="44"/>
      <c r="F255" s="50" t="s">
        <v>1443</v>
      </c>
      <c r="G255" s="151" t="s">
        <v>1449</v>
      </c>
      <c r="H255" s="152">
        <f>(2.7*23.8+0.35*0.8+(1.35+2.05)*0.3)*2+(0.6+0.1)*23.8</f>
        <v>147.78</v>
      </c>
      <c r="I255" s="46"/>
      <c r="N255" s="49"/>
    </row>
    <row r="256" spans="1:14">
      <c r="A256" s="12"/>
      <c r="B256" s="7"/>
      <c r="C256" s="8"/>
      <c r="D256" s="44"/>
      <c r="E256" s="44"/>
      <c r="F256" s="45"/>
      <c r="G256" s="45"/>
      <c r="H256" s="44"/>
      <c r="I256" s="46"/>
      <c r="N256" s="49"/>
    </row>
    <row r="257" spans="1:14" ht="66">
      <c r="A257" s="12" t="s">
        <v>190</v>
      </c>
      <c r="B257" s="7" t="s">
        <v>536</v>
      </c>
      <c r="C257" s="8" t="s">
        <v>13</v>
      </c>
      <c r="D257" s="44">
        <v>393</v>
      </c>
      <c r="E257" s="44"/>
      <c r="F257" s="45" t="s">
        <v>1397</v>
      </c>
      <c r="G257" s="45" t="s">
        <v>1400</v>
      </c>
      <c r="H257" s="55">
        <f>((0.6*41.1*2)+(0.6*1.7*3))+(1.7*16.5+0.6*16.5+0.6*2.2*2)+(3.63*41.1*1+(2.1*16.5*1))+(3.95*11.2*1+(0.6*11.2*2)+(0.6*1.7*1))+(41.1*2+1.7*4+11.2*2)*0.1</f>
        <v>346.65299999999996</v>
      </c>
      <c r="I257" s="63">
        <f>SUM(H257:H262)</f>
        <v>615.88799999999992</v>
      </c>
      <c r="M257" s="142">
        <v>350.5</v>
      </c>
      <c r="N257" s="49">
        <f t="shared" si="6"/>
        <v>265.38799999999992</v>
      </c>
    </row>
    <row r="258" spans="1:14">
      <c r="A258" s="12"/>
      <c r="B258" s="7"/>
      <c r="C258" s="8"/>
      <c r="D258" s="44"/>
      <c r="E258" s="44"/>
      <c r="F258" s="45" t="s">
        <v>1389</v>
      </c>
      <c r="G258" s="45" t="s">
        <v>1395</v>
      </c>
      <c r="H258" s="44">
        <f>(0.45*17)*2+(2.5*0.45*2)</f>
        <v>17.55</v>
      </c>
      <c r="I258" s="46"/>
      <c r="N258" s="49"/>
    </row>
    <row r="259" spans="1:14">
      <c r="A259" s="12"/>
      <c r="B259" s="7"/>
      <c r="C259" s="8"/>
      <c r="D259" s="44"/>
      <c r="E259" s="44"/>
      <c r="F259" s="45" t="s">
        <v>1402</v>
      </c>
      <c r="G259" s="45" t="s">
        <v>1404</v>
      </c>
      <c r="H259" s="44">
        <f>(2.85+0.5)*7.6*2+(2.85+0.5)*6.35*2</f>
        <v>93.465000000000003</v>
      </c>
      <c r="I259" s="46"/>
      <c r="N259" s="49"/>
    </row>
    <row r="260" spans="1:14">
      <c r="A260" s="12"/>
      <c r="B260" s="7"/>
      <c r="C260" s="8"/>
      <c r="D260" s="44"/>
      <c r="E260" s="44"/>
      <c r="F260" s="56" t="s">
        <v>1434</v>
      </c>
      <c r="G260" s="45" t="s">
        <v>1441</v>
      </c>
      <c r="H260" s="44">
        <f>0.6*(23.8+19.8)*2+0.6*0.4*4</f>
        <v>53.28</v>
      </c>
      <c r="I260" s="46"/>
      <c r="N260" s="49"/>
    </row>
    <row r="261" spans="1:14">
      <c r="A261" s="12"/>
      <c r="B261" s="7"/>
      <c r="C261" s="8"/>
      <c r="D261" s="44"/>
      <c r="E261" s="44"/>
      <c r="F261" s="56" t="s">
        <v>1445</v>
      </c>
      <c r="G261" s="151" t="s">
        <v>1446</v>
      </c>
      <c r="H261" s="152">
        <f>5.3*19.8</f>
        <v>104.94</v>
      </c>
      <c r="I261" s="46"/>
      <c r="N261" s="49"/>
    </row>
    <row r="262" spans="1:14">
      <c r="A262" s="12"/>
      <c r="B262" s="7"/>
      <c r="C262" s="8"/>
      <c r="D262" s="44"/>
      <c r="E262" s="44"/>
      <c r="F262" s="45"/>
      <c r="G262" s="45"/>
      <c r="H262" s="44"/>
      <c r="I262" s="46"/>
      <c r="N262" s="49"/>
    </row>
    <row r="263" spans="1:14">
      <c r="A263" s="12" t="s">
        <v>189</v>
      </c>
      <c r="B263" s="7" t="s">
        <v>192</v>
      </c>
      <c r="C263" s="8" t="s">
        <v>17</v>
      </c>
      <c r="D263" s="44">
        <v>13138</v>
      </c>
      <c r="E263" s="44"/>
      <c r="F263" s="45" t="s">
        <v>1403</v>
      </c>
      <c r="G263" s="45" t="s">
        <v>1345</v>
      </c>
      <c r="H263" s="44">
        <f>'[1]鋼筋-河道'!E13+'[1]鋼筋-河道'!M22+'[1]鋼筋-河道'!E31+'[1]鋼筋-河道'!M41+'[1]鋼筋-河道'!E47</f>
        <v>16735.4076957</v>
      </c>
      <c r="I263" s="48">
        <f>SUM(H263:H268)</f>
        <v>24883.189093624533</v>
      </c>
      <c r="M263" s="142">
        <v>13095.3</v>
      </c>
      <c r="N263" s="49">
        <f t="shared" si="6"/>
        <v>11787.889093624533</v>
      </c>
    </row>
    <row r="264" spans="1:14">
      <c r="A264" s="12"/>
      <c r="B264" s="7"/>
      <c r="C264" s="8"/>
      <c r="D264" s="44"/>
      <c r="E264" s="44"/>
      <c r="F264" s="50" t="s">
        <v>1417</v>
      </c>
      <c r="G264" s="45" t="s">
        <v>1450</v>
      </c>
      <c r="H264" s="44">
        <f>((2.8*1.56*8)+(0.55*0.56*13))*58</f>
        <v>2258.9839999999995</v>
      </c>
      <c r="I264" s="48"/>
      <c r="N264" s="49"/>
    </row>
    <row r="265" spans="1:14">
      <c r="A265" s="12"/>
      <c r="B265" s="7"/>
      <c r="C265" s="8"/>
      <c r="D265" s="44"/>
      <c r="E265" s="44"/>
      <c r="F265" s="45" t="s">
        <v>1402</v>
      </c>
      <c r="G265" s="45" t="s">
        <v>1345</v>
      </c>
      <c r="H265" s="44">
        <v>2194.92</v>
      </c>
      <c r="I265" s="48"/>
      <c r="N265" s="49"/>
    </row>
    <row r="266" spans="1:14" ht="33">
      <c r="A266" s="12"/>
      <c r="B266" s="7"/>
      <c r="C266" s="8"/>
      <c r="D266" s="44"/>
      <c r="E266" s="44"/>
      <c r="F266" s="50" t="s">
        <v>1434</v>
      </c>
      <c r="G266" s="45" t="s">
        <v>1451</v>
      </c>
      <c r="H266" s="44">
        <f>(43.6+0.6*8)*4*0.994+(0.3+0.35+0.18*2+0.55)*43.6/0.3*0.994</f>
        <v>417.79807999999997</v>
      </c>
      <c r="I266" s="48"/>
      <c r="N266" s="49"/>
    </row>
    <row r="267" spans="1:14">
      <c r="A267" s="12"/>
      <c r="B267" s="7"/>
      <c r="C267" s="8"/>
      <c r="D267" s="44"/>
      <c r="E267" s="44"/>
      <c r="F267" s="50" t="s">
        <v>1443</v>
      </c>
      <c r="G267" s="151" t="s">
        <v>1345</v>
      </c>
      <c r="H267" s="152">
        <f>'[1]鋼筋-河道'!E63</f>
        <v>3276.0793179245284</v>
      </c>
      <c r="I267" s="48"/>
      <c r="N267" s="49"/>
    </row>
    <row r="268" spans="1:14">
      <c r="A268" s="12"/>
      <c r="B268" s="7"/>
      <c r="C268" s="8"/>
      <c r="D268" s="44"/>
      <c r="E268" s="44"/>
      <c r="F268" s="45"/>
      <c r="G268" s="45"/>
      <c r="H268" s="44"/>
      <c r="I268" s="46"/>
      <c r="N268" s="49"/>
    </row>
    <row r="269" spans="1:14">
      <c r="A269" s="12" t="s">
        <v>188</v>
      </c>
      <c r="B269" s="7" t="s">
        <v>530</v>
      </c>
      <c r="C269" s="8" t="s">
        <v>17</v>
      </c>
      <c r="D269" s="44">
        <v>15589</v>
      </c>
      <c r="E269" s="44"/>
      <c r="F269" s="45" t="s">
        <v>1407</v>
      </c>
      <c r="G269" s="45" t="s">
        <v>1345</v>
      </c>
      <c r="H269" s="44">
        <f>'[1]鋼筋-河道'!M23+'[1]鋼筋-河道'!E32+'[1]鋼筋-河道'!M42+'[1]鋼筋-河道'!E48</f>
        <v>15565.554937500001</v>
      </c>
      <c r="I269" s="48">
        <f>SUM(H269:H270)</f>
        <v>23923.6749375</v>
      </c>
      <c r="M269" s="142">
        <v>15561</v>
      </c>
      <c r="N269" s="49">
        <f t="shared" ref="N269:N324" si="8">I269-M269</f>
        <v>8362.6749374999999</v>
      </c>
    </row>
    <row r="270" spans="1:14">
      <c r="A270" s="12"/>
      <c r="B270" s="7"/>
      <c r="C270" s="8"/>
      <c r="D270" s="44"/>
      <c r="E270" s="44"/>
      <c r="F270" s="56" t="s">
        <v>1435</v>
      </c>
      <c r="G270" s="45" t="s">
        <v>1448</v>
      </c>
      <c r="H270" s="44">
        <f>6*218*6.39</f>
        <v>8358.119999999999</v>
      </c>
      <c r="I270" s="46"/>
      <c r="N270" s="49"/>
    </row>
    <row r="271" spans="1:14">
      <c r="A271" s="12"/>
      <c r="B271" s="7"/>
      <c r="C271" s="8"/>
      <c r="D271" s="44"/>
      <c r="E271" s="44"/>
      <c r="F271" s="45"/>
      <c r="G271" s="45"/>
      <c r="H271" s="44"/>
      <c r="I271" s="46"/>
      <c r="N271" s="49"/>
    </row>
    <row r="272" spans="1:14" ht="30" customHeight="1">
      <c r="A272" s="12" t="s">
        <v>187</v>
      </c>
      <c r="B272" s="7" t="s">
        <v>1408</v>
      </c>
      <c r="C272" s="8" t="s">
        <v>13</v>
      </c>
      <c r="D272" s="44">
        <v>776</v>
      </c>
      <c r="E272" s="44"/>
      <c r="F272" s="45" t="s">
        <v>1414</v>
      </c>
      <c r="G272" s="45" t="s">
        <v>1415</v>
      </c>
      <c r="H272" s="44">
        <f>701.46+100.43+105.55</f>
        <v>907.44</v>
      </c>
      <c r="I272" s="48">
        <f>H272</f>
        <v>907.44</v>
      </c>
      <c r="M272" s="142">
        <v>776</v>
      </c>
      <c r="N272" s="49">
        <f t="shared" si="8"/>
        <v>131.44000000000005</v>
      </c>
    </row>
    <row r="273" spans="1:14" ht="31.5">
      <c r="A273" s="12" t="s">
        <v>186</v>
      </c>
      <c r="B273" s="7" t="s">
        <v>1411</v>
      </c>
      <c r="C273" s="8" t="s">
        <v>223</v>
      </c>
      <c r="D273" s="44">
        <v>235</v>
      </c>
      <c r="E273" s="44"/>
      <c r="F273" s="45" t="s">
        <v>1382</v>
      </c>
      <c r="G273" s="151" t="s">
        <v>1412</v>
      </c>
      <c r="H273" s="152">
        <v>277.04000000000002</v>
      </c>
      <c r="I273" s="48">
        <f>H273</f>
        <v>277.04000000000002</v>
      </c>
      <c r="M273" s="142">
        <v>222.95</v>
      </c>
      <c r="N273" s="49">
        <f t="shared" si="8"/>
        <v>54.090000000000032</v>
      </c>
    </row>
    <row r="274" spans="1:14" ht="31.5">
      <c r="A274" s="12" t="s">
        <v>185</v>
      </c>
      <c r="B274" s="7" t="s">
        <v>1409</v>
      </c>
      <c r="C274" s="8" t="s">
        <v>13</v>
      </c>
      <c r="D274" s="44">
        <v>102</v>
      </c>
      <c r="E274" s="44"/>
      <c r="F274" s="45" t="s">
        <v>1410</v>
      </c>
      <c r="G274" s="151" t="s">
        <v>1413</v>
      </c>
      <c r="H274" s="152">
        <f>82.85+51.33</f>
        <v>134.18</v>
      </c>
      <c r="I274" s="48">
        <f>H274</f>
        <v>134.18</v>
      </c>
      <c r="M274" s="142">
        <v>57.5</v>
      </c>
      <c r="N274" s="49">
        <f t="shared" si="8"/>
        <v>76.680000000000007</v>
      </c>
    </row>
    <row r="275" spans="1:14">
      <c r="A275" s="12" t="s">
        <v>184</v>
      </c>
      <c r="B275" s="7" t="s">
        <v>603</v>
      </c>
      <c r="C275" s="8" t="s">
        <v>13</v>
      </c>
      <c r="D275" s="44">
        <v>400</v>
      </c>
      <c r="E275" s="44"/>
      <c r="F275" s="45"/>
      <c r="G275" s="45"/>
      <c r="H275" s="44"/>
      <c r="I275" s="48">
        <f>H275</f>
        <v>0</v>
      </c>
      <c r="M275" s="142">
        <v>0</v>
      </c>
      <c r="N275" s="49">
        <f t="shared" si="8"/>
        <v>0</v>
      </c>
    </row>
    <row r="276" spans="1:14" ht="42.75">
      <c r="A276" s="12" t="s">
        <v>183</v>
      </c>
      <c r="B276" s="10" t="s">
        <v>605</v>
      </c>
      <c r="C276" s="8" t="s">
        <v>606</v>
      </c>
      <c r="D276" s="44">
        <v>333</v>
      </c>
      <c r="E276" s="44"/>
      <c r="F276" s="45" t="s">
        <v>1387</v>
      </c>
      <c r="G276" s="45" t="s">
        <v>1416</v>
      </c>
      <c r="H276" s="44">
        <f>(3/0.15)*17</f>
        <v>340</v>
      </c>
      <c r="I276" s="48">
        <f>H276</f>
        <v>340</v>
      </c>
      <c r="M276" s="142">
        <v>333</v>
      </c>
      <c r="N276" s="49">
        <f t="shared" si="8"/>
        <v>7</v>
      </c>
    </row>
    <row r="277" spans="1:14" ht="33">
      <c r="A277" s="12" t="s">
        <v>182</v>
      </c>
      <c r="B277" s="7" t="s">
        <v>608</v>
      </c>
      <c r="C277" s="8" t="s">
        <v>13</v>
      </c>
      <c r="D277" s="44">
        <v>1702</v>
      </c>
      <c r="E277" s="44"/>
      <c r="F277" s="50" t="s">
        <v>1419</v>
      </c>
      <c r="G277" s="155" t="s">
        <v>1447</v>
      </c>
      <c r="H277" s="152">
        <f>(160*5.9)+(26.7*8.2)+(3.9*5.1)</f>
        <v>1182.8300000000002</v>
      </c>
      <c r="I277" s="48">
        <f t="shared" ref="I277:I283" si="9">H277</f>
        <v>1182.8300000000002</v>
      </c>
      <c r="M277" s="142">
        <v>1025</v>
      </c>
      <c r="N277" s="49">
        <f t="shared" si="8"/>
        <v>157.83000000000015</v>
      </c>
    </row>
    <row r="278" spans="1:14">
      <c r="A278" s="12" t="s">
        <v>181</v>
      </c>
      <c r="B278" s="7" t="s">
        <v>357</v>
      </c>
      <c r="C278" s="8" t="s">
        <v>8</v>
      </c>
      <c r="D278" s="44">
        <v>49</v>
      </c>
      <c r="E278" s="44"/>
      <c r="F278" s="45" t="s">
        <v>1403</v>
      </c>
      <c r="G278" s="151"/>
      <c r="H278" s="152">
        <f>1.5*12+(4.6+1.7)*( 3+1)+(3.3+0.5+0.95+3.2)</f>
        <v>51.150000000000006</v>
      </c>
      <c r="I278" s="48">
        <f t="shared" si="9"/>
        <v>51.150000000000006</v>
      </c>
      <c r="M278" s="142">
        <v>47</v>
      </c>
      <c r="N278" s="49">
        <f t="shared" si="8"/>
        <v>4.1500000000000057</v>
      </c>
    </row>
    <row r="279" spans="1:14">
      <c r="A279" s="12" t="s">
        <v>610</v>
      </c>
      <c r="B279" s="7" t="s">
        <v>611</v>
      </c>
      <c r="C279" s="8" t="s">
        <v>8</v>
      </c>
      <c r="D279" s="44">
        <v>85</v>
      </c>
      <c r="E279" s="44"/>
      <c r="F279" s="45" t="s">
        <v>1407</v>
      </c>
      <c r="G279" s="151">
        <f>57.6+11.2+17</f>
        <v>85.8</v>
      </c>
      <c r="H279" s="152">
        <f>57.6+11.2+17</f>
        <v>85.8</v>
      </c>
      <c r="I279" s="48">
        <f t="shared" si="9"/>
        <v>85.8</v>
      </c>
      <c r="M279" s="142">
        <v>83</v>
      </c>
      <c r="N279" s="49">
        <f t="shared" si="8"/>
        <v>2.7999999999999972</v>
      </c>
    </row>
    <row r="280" spans="1:14" ht="28.5">
      <c r="A280" s="12" t="s">
        <v>613</v>
      </c>
      <c r="B280" s="10" t="s">
        <v>222</v>
      </c>
      <c r="C280" s="8" t="s">
        <v>13</v>
      </c>
      <c r="D280" s="44">
        <v>385</v>
      </c>
      <c r="E280" s="44"/>
      <c r="F280" s="45" t="s">
        <v>1407</v>
      </c>
      <c r="G280" s="151" t="s">
        <v>1584</v>
      </c>
      <c r="H280" s="152">
        <f>(1.8*21*2*2+1.8*11.2*3*2+1.8*17*2*2)</f>
        <v>394.56000000000006</v>
      </c>
      <c r="I280" s="48">
        <f t="shared" si="9"/>
        <v>394.56000000000006</v>
      </c>
      <c r="M280" s="142">
        <v>239.89</v>
      </c>
      <c r="N280" s="49">
        <f t="shared" si="8"/>
        <v>154.67000000000007</v>
      </c>
    </row>
    <row r="281" spans="1:14" ht="31.5">
      <c r="A281" s="12" t="s">
        <v>614</v>
      </c>
      <c r="B281" s="7" t="s">
        <v>615</v>
      </c>
      <c r="C281" s="8" t="s">
        <v>8</v>
      </c>
      <c r="D281" s="44">
        <v>686</v>
      </c>
      <c r="E281" s="44">
        <v>0</v>
      </c>
      <c r="F281" s="45"/>
      <c r="G281" s="45"/>
      <c r="H281" s="44"/>
      <c r="I281" s="48">
        <f t="shared" si="9"/>
        <v>0</v>
      </c>
      <c r="M281" s="142">
        <v>0</v>
      </c>
      <c r="N281" s="49">
        <f t="shared" si="8"/>
        <v>0</v>
      </c>
    </row>
    <row r="282" spans="1:14">
      <c r="A282" s="12" t="s">
        <v>617</v>
      </c>
      <c r="B282" s="7" t="s">
        <v>1421</v>
      </c>
      <c r="C282" s="8" t="s">
        <v>23</v>
      </c>
      <c r="D282" s="44">
        <v>1070.5</v>
      </c>
      <c r="E282" s="44"/>
      <c r="F282" s="45" t="s">
        <v>1421</v>
      </c>
      <c r="G282" s="45" t="s">
        <v>1422</v>
      </c>
      <c r="H282" s="44">
        <f>312*7*0.5</f>
        <v>1092</v>
      </c>
      <c r="I282" s="48">
        <f t="shared" si="9"/>
        <v>1092</v>
      </c>
      <c r="M282" s="142">
        <v>1070.5</v>
      </c>
      <c r="N282" s="49">
        <f t="shared" si="8"/>
        <v>21.5</v>
      </c>
    </row>
    <row r="283" spans="1:14" ht="33.75">
      <c r="A283" s="12" t="s">
        <v>620</v>
      </c>
      <c r="B283" s="53" t="s">
        <v>621</v>
      </c>
      <c r="C283" s="8" t="s">
        <v>19</v>
      </c>
      <c r="D283" s="44">
        <v>2</v>
      </c>
      <c r="E283" s="44"/>
      <c r="F283" s="45" t="s">
        <v>1420</v>
      </c>
      <c r="G283" s="45">
        <v>2</v>
      </c>
      <c r="H283" s="44">
        <v>2</v>
      </c>
      <c r="I283" s="48">
        <f t="shared" si="9"/>
        <v>2</v>
      </c>
      <c r="M283" s="142">
        <v>1.6</v>
      </c>
      <c r="N283" s="49">
        <f t="shared" si="8"/>
        <v>0.39999999999999991</v>
      </c>
    </row>
    <row r="284" spans="1:14" ht="45">
      <c r="A284" s="12" t="s">
        <v>1367</v>
      </c>
      <c r="B284" s="53" t="s">
        <v>1368</v>
      </c>
      <c r="C284" s="8" t="s">
        <v>8</v>
      </c>
      <c r="D284" s="44"/>
      <c r="E284" s="44">
        <v>571.08000000000004</v>
      </c>
      <c r="F284" s="45" t="s">
        <v>1387</v>
      </c>
      <c r="G284" s="45" t="s">
        <v>1381</v>
      </c>
      <c r="H284" s="44">
        <v>580</v>
      </c>
      <c r="I284" s="48">
        <f>H284</f>
        <v>580</v>
      </c>
      <c r="M284" s="142">
        <v>571</v>
      </c>
      <c r="N284" s="49">
        <f t="shared" si="8"/>
        <v>9</v>
      </c>
    </row>
    <row r="285" spans="1:14">
      <c r="A285" s="12" t="s">
        <v>1369</v>
      </c>
      <c r="B285" s="7" t="s">
        <v>1370</v>
      </c>
      <c r="C285" s="8" t="s">
        <v>6</v>
      </c>
      <c r="D285" s="44"/>
      <c r="E285" s="44">
        <v>161.38999999999999</v>
      </c>
      <c r="F285" s="45"/>
      <c r="G285" s="45"/>
      <c r="H285" s="44"/>
      <c r="I285" s="46"/>
      <c r="M285" s="142">
        <v>0</v>
      </c>
      <c r="N285" s="49">
        <f t="shared" si="8"/>
        <v>0</v>
      </c>
    </row>
    <row r="286" spans="1:14" ht="42.75">
      <c r="A286" s="12" t="s">
        <v>1371</v>
      </c>
      <c r="B286" s="10" t="s">
        <v>1372</v>
      </c>
      <c r="C286" s="8" t="s">
        <v>13</v>
      </c>
      <c r="D286" s="44"/>
      <c r="E286" s="44">
        <v>634.14</v>
      </c>
      <c r="F286" s="45" t="s">
        <v>1424</v>
      </c>
      <c r="G286" s="45" t="s">
        <v>1423</v>
      </c>
      <c r="H286" s="44">
        <f>1.8*(295+57.3)</f>
        <v>634.14</v>
      </c>
      <c r="I286" s="48">
        <f>H286</f>
        <v>634.14</v>
      </c>
      <c r="M286" s="142">
        <v>632</v>
      </c>
      <c r="N286" s="49">
        <f t="shared" si="8"/>
        <v>2.1399999999999864</v>
      </c>
    </row>
    <row r="287" spans="1:14" ht="33">
      <c r="A287" s="12" t="s">
        <v>1373</v>
      </c>
      <c r="B287" s="7" t="s">
        <v>586</v>
      </c>
      <c r="C287" s="8" t="s">
        <v>8</v>
      </c>
      <c r="D287" s="44"/>
      <c r="E287" s="44">
        <v>343.5</v>
      </c>
      <c r="F287" s="45" t="s">
        <v>1425</v>
      </c>
      <c r="G287" s="45" t="s">
        <v>1426</v>
      </c>
      <c r="H287" s="44">
        <f>295*0.7+76*0.75+40*2+12*0.3</f>
        <v>347.1</v>
      </c>
      <c r="I287" s="48">
        <f t="shared" ref="I287:I289" si="10">H287</f>
        <v>347.1</v>
      </c>
      <c r="M287" s="142">
        <v>343.5</v>
      </c>
      <c r="N287" s="49">
        <f t="shared" si="8"/>
        <v>3.6000000000000227</v>
      </c>
    </row>
    <row r="288" spans="1:14" ht="33">
      <c r="A288" s="12" t="s">
        <v>1374</v>
      </c>
      <c r="B288" s="7" t="s">
        <v>1375</v>
      </c>
      <c r="C288" s="8" t="s">
        <v>7</v>
      </c>
      <c r="D288" s="44"/>
      <c r="E288" s="44">
        <v>451</v>
      </c>
      <c r="F288" s="45" t="s">
        <v>1425</v>
      </c>
      <c r="G288" s="45" t="s">
        <v>1427</v>
      </c>
      <c r="H288" s="44">
        <f>295+76+80+12</f>
        <v>463</v>
      </c>
      <c r="I288" s="48">
        <f t="shared" si="10"/>
        <v>463</v>
      </c>
      <c r="M288" s="142">
        <v>432</v>
      </c>
      <c r="N288" s="49">
        <f t="shared" si="8"/>
        <v>31</v>
      </c>
    </row>
    <row r="289" spans="1:14" ht="31.5">
      <c r="A289" s="12" t="s">
        <v>1376</v>
      </c>
      <c r="B289" s="7" t="s">
        <v>1377</v>
      </c>
      <c r="C289" s="8" t="s">
        <v>6</v>
      </c>
      <c r="D289" s="44"/>
      <c r="E289" s="44">
        <v>1513</v>
      </c>
      <c r="F289" s="45" t="s">
        <v>1428</v>
      </c>
      <c r="G289" s="45" t="s">
        <v>1431</v>
      </c>
      <c r="H289" s="44">
        <f>(282.3*8.2*0.5)+(246.3*(1.5*0.6+0.6*1))</f>
        <v>1526.8799999999999</v>
      </c>
      <c r="I289" s="48">
        <f t="shared" si="10"/>
        <v>1526.8799999999999</v>
      </c>
      <c r="M289" s="142">
        <v>1513</v>
      </c>
      <c r="N289" s="49">
        <f t="shared" si="8"/>
        <v>13.879999999999882</v>
      </c>
    </row>
    <row r="290" spans="1:14" ht="42.75">
      <c r="A290" s="12" t="s">
        <v>1378</v>
      </c>
      <c r="B290" s="10" t="s">
        <v>1365</v>
      </c>
      <c r="C290" s="8" t="s">
        <v>6</v>
      </c>
      <c r="D290" s="44"/>
      <c r="E290" s="44">
        <v>1177.9000000000001</v>
      </c>
      <c r="F290" s="45" t="s">
        <v>1382</v>
      </c>
      <c r="G290" s="151" t="s">
        <v>1430</v>
      </c>
      <c r="H290" s="152">
        <f>246.3*0.75*1.5</f>
        <v>277.08750000000003</v>
      </c>
      <c r="I290" s="48">
        <f>SUM(H290:H296)</f>
        <v>1082.1565000000001</v>
      </c>
      <c r="M290" s="142">
        <v>0</v>
      </c>
      <c r="N290" s="49">
        <f t="shared" si="8"/>
        <v>1082.1565000000001</v>
      </c>
    </row>
    <row r="291" spans="1:14" ht="33">
      <c r="A291" s="12"/>
      <c r="B291" s="7"/>
      <c r="C291" s="8"/>
      <c r="D291" s="44"/>
      <c r="E291" s="44"/>
      <c r="F291" s="45" t="s">
        <v>1432</v>
      </c>
      <c r="G291" s="151" t="s">
        <v>1454</v>
      </c>
      <c r="H291" s="152">
        <f>(17*2.5*0.45)+(17*(0.5+0.7)/2*(4.79+3.4)/2)+(0.5*3.2*5.1)</f>
        <v>69.053999999999988</v>
      </c>
      <c r="I291" s="46"/>
      <c r="N291" s="49"/>
    </row>
    <row r="292" spans="1:14" ht="33">
      <c r="A292" s="12"/>
      <c r="B292" s="7"/>
      <c r="C292" s="8"/>
      <c r="D292" s="44"/>
      <c r="E292" s="44"/>
      <c r="F292" s="45" t="s">
        <v>1429</v>
      </c>
      <c r="G292" s="151" t="s">
        <v>1455</v>
      </c>
      <c r="H292" s="152">
        <f>(41.1*1.7*0.6)+(41.1*(0.5+1.1)/2*3.63)+(16.5*2.2*0.6)+(16.5*(0.5+0.85)/2*2.1+16.5*0.3*1.1)</f>
        <v>211.89015000000003</v>
      </c>
      <c r="I292" s="46"/>
      <c r="N292" s="49"/>
    </row>
    <row r="293" spans="1:14" ht="33">
      <c r="A293" s="12"/>
      <c r="B293" s="7"/>
      <c r="C293" s="8"/>
      <c r="D293" s="44"/>
      <c r="E293" s="44"/>
      <c r="F293" s="56" t="s">
        <v>1453</v>
      </c>
      <c r="G293" s="151" t="s">
        <v>1456</v>
      </c>
      <c r="H293" s="152">
        <f>246.3*1.75*0.25+503.7*0.15+1335.6*0.15+82.85*0.35+78.97*0.25</f>
        <v>432.39125000000001</v>
      </c>
      <c r="I293" s="46"/>
      <c r="N293" s="49"/>
    </row>
    <row r="294" spans="1:14" ht="33">
      <c r="A294" s="12"/>
      <c r="B294" s="7"/>
      <c r="C294" s="8"/>
      <c r="D294" s="44"/>
      <c r="E294" s="44"/>
      <c r="F294" s="56" t="s">
        <v>1458</v>
      </c>
      <c r="G294" s="155" t="s">
        <v>1452</v>
      </c>
      <c r="H294" s="152">
        <f>23.8*2*0.15+26.2*3.83*0.35+25.7*5.5*0.35</f>
        <v>91.733599999999996</v>
      </c>
      <c r="I294" s="46"/>
      <c r="N294" s="49"/>
    </row>
    <row r="295" spans="1:14">
      <c r="A295" s="12"/>
      <c r="B295" s="7"/>
      <c r="C295" s="8"/>
      <c r="D295" s="44"/>
      <c r="E295" s="44"/>
      <c r="F295" s="50" t="s">
        <v>1691</v>
      </c>
      <c r="G295" s="50"/>
      <c r="H295" s="44"/>
      <c r="I295" s="46"/>
      <c r="N295" s="49"/>
    </row>
    <row r="296" spans="1:14">
      <c r="A296" s="12"/>
      <c r="B296" s="7"/>
      <c r="C296" s="8"/>
      <c r="D296" s="44"/>
      <c r="E296" s="44"/>
      <c r="F296" s="56"/>
      <c r="G296" s="45"/>
      <c r="H296" s="44"/>
      <c r="I296" s="46"/>
      <c r="N296" s="49"/>
    </row>
    <row r="297" spans="1:14" ht="47.25">
      <c r="A297" s="12" t="s">
        <v>1379</v>
      </c>
      <c r="B297" s="7" t="s">
        <v>1380</v>
      </c>
      <c r="C297" s="8" t="s">
        <v>13</v>
      </c>
      <c r="D297" s="44"/>
      <c r="E297" s="44">
        <v>442.5</v>
      </c>
      <c r="F297" s="56" t="s">
        <v>1436</v>
      </c>
      <c r="G297" s="45" t="s">
        <v>1457</v>
      </c>
      <c r="H297" s="44">
        <f>246.3*1.75+26.2*3.83+25.7*5.5</f>
        <v>672.72100000000012</v>
      </c>
      <c r="I297" s="48">
        <f>H297</f>
        <v>672.72100000000012</v>
      </c>
      <c r="M297" s="142">
        <v>442.5</v>
      </c>
      <c r="N297" s="49">
        <f t="shared" si="8"/>
        <v>230.22100000000012</v>
      </c>
    </row>
    <row r="298" spans="1:14">
      <c r="A298" s="12"/>
      <c r="B298" s="7"/>
      <c r="C298" s="8"/>
      <c r="D298" s="44"/>
      <c r="E298" s="44"/>
      <c r="F298" s="45"/>
      <c r="G298" s="45"/>
      <c r="H298" s="44"/>
      <c r="I298" s="46"/>
      <c r="N298" s="49"/>
    </row>
    <row r="299" spans="1:14">
      <c r="A299" s="12"/>
      <c r="B299" s="7"/>
      <c r="C299" s="8"/>
      <c r="D299" s="44"/>
      <c r="E299" s="44"/>
      <c r="F299" s="45"/>
      <c r="G299" s="45"/>
      <c r="H299" s="44"/>
      <c r="I299" s="46"/>
      <c r="N299" s="49"/>
    </row>
    <row r="300" spans="1:14" ht="33">
      <c r="A300" s="145" t="s">
        <v>97</v>
      </c>
      <c r="B300" s="146" t="s">
        <v>623</v>
      </c>
      <c r="C300" s="147" t="s">
        <v>4</v>
      </c>
      <c r="D300" s="148">
        <v>1</v>
      </c>
      <c r="E300" s="148"/>
      <c r="F300" s="149"/>
      <c r="G300" s="149"/>
      <c r="H300" s="148"/>
      <c r="I300" s="150" t="s">
        <v>243</v>
      </c>
      <c r="N300" s="49"/>
    </row>
    <row r="301" spans="1:14" ht="33">
      <c r="A301" s="12" t="s">
        <v>98</v>
      </c>
      <c r="B301" s="10" t="s">
        <v>1383</v>
      </c>
      <c r="C301" s="8" t="s">
        <v>6</v>
      </c>
      <c r="D301" s="44">
        <v>252</v>
      </c>
      <c r="E301" s="44"/>
      <c r="F301" s="45" t="s">
        <v>1468</v>
      </c>
      <c r="G301" s="151" t="s">
        <v>1472</v>
      </c>
      <c r="H301" s="152">
        <f>(2.1*0.1*300)+(5*3.7*0.1+1.8*2.1*0.1)+(7.35*0.1*60)</f>
        <v>109.328</v>
      </c>
      <c r="I301" s="48">
        <f>H301</f>
        <v>109.328</v>
      </c>
      <c r="M301" s="142">
        <v>60.129999999999995</v>
      </c>
      <c r="N301" s="49">
        <f t="shared" si="8"/>
        <v>49.198000000000008</v>
      </c>
    </row>
    <row r="302" spans="1:14" ht="28.5">
      <c r="A302" s="12" t="s">
        <v>99</v>
      </c>
      <c r="B302" s="10" t="s">
        <v>24</v>
      </c>
      <c r="C302" s="8" t="s">
        <v>6</v>
      </c>
      <c r="D302" s="44">
        <v>2490</v>
      </c>
      <c r="E302" s="44"/>
      <c r="F302" s="50" t="s">
        <v>1463</v>
      </c>
      <c r="G302" s="155" t="s">
        <v>1474</v>
      </c>
      <c r="H302" s="152">
        <f>(1.8*0.3*2+1.2*0.3*2)*300</f>
        <v>540</v>
      </c>
      <c r="I302" s="70">
        <f>SUM(H302:H304)</f>
        <v>2669.1459999999997</v>
      </c>
      <c r="M302" s="142">
        <v>1607.3</v>
      </c>
      <c r="N302" s="49">
        <f t="shared" si="8"/>
        <v>1061.8459999999998</v>
      </c>
    </row>
    <row r="303" spans="1:14" ht="49.5">
      <c r="A303" s="12"/>
      <c r="B303" s="10"/>
      <c r="C303" s="8"/>
      <c r="D303" s="44"/>
      <c r="E303" s="44"/>
      <c r="F303" s="50" t="s">
        <v>1469</v>
      </c>
      <c r="G303" s="155" t="s">
        <v>1482</v>
      </c>
      <c r="H303" s="152">
        <f>(4.7*3.4*0.3*2)+(2.7*4.7*0.3*2)+(1.75*0.2*2.8+2.8*2.45*0.2)+(2.7*2.8*0.3*2)-(2.4*1.5+1.2*1.2*2)*0.3</f>
        <v>22.145999999999997</v>
      </c>
      <c r="I303" s="44"/>
      <c r="N303" s="49"/>
    </row>
    <row r="304" spans="1:14">
      <c r="A304" s="12"/>
      <c r="B304" s="10"/>
      <c r="C304" s="8"/>
      <c r="D304" s="44"/>
      <c r="E304" s="44"/>
      <c r="F304" s="50" t="s">
        <v>1462</v>
      </c>
      <c r="G304" s="155" t="s">
        <v>1587</v>
      </c>
      <c r="H304" s="152">
        <f>(7.05*2.7-3*2*2+0.35*0.35*4)*280</f>
        <v>2107</v>
      </c>
      <c r="I304" s="44"/>
      <c r="N304" s="49"/>
    </row>
    <row r="305" spans="1:15">
      <c r="A305" s="12"/>
      <c r="B305" s="10"/>
      <c r="C305" s="8"/>
      <c r="D305" s="44"/>
      <c r="E305" s="44"/>
      <c r="F305" s="50"/>
      <c r="G305" s="50"/>
      <c r="H305" s="44"/>
      <c r="I305" s="44"/>
      <c r="N305" s="49"/>
    </row>
    <row r="306" spans="1:15" ht="31.5">
      <c r="A306" s="12" t="s">
        <v>100</v>
      </c>
      <c r="B306" s="7" t="s">
        <v>1460</v>
      </c>
      <c r="C306" s="8" t="s">
        <v>6</v>
      </c>
      <c r="D306" s="44">
        <v>998</v>
      </c>
      <c r="E306" s="44"/>
      <c r="F306" s="45" t="s">
        <v>1464</v>
      </c>
      <c r="G306" s="151" t="s">
        <v>1471</v>
      </c>
      <c r="H306" s="152">
        <f>16.5*1.3*0.65+2.7*(2.5+1.35)/2*15.2</f>
        <v>92.944500000000005</v>
      </c>
      <c r="I306" s="70">
        <f>SUM(H306:H309)</f>
        <v>606.6395</v>
      </c>
      <c r="M306" s="142">
        <v>34.56</v>
      </c>
      <c r="N306" s="49">
        <f t="shared" si="8"/>
        <v>572.07950000000005</v>
      </c>
    </row>
    <row r="307" spans="1:15">
      <c r="A307" s="12"/>
      <c r="B307" s="7"/>
      <c r="C307" s="8"/>
      <c r="D307" s="44"/>
      <c r="E307" s="44"/>
      <c r="F307" s="45" t="s">
        <v>1470</v>
      </c>
      <c r="G307" s="151" t="s">
        <v>1473</v>
      </c>
      <c r="H307" s="152">
        <f>(1.8+0.8)/2*1.6*2.45</f>
        <v>5.096000000000001</v>
      </c>
      <c r="I307" s="70"/>
      <c r="N307" s="49"/>
    </row>
    <row r="308" spans="1:15">
      <c r="A308" s="12"/>
      <c r="B308" s="7"/>
      <c r="C308" s="8"/>
      <c r="D308" s="44"/>
      <c r="E308" s="44"/>
      <c r="F308" s="45" t="s">
        <v>1466</v>
      </c>
      <c r="G308" s="151" t="s">
        <v>1467</v>
      </c>
      <c r="H308" s="152">
        <f>1.15*1.8*245.7</f>
        <v>508.59899999999993</v>
      </c>
      <c r="I308" s="44"/>
      <c r="N308" s="49"/>
    </row>
    <row r="309" spans="1:15">
      <c r="A309" s="12"/>
      <c r="B309" s="7"/>
      <c r="C309" s="8"/>
      <c r="D309" s="44"/>
      <c r="E309" s="44"/>
      <c r="F309" s="45"/>
      <c r="G309" s="45"/>
      <c r="H309" s="44"/>
      <c r="I309" s="44"/>
      <c r="N309" s="49"/>
    </row>
    <row r="310" spans="1:15" ht="33">
      <c r="A310" s="12" t="s">
        <v>101</v>
      </c>
      <c r="B310" s="7" t="s">
        <v>595</v>
      </c>
      <c r="C310" s="8" t="s">
        <v>6</v>
      </c>
      <c r="D310" s="44">
        <v>3740</v>
      </c>
      <c r="E310" s="44"/>
      <c r="F310" s="45" t="s">
        <v>1465</v>
      </c>
      <c r="G310" s="151"/>
      <c r="H310" s="152">
        <f>I301+I302+I306</f>
        <v>3385.1134999999995</v>
      </c>
      <c r="I310" s="44">
        <f>H310</f>
        <v>3385.1134999999995</v>
      </c>
      <c r="M310" s="142">
        <v>1701.99</v>
      </c>
      <c r="N310" s="49">
        <f t="shared" si="8"/>
        <v>1683.1234999999995</v>
      </c>
    </row>
    <row r="311" spans="1:15">
      <c r="A311" s="12" t="s">
        <v>102</v>
      </c>
      <c r="B311" s="7" t="s">
        <v>534</v>
      </c>
      <c r="C311" s="8" t="s">
        <v>13</v>
      </c>
      <c r="D311" s="44">
        <v>3740</v>
      </c>
      <c r="E311" s="44">
        <v>4240</v>
      </c>
      <c r="F311" s="45" t="s">
        <v>1475</v>
      </c>
      <c r="G311" s="167" t="s">
        <v>1480</v>
      </c>
      <c r="H311" s="152">
        <f>(1.3*4+2.3*2+0.495*8)*280</f>
        <v>3852.8000000000006</v>
      </c>
      <c r="I311" s="44">
        <f>SUM(H311:H313)</f>
        <v>4932.8000000000011</v>
      </c>
      <c r="M311" s="142">
        <v>3521</v>
      </c>
      <c r="N311" s="49">
        <f t="shared" si="8"/>
        <v>1411.8000000000011</v>
      </c>
      <c r="O311" s="168"/>
    </row>
    <row r="312" spans="1:15">
      <c r="A312" s="12"/>
      <c r="B312" s="7"/>
      <c r="C312" s="8"/>
      <c r="D312" s="44"/>
      <c r="E312" s="44"/>
      <c r="F312" s="45" t="s">
        <v>1476</v>
      </c>
      <c r="G312" s="167" t="s">
        <v>1481</v>
      </c>
      <c r="H312" s="152">
        <f>1.2*3*300</f>
        <v>1080</v>
      </c>
      <c r="I312" s="44"/>
      <c r="N312" s="49"/>
      <c r="O312" s="168"/>
    </row>
    <row r="313" spans="1:15">
      <c r="A313" s="12"/>
      <c r="B313" s="7"/>
      <c r="C313" s="8"/>
      <c r="D313" s="44"/>
      <c r="E313" s="44"/>
      <c r="F313" s="45"/>
      <c r="G313" s="47"/>
      <c r="H313" s="44"/>
      <c r="I313" s="44"/>
      <c r="N313" s="49"/>
      <c r="O313" s="168"/>
    </row>
    <row r="314" spans="1:15">
      <c r="A314" s="12" t="s">
        <v>180</v>
      </c>
      <c r="B314" s="7" t="s">
        <v>626</v>
      </c>
      <c r="C314" s="8" t="s">
        <v>13</v>
      </c>
      <c r="D314" s="44">
        <v>38</v>
      </c>
      <c r="E314" s="44"/>
      <c r="F314" s="45" t="s">
        <v>1478</v>
      </c>
      <c r="G314" s="45" t="s">
        <v>1483</v>
      </c>
      <c r="H314" s="44">
        <f>(4.1*2.7+2.8*2.7)*2-(1.2*1.2*2)+4.1*2.8+1.75*2</f>
        <v>49.359999999999992</v>
      </c>
      <c r="I314" s="44">
        <f>H314</f>
        <v>49.359999999999992</v>
      </c>
      <c r="M314" s="142">
        <v>38</v>
      </c>
      <c r="N314" s="49">
        <f t="shared" si="8"/>
        <v>11.359999999999992</v>
      </c>
      <c r="O314" s="168"/>
    </row>
    <row r="315" spans="1:15" ht="33">
      <c r="A315" s="12" t="s">
        <v>179</v>
      </c>
      <c r="B315" s="7" t="s">
        <v>536</v>
      </c>
      <c r="C315" s="8" t="s">
        <v>13</v>
      </c>
      <c r="D315" s="44">
        <v>783</v>
      </c>
      <c r="E315" s="44"/>
      <c r="F315" s="45" t="s">
        <v>1485</v>
      </c>
      <c r="G315" s="167" t="s">
        <v>1486</v>
      </c>
      <c r="H315" s="152">
        <f>(2.8*2)*60+(2.2*2)*220+(0.7*7.05+0.35*2*3+0.35*0.35*4)*15</f>
        <v>1416.875</v>
      </c>
      <c r="I315" s="44">
        <f>SUM(H315:H316)</f>
        <v>1416.875</v>
      </c>
      <c r="M315" s="142">
        <v>693.3</v>
      </c>
      <c r="N315" s="49">
        <f t="shared" si="8"/>
        <v>723.57500000000005</v>
      </c>
    </row>
    <row r="316" spans="1:15" ht="16.5" customHeight="1">
      <c r="A316" s="12"/>
      <c r="B316" s="7"/>
      <c r="C316" s="8"/>
      <c r="D316" s="44"/>
      <c r="E316" s="44"/>
      <c r="F316" s="45"/>
      <c r="G316" s="47"/>
      <c r="H316" s="44"/>
      <c r="I316" s="44"/>
      <c r="N316" s="49"/>
    </row>
    <row r="317" spans="1:15">
      <c r="A317" s="12" t="s">
        <v>178</v>
      </c>
      <c r="B317" s="7" t="s">
        <v>193</v>
      </c>
      <c r="C317" s="8" t="s">
        <v>13</v>
      </c>
      <c r="D317" s="44">
        <v>300</v>
      </c>
      <c r="E317" s="44"/>
      <c r="F317" s="45" t="s">
        <v>1479</v>
      </c>
      <c r="G317" s="45" t="s">
        <v>1484</v>
      </c>
      <c r="H317" s="44">
        <f>(4.7+3.4)*3.4*2-(1.2*1.2)</f>
        <v>53.64</v>
      </c>
      <c r="I317" s="44">
        <f>SUM(H317:H319)</f>
        <v>741.24</v>
      </c>
      <c r="M317" s="142">
        <v>300</v>
      </c>
      <c r="N317" s="49">
        <f t="shared" si="8"/>
        <v>441.24</v>
      </c>
    </row>
    <row r="318" spans="1:15" ht="34.5" customHeight="1">
      <c r="A318" s="12"/>
      <c r="B318" s="7"/>
      <c r="C318" s="8"/>
      <c r="D318" s="44"/>
      <c r="E318" s="44"/>
      <c r="F318" s="45" t="s">
        <v>1477</v>
      </c>
      <c r="G318" s="47" t="s">
        <v>1487</v>
      </c>
      <c r="H318" s="44">
        <f>1.8*2*67+1.8*1*233+(1.8*1.8-1.2*1.2)*15</f>
        <v>687.6</v>
      </c>
      <c r="I318" s="44"/>
      <c r="N318" s="49"/>
    </row>
    <row r="319" spans="1:15" ht="16.5" customHeight="1">
      <c r="A319" s="12"/>
      <c r="B319" s="7"/>
      <c r="C319" s="8"/>
      <c r="D319" s="44"/>
      <c r="E319" s="44"/>
      <c r="F319" s="45"/>
      <c r="G319" s="47"/>
      <c r="H319" s="44"/>
      <c r="I319" s="44"/>
      <c r="N319" s="49"/>
    </row>
    <row r="320" spans="1:15">
      <c r="A320" s="12" t="s">
        <v>177</v>
      </c>
      <c r="B320" s="7" t="s">
        <v>192</v>
      </c>
      <c r="C320" s="8" t="s">
        <v>17</v>
      </c>
      <c r="D320" s="44">
        <v>137462</v>
      </c>
      <c r="E320" s="44"/>
      <c r="F320" s="50" t="s">
        <v>1461</v>
      </c>
      <c r="G320" s="45" t="s">
        <v>1345</v>
      </c>
      <c r="H320" s="44">
        <f>'[1]鋼筋-箱涵'!E16</f>
        <v>78778.139999999985</v>
      </c>
      <c r="I320" s="44">
        <f>SUM(H320:H323)</f>
        <v>193805.08616000001</v>
      </c>
      <c r="M320" s="142">
        <v>69211</v>
      </c>
      <c r="N320" s="49">
        <f t="shared" si="8"/>
        <v>124594.08616000001</v>
      </c>
    </row>
    <row r="321" spans="1:14">
      <c r="A321" s="12"/>
      <c r="B321" s="7"/>
      <c r="C321" s="8"/>
      <c r="D321" s="44"/>
      <c r="E321" s="44"/>
      <c r="F321" s="50" t="s">
        <v>1488</v>
      </c>
      <c r="G321" s="45" t="s">
        <v>1345</v>
      </c>
      <c r="H321" s="44">
        <f>'[1]鋼筋-箱涵'!M19</f>
        <v>322.90887999999995</v>
      </c>
      <c r="I321" s="44"/>
      <c r="N321" s="49"/>
    </row>
    <row r="322" spans="1:14">
      <c r="A322" s="12"/>
      <c r="B322" s="7"/>
      <c r="C322" s="8"/>
      <c r="D322" s="44"/>
      <c r="E322" s="44"/>
      <c r="F322" s="50" t="s">
        <v>1459</v>
      </c>
      <c r="G322" s="151" t="s">
        <v>1345</v>
      </c>
      <c r="H322" s="152">
        <f>'[1]鋼筋-箱涵'!E35</f>
        <v>114704.03728</v>
      </c>
      <c r="I322" s="44"/>
      <c r="N322" s="49"/>
    </row>
    <row r="323" spans="1:14">
      <c r="A323" s="12"/>
      <c r="B323" s="7"/>
      <c r="C323" s="8"/>
      <c r="D323" s="44"/>
      <c r="E323" s="44"/>
      <c r="F323" s="50"/>
      <c r="G323" s="45"/>
      <c r="H323" s="44"/>
      <c r="I323" s="44"/>
      <c r="N323" s="49"/>
    </row>
    <row r="324" spans="1:14">
      <c r="A324" s="12" t="s">
        <v>176</v>
      </c>
      <c r="B324" s="7" t="s">
        <v>530</v>
      </c>
      <c r="C324" s="8" t="s">
        <v>17</v>
      </c>
      <c r="D324" s="44">
        <v>116638</v>
      </c>
      <c r="E324" s="44"/>
      <c r="F324" s="50" t="s">
        <v>1488</v>
      </c>
      <c r="G324" s="45" t="s">
        <v>1345</v>
      </c>
      <c r="H324" s="44">
        <f>'[1]鋼筋-箱涵'!M20</f>
        <v>3961.692</v>
      </c>
      <c r="I324" s="44">
        <f>SUM(H324:H327)</f>
        <v>158155.67600000004</v>
      </c>
      <c r="M324" s="142">
        <v>111074</v>
      </c>
      <c r="N324" s="49">
        <f t="shared" si="8"/>
        <v>47081.676000000036</v>
      </c>
    </row>
    <row r="325" spans="1:14">
      <c r="A325" s="12"/>
      <c r="B325" s="7"/>
      <c r="C325" s="8"/>
      <c r="D325" s="44"/>
      <c r="E325" s="44"/>
      <c r="F325" s="50" t="s">
        <v>1459</v>
      </c>
      <c r="G325" s="151" t="s">
        <v>1345</v>
      </c>
      <c r="H325" s="152">
        <f>'[1]鋼筋-箱涵'!E36</f>
        <v>154193.98400000003</v>
      </c>
      <c r="I325" s="44"/>
      <c r="N325" s="49"/>
    </row>
    <row r="326" spans="1:14">
      <c r="A326" s="12"/>
      <c r="B326" s="7"/>
      <c r="C326" s="8"/>
      <c r="D326" s="44"/>
      <c r="E326" s="44"/>
      <c r="F326" s="50"/>
      <c r="G326" s="45"/>
      <c r="H326" s="44"/>
      <c r="I326" s="44"/>
      <c r="N326" s="49"/>
    </row>
    <row r="327" spans="1:14">
      <c r="A327" s="12"/>
      <c r="B327" s="7"/>
      <c r="C327" s="8"/>
      <c r="D327" s="44"/>
      <c r="E327" s="44"/>
      <c r="F327" s="45"/>
      <c r="G327" s="45"/>
      <c r="H327" s="44"/>
      <c r="I327" s="44"/>
      <c r="N327" s="49"/>
    </row>
    <row r="328" spans="1:14" ht="42.75">
      <c r="A328" s="12" t="s">
        <v>175</v>
      </c>
      <c r="B328" s="10" t="s">
        <v>628</v>
      </c>
      <c r="C328" s="8" t="s">
        <v>8</v>
      </c>
      <c r="D328" s="44">
        <v>112</v>
      </c>
      <c r="E328" s="44"/>
      <c r="F328" s="45"/>
      <c r="G328" s="45"/>
      <c r="H328" s="44"/>
      <c r="I328" s="46" t="s">
        <v>243</v>
      </c>
      <c r="M328" s="142">
        <v>0</v>
      </c>
      <c r="N328" s="49"/>
    </row>
    <row r="329" spans="1:14" ht="42.75">
      <c r="A329" s="12" t="s">
        <v>174</v>
      </c>
      <c r="B329" s="10" t="s">
        <v>630</v>
      </c>
      <c r="C329" s="8" t="s">
        <v>0</v>
      </c>
      <c r="D329" s="44">
        <v>47</v>
      </c>
      <c r="E329" s="44"/>
      <c r="F329" s="45"/>
      <c r="G329" s="45"/>
      <c r="H329" s="44"/>
      <c r="I329" s="46" t="s">
        <v>243</v>
      </c>
      <c r="M329" s="142">
        <v>0</v>
      </c>
      <c r="N329" s="49"/>
    </row>
    <row r="330" spans="1:14" ht="71.25">
      <c r="A330" s="12" t="s">
        <v>173</v>
      </c>
      <c r="B330" s="10" t="s">
        <v>632</v>
      </c>
      <c r="C330" s="8" t="s">
        <v>8</v>
      </c>
      <c r="D330" s="44">
        <v>148</v>
      </c>
      <c r="E330" s="44"/>
      <c r="F330" s="45"/>
      <c r="G330" s="45"/>
      <c r="H330" s="44"/>
      <c r="I330" s="46" t="s">
        <v>243</v>
      </c>
      <c r="M330" s="142">
        <v>0</v>
      </c>
      <c r="N330" s="49"/>
    </row>
    <row r="331" spans="1:14" ht="42.75">
      <c r="A331" s="12" t="s">
        <v>218</v>
      </c>
      <c r="B331" s="10" t="s">
        <v>634</v>
      </c>
      <c r="C331" s="8" t="s">
        <v>15</v>
      </c>
      <c r="D331" s="44">
        <v>6</v>
      </c>
      <c r="E331" s="44"/>
      <c r="F331" s="45"/>
      <c r="G331" s="45"/>
      <c r="H331" s="44"/>
      <c r="I331" s="46" t="s">
        <v>243</v>
      </c>
      <c r="M331" s="142">
        <v>0</v>
      </c>
      <c r="N331" s="49"/>
    </row>
    <row r="332" spans="1:14">
      <c r="A332" s="12" t="s">
        <v>636</v>
      </c>
      <c r="B332" s="7" t="s">
        <v>1346</v>
      </c>
      <c r="C332" s="8" t="s">
        <v>8</v>
      </c>
      <c r="D332" s="44">
        <v>746</v>
      </c>
      <c r="E332" s="44"/>
      <c r="F332" s="45" t="s">
        <v>1491</v>
      </c>
      <c r="G332" s="151" t="s">
        <v>1494</v>
      </c>
      <c r="H332" s="152">
        <f>(1.8*2+1.6*2)*15+(7.05*2+2.4*3)*14</f>
        <v>400.19999999999993</v>
      </c>
      <c r="I332" s="48">
        <f>H332</f>
        <v>400.19999999999993</v>
      </c>
      <c r="M332" s="142">
        <v>256</v>
      </c>
      <c r="N332" s="49">
        <f t="shared" ref="N332:N382" si="11">I332-M332</f>
        <v>144.19999999999993</v>
      </c>
    </row>
    <row r="333" spans="1:14" ht="33">
      <c r="A333" s="12" t="s">
        <v>637</v>
      </c>
      <c r="B333" s="7" t="s">
        <v>1492</v>
      </c>
      <c r="C333" s="8" t="s">
        <v>8</v>
      </c>
      <c r="D333" s="44">
        <v>1740</v>
      </c>
      <c r="E333" s="44"/>
      <c r="F333" s="45" t="s">
        <v>1493</v>
      </c>
      <c r="G333" s="151" t="s">
        <v>1495</v>
      </c>
      <c r="H333" s="152">
        <f>280*3+(1.8*2+1.6*2)*15+(7.05*2+2.4*3)*14</f>
        <v>1240.1999999999998</v>
      </c>
      <c r="I333" s="48">
        <f t="shared" ref="I333:I334" si="12">H333</f>
        <v>1240.1999999999998</v>
      </c>
      <c r="M333" s="142">
        <v>780</v>
      </c>
      <c r="N333" s="49">
        <f t="shared" si="11"/>
        <v>460.19999999999982</v>
      </c>
    </row>
    <row r="334" spans="1:14" ht="33">
      <c r="A334" s="12" t="s">
        <v>638</v>
      </c>
      <c r="B334" s="10" t="s">
        <v>222</v>
      </c>
      <c r="C334" s="8" t="s">
        <v>13</v>
      </c>
      <c r="D334" s="44">
        <v>783</v>
      </c>
      <c r="E334" s="44"/>
      <c r="F334" s="45" t="s">
        <v>1468</v>
      </c>
      <c r="G334" s="151" t="s">
        <v>1496</v>
      </c>
      <c r="H334" s="152">
        <f>(1.8*2*6)+(1.8*3*6)+(1.8*4*12)*3</f>
        <v>313.20000000000005</v>
      </c>
      <c r="I334" s="48">
        <f t="shared" si="12"/>
        <v>313.20000000000005</v>
      </c>
      <c r="M334" s="142">
        <v>248.2</v>
      </c>
      <c r="N334" s="49">
        <f t="shared" si="11"/>
        <v>65.000000000000057</v>
      </c>
    </row>
    <row r="335" spans="1:14" ht="42.75">
      <c r="A335" s="12" t="s">
        <v>639</v>
      </c>
      <c r="B335" s="10" t="s">
        <v>640</v>
      </c>
      <c r="C335" s="8" t="s">
        <v>15</v>
      </c>
      <c r="D335" s="44">
        <v>1</v>
      </c>
      <c r="E335" s="44"/>
      <c r="F335" s="45"/>
      <c r="G335" s="45"/>
      <c r="H335" s="44"/>
      <c r="I335" s="46" t="s">
        <v>243</v>
      </c>
      <c r="M335" s="142">
        <v>0</v>
      </c>
      <c r="N335" s="49"/>
    </row>
    <row r="336" spans="1:14" ht="33">
      <c r="A336" s="12" t="s">
        <v>642</v>
      </c>
      <c r="B336" s="7" t="s">
        <v>643</v>
      </c>
      <c r="C336" s="8" t="s">
        <v>5</v>
      </c>
      <c r="D336" s="44">
        <v>44</v>
      </c>
      <c r="E336" s="44"/>
      <c r="F336" s="45"/>
      <c r="G336" s="45"/>
      <c r="H336" s="44"/>
      <c r="I336" s="46" t="s">
        <v>243</v>
      </c>
      <c r="M336" s="142">
        <v>0</v>
      </c>
      <c r="N336" s="49"/>
    </row>
    <row r="337" spans="1:14" ht="33">
      <c r="A337" s="145" t="s">
        <v>172</v>
      </c>
      <c r="B337" s="146" t="s">
        <v>645</v>
      </c>
      <c r="C337" s="147" t="s">
        <v>4</v>
      </c>
      <c r="D337" s="148">
        <v>1</v>
      </c>
      <c r="E337" s="148"/>
      <c r="F337" s="149"/>
      <c r="G337" s="149"/>
      <c r="H337" s="148"/>
      <c r="I337" s="150" t="s">
        <v>243</v>
      </c>
      <c r="N337" s="49"/>
    </row>
    <row r="338" spans="1:14" ht="42.75">
      <c r="A338" s="12" t="s">
        <v>171</v>
      </c>
      <c r="B338" s="10" t="s">
        <v>646</v>
      </c>
      <c r="C338" s="8" t="s">
        <v>6</v>
      </c>
      <c r="D338" s="44">
        <v>230</v>
      </c>
      <c r="E338" s="44"/>
      <c r="F338" s="45" t="s">
        <v>1499</v>
      </c>
      <c r="G338" s="45" t="s">
        <v>1500</v>
      </c>
      <c r="H338" s="44">
        <f>(22.5*4.5*0.05)</f>
        <v>5.0625</v>
      </c>
      <c r="I338" s="48">
        <f>SUM(H338:H339)</f>
        <v>5.0625</v>
      </c>
      <c r="M338" s="142">
        <v>0</v>
      </c>
      <c r="N338" s="49">
        <f t="shared" si="11"/>
        <v>5.0625</v>
      </c>
    </row>
    <row r="339" spans="1:14">
      <c r="A339" s="12"/>
      <c r="B339" s="10"/>
      <c r="C339" s="8"/>
      <c r="D339" s="44"/>
      <c r="E339" s="44"/>
      <c r="F339" s="45"/>
      <c r="G339" s="45"/>
      <c r="H339" s="44"/>
      <c r="I339" s="46"/>
      <c r="N339" s="49"/>
    </row>
    <row r="340" spans="1:14" ht="42.75">
      <c r="A340" s="12" t="s">
        <v>170</v>
      </c>
      <c r="B340" s="10" t="s">
        <v>648</v>
      </c>
      <c r="C340" s="8" t="s">
        <v>6</v>
      </c>
      <c r="D340" s="44">
        <v>689</v>
      </c>
      <c r="E340" s="44"/>
      <c r="F340" s="45" t="s">
        <v>1499</v>
      </c>
      <c r="G340" s="45" t="s">
        <v>1500</v>
      </c>
      <c r="H340" s="44">
        <f>(22.5*4.5*0.05)</f>
        <v>5.0625</v>
      </c>
      <c r="I340" s="48">
        <f>SUM(H340:H341)</f>
        <v>5.0625</v>
      </c>
      <c r="M340" s="142">
        <v>0</v>
      </c>
      <c r="N340" s="49">
        <f t="shared" si="11"/>
        <v>5.0625</v>
      </c>
    </row>
    <row r="341" spans="1:14">
      <c r="A341" s="12"/>
      <c r="B341" s="10"/>
      <c r="C341" s="8"/>
      <c r="D341" s="44"/>
      <c r="E341" s="44"/>
      <c r="F341" s="45"/>
      <c r="G341" s="45"/>
      <c r="H341" s="44"/>
      <c r="I341" s="48"/>
      <c r="N341" s="49"/>
    </row>
    <row r="342" spans="1:14">
      <c r="A342" s="12" t="s">
        <v>169</v>
      </c>
      <c r="B342" s="7" t="s">
        <v>650</v>
      </c>
      <c r="C342" s="8" t="s">
        <v>13</v>
      </c>
      <c r="D342" s="44">
        <v>4589</v>
      </c>
      <c r="E342" s="44"/>
      <c r="F342" s="45"/>
      <c r="G342" s="45"/>
      <c r="H342" s="44"/>
      <c r="I342" s="48">
        <f>H342</f>
        <v>0</v>
      </c>
      <c r="M342" s="142">
        <v>0</v>
      </c>
      <c r="N342" s="49">
        <f t="shared" si="11"/>
        <v>0</v>
      </c>
    </row>
    <row r="343" spans="1:14" ht="31.5">
      <c r="A343" s="12" t="s">
        <v>168</v>
      </c>
      <c r="B343" s="7" t="s">
        <v>652</v>
      </c>
      <c r="C343" s="8" t="s">
        <v>13</v>
      </c>
      <c r="D343" s="44">
        <v>4589</v>
      </c>
      <c r="E343" s="44"/>
      <c r="F343" s="45" t="s">
        <v>1499</v>
      </c>
      <c r="G343" s="45" t="s">
        <v>1501</v>
      </c>
      <c r="H343" s="44">
        <f>22.5*4.5</f>
        <v>101.25</v>
      </c>
      <c r="I343" s="48">
        <f>SUM(H343:H344)</f>
        <v>101.25</v>
      </c>
      <c r="M343" s="142">
        <v>0</v>
      </c>
      <c r="N343" s="49">
        <f t="shared" si="11"/>
        <v>101.25</v>
      </c>
    </row>
    <row r="344" spans="1:14">
      <c r="A344" s="12"/>
      <c r="B344" s="7"/>
      <c r="C344" s="8"/>
      <c r="D344" s="44"/>
      <c r="E344" s="44"/>
      <c r="F344" s="45"/>
      <c r="G344" s="45"/>
      <c r="H344" s="44"/>
      <c r="I344" s="48"/>
      <c r="N344" s="49"/>
    </row>
    <row r="345" spans="1:14" ht="31.5">
      <c r="A345" s="12" t="s">
        <v>167</v>
      </c>
      <c r="B345" s="7" t="s">
        <v>204</v>
      </c>
      <c r="C345" s="8" t="s">
        <v>13</v>
      </c>
      <c r="D345" s="44">
        <v>13765</v>
      </c>
      <c r="E345" s="44"/>
      <c r="F345" s="45" t="s">
        <v>1499</v>
      </c>
      <c r="G345" s="45" t="s">
        <v>1501</v>
      </c>
      <c r="H345" s="44">
        <f>22.5*4.5</f>
        <v>101.25</v>
      </c>
      <c r="I345" s="48">
        <f>SUM(H345:H346)</f>
        <v>101.25</v>
      </c>
      <c r="M345" s="142">
        <v>0</v>
      </c>
      <c r="N345" s="49">
        <f t="shared" si="11"/>
        <v>101.25</v>
      </c>
    </row>
    <row r="346" spans="1:14">
      <c r="A346" s="12"/>
      <c r="B346" s="7"/>
      <c r="C346" s="8"/>
      <c r="D346" s="44"/>
      <c r="E346" s="44"/>
      <c r="F346" s="45"/>
      <c r="G346" s="45"/>
      <c r="H346" s="44"/>
      <c r="I346" s="46"/>
      <c r="N346" s="49"/>
    </row>
    <row r="347" spans="1:14" ht="33">
      <c r="A347" s="12" t="s">
        <v>166</v>
      </c>
      <c r="B347" s="10" t="s">
        <v>315</v>
      </c>
      <c r="C347" s="8" t="s">
        <v>6</v>
      </c>
      <c r="D347" s="44">
        <v>49</v>
      </c>
      <c r="E347" s="44"/>
      <c r="F347" s="45"/>
      <c r="G347" s="45"/>
      <c r="H347" s="44"/>
      <c r="I347" s="46" t="s">
        <v>243</v>
      </c>
      <c r="M347" s="142">
        <v>0</v>
      </c>
      <c r="N347" s="49"/>
    </row>
    <row r="348" spans="1:14" ht="33">
      <c r="A348" s="12" t="s">
        <v>165</v>
      </c>
      <c r="B348" s="10" t="s">
        <v>24</v>
      </c>
      <c r="C348" s="8" t="s">
        <v>6</v>
      </c>
      <c r="D348" s="44">
        <v>328</v>
      </c>
      <c r="E348" s="44"/>
      <c r="F348" s="45"/>
      <c r="G348" s="45"/>
      <c r="H348" s="44"/>
      <c r="I348" s="46" t="s">
        <v>243</v>
      </c>
      <c r="M348" s="142">
        <v>0</v>
      </c>
      <c r="N348" s="49"/>
    </row>
    <row r="349" spans="1:14" ht="33">
      <c r="A349" s="12" t="s">
        <v>164</v>
      </c>
      <c r="B349" s="7" t="s">
        <v>595</v>
      </c>
      <c r="C349" s="8" t="s">
        <v>6</v>
      </c>
      <c r="D349" s="44">
        <v>377</v>
      </c>
      <c r="E349" s="44"/>
      <c r="F349" s="45"/>
      <c r="G349" s="45"/>
      <c r="H349" s="44"/>
      <c r="I349" s="46" t="s">
        <v>243</v>
      </c>
      <c r="M349" s="142">
        <v>0</v>
      </c>
      <c r="N349" s="49"/>
    </row>
    <row r="350" spans="1:14" ht="33">
      <c r="A350" s="12" t="s">
        <v>163</v>
      </c>
      <c r="B350" s="7" t="s">
        <v>626</v>
      </c>
      <c r="C350" s="8" t="s">
        <v>13</v>
      </c>
      <c r="D350" s="44">
        <v>867</v>
      </c>
      <c r="E350" s="44"/>
      <c r="F350" s="45"/>
      <c r="G350" s="45"/>
      <c r="H350" s="44"/>
      <c r="I350" s="46" t="s">
        <v>243</v>
      </c>
      <c r="M350" s="142">
        <v>0</v>
      </c>
      <c r="N350" s="49"/>
    </row>
    <row r="351" spans="1:14" ht="33">
      <c r="A351" s="12" t="s">
        <v>162</v>
      </c>
      <c r="B351" s="7" t="s">
        <v>193</v>
      </c>
      <c r="C351" s="8" t="s">
        <v>13</v>
      </c>
      <c r="D351" s="44">
        <v>1257</v>
      </c>
      <c r="E351" s="44"/>
      <c r="F351" s="45"/>
      <c r="G351" s="45"/>
      <c r="H351" s="44"/>
      <c r="I351" s="46" t="s">
        <v>243</v>
      </c>
      <c r="M351" s="142">
        <v>0</v>
      </c>
      <c r="N351" s="49"/>
    </row>
    <row r="352" spans="1:14" ht="33">
      <c r="A352" s="12" t="s">
        <v>161</v>
      </c>
      <c r="B352" s="7" t="s">
        <v>192</v>
      </c>
      <c r="C352" s="8" t="s">
        <v>17</v>
      </c>
      <c r="D352" s="44">
        <v>12810</v>
      </c>
      <c r="E352" s="44"/>
      <c r="F352" s="45"/>
      <c r="G352" s="45"/>
      <c r="H352" s="44"/>
      <c r="I352" s="46" t="s">
        <v>243</v>
      </c>
      <c r="M352" s="142">
        <v>0</v>
      </c>
      <c r="N352" s="49"/>
    </row>
    <row r="353" spans="1:14" ht="42.75">
      <c r="A353" s="12" t="s">
        <v>160</v>
      </c>
      <c r="B353" s="10" t="s">
        <v>655</v>
      </c>
      <c r="C353" s="8" t="s">
        <v>15</v>
      </c>
      <c r="D353" s="44">
        <v>158</v>
      </c>
      <c r="E353" s="44"/>
      <c r="F353" s="45"/>
      <c r="G353" s="45"/>
      <c r="H353" s="44"/>
      <c r="I353" s="46" t="s">
        <v>243</v>
      </c>
      <c r="M353" s="142">
        <v>0</v>
      </c>
      <c r="N353" s="49"/>
    </row>
    <row r="354" spans="1:14" ht="42.75">
      <c r="A354" s="12" t="s">
        <v>159</v>
      </c>
      <c r="B354" s="10" t="s">
        <v>657</v>
      </c>
      <c r="C354" s="8" t="s">
        <v>17</v>
      </c>
      <c r="D354" s="44">
        <v>3713</v>
      </c>
      <c r="E354" s="44"/>
      <c r="F354" s="45"/>
      <c r="G354" s="45"/>
      <c r="H354" s="44"/>
      <c r="I354" s="46" t="s">
        <v>243</v>
      </c>
      <c r="M354" s="142">
        <v>0</v>
      </c>
      <c r="N354" s="49"/>
    </row>
    <row r="355" spans="1:14" ht="33">
      <c r="A355" s="12" t="s">
        <v>158</v>
      </c>
      <c r="B355" s="7" t="s">
        <v>357</v>
      </c>
      <c r="C355" s="8" t="s">
        <v>8</v>
      </c>
      <c r="D355" s="44">
        <v>155</v>
      </c>
      <c r="E355" s="44"/>
      <c r="F355" s="45"/>
      <c r="G355" s="45"/>
      <c r="H355" s="44"/>
      <c r="I355" s="46" t="s">
        <v>243</v>
      </c>
      <c r="M355" s="142">
        <v>0</v>
      </c>
      <c r="N355" s="49"/>
    </row>
    <row r="356" spans="1:14" ht="31.5">
      <c r="A356" s="12" t="s">
        <v>157</v>
      </c>
      <c r="B356" s="7" t="s">
        <v>1497</v>
      </c>
      <c r="C356" s="8" t="s">
        <v>223</v>
      </c>
      <c r="D356" s="44"/>
      <c r="E356" s="44">
        <v>1376.7</v>
      </c>
      <c r="F356" s="45"/>
      <c r="G356" s="45"/>
      <c r="H356" s="44"/>
      <c r="I356" s="46"/>
      <c r="M356" s="142">
        <v>0</v>
      </c>
      <c r="N356" s="49"/>
    </row>
    <row r="357" spans="1:14" ht="31.5">
      <c r="A357" s="12" t="s">
        <v>214</v>
      </c>
      <c r="B357" s="7" t="s">
        <v>1498</v>
      </c>
      <c r="C357" s="8" t="s">
        <v>13</v>
      </c>
      <c r="D357" s="44"/>
      <c r="E357" s="44">
        <v>512.1</v>
      </c>
      <c r="F357" s="45"/>
      <c r="G357" s="45"/>
      <c r="H357" s="44"/>
      <c r="I357" s="46"/>
      <c r="N357" s="49"/>
    </row>
    <row r="358" spans="1:14" ht="33">
      <c r="A358" s="145" t="s">
        <v>659</v>
      </c>
      <c r="B358" s="169" t="s">
        <v>660</v>
      </c>
      <c r="C358" s="170" t="s">
        <v>4</v>
      </c>
      <c r="D358" s="171">
        <v>1</v>
      </c>
      <c r="E358" s="148"/>
      <c r="F358" s="149"/>
      <c r="G358" s="149"/>
      <c r="H358" s="148"/>
      <c r="I358" s="150" t="s">
        <v>243</v>
      </c>
      <c r="N358" s="49"/>
    </row>
    <row r="359" spans="1:14" ht="33">
      <c r="A359" s="12" t="s">
        <v>661</v>
      </c>
      <c r="B359" s="71" t="s">
        <v>662</v>
      </c>
      <c r="C359" s="67" t="s">
        <v>223</v>
      </c>
      <c r="D359" s="55">
        <v>1</v>
      </c>
      <c r="E359" s="44"/>
      <c r="F359" s="45"/>
      <c r="G359" s="45"/>
      <c r="H359" s="44"/>
      <c r="I359" s="46" t="s">
        <v>243</v>
      </c>
      <c r="M359" s="142">
        <v>0</v>
      </c>
      <c r="N359" s="49"/>
    </row>
    <row r="360" spans="1:14" ht="33">
      <c r="A360" s="12" t="s">
        <v>664</v>
      </c>
      <c r="B360" s="71" t="s">
        <v>665</v>
      </c>
      <c r="C360" s="67" t="s">
        <v>5</v>
      </c>
      <c r="D360" s="55">
        <v>1</v>
      </c>
      <c r="E360" s="44"/>
      <c r="F360" s="45"/>
      <c r="G360" s="45"/>
      <c r="H360" s="44"/>
      <c r="I360" s="46" t="s">
        <v>243</v>
      </c>
      <c r="M360" s="142">
        <v>0</v>
      </c>
      <c r="N360" s="49"/>
    </row>
    <row r="361" spans="1:14" ht="42.75">
      <c r="A361" s="12" t="s">
        <v>667</v>
      </c>
      <c r="B361" s="66" t="s">
        <v>668</v>
      </c>
      <c r="C361" s="67" t="s">
        <v>669</v>
      </c>
      <c r="D361" s="55">
        <v>1</v>
      </c>
      <c r="E361" s="44">
        <v>14</v>
      </c>
      <c r="F361" s="45" t="s">
        <v>1504</v>
      </c>
      <c r="G361" s="45"/>
      <c r="H361" s="44">
        <v>14</v>
      </c>
      <c r="I361" s="48">
        <f>H361</f>
        <v>14</v>
      </c>
      <c r="M361" s="142">
        <v>14</v>
      </c>
      <c r="N361" s="49">
        <f t="shared" si="11"/>
        <v>0</v>
      </c>
    </row>
    <row r="362" spans="1:14" ht="42.75">
      <c r="A362" s="12" t="s">
        <v>671</v>
      </c>
      <c r="B362" s="66" t="s">
        <v>1503</v>
      </c>
      <c r="C362" s="67" t="s">
        <v>669</v>
      </c>
      <c r="D362" s="55">
        <v>1</v>
      </c>
      <c r="E362" s="44">
        <v>2</v>
      </c>
      <c r="F362" s="45" t="s">
        <v>1504</v>
      </c>
      <c r="G362" s="45"/>
      <c r="H362" s="44">
        <v>2</v>
      </c>
      <c r="I362" s="48">
        <f t="shared" ref="I362:I380" si="13">H362</f>
        <v>2</v>
      </c>
      <c r="M362" s="142">
        <v>2</v>
      </c>
      <c r="N362" s="49">
        <f t="shared" si="11"/>
        <v>0</v>
      </c>
    </row>
    <row r="363" spans="1:14" ht="42.75">
      <c r="A363" s="12" t="s">
        <v>674</v>
      </c>
      <c r="B363" s="10" t="s">
        <v>675</v>
      </c>
      <c r="C363" s="8" t="s">
        <v>669</v>
      </c>
      <c r="D363" s="44">
        <v>1</v>
      </c>
      <c r="E363" s="44">
        <v>6</v>
      </c>
      <c r="F363" s="45" t="s">
        <v>1504</v>
      </c>
      <c r="G363" s="45"/>
      <c r="H363" s="44">
        <v>6</v>
      </c>
      <c r="I363" s="48">
        <f t="shared" si="13"/>
        <v>6</v>
      </c>
      <c r="M363" s="142">
        <v>6</v>
      </c>
      <c r="N363" s="49">
        <f t="shared" si="11"/>
        <v>0</v>
      </c>
    </row>
    <row r="364" spans="1:14" ht="42.75">
      <c r="A364" s="12" t="s">
        <v>677</v>
      </c>
      <c r="B364" s="10" t="s">
        <v>678</v>
      </c>
      <c r="C364" s="8" t="s">
        <v>669</v>
      </c>
      <c r="D364" s="44">
        <v>1</v>
      </c>
      <c r="E364" s="44">
        <v>8</v>
      </c>
      <c r="F364" s="45" t="s">
        <v>1504</v>
      </c>
      <c r="G364" s="45"/>
      <c r="H364" s="44">
        <v>8</v>
      </c>
      <c r="I364" s="48">
        <f t="shared" si="13"/>
        <v>8</v>
      </c>
      <c r="M364" s="142">
        <v>8</v>
      </c>
      <c r="N364" s="49">
        <f t="shared" si="11"/>
        <v>0</v>
      </c>
    </row>
    <row r="365" spans="1:14" ht="42.75">
      <c r="A365" s="12" t="s">
        <v>680</v>
      </c>
      <c r="B365" s="10" t="s">
        <v>681</v>
      </c>
      <c r="C365" s="8" t="s">
        <v>669</v>
      </c>
      <c r="D365" s="44">
        <v>1</v>
      </c>
      <c r="E365" s="44">
        <v>5</v>
      </c>
      <c r="F365" s="45" t="s">
        <v>1504</v>
      </c>
      <c r="G365" s="45"/>
      <c r="H365" s="44">
        <v>5</v>
      </c>
      <c r="I365" s="48">
        <f t="shared" si="13"/>
        <v>5</v>
      </c>
      <c r="M365" s="142">
        <v>5</v>
      </c>
      <c r="N365" s="49">
        <f t="shared" si="11"/>
        <v>0</v>
      </c>
    </row>
    <row r="366" spans="1:14" ht="42.75">
      <c r="A366" s="12" t="s">
        <v>683</v>
      </c>
      <c r="B366" s="10" t="s">
        <v>684</v>
      </c>
      <c r="C366" s="8" t="s">
        <v>669</v>
      </c>
      <c r="D366" s="44">
        <v>1</v>
      </c>
      <c r="E366" s="44">
        <v>3</v>
      </c>
      <c r="F366" s="45" t="s">
        <v>1504</v>
      </c>
      <c r="G366" s="45"/>
      <c r="H366" s="44">
        <v>3</v>
      </c>
      <c r="I366" s="48">
        <f t="shared" si="13"/>
        <v>3</v>
      </c>
      <c r="M366" s="142">
        <v>3</v>
      </c>
      <c r="N366" s="49">
        <f t="shared" si="11"/>
        <v>0</v>
      </c>
    </row>
    <row r="367" spans="1:14" ht="42.75">
      <c r="A367" s="12" t="s">
        <v>686</v>
      </c>
      <c r="B367" s="10" t="s">
        <v>687</v>
      </c>
      <c r="C367" s="8" t="s">
        <v>669</v>
      </c>
      <c r="D367" s="44">
        <v>1</v>
      </c>
      <c r="E367" s="44">
        <v>2</v>
      </c>
      <c r="F367" s="45" t="s">
        <v>1504</v>
      </c>
      <c r="G367" s="45"/>
      <c r="H367" s="44">
        <v>2</v>
      </c>
      <c r="I367" s="48">
        <f t="shared" si="13"/>
        <v>2</v>
      </c>
      <c r="M367" s="142">
        <v>2</v>
      </c>
      <c r="N367" s="49">
        <f t="shared" si="11"/>
        <v>0</v>
      </c>
    </row>
    <row r="368" spans="1:14" ht="42.75">
      <c r="A368" s="12" t="s">
        <v>689</v>
      </c>
      <c r="B368" s="10" t="s">
        <v>690</v>
      </c>
      <c r="C368" s="8" t="s">
        <v>669</v>
      </c>
      <c r="D368" s="44">
        <v>1</v>
      </c>
      <c r="E368" s="44"/>
      <c r="F368" s="45"/>
      <c r="G368" s="45"/>
      <c r="H368" s="44">
        <v>1</v>
      </c>
      <c r="I368" s="48">
        <f t="shared" si="13"/>
        <v>1</v>
      </c>
      <c r="M368" s="142">
        <v>1</v>
      </c>
      <c r="N368" s="49">
        <f t="shared" si="11"/>
        <v>0</v>
      </c>
    </row>
    <row r="369" spans="1:14" ht="42.75">
      <c r="A369" s="12" t="s">
        <v>692</v>
      </c>
      <c r="B369" s="10" t="s">
        <v>693</v>
      </c>
      <c r="C369" s="8" t="s">
        <v>669</v>
      </c>
      <c r="D369" s="44">
        <v>1</v>
      </c>
      <c r="E369" s="44"/>
      <c r="F369" s="45"/>
      <c r="G369" s="45"/>
      <c r="H369" s="44">
        <v>1</v>
      </c>
      <c r="I369" s="48">
        <f t="shared" si="13"/>
        <v>1</v>
      </c>
      <c r="M369" s="142">
        <v>1</v>
      </c>
      <c r="N369" s="49">
        <f t="shared" si="11"/>
        <v>0</v>
      </c>
    </row>
    <row r="370" spans="1:14" ht="33">
      <c r="A370" s="12" t="s">
        <v>695</v>
      </c>
      <c r="B370" s="10" t="s">
        <v>696</v>
      </c>
      <c r="C370" s="8" t="s">
        <v>669</v>
      </c>
      <c r="D370" s="44">
        <v>1</v>
      </c>
      <c r="E370" s="44">
        <v>4</v>
      </c>
      <c r="F370" s="72" t="s">
        <v>1216</v>
      </c>
      <c r="G370" s="72"/>
      <c r="H370" s="44">
        <v>1</v>
      </c>
      <c r="I370" s="48">
        <f t="shared" si="13"/>
        <v>1</v>
      </c>
      <c r="M370" s="142">
        <v>1</v>
      </c>
      <c r="N370" s="49">
        <f t="shared" si="11"/>
        <v>0</v>
      </c>
    </row>
    <row r="371" spans="1:14" ht="42.75">
      <c r="A371" s="12" t="s">
        <v>698</v>
      </c>
      <c r="B371" s="10" t="s">
        <v>699</v>
      </c>
      <c r="C371" s="8" t="s">
        <v>669</v>
      </c>
      <c r="D371" s="44">
        <v>1</v>
      </c>
      <c r="E371" s="44"/>
      <c r="F371" s="45"/>
      <c r="G371" s="45"/>
      <c r="H371" s="44">
        <v>1</v>
      </c>
      <c r="I371" s="48">
        <f t="shared" si="13"/>
        <v>1</v>
      </c>
      <c r="M371" s="142">
        <v>1</v>
      </c>
      <c r="N371" s="49">
        <f t="shared" si="11"/>
        <v>0</v>
      </c>
    </row>
    <row r="372" spans="1:14" ht="57">
      <c r="A372" s="12" t="s">
        <v>701</v>
      </c>
      <c r="B372" s="10" t="s">
        <v>702</v>
      </c>
      <c r="C372" s="8" t="s">
        <v>669</v>
      </c>
      <c r="D372" s="44">
        <v>1</v>
      </c>
      <c r="E372" s="44"/>
      <c r="F372" s="45"/>
      <c r="G372" s="45"/>
      <c r="H372" s="44"/>
      <c r="I372" s="48">
        <f t="shared" si="13"/>
        <v>0</v>
      </c>
      <c r="M372" s="142">
        <v>0</v>
      </c>
      <c r="N372" s="49">
        <f t="shared" si="11"/>
        <v>0</v>
      </c>
    </row>
    <row r="373" spans="1:14" ht="57">
      <c r="A373" s="12" t="s">
        <v>704</v>
      </c>
      <c r="B373" s="10" t="s">
        <v>705</v>
      </c>
      <c r="C373" s="8" t="s">
        <v>669</v>
      </c>
      <c r="D373" s="44">
        <v>1</v>
      </c>
      <c r="E373" s="44"/>
      <c r="F373" s="45"/>
      <c r="G373" s="45"/>
      <c r="H373" s="44">
        <v>1</v>
      </c>
      <c r="I373" s="48">
        <f t="shared" si="13"/>
        <v>1</v>
      </c>
      <c r="M373" s="142">
        <v>1</v>
      </c>
      <c r="N373" s="49">
        <f t="shared" si="11"/>
        <v>0</v>
      </c>
    </row>
    <row r="374" spans="1:14" ht="57">
      <c r="A374" s="12" t="s">
        <v>707</v>
      </c>
      <c r="B374" s="10" t="s">
        <v>708</v>
      </c>
      <c r="C374" s="8" t="s">
        <v>669</v>
      </c>
      <c r="D374" s="44">
        <v>1</v>
      </c>
      <c r="E374" s="44"/>
      <c r="F374" s="45"/>
      <c r="G374" s="45"/>
      <c r="H374" s="44">
        <v>1</v>
      </c>
      <c r="I374" s="48">
        <f t="shared" si="13"/>
        <v>1</v>
      </c>
      <c r="M374" s="142">
        <v>1</v>
      </c>
      <c r="N374" s="49">
        <f t="shared" si="11"/>
        <v>0</v>
      </c>
    </row>
    <row r="375" spans="1:14" ht="42.75">
      <c r="A375" s="12" t="s">
        <v>710</v>
      </c>
      <c r="B375" s="10" t="s">
        <v>147</v>
      </c>
      <c r="C375" s="8" t="s">
        <v>8</v>
      </c>
      <c r="D375" s="44">
        <v>1</v>
      </c>
      <c r="E375" s="44">
        <v>162</v>
      </c>
      <c r="F375" s="72" t="s">
        <v>1216</v>
      </c>
      <c r="G375" s="45"/>
      <c r="H375" s="44">
        <v>90</v>
      </c>
      <c r="I375" s="48">
        <f t="shared" si="13"/>
        <v>90</v>
      </c>
      <c r="M375" s="142">
        <v>90</v>
      </c>
      <c r="N375" s="49">
        <f t="shared" si="11"/>
        <v>0</v>
      </c>
    </row>
    <row r="376" spans="1:14" ht="42.75">
      <c r="A376" s="12" t="s">
        <v>712</v>
      </c>
      <c r="B376" s="10" t="s">
        <v>713</v>
      </c>
      <c r="C376" s="8" t="s">
        <v>15</v>
      </c>
      <c r="D376" s="44">
        <v>1</v>
      </c>
      <c r="E376" s="44"/>
      <c r="F376" s="45"/>
      <c r="G376" s="45"/>
      <c r="H376" s="44"/>
      <c r="I376" s="48">
        <f t="shared" si="13"/>
        <v>0</v>
      </c>
      <c r="M376" s="142">
        <v>0</v>
      </c>
      <c r="N376" s="49">
        <f t="shared" si="11"/>
        <v>0</v>
      </c>
    </row>
    <row r="377" spans="1:14" ht="42.75">
      <c r="A377" s="12" t="s">
        <v>715</v>
      </c>
      <c r="B377" s="10" t="s">
        <v>716</v>
      </c>
      <c r="C377" s="8" t="s">
        <v>15</v>
      </c>
      <c r="D377" s="44">
        <v>1</v>
      </c>
      <c r="E377" s="44">
        <v>268</v>
      </c>
      <c r="F377" s="45"/>
      <c r="G377" s="45"/>
      <c r="H377" s="44"/>
      <c r="I377" s="48">
        <f t="shared" si="13"/>
        <v>0</v>
      </c>
      <c r="M377" s="142">
        <v>0</v>
      </c>
      <c r="N377" s="49">
        <f t="shared" si="11"/>
        <v>0</v>
      </c>
    </row>
    <row r="378" spans="1:14" ht="57">
      <c r="A378" s="12" t="s">
        <v>718</v>
      </c>
      <c r="B378" s="10" t="s">
        <v>719</v>
      </c>
      <c r="C378" s="8" t="s">
        <v>7</v>
      </c>
      <c r="D378" s="44">
        <v>1</v>
      </c>
      <c r="E378" s="44">
        <v>1340</v>
      </c>
      <c r="F378" s="72" t="s">
        <v>1216</v>
      </c>
      <c r="G378" s="45"/>
      <c r="H378" s="44">
        <v>520</v>
      </c>
      <c r="I378" s="48">
        <f t="shared" si="13"/>
        <v>520</v>
      </c>
      <c r="M378" s="142">
        <v>520</v>
      </c>
      <c r="N378" s="49">
        <f t="shared" si="11"/>
        <v>0</v>
      </c>
    </row>
    <row r="379" spans="1:14" ht="42.75">
      <c r="A379" s="12" t="s">
        <v>721</v>
      </c>
      <c r="B379" s="10" t="s">
        <v>722</v>
      </c>
      <c r="C379" s="8" t="s">
        <v>8</v>
      </c>
      <c r="D379" s="44">
        <v>1</v>
      </c>
      <c r="E379" s="44"/>
      <c r="F379" s="45"/>
      <c r="G379" s="45"/>
      <c r="H379" s="44"/>
      <c r="I379" s="48">
        <f t="shared" si="13"/>
        <v>0</v>
      </c>
      <c r="M379" s="142">
        <v>0</v>
      </c>
      <c r="N379" s="49">
        <f t="shared" si="11"/>
        <v>0</v>
      </c>
    </row>
    <row r="380" spans="1:14" ht="20.100000000000001" customHeight="1">
      <c r="A380" s="12" t="s">
        <v>724</v>
      </c>
      <c r="B380" s="7" t="s">
        <v>725</v>
      </c>
      <c r="C380" s="8" t="s">
        <v>13</v>
      </c>
      <c r="D380" s="44">
        <v>1</v>
      </c>
      <c r="E380" s="44"/>
      <c r="F380" s="45"/>
      <c r="G380" s="45"/>
      <c r="H380" s="44"/>
      <c r="I380" s="48">
        <f t="shared" si="13"/>
        <v>0</v>
      </c>
      <c r="M380" s="142">
        <v>0</v>
      </c>
      <c r="N380" s="49">
        <f t="shared" si="11"/>
        <v>0</v>
      </c>
    </row>
    <row r="381" spans="1:14" ht="20.100000000000001" customHeight="1">
      <c r="A381" s="12" t="s">
        <v>727</v>
      </c>
      <c r="B381" s="7" t="s">
        <v>728</v>
      </c>
      <c r="C381" s="8" t="s">
        <v>6</v>
      </c>
      <c r="D381" s="44">
        <v>1</v>
      </c>
      <c r="E381" s="44">
        <v>11.31</v>
      </c>
      <c r="F381" s="72" t="s">
        <v>1502</v>
      </c>
      <c r="G381" s="45"/>
      <c r="H381" s="44">
        <v>5.2</v>
      </c>
      <c r="I381" s="48">
        <f>H381</f>
        <v>5.2</v>
      </c>
      <c r="M381" s="142">
        <v>5.2</v>
      </c>
      <c r="N381" s="49">
        <f t="shared" si="11"/>
        <v>0</v>
      </c>
    </row>
    <row r="382" spans="1:14" ht="20.100000000000001" customHeight="1">
      <c r="A382" s="12" t="s">
        <v>730</v>
      </c>
      <c r="B382" s="7" t="s">
        <v>731</v>
      </c>
      <c r="C382" s="8" t="s">
        <v>4</v>
      </c>
      <c r="D382" s="44">
        <v>1</v>
      </c>
      <c r="E382" s="44"/>
      <c r="F382" s="45"/>
      <c r="G382" s="45"/>
      <c r="H382" s="44">
        <v>0.2</v>
      </c>
      <c r="I382" s="48">
        <f>H382</f>
        <v>0.2</v>
      </c>
      <c r="M382" s="142">
        <v>0.2</v>
      </c>
      <c r="N382" s="49">
        <f t="shared" si="11"/>
        <v>0</v>
      </c>
    </row>
    <row r="383" spans="1:14" ht="33">
      <c r="A383" s="12" t="s">
        <v>733</v>
      </c>
      <c r="B383" s="10" t="s">
        <v>734</v>
      </c>
      <c r="C383" s="8" t="s">
        <v>13</v>
      </c>
      <c r="D383" s="44">
        <v>1</v>
      </c>
      <c r="E383" s="44"/>
      <c r="F383" s="45"/>
      <c r="G383" s="45"/>
      <c r="H383" s="44"/>
      <c r="I383" s="46" t="s">
        <v>243</v>
      </c>
      <c r="M383" s="142">
        <v>0</v>
      </c>
      <c r="N383" s="49"/>
    </row>
    <row r="384" spans="1:14" ht="45">
      <c r="A384" s="12" t="s">
        <v>736</v>
      </c>
      <c r="B384" s="53" t="s">
        <v>737</v>
      </c>
      <c r="C384" s="8" t="s">
        <v>669</v>
      </c>
      <c r="D384" s="44">
        <v>1</v>
      </c>
      <c r="E384" s="44"/>
      <c r="F384" s="45"/>
      <c r="G384" s="45"/>
      <c r="H384" s="44"/>
      <c r="I384" s="46" t="s">
        <v>243</v>
      </c>
      <c r="M384" s="142">
        <v>0</v>
      </c>
      <c r="N384" s="49"/>
    </row>
    <row r="385" spans="1:14" ht="45">
      <c r="A385" s="12" t="s">
        <v>739</v>
      </c>
      <c r="B385" s="53" t="s">
        <v>740</v>
      </c>
      <c r="C385" s="8" t="s">
        <v>669</v>
      </c>
      <c r="D385" s="44">
        <v>1</v>
      </c>
      <c r="E385" s="44"/>
      <c r="F385" s="45"/>
      <c r="G385" s="45"/>
      <c r="H385" s="44"/>
      <c r="I385" s="46" t="s">
        <v>243</v>
      </c>
      <c r="M385" s="142">
        <v>0</v>
      </c>
      <c r="N385" s="49"/>
    </row>
    <row r="386" spans="1:14" ht="45">
      <c r="A386" s="12" t="s">
        <v>742</v>
      </c>
      <c r="B386" s="53" t="s">
        <v>743</v>
      </c>
      <c r="C386" s="8" t="s">
        <v>669</v>
      </c>
      <c r="D386" s="44">
        <v>1</v>
      </c>
      <c r="E386" s="44"/>
      <c r="F386" s="45"/>
      <c r="G386" s="45"/>
      <c r="H386" s="44"/>
      <c r="I386" s="46" t="s">
        <v>243</v>
      </c>
      <c r="M386" s="142">
        <v>0</v>
      </c>
      <c r="N386" s="49"/>
    </row>
    <row r="387" spans="1:14" ht="45">
      <c r="A387" s="12" t="s">
        <v>745</v>
      </c>
      <c r="B387" s="53" t="s">
        <v>746</v>
      </c>
      <c r="C387" s="8" t="s">
        <v>669</v>
      </c>
      <c r="D387" s="44">
        <v>1</v>
      </c>
      <c r="E387" s="44"/>
      <c r="F387" s="45"/>
      <c r="G387" s="45"/>
      <c r="H387" s="44"/>
      <c r="I387" s="46" t="s">
        <v>243</v>
      </c>
      <c r="M387" s="142">
        <v>0</v>
      </c>
      <c r="N387" s="49"/>
    </row>
    <row r="388" spans="1:14" ht="45">
      <c r="A388" s="12" t="s">
        <v>748</v>
      </c>
      <c r="B388" s="53" t="s">
        <v>749</v>
      </c>
      <c r="C388" s="8" t="s">
        <v>669</v>
      </c>
      <c r="D388" s="44">
        <v>1</v>
      </c>
      <c r="E388" s="44"/>
      <c r="F388" s="45"/>
      <c r="G388" s="45"/>
      <c r="H388" s="44"/>
      <c r="I388" s="46" t="s">
        <v>243</v>
      </c>
      <c r="M388" s="142">
        <v>0</v>
      </c>
      <c r="N388" s="49"/>
    </row>
    <row r="389" spans="1:14" ht="45">
      <c r="A389" s="12" t="s">
        <v>751</v>
      </c>
      <c r="B389" s="53" t="s">
        <v>752</v>
      </c>
      <c r="C389" s="8" t="s">
        <v>669</v>
      </c>
      <c r="D389" s="44">
        <v>1</v>
      </c>
      <c r="E389" s="44"/>
      <c r="F389" s="45"/>
      <c r="G389" s="45"/>
      <c r="H389" s="44"/>
      <c r="I389" s="46" t="s">
        <v>243</v>
      </c>
      <c r="M389" s="142">
        <v>0</v>
      </c>
      <c r="N389" s="49"/>
    </row>
    <row r="390" spans="1:14" ht="45">
      <c r="A390" s="12" t="s">
        <v>754</v>
      </c>
      <c r="B390" s="53" t="s">
        <v>755</v>
      </c>
      <c r="C390" s="8" t="s">
        <v>669</v>
      </c>
      <c r="D390" s="44">
        <v>1</v>
      </c>
      <c r="E390" s="44"/>
      <c r="F390" s="45"/>
      <c r="G390" s="45"/>
      <c r="H390" s="44"/>
      <c r="I390" s="46" t="s">
        <v>243</v>
      </c>
      <c r="M390" s="142">
        <v>0</v>
      </c>
      <c r="N390" s="49"/>
    </row>
    <row r="391" spans="1:14" ht="45">
      <c r="A391" s="12" t="s">
        <v>757</v>
      </c>
      <c r="B391" s="53" t="s">
        <v>758</v>
      </c>
      <c r="C391" s="8" t="s">
        <v>669</v>
      </c>
      <c r="D391" s="44">
        <v>1</v>
      </c>
      <c r="E391" s="44"/>
      <c r="F391" s="45"/>
      <c r="G391" s="45"/>
      <c r="H391" s="44"/>
      <c r="I391" s="46" t="s">
        <v>243</v>
      </c>
      <c r="M391" s="142">
        <v>0</v>
      </c>
      <c r="N391" s="49"/>
    </row>
    <row r="392" spans="1:14" ht="45">
      <c r="A392" s="12" t="s">
        <v>760</v>
      </c>
      <c r="B392" s="53" t="s">
        <v>761</v>
      </c>
      <c r="C392" s="8" t="s">
        <v>669</v>
      </c>
      <c r="D392" s="44">
        <v>1</v>
      </c>
      <c r="E392" s="44"/>
      <c r="F392" s="45"/>
      <c r="G392" s="45"/>
      <c r="H392" s="44"/>
      <c r="I392" s="46" t="s">
        <v>243</v>
      </c>
      <c r="M392" s="142">
        <v>0</v>
      </c>
      <c r="N392" s="49"/>
    </row>
    <row r="393" spans="1:14" ht="45">
      <c r="A393" s="12" t="s">
        <v>763</v>
      </c>
      <c r="B393" s="53" t="s">
        <v>764</v>
      </c>
      <c r="C393" s="8" t="s">
        <v>669</v>
      </c>
      <c r="D393" s="44">
        <v>1</v>
      </c>
      <c r="E393" s="44"/>
      <c r="F393" s="45"/>
      <c r="G393" s="45"/>
      <c r="H393" s="44"/>
      <c r="I393" s="46" t="s">
        <v>243</v>
      </c>
      <c r="M393" s="142">
        <v>0</v>
      </c>
      <c r="N393" s="49"/>
    </row>
    <row r="394" spans="1:14" ht="33.75">
      <c r="A394" s="12" t="s">
        <v>766</v>
      </c>
      <c r="B394" s="53" t="s">
        <v>767</v>
      </c>
      <c r="C394" s="8" t="s">
        <v>669</v>
      </c>
      <c r="D394" s="44">
        <v>1</v>
      </c>
      <c r="E394" s="44"/>
      <c r="F394" s="45"/>
      <c r="G394" s="45"/>
      <c r="H394" s="44"/>
      <c r="I394" s="46" t="s">
        <v>243</v>
      </c>
      <c r="M394" s="142">
        <v>0</v>
      </c>
      <c r="N394" s="49"/>
    </row>
    <row r="395" spans="1:14" ht="33">
      <c r="A395" s="12" t="s">
        <v>769</v>
      </c>
      <c r="B395" s="53" t="s">
        <v>770</v>
      </c>
      <c r="C395" s="8" t="s">
        <v>669</v>
      </c>
      <c r="D395" s="44">
        <v>1</v>
      </c>
      <c r="E395" s="44"/>
      <c r="F395" s="45"/>
      <c r="G395" s="45"/>
      <c r="H395" s="44"/>
      <c r="I395" s="46" t="s">
        <v>243</v>
      </c>
      <c r="M395" s="142">
        <v>0</v>
      </c>
      <c r="N395" s="49"/>
    </row>
    <row r="396" spans="1:14" ht="33">
      <c r="A396" s="12" t="s">
        <v>772</v>
      </c>
      <c r="B396" s="53" t="s">
        <v>773</v>
      </c>
      <c r="C396" s="8" t="s">
        <v>669</v>
      </c>
      <c r="D396" s="44">
        <v>1</v>
      </c>
      <c r="E396" s="44"/>
      <c r="F396" s="45"/>
      <c r="G396" s="45"/>
      <c r="H396" s="44"/>
      <c r="I396" s="46" t="s">
        <v>243</v>
      </c>
      <c r="M396" s="142">
        <v>0</v>
      </c>
      <c r="N396" s="49"/>
    </row>
    <row r="397" spans="1:14" ht="33">
      <c r="A397" s="12" t="s">
        <v>775</v>
      </c>
      <c r="B397" s="53" t="s">
        <v>776</v>
      </c>
      <c r="C397" s="8" t="s">
        <v>669</v>
      </c>
      <c r="D397" s="44">
        <v>1</v>
      </c>
      <c r="E397" s="44"/>
      <c r="F397" s="45"/>
      <c r="G397" s="45"/>
      <c r="H397" s="44"/>
      <c r="I397" s="46" t="s">
        <v>243</v>
      </c>
      <c r="M397" s="142">
        <v>0</v>
      </c>
      <c r="N397" s="49"/>
    </row>
    <row r="398" spans="1:14" ht="33.75">
      <c r="A398" s="12" t="s">
        <v>778</v>
      </c>
      <c r="B398" s="53" t="s">
        <v>779</v>
      </c>
      <c r="C398" s="8" t="s">
        <v>669</v>
      </c>
      <c r="D398" s="44">
        <v>1</v>
      </c>
      <c r="E398" s="44"/>
      <c r="F398" s="45"/>
      <c r="G398" s="45"/>
      <c r="H398" s="44"/>
      <c r="I398" s="46" t="s">
        <v>243</v>
      </c>
      <c r="M398" s="142">
        <v>0</v>
      </c>
      <c r="N398" s="49"/>
    </row>
    <row r="399" spans="1:14" ht="33">
      <c r="A399" s="12" t="s">
        <v>781</v>
      </c>
      <c r="B399" s="53" t="s">
        <v>782</v>
      </c>
      <c r="C399" s="8" t="s">
        <v>669</v>
      </c>
      <c r="D399" s="44">
        <v>1</v>
      </c>
      <c r="E399" s="44"/>
      <c r="F399" s="45"/>
      <c r="G399" s="45"/>
      <c r="H399" s="44"/>
      <c r="I399" s="46" t="s">
        <v>243</v>
      </c>
      <c r="M399" s="142">
        <v>0</v>
      </c>
      <c r="N399" s="49"/>
    </row>
    <row r="400" spans="1:14" ht="33">
      <c r="A400" s="12" t="s">
        <v>784</v>
      </c>
      <c r="B400" s="53" t="s">
        <v>785</v>
      </c>
      <c r="C400" s="8" t="s">
        <v>669</v>
      </c>
      <c r="D400" s="44">
        <v>1</v>
      </c>
      <c r="E400" s="44"/>
      <c r="F400" s="45"/>
      <c r="G400" s="45"/>
      <c r="H400" s="44"/>
      <c r="I400" s="46" t="s">
        <v>243</v>
      </c>
      <c r="M400" s="142">
        <v>0</v>
      </c>
      <c r="N400" s="49"/>
    </row>
    <row r="401" spans="1:14" ht="33.75">
      <c r="A401" s="12" t="s">
        <v>787</v>
      </c>
      <c r="B401" s="53" t="s">
        <v>788</v>
      </c>
      <c r="C401" s="8" t="s">
        <v>669</v>
      </c>
      <c r="D401" s="44">
        <v>1</v>
      </c>
      <c r="E401" s="44"/>
      <c r="F401" s="45"/>
      <c r="G401" s="45"/>
      <c r="H401" s="44"/>
      <c r="I401" s="46" t="s">
        <v>243</v>
      </c>
      <c r="M401" s="142">
        <v>0</v>
      </c>
      <c r="N401" s="49"/>
    </row>
    <row r="402" spans="1:14" ht="33">
      <c r="A402" s="12" t="s">
        <v>790</v>
      </c>
      <c r="B402" s="53" t="s">
        <v>791</v>
      </c>
      <c r="C402" s="8" t="s">
        <v>669</v>
      </c>
      <c r="D402" s="44">
        <v>1</v>
      </c>
      <c r="E402" s="44"/>
      <c r="F402" s="45"/>
      <c r="G402" s="45"/>
      <c r="H402" s="44"/>
      <c r="I402" s="46" t="s">
        <v>243</v>
      </c>
      <c r="M402" s="142">
        <v>0</v>
      </c>
      <c r="N402" s="49"/>
    </row>
    <row r="403" spans="1:14" ht="33">
      <c r="A403" s="12" t="s">
        <v>793</v>
      </c>
      <c r="B403" s="53" t="s">
        <v>794</v>
      </c>
      <c r="C403" s="8" t="s">
        <v>669</v>
      </c>
      <c r="D403" s="44">
        <v>1</v>
      </c>
      <c r="E403" s="44"/>
      <c r="F403" s="45"/>
      <c r="G403" s="45"/>
      <c r="H403" s="44"/>
      <c r="I403" s="46" t="s">
        <v>243</v>
      </c>
      <c r="M403" s="142">
        <v>0</v>
      </c>
      <c r="N403" s="49"/>
    </row>
    <row r="404" spans="1:14" ht="33">
      <c r="A404" s="12" t="s">
        <v>796</v>
      </c>
      <c r="B404" s="53" t="s">
        <v>797</v>
      </c>
      <c r="C404" s="8" t="s">
        <v>669</v>
      </c>
      <c r="D404" s="44">
        <v>1</v>
      </c>
      <c r="E404" s="44"/>
      <c r="F404" s="45"/>
      <c r="G404" s="45"/>
      <c r="H404" s="44"/>
      <c r="I404" s="46" t="s">
        <v>243</v>
      </c>
      <c r="M404" s="142">
        <v>0</v>
      </c>
      <c r="N404" s="49"/>
    </row>
    <row r="405" spans="1:14" ht="33.75">
      <c r="A405" s="12" t="s">
        <v>799</v>
      </c>
      <c r="B405" s="53" t="s">
        <v>800</v>
      </c>
      <c r="C405" s="8" t="s">
        <v>669</v>
      </c>
      <c r="D405" s="44">
        <v>1</v>
      </c>
      <c r="E405" s="44"/>
      <c r="F405" s="45"/>
      <c r="G405" s="45"/>
      <c r="H405" s="44"/>
      <c r="I405" s="46" t="s">
        <v>243</v>
      </c>
      <c r="M405" s="142">
        <v>0</v>
      </c>
      <c r="N405" s="49"/>
    </row>
    <row r="406" spans="1:14" ht="33.75">
      <c r="A406" s="12" t="s">
        <v>802</v>
      </c>
      <c r="B406" s="53" t="s">
        <v>803</v>
      </c>
      <c r="C406" s="8" t="s">
        <v>669</v>
      </c>
      <c r="D406" s="44">
        <v>1</v>
      </c>
      <c r="E406" s="44"/>
      <c r="F406" s="45"/>
      <c r="G406" s="45"/>
      <c r="H406" s="44"/>
      <c r="I406" s="46" t="s">
        <v>243</v>
      </c>
      <c r="M406" s="142">
        <v>0</v>
      </c>
      <c r="N406" s="49"/>
    </row>
    <row r="407" spans="1:14" ht="33.75">
      <c r="A407" s="12" t="s">
        <v>805</v>
      </c>
      <c r="B407" s="53" t="s">
        <v>806</v>
      </c>
      <c r="C407" s="8" t="s">
        <v>669</v>
      </c>
      <c r="D407" s="44">
        <v>1</v>
      </c>
      <c r="E407" s="44"/>
      <c r="F407" s="45"/>
      <c r="G407" s="45"/>
      <c r="H407" s="44"/>
      <c r="I407" s="46" t="s">
        <v>243</v>
      </c>
      <c r="M407" s="142">
        <v>0</v>
      </c>
      <c r="N407" s="49"/>
    </row>
    <row r="408" spans="1:14" ht="33">
      <c r="A408" s="12" t="s">
        <v>808</v>
      </c>
      <c r="B408" s="53" t="s">
        <v>809</v>
      </c>
      <c r="C408" s="8" t="s">
        <v>669</v>
      </c>
      <c r="D408" s="44">
        <v>1</v>
      </c>
      <c r="E408" s="44"/>
      <c r="F408" s="45"/>
      <c r="G408" s="45"/>
      <c r="H408" s="44"/>
      <c r="I408" s="46" t="s">
        <v>243</v>
      </c>
      <c r="M408" s="142">
        <v>0</v>
      </c>
      <c r="N408" s="49"/>
    </row>
    <row r="409" spans="1:14" ht="33.75">
      <c r="A409" s="12" t="s">
        <v>811</v>
      </c>
      <c r="B409" s="53" t="s">
        <v>812</v>
      </c>
      <c r="C409" s="8" t="s">
        <v>669</v>
      </c>
      <c r="D409" s="44">
        <v>1</v>
      </c>
      <c r="E409" s="44"/>
      <c r="F409" s="45"/>
      <c r="G409" s="45"/>
      <c r="H409" s="44"/>
      <c r="I409" s="46" t="s">
        <v>243</v>
      </c>
      <c r="M409" s="142">
        <v>0</v>
      </c>
      <c r="N409" s="49"/>
    </row>
    <row r="410" spans="1:14" ht="33.75">
      <c r="A410" s="12" t="s">
        <v>814</v>
      </c>
      <c r="B410" s="53" t="s">
        <v>815</v>
      </c>
      <c r="C410" s="8" t="s">
        <v>669</v>
      </c>
      <c r="D410" s="44">
        <v>1</v>
      </c>
      <c r="E410" s="44"/>
      <c r="F410" s="45"/>
      <c r="G410" s="45"/>
      <c r="H410" s="44"/>
      <c r="I410" s="46" t="s">
        <v>243</v>
      </c>
      <c r="M410" s="142">
        <v>0</v>
      </c>
      <c r="N410" s="49"/>
    </row>
    <row r="411" spans="1:14" ht="33.75">
      <c r="A411" s="12" t="s">
        <v>817</v>
      </c>
      <c r="B411" s="53" t="s">
        <v>818</v>
      </c>
      <c r="C411" s="8" t="s">
        <v>669</v>
      </c>
      <c r="D411" s="44">
        <v>1</v>
      </c>
      <c r="E411" s="44"/>
      <c r="F411" s="45"/>
      <c r="G411" s="45"/>
      <c r="H411" s="44"/>
      <c r="I411" s="46" t="s">
        <v>243</v>
      </c>
      <c r="M411" s="142">
        <v>0</v>
      </c>
      <c r="N411" s="49"/>
    </row>
    <row r="412" spans="1:14" ht="33">
      <c r="A412" s="12" t="s">
        <v>820</v>
      </c>
      <c r="B412" s="53" t="s">
        <v>821</v>
      </c>
      <c r="C412" s="8" t="s">
        <v>669</v>
      </c>
      <c r="D412" s="44">
        <v>1</v>
      </c>
      <c r="E412" s="44"/>
      <c r="F412" s="45"/>
      <c r="G412" s="45"/>
      <c r="H412" s="44"/>
      <c r="I412" s="46" t="s">
        <v>243</v>
      </c>
      <c r="M412" s="142">
        <v>0</v>
      </c>
      <c r="N412" s="49"/>
    </row>
    <row r="413" spans="1:14" ht="33">
      <c r="A413" s="12" t="s">
        <v>823</v>
      </c>
      <c r="B413" s="53" t="s">
        <v>824</v>
      </c>
      <c r="C413" s="8" t="s">
        <v>669</v>
      </c>
      <c r="D413" s="44">
        <v>1</v>
      </c>
      <c r="E413" s="44"/>
      <c r="F413" s="45"/>
      <c r="G413" s="45"/>
      <c r="H413" s="44"/>
      <c r="I413" s="46" t="s">
        <v>243</v>
      </c>
      <c r="M413" s="142">
        <v>0</v>
      </c>
      <c r="N413" s="49"/>
    </row>
    <row r="414" spans="1:14" ht="33.75">
      <c r="A414" s="12" t="s">
        <v>826</v>
      </c>
      <c r="B414" s="53" t="s">
        <v>827</v>
      </c>
      <c r="C414" s="8" t="s">
        <v>669</v>
      </c>
      <c r="D414" s="44">
        <v>1</v>
      </c>
      <c r="E414" s="44"/>
      <c r="F414" s="45"/>
      <c r="G414" s="45"/>
      <c r="H414" s="44"/>
      <c r="I414" s="46" t="s">
        <v>243</v>
      </c>
      <c r="M414" s="142">
        <v>0</v>
      </c>
      <c r="N414" s="49"/>
    </row>
    <row r="415" spans="1:14" ht="33">
      <c r="A415" s="12" t="s">
        <v>829</v>
      </c>
      <c r="B415" s="53" t="s">
        <v>830</v>
      </c>
      <c r="C415" s="8" t="s">
        <v>669</v>
      </c>
      <c r="D415" s="44">
        <v>1</v>
      </c>
      <c r="E415" s="44"/>
      <c r="F415" s="45"/>
      <c r="G415" s="45"/>
      <c r="H415" s="44"/>
      <c r="I415" s="46" t="s">
        <v>243</v>
      </c>
      <c r="M415" s="142">
        <v>0</v>
      </c>
      <c r="N415" s="49"/>
    </row>
    <row r="416" spans="1:14" ht="33">
      <c r="A416" s="12" t="s">
        <v>832</v>
      </c>
      <c r="B416" s="53" t="s">
        <v>833</v>
      </c>
      <c r="C416" s="8" t="s">
        <v>669</v>
      </c>
      <c r="D416" s="44">
        <v>1</v>
      </c>
      <c r="E416" s="44"/>
      <c r="F416" s="45"/>
      <c r="G416" s="45"/>
      <c r="H416" s="44"/>
      <c r="I416" s="46" t="s">
        <v>243</v>
      </c>
      <c r="M416" s="142">
        <v>0</v>
      </c>
      <c r="N416" s="49"/>
    </row>
    <row r="417" spans="1:14" ht="33">
      <c r="A417" s="12" t="s">
        <v>835</v>
      </c>
      <c r="B417" s="53" t="s">
        <v>836</v>
      </c>
      <c r="C417" s="8" t="s">
        <v>669</v>
      </c>
      <c r="D417" s="44">
        <v>1</v>
      </c>
      <c r="E417" s="44"/>
      <c r="F417" s="45"/>
      <c r="G417" s="45"/>
      <c r="H417" s="44"/>
      <c r="I417" s="46" t="s">
        <v>243</v>
      </c>
      <c r="M417" s="142">
        <v>0</v>
      </c>
      <c r="N417" s="49"/>
    </row>
    <row r="418" spans="1:14" ht="33">
      <c r="A418" s="12" t="s">
        <v>838</v>
      </c>
      <c r="B418" s="53" t="s">
        <v>839</v>
      </c>
      <c r="C418" s="8" t="s">
        <v>669</v>
      </c>
      <c r="D418" s="44">
        <v>1</v>
      </c>
      <c r="E418" s="44"/>
      <c r="F418" s="45"/>
      <c r="G418" s="45"/>
      <c r="H418" s="44"/>
      <c r="I418" s="46" t="s">
        <v>243</v>
      </c>
      <c r="M418" s="142">
        <v>0</v>
      </c>
      <c r="N418" s="49"/>
    </row>
    <row r="419" spans="1:14" ht="33">
      <c r="A419" s="12" t="s">
        <v>841</v>
      </c>
      <c r="B419" s="53" t="s">
        <v>842</v>
      </c>
      <c r="C419" s="8" t="s">
        <v>669</v>
      </c>
      <c r="D419" s="44">
        <v>1</v>
      </c>
      <c r="E419" s="44"/>
      <c r="F419" s="45"/>
      <c r="G419" s="45"/>
      <c r="H419" s="44"/>
      <c r="I419" s="46" t="s">
        <v>243</v>
      </c>
      <c r="M419" s="142">
        <v>0</v>
      </c>
      <c r="N419" s="49"/>
    </row>
    <row r="420" spans="1:14" ht="33">
      <c r="A420" s="12" t="s">
        <v>844</v>
      </c>
      <c r="B420" s="53" t="s">
        <v>845</v>
      </c>
      <c r="C420" s="8" t="s">
        <v>669</v>
      </c>
      <c r="D420" s="44">
        <v>1</v>
      </c>
      <c r="E420" s="44"/>
      <c r="F420" s="45"/>
      <c r="G420" s="45"/>
      <c r="H420" s="44"/>
      <c r="I420" s="46" t="s">
        <v>243</v>
      </c>
      <c r="M420" s="142">
        <v>0</v>
      </c>
      <c r="N420" s="49"/>
    </row>
    <row r="421" spans="1:14" ht="33">
      <c r="A421" s="12" t="s">
        <v>847</v>
      </c>
      <c r="B421" s="53" t="s">
        <v>848</v>
      </c>
      <c r="C421" s="8" t="s">
        <v>669</v>
      </c>
      <c r="D421" s="44">
        <v>1</v>
      </c>
      <c r="E421" s="44"/>
      <c r="F421" s="45"/>
      <c r="G421" s="45"/>
      <c r="H421" s="44"/>
      <c r="I421" s="46" t="s">
        <v>243</v>
      </c>
      <c r="M421" s="142">
        <v>0</v>
      </c>
      <c r="N421" s="49"/>
    </row>
    <row r="422" spans="1:14" ht="33">
      <c r="A422" s="12" t="s">
        <v>850</v>
      </c>
      <c r="B422" s="53" t="s">
        <v>851</v>
      </c>
      <c r="C422" s="8" t="s">
        <v>669</v>
      </c>
      <c r="D422" s="44">
        <v>1</v>
      </c>
      <c r="E422" s="44"/>
      <c r="F422" s="45"/>
      <c r="G422" s="45"/>
      <c r="H422" s="44"/>
      <c r="I422" s="46" t="s">
        <v>243</v>
      </c>
      <c r="M422" s="142">
        <v>0</v>
      </c>
      <c r="N422" s="49"/>
    </row>
    <row r="423" spans="1:14" ht="33">
      <c r="A423" s="12" t="s">
        <v>853</v>
      </c>
      <c r="B423" s="53" t="s">
        <v>854</v>
      </c>
      <c r="C423" s="8" t="s">
        <v>669</v>
      </c>
      <c r="D423" s="44">
        <v>1</v>
      </c>
      <c r="E423" s="44"/>
      <c r="F423" s="45"/>
      <c r="G423" s="45"/>
      <c r="H423" s="44"/>
      <c r="I423" s="46" t="s">
        <v>243</v>
      </c>
      <c r="M423" s="142">
        <v>0</v>
      </c>
      <c r="N423" s="49"/>
    </row>
    <row r="424" spans="1:14" ht="33">
      <c r="A424" s="12" t="s">
        <v>856</v>
      </c>
      <c r="B424" s="53" t="s">
        <v>857</v>
      </c>
      <c r="C424" s="8" t="s">
        <v>669</v>
      </c>
      <c r="D424" s="44">
        <v>1</v>
      </c>
      <c r="E424" s="44"/>
      <c r="F424" s="45"/>
      <c r="G424" s="45"/>
      <c r="H424" s="44"/>
      <c r="I424" s="46" t="s">
        <v>243</v>
      </c>
      <c r="M424" s="142">
        <v>0</v>
      </c>
      <c r="N424" s="49"/>
    </row>
    <row r="425" spans="1:14" ht="33">
      <c r="A425" s="12" t="s">
        <v>859</v>
      </c>
      <c r="B425" s="53" t="s">
        <v>860</v>
      </c>
      <c r="C425" s="8" t="s">
        <v>669</v>
      </c>
      <c r="D425" s="44">
        <v>1</v>
      </c>
      <c r="E425" s="44"/>
      <c r="F425" s="45"/>
      <c r="G425" s="45"/>
      <c r="H425" s="44"/>
      <c r="I425" s="46" t="s">
        <v>243</v>
      </c>
      <c r="M425" s="142">
        <v>0</v>
      </c>
      <c r="N425" s="49"/>
    </row>
    <row r="426" spans="1:14" ht="33">
      <c r="A426" s="12" t="s">
        <v>862</v>
      </c>
      <c r="B426" s="53" t="s">
        <v>863</v>
      </c>
      <c r="C426" s="8" t="s">
        <v>669</v>
      </c>
      <c r="D426" s="44">
        <v>1</v>
      </c>
      <c r="E426" s="44"/>
      <c r="F426" s="45"/>
      <c r="G426" s="45"/>
      <c r="H426" s="44"/>
      <c r="I426" s="46" t="s">
        <v>243</v>
      </c>
      <c r="M426" s="142">
        <v>0</v>
      </c>
      <c r="N426" s="49"/>
    </row>
    <row r="427" spans="1:14" ht="33.75">
      <c r="A427" s="12" t="s">
        <v>865</v>
      </c>
      <c r="B427" s="53" t="s">
        <v>866</v>
      </c>
      <c r="C427" s="8" t="s">
        <v>669</v>
      </c>
      <c r="D427" s="44">
        <v>1</v>
      </c>
      <c r="E427" s="44"/>
      <c r="F427" s="45"/>
      <c r="G427" s="45"/>
      <c r="H427" s="44"/>
      <c r="I427" s="46" t="s">
        <v>243</v>
      </c>
      <c r="M427" s="142">
        <v>0</v>
      </c>
      <c r="N427" s="49"/>
    </row>
    <row r="428" spans="1:14" ht="33">
      <c r="A428" s="12" t="s">
        <v>868</v>
      </c>
      <c r="B428" s="53" t="s">
        <v>869</v>
      </c>
      <c r="C428" s="8" t="s">
        <v>669</v>
      </c>
      <c r="D428" s="44">
        <v>1</v>
      </c>
      <c r="E428" s="44"/>
      <c r="F428" s="45"/>
      <c r="G428" s="45"/>
      <c r="H428" s="44"/>
      <c r="I428" s="46" t="s">
        <v>243</v>
      </c>
      <c r="M428" s="142">
        <v>0</v>
      </c>
      <c r="N428" s="49"/>
    </row>
    <row r="429" spans="1:14" ht="33.75">
      <c r="A429" s="12" t="s">
        <v>871</v>
      </c>
      <c r="B429" s="53" t="s">
        <v>872</v>
      </c>
      <c r="C429" s="8" t="s">
        <v>669</v>
      </c>
      <c r="D429" s="44">
        <v>1</v>
      </c>
      <c r="E429" s="44"/>
      <c r="F429" s="45"/>
      <c r="G429" s="45"/>
      <c r="H429" s="44"/>
      <c r="I429" s="46" t="s">
        <v>243</v>
      </c>
      <c r="M429" s="142">
        <v>0</v>
      </c>
      <c r="N429" s="49"/>
    </row>
    <row r="430" spans="1:14" ht="33">
      <c r="A430" s="12" t="s">
        <v>874</v>
      </c>
      <c r="B430" s="53" t="s">
        <v>875</v>
      </c>
      <c r="C430" s="8" t="s">
        <v>669</v>
      </c>
      <c r="D430" s="44">
        <v>1</v>
      </c>
      <c r="E430" s="44"/>
      <c r="F430" s="45"/>
      <c r="G430" s="45"/>
      <c r="H430" s="44"/>
      <c r="I430" s="46" t="s">
        <v>243</v>
      </c>
      <c r="M430" s="142">
        <v>0</v>
      </c>
      <c r="N430" s="49"/>
    </row>
    <row r="431" spans="1:14" ht="33">
      <c r="A431" s="12" t="s">
        <v>877</v>
      </c>
      <c r="B431" s="10" t="s">
        <v>878</v>
      </c>
      <c r="C431" s="8" t="s">
        <v>13</v>
      </c>
      <c r="D431" s="44">
        <v>1</v>
      </c>
      <c r="E431" s="44"/>
      <c r="F431" s="45"/>
      <c r="G431" s="45"/>
      <c r="H431" s="44"/>
      <c r="I431" s="46" t="s">
        <v>243</v>
      </c>
      <c r="M431" s="142">
        <v>0</v>
      </c>
      <c r="N431" s="49"/>
    </row>
    <row r="432" spans="1:14" ht="33">
      <c r="A432" s="12" t="s">
        <v>880</v>
      </c>
      <c r="B432" s="10" t="s">
        <v>881</v>
      </c>
      <c r="C432" s="8" t="s">
        <v>882</v>
      </c>
      <c r="D432" s="44">
        <v>1</v>
      </c>
      <c r="E432" s="44"/>
      <c r="F432" s="45"/>
      <c r="G432" s="45"/>
      <c r="H432" s="44"/>
      <c r="I432" s="46" t="s">
        <v>243</v>
      </c>
      <c r="M432" s="142">
        <v>0</v>
      </c>
      <c r="N432" s="49"/>
    </row>
    <row r="433" spans="1:14" ht="33">
      <c r="A433" s="12" t="s">
        <v>884</v>
      </c>
      <c r="B433" s="7" t="s">
        <v>885</v>
      </c>
      <c r="C433" s="8" t="s">
        <v>13</v>
      </c>
      <c r="D433" s="44">
        <v>1</v>
      </c>
      <c r="E433" s="44"/>
      <c r="F433" s="45"/>
      <c r="G433" s="45"/>
      <c r="H433" s="44"/>
      <c r="I433" s="46" t="s">
        <v>243</v>
      </c>
      <c r="M433" s="142">
        <v>0</v>
      </c>
      <c r="N433" s="49"/>
    </row>
    <row r="434" spans="1:14" ht="57">
      <c r="A434" s="12" t="s">
        <v>1505</v>
      </c>
      <c r="B434" s="10" t="s">
        <v>1506</v>
      </c>
      <c r="C434" s="8" t="s">
        <v>8</v>
      </c>
      <c r="D434" s="44"/>
      <c r="E434" s="44">
        <v>1305</v>
      </c>
      <c r="F434" s="45" t="s">
        <v>1502</v>
      </c>
      <c r="G434" s="45" t="s">
        <v>1510</v>
      </c>
      <c r="H434" s="44">
        <f>43.6/0.2*6</f>
        <v>1308</v>
      </c>
      <c r="I434" s="48">
        <f>H434</f>
        <v>1308</v>
      </c>
      <c r="M434" s="142">
        <v>1305</v>
      </c>
      <c r="N434" s="49">
        <f t="shared" ref="N434:N435" si="14">I434-M434</f>
        <v>3</v>
      </c>
    </row>
    <row r="435" spans="1:14" ht="33">
      <c r="A435" s="12" t="s">
        <v>1507</v>
      </c>
      <c r="B435" s="7" t="s">
        <v>1508</v>
      </c>
      <c r="C435" s="8" t="s">
        <v>1509</v>
      </c>
      <c r="D435" s="44"/>
      <c r="E435" s="44">
        <v>15318</v>
      </c>
      <c r="F435" s="45" t="s">
        <v>1512</v>
      </c>
      <c r="G435" s="155" t="s">
        <v>1513</v>
      </c>
      <c r="H435" s="152">
        <f>(246*(4+18+4)+20*4)+(25*6)+(73*5)</f>
        <v>6991</v>
      </c>
      <c r="I435" s="48">
        <f>H435</f>
        <v>6991</v>
      </c>
      <c r="M435" s="142">
        <v>0</v>
      </c>
      <c r="N435" s="49">
        <f t="shared" si="14"/>
        <v>6991</v>
      </c>
    </row>
    <row r="436" spans="1:14" ht="23.25" customHeight="1">
      <c r="A436" s="145" t="s">
        <v>887</v>
      </c>
      <c r="B436" s="146" t="s">
        <v>888</v>
      </c>
      <c r="C436" s="147" t="s">
        <v>4</v>
      </c>
      <c r="D436" s="148">
        <v>1</v>
      </c>
      <c r="E436" s="148"/>
      <c r="F436" s="149"/>
      <c r="G436" s="149"/>
      <c r="H436" s="148"/>
      <c r="I436" s="150" t="s">
        <v>243</v>
      </c>
      <c r="M436" s="30"/>
      <c r="N436" s="49"/>
    </row>
    <row r="437" spans="1:14" ht="33">
      <c r="A437" s="12" t="s">
        <v>889</v>
      </c>
      <c r="B437" s="10" t="s">
        <v>890</v>
      </c>
      <c r="C437" s="8" t="s">
        <v>4</v>
      </c>
      <c r="D437" s="44">
        <v>1</v>
      </c>
      <c r="E437" s="44"/>
      <c r="F437" s="45"/>
      <c r="G437" s="45"/>
      <c r="H437" s="44"/>
      <c r="I437" s="46" t="s">
        <v>243</v>
      </c>
      <c r="M437" s="30"/>
      <c r="N437" s="49"/>
    </row>
    <row r="438" spans="1:14" ht="33">
      <c r="A438" s="12" t="s">
        <v>892</v>
      </c>
      <c r="B438" s="10" t="s">
        <v>893</v>
      </c>
      <c r="C438" s="8" t="s">
        <v>4</v>
      </c>
      <c r="D438" s="44">
        <v>1</v>
      </c>
      <c r="E438" s="44"/>
      <c r="F438" s="45"/>
      <c r="G438" s="45"/>
      <c r="H438" s="44"/>
      <c r="I438" s="46" t="s">
        <v>243</v>
      </c>
      <c r="N438" s="49"/>
    </row>
    <row r="439" spans="1:14" ht="33">
      <c r="A439" s="12" t="s">
        <v>895</v>
      </c>
      <c r="B439" s="10" t="s">
        <v>896</v>
      </c>
      <c r="C439" s="8" t="s">
        <v>4</v>
      </c>
      <c r="D439" s="44">
        <v>1</v>
      </c>
      <c r="E439" s="44"/>
      <c r="F439" s="45"/>
      <c r="G439" s="45"/>
      <c r="H439" s="44"/>
      <c r="I439" s="46" t="s">
        <v>243</v>
      </c>
      <c r="N439" s="49"/>
    </row>
    <row r="440" spans="1:14" ht="33">
      <c r="A440" s="12" t="s">
        <v>898</v>
      </c>
      <c r="B440" s="10" t="s">
        <v>899</v>
      </c>
      <c r="C440" s="8" t="s">
        <v>4</v>
      </c>
      <c r="D440" s="44">
        <v>1</v>
      </c>
      <c r="E440" s="44"/>
      <c r="F440" s="45"/>
      <c r="G440" s="45"/>
      <c r="H440" s="44"/>
      <c r="I440" s="46" t="s">
        <v>243</v>
      </c>
      <c r="N440" s="49"/>
    </row>
    <row r="441" spans="1:14" ht="33.75">
      <c r="A441" s="12" t="s">
        <v>901</v>
      </c>
      <c r="B441" s="53" t="s">
        <v>902</v>
      </c>
      <c r="C441" s="8" t="s">
        <v>0</v>
      </c>
      <c r="D441" s="44">
        <v>11</v>
      </c>
      <c r="E441" s="44"/>
      <c r="F441" s="45"/>
      <c r="G441" s="45"/>
      <c r="H441" s="44"/>
      <c r="I441" s="46" t="s">
        <v>243</v>
      </c>
      <c r="N441" s="49"/>
    </row>
    <row r="442" spans="1:14" ht="33.75">
      <c r="A442" s="12" t="s">
        <v>904</v>
      </c>
      <c r="B442" s="53" t="s">
        <v>905</v>
      </c>
      <c r="C442" s="8" t="s">
        <v>0</v>
      </c>
      <c r="D442" s="44">
        <v>9</v>
      </c>
      <c r="E442" s="44"/>
      <c r="F442" s="45"/>
      <c r="G442" s="45"/>
      <c r="H442" s="44"/>
      <c r="I442" s="46" t="s">
        <v>243</v>
      </c>
      <c r="N442" s="49"/>
    </row>
    <row r="443" spans="1:14" ht="33.75">
      <c r="A443" s="12" t="s">
        <v>907</v>
      </c>
      <c r="B443" s="53" t="s">
        <v>908</v>
      </c>
      <c r="C443" s="8" t="s">
        <v>0</v>
      </c>
      <c r="D443" s="44">
        <v>10</v>
      </c>
      <c r="E443" s="44"/>
      <c r="F443" s="45"/>
      <c r="G443" s="45"/>
      <c r="H443" s="44"/>
      <c r="I443" s="46" t="s">
        <v>243</v>
      </c>
      <c r="N443" s="49"/>
    </row>
    <row r="444" spans="1:14" ht="33.75">
      <c r="A444" s="12" t="s">
        <v>910</v>
      </c>
      <c r="B444" s="53" t="s">
        <v>911</v>
      </c>
      <c r="C444" s="8" t="s">
        <v>0</v>
      </c>
      <c r="D444" s="44">
        <v>8</v>
      </c>
      <c r="E444" s="44"/>
      <c r="F444" s="45"/>
      <c r="G444" s="45"/>
      <c r="H444" s="44"/>
      <c r="I444" s="46" t="s">
        <v>243</v>
      </c>
      <c r="N444" s="49"/>
    </row>
    <row r="445" spans="1:14" ht="21.95" customHeight="1">
      <c r="A445" s="12" t="s">
        <v>913</v>
      </c>
      <c r="B445" s="10" t="s">
        <v>914</v>
      </c>
      <c r="C445" s="8" t="s">
        <v>15</v>
      </c>
      <c r="D445" s="44">
        <v>2</v>
      </c>
      <c r="E445" s="44"/>
      <c r="F445" s="45"/>
      <c r="G445" s="45"/>
      <c r="H445" s="44"/>
      <c r="I445" s="46" t="s">
        <v>243</v>
      </c>
      <c r="N445" s="49"/>
    </row>
    <row r="446" spans="1:14" ht="21.95" customHeight="1">
      <c r="A446" s="12" t="s">
        <v>916</v>
      </c>
      <c r="B446" s="10" t="s">
        <v>917</v>
      </c>
      <c r="C446" s="8" t="s">
        <v>15</v>
      </c>
      <c r="D446" s="44">
        <v>2</v>
      </c>
      <c r="E446" s="44"/>
      <c r="F446" s="45"/>
      <c r="G446" s="45"/>
      <c r="H446" s="44"/>
      <c r="I446" s="46" t="s">
        <v>243</v>
      </c>
      <c r="N446" s="49"/>
    </row>
    <row r="447" spans="1:14" ht="21.95" customHeight="1">
      <c r="A447" s="12" t="s">
        <v>919</v>
      </c>
      <c r="B447" s="7" t="s">
        <v>920</v>
      </c>
      <c r="C447" s="8" t="s">
        <v>8</v>
      </c>
      <c r="D447" s="44">
        <v>44.6</v>
      </c>
      <c r="E447" s="44"/>
      <c r="F447" s="45"/>
      <c r="G447" s="45"/>
      <c r="H447" s="44"/>
      <c r="I447" s="46" t="s">
        <v>243</v>
      </c>
      <c r="N447" s="49"/>
    </row>
    <row r="448" spans="1:14" ht="33">
      <c r="A448" s="12" t="s">
        <v>922</v>
      </c>
      <c r="B448" s="10" t="s">
        <v>923</v>
      </c>
      <c r="C448" s="8" t="s">
        <v>15</v>
      </c>
      <c r="D448" s="44">
        <v>10</v>
      </c>
      <c r="E448" s="44"/>
      <c r="F448" s="45"/>
      <c r="G448" s="45"/>
      <c r="H448" s="44"/>
      <c r="I448" s="46" t="s">
        <v>243</v>
      </c>
      <c r="N448" s="49"/>
    </row>
    <row r="449" spans="1:14" ht="33">
      <c r="A449" s="12" t="s">
        <v>925</v>
      </c>
      <c r="B449" s="10" t="s">
        <v>926</v>
      </c>
      <c r="C449" s="8" t="s">
        <v>15</v>
      </c>
      <c r="D449" s="44">
        <v>5</v>
      </c>
      <c r="E449" s="44"/>
      <c r="F449" s="45"/>
      <c r="G449" s="45"/>
      <c r="H449" s="44"/>
      <c r="I449" s="46" t="s">
        <v>243</v>
      </c>
      <c r="N449" s="49"/>
    </row>
    <row r="450" spans="1:14" ht="20.100000000000001" customHeight="1">
      <c r="A450" s="12" t="s">
        <v>928</v>
      </c>
      <c r="B450" s="7" t="s">
        <v>929</v>
      </c>
      <c r="C450" s="8" t="s">
        <v>15</v>
      </c>
      <c r="D450" s="44">
        <v>17</v>
      </c>
      <c r="E450" s="44"/>
      <c r="F450" s="45"/>
      <c r="G450" s="45"/>
      <c r="H450" s="44"/>
      <c r="I450" s="46" t="s">
        <v>243</v>
      </c>
      <c r="N450" s="49"/>
    </row>
    <row r="451" spans="1:14" ht="20.100000000000001" customHeight="1">
      <c r="A451" s="12" t="s">
        <v>931</v>
      </c>
      <c r="B451" s="7" t="s">
        <v>932</v>
      </c>
      <c r="C451" s="8" t="s">
        <v>290</v>
      </c>
      <c r="D451" s="44">
        <v>1</v>
      </c>
      <c r="E451" s="44"/>
      <c r="F451" s="45"/>
      <c r="G451" s="45"/>
      <c r="H451" s="44"/>
      <c r="I451" s="46" t="s">
        <v>243</v>
      </c>
      <c r="N451" s="49"/>
    </row>
    <row r="452" spans="1:14" ht="20.100000000000001" customHeight="1">
      <c r="A452" s="12" t="s">
        <v>934</v>
      </c>
      <c r="B452" s="7" t="s">
        <v>935</v>
      </c>
      <c r="C452" s="8" t="s">
        <v>4</v>
      </c>
      <c r="D452" s="44">
        <v>1</v>
      </c>
      <c r="E452" s="44"/>
      <c r="F452" s="45"/>
      <c r="G452" s="45"/>
      <c r="H452" s="44"/>
      <c r="I452" s="46" t="s">
        <v>243</v>
      </c>
      <c r="N452" s="49"/>
    </row>
    <row r="453" spans="1:14" ht="20.100000000000001" customHeight="1">
      <c r="A453" s="12" t="s">
        <v>937</v>
      </c>
      <c r="B453" s="7" t="s">
        <v>938</v>
      </c>
      <c r="C453" s="8" t="s">
        <v>15</v>
      </c>
      <c r="D453" s="44">
        <v>17</v>
      </c>
      <c r="E453" s="44"/>
      <c r="F453" s="45"/>
      <c r="G453" s="45"/>
      <c r="H453" s="44"/>
      <c r="I453" s="46" t="s">
        <v>243</v>
      </c>
      <c r="N453" s="49"/>
    </row>
    <row r="454" spans="1:14" ht="33">
      <c r="A454" s="12" t="s">
        <v>940</v>
      </c>
      <c r="B454" s="7" t="s">
        <v>941</v>
      </c>
      <c r="C454" s="8" t="s">
        <v>583</v>
      </c>
      <c r="D454" s="44">
        <v>2</v>
      </c>
      <c r="E454" s="44"/>
      <c r="F454" s="45"/>
      <c r="G454" s="45"/>
      <c r="H454" s="44"/>
      <c r="I454" s="46" t="s">
        <v>243</v>
      </c>
      <c r="N454" s="49"/>
    </row>
    <row r="455" spans="1:14" ht="21.95" customHeight="1">
      <c r="A455" s="12" t="s">
        <v>943</v>
      </c>
      <c r="B455" s="7" t="s">
        <v>944</v>
      </c>
      <c r="C455" s="8" t="s">
        <v>15</v>
      </c>
      <c r="D455" s="44">
        <v>1</v>
      </c>
      <c r="E455" s="44"/>
      <c r="F455" s="45"/>
      <c r="G455" s="45"/>
      <c r="H455" s="44"/>
      <c r="I455" s="46" t="s">
        <v>243</v>
      </c>
      <c r="N455" s="49"/>
    </row>
    <row r="456" spans="1:14" ht="33">
      <c r="A456" s="12" t="s">
        <v>946</v>
      </c>
      <c r="B456" s="53" t="s">
        <v>947</v>
      </c>
      <c r="C456" s="8" t="s">
        <v>19</v>
      </c>
      <c r="D456" s="44">
        <v>2</v>
      </c>
      <c r="E456" s="44"/>
      <c r="F456" s="45"/>
      <c r="G456" s="45"/>
      <c r="H456" s="44"/>
      <c r="I456" s="46" t="s">
        <v>243</v>
      </c>
      <c r="N456" s="49"/>
    </row>
    <row r="457" spans="1:14" ht="33">
      <c r="A457" s="12" t="s">
        <v>949</v>
      </c>
      <c r="B457" s="53" t="s">
        <v>950</v>
      </c>
      <c r="C457" s="8" t="s">
        <v>19</v>
      </c>
      <c r="D457" s="44">
        <v>9</v>
      </c>
      <c r="E457" s="44"/>
      <c r="F457" s="45"/>
      <c r="G457" s="45"/>
      <c r="H457" s="44"/>
      <c r="I457" s="46" t="s">
        <v>243</v>
      </c>
      <c r="N457" s="49"/>
    </row>
    <row r="458" spans="1:14" ht="33.75">
      <c r="A458" s="12" t="s">
        <v>952</v>
      </c>
      <c r="B458" s="53" t="s">
        <v>953</v>
      </c>
      <c r="C458" s="8" t="s">
        <v>8</v>
      </c>
      <c r="D458" s="44">
        <v>180</v>
      </c>
      <c r="E458" s="44"/>
      <c r="F458" s="45"/>
      <c r="G458" s="45"/>
      <c r="H458" s="44"/>
      <c r="I458" s="46" t="s">
        <v>243</v>
      </c>
      <c r="N458" s="49"/>
    </row>
    <row r="459" spans="1:14" ht="33.75">
      <c r="A459" s="12" t="s">
        <v>955</v>
      </c>
      <c r="B459" s="53" t="s">
        <v>956</v>
      </c>
      <c r="C459" s="8" t="s">
        <v>8</v>
      </c>
      <c r="D459" s="44">
        <v>60</v>
      </c>
      <c r="E459" s="44"/>
      <c r="F459" s="45"/>
      <c r="G459" s="45"/>
      <c r="H459" s="44"/>
      <c r="I459" s="46" t="s">
        <v>243</v>
      </c>
      <c r="N459" s="49"/>
    </row>
    <row r="460" spans="1:14" ht="33.75">
      <c r="A460" s="12" t="s">
        <v>958</v>
      </c>
      <c r="B460" s="53" t="s">
        <v>959</v>
      </c>
      <c r="C460" s="8" t="s">
        <v>8</v>
      </c>
      <c r="D460" s="44">
        <v>1032</v>
      </c>
      <c r="E460" s="44"/>
      <c r="F460" s="45"/>
      <c r="G460" s="45"/>
      <c r="H460" s="44"/>
      <c r="I460" s="46" t="s">
        <v>243</v>
      </c>
      <c r="N460" s="49"/>
    </row>
    <row r="461" spans="1:14" ht="33.75">
      <c r="A461" s="12" t="s">
        <v>961</v>
      </c>
      <c r="B461" s="53" t="s">
        <v>962</v>
      </c>
      <c r="C461" s="8" t="s">
        <v>8</v>
      </c>
      <c r="D461" s="44">
        <v>1103</v>
      </c>
      <c r="E461" s="44"/>
      <c r="F461" s="45"/>
      <c r="G461" s="45"/>
      <c r="H461" s="44"/>
      <c r="I461" s="46" t="s">
        <v>243</v>
      </c>
      <c r="N461" s="49"/>
    </row>
    <row r="462" spans="1:14" ht="45">
      <c r="A462" s="12" t="s">
        <v>964</v>
      </c>
      <c r="B462" s="53" t="s">
        <v>219</v>
      </c>
      <c r="C462" s="8" t="s">
        <v>8</v>
      </c>
      <c r="D462" s="44">
        <v>2064</v>
      </c>
      <c r="E462" s="44"/>
      <c r="F462" s="45"/>
      <c r="G462" s="45"/>
      <c r="H462" s="44"/>
      <c r="I462" s="46" t="s">
        <v>243</v>
      </c>
      <c r="N462" s="49"/>
    </row>
    <row r="463" spans="1:14" ht="33">
      <c r="A463" s="12" t="s">
        <v>966</v>
      </c>
      <c r="B463" s="10" t="s">
        <v>967</v>
      </c>
      <c r="C463" s="8" t="s">
        <v>4</v>
      </c>
      <c r="D463" s="44">
        <v>1</v>
      </c>
      <c r="E463" s="44"/>
      <c r="F463" s="45"/>
      <c r="G463" s="45"/>
      <c r="H463" s="44"/>
      <c r="I463" s="46" t="s">
        <v>243</v>
      </c>
      <c r="N463" s="49"/>
    </row>
    <row r="464" spans="1:14" ht="42.75">
      <c r="A464" s="12" t="s">
        <v>969</v>
      </c>
      <c r="B464" s="10" t="s">
        <v>970</v>
      </c>
      <c r="C464" s="8" t="s">
        <v>8</v>
      </c>
      <c r="D464" s="44">
        <v>1011</v>
      </c>
      <c r="E464" s="44"/>
      <c r="F464" s="45"/>
      <c r="G464" s="45"/>
      <c r="H464" s="44"/>
      <c r="I464" s="46" t="s">
        <v>243</v>
      </c>
      <c r="N464" s="49"/>
    </row>
    <row r="465" spans="1:14" ht="42.75">
      <c r="A465" s="12" t="s">
        <v>972</v>
      </c>
      <c r="B465" s="10" t="s">
        <v>220</v>
      </c>
      <c r="C465" s="8" t="s">
        <v>8</v>
      </c>
      <c r="D465" s="44">
        <v>946</v>
      </c>
      <c r="E465" s="44"/>
      <c r="F465" s="45"/>
      <c r="G465" s="45"/>
      <c r="H465" s="44"/>
      <c r="I465" s="46" t="s">
        <v>243</v>
      </c>
      <c r="N465" s="49"/>
    </row>
    <row r="466" spans="1:14" ht="42.75">
      <c r="A466" s="12" t="s">
        <v>974</v>
      </c>
      <c r="B466" s="10" t="s">
        <v>975</v>
      </c>
      <c r="C466" s="8" t="s">
        <v>8</v>
      </c>
      <c r="D466" s="44">
        <v>55</v>
      </c>
      <c r="E466" s="44"/>
      <c r="F466" s="45"/>
      <c r="G466" s="45"/>
      <c r="H466" s="44"/>
      <c r="I466" s="46" t="s">
        <v>243</v>
      </c>
      <c r="N466" s="49"/>
    </row>
    <row r="467" spans="1:14" ht="42.75">
      <c r="A467" s="12" t="s">
        <v>977</v>
      </c>
      <c r="B467" s="10" t="s">
        <v>978</v>
      </c>
      <c r="C467" s="8" t="s">
        <v>8</v>
      </c>
      <c r="D467" s="44">
        <v>22</v>
      </c>
      <c r="E467" s="44"/>
      <c r="F467" s="45"/>
      <c r="G467" s="45"/>
      <c r="H467" s="44"/>
      <c r="I467" s="46" t="s">
        <v>243</v>
      </c>
      <c r="N467" s="49"/>
    </row>
    <row r="468" spans="1:14" ht="33">
      <c r="A468" s="12" t="s">
        <v>980</v>
      </c>
      <c r="B468" s="10" t="s">
        <v>981</v>
      </c>
      <c r="C468" s="8" t="s">
        <v>4</v>
      </c>
      <c r="D468" s="44">
        <v>1</v>
      </c>
      <c r="E468" s="44"/>
      <c r="F468" s="45"/>
      <c r="G468" s="45"/>
      <c r="H468" s="44"/>
      <c r="I468" s="46" t="s">
        <v>243</v>
      </c>
      <c r="N468" s="49"/>
    </row>
    <row r="469" spans="1:14" ht="20.100000000000001" customHeight="1">
      <c r="A469" s="12" t="s">
        <v>983</v>
      </c>
      <c r="B469" s="7" t="s">
        <v>984</v>
      </c>
      <c r="C469" s="8" t="s">
        <v>4</v>
      </c>
      <c r="D469" s="44">
        <v>1</v>
      </c>
      <c r="E469" s="44"/>
      <c r="F469" s="45"/>
      <c r="G469" s="45"/>
      <c r="H469" s="44"/>
      <c r="I469" s="46" t="s">
        <v>243</v>
      </c>
      <c r="N469" s="49"/>
    </row>
    <row r="470" spans="1:14" ht="33">
      <c r="A470" s="145" t="s">
        <v>986</v>
      </c>
      <c r="B470" s="146" t="s">
        <v>987</v>
      </c>
      <c r="C470" s="147" t="s">
        <v>4</v>
      </c>
      <c r="D470" s="148">
        <v>1</v>
      </c>
      <c r="E470" s="148"/>
      <c r="F470" s="149"/>
      <c r="G470" s="149"/>
      <c r="H470" s="148"/>
      <c r="I470" s="150" t="s">
        <v>243</v>
      </c>
      <c r="N470" s="49"/>
    </row>
    <row r="471" spans="1:14" ht="33">
      <c r="A471" s="12" t="s">
        <v>988</v>
      </c>
      <c r="B471" s="7" t="s">
        <v>1530</v>
      </c>
      <c r="C471" s="8" t="s">
        <v>8</v>
      </c>
      <c r="D471" s="44">
        <v>1132</v>
      </c>
      <c r="E471" s="44">
        <v>2576.8000000000002</v>
      </c>
      <c r="F471" s="45" t="s">
        <v>1529</v>
      </c>
      <c r="G471" s="151" t="s">
        <v>1527</v>
      </c>
      <c r="H471" s="152">
        <f>(51.5/0.5*6*2)+(16*0.5*6)+(92/0.5*6)</f>
        <v>2388</v>
      </c>
      <c r="I471" s="48">
        <f>H471</f>
        <v>2388</v>
      </c>
      <c r="M471" s="142">
        <v>954</v>
      </c>
      <c r="N471" s="49">
        <f t="shared" ref="N471:N534" si="15">I471-M471</f>
        <v>1434</v>
      </c>
    </row>
    <row r="472" spans="1:14" ht="33.75">
      <c r="A472" s="12" t="s">
        <v>991</v>
      </c>
      <c r="B472" s="53" t="s">
        <v>992</v>
      </c>
      <c r="C472" s="8" t="s">
        <v>8</v>
      </c>
      <c r="D472" s="44">
        <v>1132</v>
      </c>
      <c r="E472" s="44">
        <v>2576.8000000000002</v>
      </c>
      <c r="F472" s="45" t="s">
        <v>1529</v>
      </c>
      <c r="G472" s="151"/>
      <c r="H472" s="152">
        <f>H471</f>
        <v>2388</v>
      </c>
      <c r="I472" s="48">
        <f>H472</f>
        <v>2388</v>
      </c>
      <c r="M472" s="142">
        <v>954</v>
      </c>
      <c r="N472" s="49">
        <f t="shared" si="15"/>
        <v>1434</v>
      </c>
    </row>
    <row r="473" spans="1:14" ht="33">
      <c r="A473" s="12" t="s">
        <v>994</v>
      </c>
      <c r="B473" s="7" t="s">
        <v>1528</v>
      </c>
      <c r="C473" s="8" t="s">
        <v>13</v>
      </c>
      <c r="D473" s="44">
        <v>6198</v>
      </c>
      <c r="E473" s="44">
        <v>9215</v>
      </c>
      <c r="F473" s="45" t="s">
        <v>1531</v>
      </c>
      <c r="G473" s="151" t="s">
        <v>1532</v>
      </c>
      <c r="H473" s="152">
        <f>(5*2.5*38)+(5*2.5*12)+(5*2.5*20*8)+((51.5*2+92+16)*2.5)+(5*2.5*20*24)</f>
        <v>9152.5</v>
      </c>
      <c r="I473" s="48">
        <f t="shared" ref="I473:I479" si="16">H473</f>
        <v>9152.5</v>
      </c>
      <c r="M473" s="142">
        <v>5157.8</v>
      </c>
      <c r="N473" s="49">
        <f t="shared" si="15"/>
        <v>3994.7</v>
      </c>
    </row>
    <row r="474" spans="1:14" ht="45">
      <c r="A474" s="12" t="s">
        <v>997</v>
      </c>
      <c r="B474" s="53" t="s">
        <v>998</v>
      </c>
      <c r="C474" s="8" t="s">
        <v>4</v>
      </c>
      <c r="D474" s="44">
        <v>1</v>
      </c>
      <c r="E474" s="44"/>
      <c r="F474" s="45"/>
      <c r="G474" s="45"/>
      <c r="H474" s="44">
        <v>0.4</v>
      </c>
      <c r="I474" s="48">
        <f t="shared" si="16"/>
        <v>0.4</v>
      </c>
      <c r="M474" s="142">
        <v>0.4</v>
      </c>
      <c r="N474" s="49">
        <f t="shared" si="15"/>
        <v>0</v>
      </c>
    </row>
    <row r="475" spans="1:14" ht="33.75">
      <c r="A475" s="12" t="s">
        <v>1000</v>
      </c>
      <c r="B475" s="53" t="s">
        <v>1001</v>
      </c>
      <c r="C475" s="8" t="s">
        <v>16</v>
      </c>
      <c r="D475" s="44">
        <v>2052</v>
      </c>
      <c r="E475" s="44"/>
      <c r="F475" s="45"/>
      <c r="G475" s="45"/>
      <c r="H475" s="44">
        <v>1688</v>
      </c>
      <c r="I475" s="48">
        <f t="shared" si="16"/>
        <v>1688</v>
      </c>
      <c r="M475" s="142">
        <v>1688</v>
      </c>
      <c r="N475" s="49">
        <f t="shared" si="15"/>
        <v>0</v>
      </c>
    </row>
    <row r="476" spans="1:14" ht="49.5">
      <c r="A476" s="12" t="s">
        <v>1003</v>
      </c>
      <c r="B476" s="7" t="s">
        <v>728</v>
      </c>
      <c r="C476" s="8" t="s">
        <v>6</v>
      </c>
      <c r="D476" s="44">
        <v>300</v>
      </c>
      <c r="E476" s="44">
        <v>720</v>
      </c>
      <c r="F476" s="45" t="s">
        <v>1526</v>
      </c>
      <c r="G476" s="151" t="s">
        <v>1585</v>
      </c>
      <c r="H476" s="152">
        <f>(10*3)+(62*3)+(25*3)+(57*3)+(16*3)+(19*3)+(5*3)</f>
        <v>582</v>
      </c>
      <c r="I476" s="48">
        <f t="shared" si="16"/>
        <v>582</v>
      </c>
      <c r="M476" s="142">
        <v>421</v>
      </c>
      <c r="N476" s="49">
        <f t="shared" si="15"/>
        <v>161</v>
      </c>
    </row>
    <row r="477" spans="1:14" ht="45">
      <c r="A477" s="12" t="s">
        <v>1514</v>
      </c>
      <c r="B477" s="53" t="s">
        <v>1515</v>
      </c>
      <c r="C477" s="8" t="s">
        <v>8</v>
      </c>
      <c r="D477" s="44"/>
      <c r="E477" s="44">
        <v>132</v>
      </c>
      <c r="F477" s="45" t="s">
        <v>1525</v>
      </c>
      <c r="G477" s="45" t="s">
        <v>1524</v>
      </c>
      <c r="H477" s="44">
        <v>132</v>
      </c>
      <c r="I477" s="48">
        <f t="shared" si="16"/>
        <v>132</v>
      </c>
      <c r="M477" s="142">
        <v>132</v>
      </c>
      <c r="N477" s="49">
        <f t="shared" si="15"/>
        <v>0</v>
      </c>
    </row>
    <row r="478" spans="1:14" ht="45">
      <c r="A478" s="12" t="s">
        <v>1516</v>
      </c>
      <c r="B478" s="53" t="s">
        <v>1517</v>
      </c>
      <c r="C478" s="8" t="s">
        <v>8</v>
      </c>
      <c r="D478" s="44"/>
      <c r="E478" s="44">
        <v>106</v>
      </c>
      <c r="F478" s="45" t="s">
        <v>1520</v>
      </c>
      <c r="G478" s="45" t="s">
        <v>1523</v>
      </c>
      <c r="H478" s="44">
        <v>106</v>
      </c>
      <c r="I478" s="48">
        <f t="shared" si="16"/>
        <v>106</v>
      </c>
      <c r="M478" s="142">
        <v>106</v>
      </c>
      <c r="N478" s="49">
        <f t="shared" si="15"/>
        <v>0</v>
      </c>
    </row>
    <row r="479" spans="1:14" ht="45">
      <c r="A479" s="12" t="s">
        <v>1518</v>
      </c>
      <c r="B479" s="53" t="s">
        <v>1519</v>
      </c>
      <c r="C479" s="8" t="s">
        <v>8</v>
      </c>
      <c r="D479" s="44"/>
      <c r="E479" s="44">
        <v>156</v>
      </c>
      <c r="F479" s="45" t="s">
        <v>1522</v>
      </c>
      <c r="G479" s="45" t="s">
        <v>1521</v>
      </c>
      <c r="H479" s="44">
        <v>156</v>
      </c>
      <c r="I479" s="48">
        <f t="shared" si="16"/>
        <v>156</v>
      </c>
      <c r="M479" s="142">
        <v>156</v>
      </c>
      <c r="N479" s="49">
        <f t="shared" si="15"/>
        <v>0</v>
      </c>
    </row>
    <row r="480" spans="1:14" ht="23.25" customHeight="1">
      <c r="A480" s="145" t="s">
        <v>103</v>
      </c>
      <c r="B480" s="146" t="s">
        <v>11</v>
      </c>
      <c r="C480" s="147" t="s">
        <v>4</v>
      </c>
      <c r="D480" s="148">
        <v>1</v>
      </c>
      <c r="E480" s="148"/>
      <c r="F480" s="149"/>
      <c r="G480" s="149"/>
      <c r="H480" s="148"/>
      <c r="I480" s="150" t="s">
        <v>243</v>
      </c>
      <c r="N480" s="49"/>
    </row>
    <row r="481" spans="1:14" ht="33">
      <c r="A481" s="12" t="s">
        <v>104</v>
      </c>
      <c r="B481" s="7" t="s">
        <v>1004</v>
      </c>
      <c r="C481" s="8" t="s">
        <v>4</v>
      </c>
      <c r="D481" s="44">
        <v>1</v>
      </c>
      <c r="E481" s="44"/>
      <c r="F481" s="45"/>
      <c r="G481" s="45"/>
      <c r="H481" s="44"/>
      <c r="I481" s="46" t="s">
        <v>243</v>
      </c>
      <c r="M481" s="142">
        <v>0</v>
      </c>
      <c r="N481" s="49"/>
    </row>
    <row r="482" spans="1:14" ht="33">
      <c r="A482" s="12" t="s">
        <v>105</v>
      </c>
      <c r="B482" s="7" t="s">
        <v>1006</v>
      </c>
      <c r="C482" s="8" t="s">
        <v>1007</v>
      </c>
      <c r="D482" s="44">
        <v>7</v>
      </c>
      <c r="E482" s="44"/>
      <c r="F482" s="45"/>
      <c r="G482" s="45"/>
      <c r="H482" s="44"/>
      <c r="I482" s="46" t="s">
        <v>243</v>
      </c>
      <c r="M482" s="142">
        <v>0</v>
      </c>
      <c r="N482" s="49"/>
    </row>
    <row r="483" spans="1:14" ht="45">
      <c r="A483" s="12" t="s">
        <v>106</v>
      </c>
      <c r="B483" s="53" t="s">
        <v>1009</v>
      </c>
      <c r="C483" s="8" t="s">
        <v>1010</v>
      </c>
      <c r="D483" s="44">
        <v>730</v>
      </c>
      <c r="E483" s="44">
        <v>2230</v>
      </c>
      <c r="F483" s="45" t="s">
        <v>1533</v>
      </c>
      <c r="G483" s="151" t="s">
        <v>1586</v>
      </c>
      <c r="H483" s="152">
        <f>737+113</f>
        <v>850</v>
      </c>
      <c r="I483" s="48">
        <f>H483</f>
        <v>850</v>
      </c>
      <c r="M483" s="142">
        <v>737</v>
      </c>
      <c r="N483" s="49">
        <f t="shared" si="15"/>
        <v>113</v>
      </c>
    </row>
    <row r="484" spans="1:14" ht="31.5">
      <c r="A484" s="12" t="s">
        <v>107</v>
      </c>
      <c r="B484" s="7" t="s">
        <v>1012</v>
      </c>
      <c r="C484" s="8" t="s">
        <v>1007</v>
      </c>
      <c r="D484" s="44">
        <v>2</v>
      </c>
      <c r="E484" s="44">
        <v>4</v>
      </c>
      <c r="F484" s="45"/>
      <c r="G484" s="45"/>
      <c r="H484" s="44">
        <v>4</v>
      </c>
      <c r="I484" s="48">
        <f t="shared" ref="I484:I490" si="17">H484</f>
        <v>4</v>
      </c>
      <c r="M484" s="142">
        <v>4</v>
      </c>
      <c r="N484" s="49">
        <f t="shared" si="15"/>
        <v>0</v>
      </c>
    </row>
    <row r="485" spans="1:14" ht="42.75">
      <c r="A485" s="12" t="s">
        <v>108</v>
      </c>
      <c r="B485" s="10" t="s">
        <v>1014</v>
      </c>
      <c r="C485" s="8" t="s">
        <v>1015</v>
      </c>
      <c r="D485" s="44">
        <v>19</v>
      </c>
      <c r="E485" s="44"/>
      <c r="F485" s="45" t="s">
        <v>1535</v>
      </c>
      <c r="G485" s="151"/>
      <c r="H485" s="152">
        <v>10</v>
      </c>
      <c r="I485" s="48">
        <f t="shared" si="17"/>
        <v>10</v>
      </c>
      <c r="M485" s="142">
        <v>10</v>
      </c>
      <c r="N485" s="49">
        <f t="shared" si="15"/>
        <v>0</v>
      </c>
    </row>
    <row r="486" spans="1:14" ht="31.5">
      <c r="A486" s="12" t="s">
        <v>109</v>
      </c>
      <c r="B486" s="7" t="s">
        <v>1017</v>
      </c>
      <c r="C486" s="8" t="s">
        <v>4</v>
      </c>
      <c r="D486" s="44">
        <v>1</v>
      </c>
      <c r="E486" s="44"/>
      <c r="F486" s="45"/>
      <c r="G486" s="45"/>
      <c r="H486" s="44"/>
      <c r="I486" s="48">
        <f t="shared" si="17"/>
        <v>0</v>
      </c>
      <c r="M486" s="142">
        <v>0</v>
      </c>
      <c r="N486" s="49">
        <f t="shared" si="15"/>
        <v>0</v>
      </c>
    </row>
    <row r="487" spans="1:14" ht="31.5">
      <c r="A487" s="12" t="s">
        <v>156</v>
      </c>
      <c r="B487" s="7" t="s">
        <v>1019</v>
      </c>
      <c r="C487" s="8" t="s">
        <v>4</v>
      </c>
      <c r="D487" s="44">
        <v>1</v>
      </c>
      <c r="E487" s="44"/>
      <c r="F487" s="45" t="s">
        <v>1217</v>
      </c>
      <c r="G487" s="45"/>
      <c r="H487" s="44">
        <v>1</v>
      </c>
      <c r="I487" s="48">
        <f t="shared" si="17"/>
        <v>1</v>
      </c>
      <c r="M487" s="142">
        <v>1</v>
      </c>
      <c r="N487" s="49">
        <f t="shared" si="15"/>
        <v>0</v>
      </c>
    </row>
    <row r="488" spans="1:14">
      <c r="A488" s="12" t="s">
        <v>155</v>
      </c>
      <c r="B488" s="7" t="s">
        <v>1021</v>
      </c>
      <c r="C488" s="8" t="s">
        <v>4</v>
      </c>
      <c r="D488" s="44">
        <v>1</v>
      </c>
      <c r="E488" s="44"/>
      <c r="F488" s="45"/>
      <c r="G488" s="45"/>
      <c r="H488" s="44">
        <v>0.3</v>
      </c>
      <c r="I488" s="48">
        <f t="shared" si="17"/>
        <v>0.3</v>
      </c>
      <c r="M488" s="142">
        <v>0.30000000000000004</v>
      </c>
      <c r="N488" s="49">
        <f t="shared" si="15"/>
        <v>0</v>
      </c>
    </row>
    <row r="489" spans="1:14">
      <c r="A489" s="12" t="s">
        <v>154</v>
      </c>
      <c r="B489" s="7" t="s">
        <v>1534</v>
      </c>
      <c r="C489" s="8" t="s">
        <v>13</v>
      </c>
      <c r="D489" s="44"/>
      <c r="E489" s="44">
        <v>464</v>
      </c>
      <c r="F489" s="45" t="s">
        <v>1343</v>
      </c>
      <c r="G489" s="151" t="s">
        <v>1539</v>
      </c>
      <c r="H489" s="152">
        <f>275+189</f>
        <v>464</v>
      </c>
      <c r="I489" s="48">
        <f t="shared" si="17"/>
        <v>464</v>
      </c>
      <c r="M489" s="142">
        <v>371</v>
      </c>
      <c r="N489" s="49">
        <f t="shared" si="15"/>
        <v>93</v>
      </c>
    </row>
    <row r="490" spans="1:14">
      <c r="A490" s="12" t="s">
        <v>153</v>
      </c>
      <c r="B490" s="7" t="s">
        <v>1536</v>
      </c>
      <c r="C490" s="8" t="s">
        <v>15</v>
      </c>
      <c r="D490" s="44"/>
      <c r="E490" s="44">
        <v>2</v>
      </c>
      <c r="F490" s="45" t="s">
        <v>1537</v>
      </c>
      <c r="G490" s="45">
        <v>2</v>
      </c>
      <c r="H490" s="44">
        <v>2</v>
      </c>
      <c r="I490" s="48">
        <f t="shared" si="17"/>
        <v>2</v>
      </c>
      <c r="M490" s="142">
        <v>2</v>
      </c>
      <c r="N490" s="49">
        <f t="shared" si="15"/>
        <v>0</v>
      </c>
    </row>
    <row r="491" spans="1:14" ht="24.75" customHeight="1">
      <c r="A491" s="145" t="s">
        <v>110</v>
      </c>
      <c r="B491" s="146" t="s">
        <v>25</v>
      </c>
      <c r="C491" s="147" t="s">
        <v>4</v>
      </c>
      <c r="D491" s="148">
        <v>1</v>
      </c>
      <c r="E491" s="148"/>
      <c r="F491" s="149"/>
      <c r="G491" s="149"/>
      <c r="H491" s="148"/>
      <c r="I491" s="150" t="s">
        <v>243</v>
      </c>
      <c r="N491" s="49"/>
    </row>
    <row r="492" spans="1:14" s="75" customFormat="1" ht="45">
      <c r="A492" s="12" t="s">
        <v>111</v>
      </c>
      <c r="B492" s="53" t="s">
        <v>1023</v>
      </c>
      <c r="C492" s="73" t="s">
        <v>7</v>
      </c>
      <c r="D492" s="44">
        <v>295</v>
      </c>
      <c r="E492" s="44"/>
      <c r="F492" s="68" t="s">
        <v>1551</v>
      </c>
      <c r="G492" s="45"/>
      <c r="H492" s="44">
        <v>55</v>
      </c>
      <c r="I492" s="48">
        <f>H492</f>
        <v>55</v>
      </c>
      <c r="J492" s="74"/>
      <c r="K492" s="74"/>
      <c r="L492" s="74"/>
      <c r="M492" s="142">
        <v>55</v>
      </c>
      <c r="N492" s="49">
        <f t="shared" si="15"/>
        <v>0</v>
      </c>
    </row>
    <row r="493" spans="1:14" s="75" customFormat="1" ht="45">
      <c r="A493" s="12" t="s">
        <v>112</v>
      </c>
      <c r="B493" s="53" t="s">
        <v>1025</v>
      </c>
      <c r="C493" s="73" t="s">
        <v>15</v>
      </c>
      <c r="D493" s="44">
        <v>59</v>
      </c>
      <c r="E493" s="44"/>
      <c r="F493" s="45"/>
      <c r="G493" s="45"/>
      <c r="H493" s="44">
        <v>11</v>
      </c>
      <c r="I493" s="48">
        <f t="shared" ref="I493:I530" si="18">H493</f>
        <v>11</v>
      </c>
      <c r="J493" s="74"/>
      <c r="K493" s="74"/>
      <c r="L493" s="74"/>
      <c r="M493" s="142">
        <v>11</v>
      </c>
      <c r="N493" s="49">
        <f t="shared" si="15"/>
        <v>0</v>
      </c>
    </row>
    <row r="494" spans="1:14" s="75" customFormat="1" ht="33.75">
      <c r="A494" s="12" t="s">
        <v>113</v>
      </c>
      <c r="B494" s="53" t="s">
        <v>1027</v>
      </c>
      <c r="C494" s="73" t="s">
        <v>15</v>
      </c>
      <c r="D494" s="44">
        <v>59</v>
      </c>
      <c r="E494" s="44"/>
      <c r="F494" s="45"/>
      <c r="G494" s="45"/>
      <c r="H494" s="44">
        <v>11</v>
      </c>
      <c r="I494" s="48">
        <f t="shared" si="18"/>
        <v>11</v>
      </c>
      <c r="J494" s="74"/>
      <c r="K494" s="74"/>
      <c r="L494" s="74"/>
      <c r="M494" s="142">
        <v>11</v>
      </c>
      <c r="N494" s="49">
        <f t="shared" si="15"/>
        <v>0</v>
      </c>
    </row>
    <row r="495" spans="1:14" s="75" customFormat="1" ht="45">
      <c r="A495" s="12" t="s">
        <v>114</v>
      </c>
      <c r="B495" s="53" t="s">
        <v>1029</v>
      </c>
      <c r="C495" s="73" t="s">
        <v>1030</v>
      </c>
      <c r="D495" s="44">
        <v>9</v>
      </c>
      <c r="E495" s="44"/>
      <c r="F495" s="45"/>
      <c r="G495" s="45"/>
      <c r="H495" s="44">
        <v>0</v>
      </c>
      <c r="I495" s="48">
        <f t="shared" si="18"/>
        <v>0</v>
      </c>
      <c r="J495" s="74"/>
      <c r="K495" s="74"/>
      <c r="L495" s="74"/>
      <c r="M495" s="142">
        <v>0</v>
      </c>
      <c r="N495" s="49">
        <f t="shared" si="15"/>
        <v>0</v>
      </c>
    </row>
    <row r="496" spans="1:14" s="75" customFormat="1" ht="45">
      <c r="A496" s="12" t="s">
        <v>152</v>
      </c>
      <c r="B496" s="53" t="s">
        <v>1032</v>
      </c>
      <c r="C496" s="73" t="s">
        <v>15</v>
      </c>
      <c r="D496" s="44">
        <v>22</v>
      </c>
      <c r="E496" s="44"/>
      <c r="F496" s="45"/>
      <c r="G496" s="45"/>
      <c r="H496" s="44">
        <v>8</v>
      </c>
      <c r="I496" s="48">
        <f t="shared" si="18"/>
        <v>8</v>
      </c>
      <c r="J496" s="74"/>
      <c r="K496" s="74"/>
      <c r="L496" s="74"/>
      <c r="M496" s="142">
        <v>8</v>
      </c>
      <c r="N496" s="49">
        <f t="shared" si="15"/>
        <v>0</v>
      </c>
    </row>
    <row r="497" spans="1:14" s="75" customFormat="1" ht="45">
      <c r="A497" s="12" t="s">
        <v>151</v>
      </c>
      <c r="B497" s="53" t="s">
        <v>1034</v>
      </c>
      <c r="C497" s="73" t="s">
        <v>15</v>
      </c>
      <c r="D497" s="44">
        <v>22</v>
      </c>
      <c r="E497" s="44"/>
      <c r="F497" s="45"/>
      <c r="G497" s="45"/>
      <c r="H497" s="44">
        <v>8</v>
      </c>
      <c r="I497" s="48">
        <f t="shared" si="18"/>
        <v>8</v>
      </c>
      <c r="J497" s="74"/>
      <c r="K497" s="74"/>
      <c r="L497" s="74"/>
      <c r="M497" s="142">
        <v>8</v>
      </c>
      <c r="N497" s="49">
        <f t="shared" si="15"/>
        <v>0</v>
      </c>
    </row>
    <row r="498" spans="1:14" s="75" customFormat="1" ht="45">
      <c r="A498" s="12" t="s">
        <v>150</v>
      </c>
      <c r="B498" s="53" t="s">
        <v>1036</v>
      </c>
      <c r="C498" s="73" t="s">
        <v>15</v>
      </c>
      <c r="D498" s="44">
        <v>5</v>
      </c>
      <c r="E498" s="44"/>
      <c r="F498" s="45"/>
      <c r="G498" s="45"/>
      <c r="H498" s="44">
        <v>0</v>
      </c>
      <c r="I498" s="48">
        <f t="shared" si="18"/>
        <v>0</v>
      </c>
      <c r="J498" s="74"/>
      <c r="K498" s="74"/>
      <c r="L498" s="74"/>
      <c r="M498" s="142">
        <v>0</v>
      </c>
      <c r="N498" s="49">
        <f t="shared" si="15"/>
        <v>0</v>
      </c>
    </row>
    <row r="499" spans="1:14" s="75" customFormat="1" ht="45">
      <c r="A499" s="12" t="s">
        <v>149</v>
      </c>
      <c r="B499" s="53" t="s">
        <v>1038</v>
      </c>
      <c r="C499" s="73" t="s">
        <v>15</v>
      </c>
      <c r="D499" s="44">
        <v>5</v>
      </c>
      <c r="E499" s="44"/>
      <c r="F499" s="45"/>
      <c r="G499" s="45"/>
      <c r="H499" s="44">
        <v>0</v>
      </c>
      <c r="I499" s="48">
        <f t="shared" si="18"/>
        <v>0</v>
      </c>
      <c r="J499" s="74"/>
      <c r="K499" s="74"/>
      <c r="L499" s="74"/>
      <c r="M499" s="142">
        <v>0</v>
      </c>
      <c r="N499" s="49">
        <f t="shared" si="15"/>
        <v>0</v>
      </c>
    </row>
    <row r="500" spans="1:14" s="75" customFormat="1" ht="45">
      <c r="A500" s="12" t="s">
        <v>148</v>
      </c>
      <c r="B500" s="53" t="s">
        <v>1040</v>
      </c>
      <c r="C500" s="73" t="s">
        <v>14</v>
      </c>
      <c r="D500" s="44">
        <v>1</v>
      </c>
      <c r="E500" s="44"/>
      <c r="F500" s="45"/>
      <c r="G500" s="45"/>
      <c r="H500" s="44">
        <v>0</v>
      </c>
      <c r="I500" s="48">
        <f t="shared" si="18"/>
        <v>0</v>
      </c>
      <c r="J500" s="74"/>
      <c r="K500" s="74"/>
      <c r="L500" s="74"/>
      <c r="M500" s="142">
        <v>0</v>
      </c>
      <c r="N500" s="49">
        <f t="shared" si="15"/>
        <v>0</v>
      </c>
    </row>
    <row r="501" spans="1:14" s="75" customFormat="1" ht="45">
      <c r="A501" s="12" t="s">
        <v>1042</v>
      </c>
      <c r="B501" s="53" t="s">
        <v>1043</v>
      </c>
      <c r="C501" s="73" t="s">
        <v>15</v>
      </c>
      <c r="D501" s="44">
        <v>1</v>
      </c>
      <c r="E501" s="44"/>
      <c r="F501" s="45"/>
      <c r="G501" s="45"/>
      <c r="H501" s="44">
        <v>0</v>
      </c>
      <c r="I501" s="48">
        <f t="shared" si="18"/>
        <v>0</v>
      </c>
      <c r="J501" s="74"/>
      <c r="K501" s="74"/>
      <c r="L501" s="74"/>
      <c r="M501" s="142">
        <v>0</v>
      </c>
      <c r="N501" s="49">
        <f t="shared" si="15"/>
        <v>0</v>
      </c>
    </row>
    <row r="502" spans="1:14" s="75" customFormat="1" ht="78.75">
      <c r="A502" s="12" t="s">
        <v>1045</v>
      </c>
      <c r="B502" s="53" t="s">
        <v>1046</v>
      </c>
      <c r="C502" s="73" t="s">
        <v>15</v>
      </c>
      <c r="D502" s="44">
        <v>1</v>
      </c>
      <c r="E502" s="44"/>
      <c r="F502" s="45"/>
      <c r="G502" s="45"/>
      <c r="H502" s="44">
        <v>0</v>
      </c>
      <c r="I502" s="48">
        <f t="shared" si="18"/>
        <v>0</v>
      </c>
      <c r="J502" s="74"/>
      <c r="K502" s="74"/>
      <c r="L502" s="74"/>
      <c r="M502" s="142">
        <v>0</v>
      </c>
      <c r="N502" s="49">
        <f t="shared" si="15"/>
        <v>0</v>
      </c>
    </row>
    <row r="503" spans="1:14" s="75" customFormat="1" ht="56.25">
      <c r="A503" s="12" t="s">
        <v>1048</v>
      </c>
      <c r="B503" s="53" t="s">
        <v>1049</v>
      </c>
      <c r="C503" s="73" t="s">
        <v>15</v>
      </c>
      <c r="D503" s="44">
        <v>6</v>
      </c>
      <c r="E503" s="44"/>
      <c r="F503" s="45"/>
      <c r="G503" s="45"/>
      <c r="H503" s="44">
        <v>0</v>
      </c>
      <c r="I503" s="48">
        <f t="shared" si="18"/>
        <v>0</v>
      </c>
      <c r="J503" s="74"/>
      <c r="K503" s="74"/>
      <c r="L503" s="74"/>
      <c r="M503" s="142">
        <v>0</v>
      </c>
      <c r="N503" s="49">
        <f t="shared" si="15"/>
        <v>0</v>
      </c>
    </row>
    <row r="504" spans="1:14" s="75" customFormat="1" ht="22.5">
      <c r="A504" s="12" t="s">
        <v>1051</v>
      </c>
      <c r="B504" s="53" t="s">
        <v>1052</v>
      </c>
      <c r="C504" s="73" t="s">
        <v>14</v>
      </c>
      <c r="D504" s="44">
        <v>75</v>
      </c>
      <c r="E504" s="44"/>
      <c r="F504" s="45" t="s">
        <v>1234</v>
      </c>
      <c r="G504" s="45"/>
      <c r="H504" s="44">
        <v>27</v>
      </c>
      <c r="I504" s="48">
        <f t="shared" si="18"/>
        <v>27</v>
      </c>
      <c r="J504" s="74"/>
      <c r="K504" s="74"/>
      <c r="L504" s="74"/>
      <c r="M504" s="142">
        <v>27</v>
      </c>
      <c r="N504" s="49">
        <f t="shared" si="15"/>
        <v>0</v>
      </c>
    </row>
    <row r="505" spans="1:14" s="75" customFormat="1" ht="22.5">
      <c r="A505" s="12" t="s">
        <v>1054</v>
      </c>
      <c r="B505" s="53" t="s">
        <v>1055</v>
      </c>
      <c r="C505" s="73" t="s">
        <v>1007</v>
      </c>
      <c r="D505" s="44">
        <v>75</v>
      </c>
      <c r="E505" s="44"/>
      <c r="F505" s="45"/>
      <c r="G505" s="45"/>
      <c r="H505" s="44">
        <v>0</v>
      </c>
      <c r="I505" s="48">
        <f t="shared" si="18"/>
        <v>0</v>
      </c>
      <c r="J505" s="74"/>
      <c r="K505" s="74"/>
      <c r="L505" s="74"/>
      <c r="M505" s="142">
        <v>0</v>
      </c>
      <c r="N505" s="49">
        <f t="shared" si="15"/>
        <v>0</v>
      </c>
    </row>
    <row r="506" spans="1:14" s="75" customFormat="1" ht="56.25">
      <c r="A506" s="12" t="s">
        <v>1057</v>
      </c>
      <c r="B506" s="53" t="s">
        <v>1058</v>
      </c>
      <c r="C506" s="73" t="s">
        <v>15</v>
      </c>
      <c r="D506" s="44">
        <v>1</v>
      </c>
      <c r="E506" s="44"/>
      <c r="F506" s="45"/>
      <c r="G506" s="45"/>
      <c r="H506" s="44">
        <v>0</v>
      </c>
      <c r="I506" s="48">
        <f t="shared" si="18"/>
        <v>0</v>
      </c>
      <c r="J506" s="74"/>
      <c r="K506" s="74"/>
      <c r="L506" s="74"/>
      <c r="M506" s="142">
        <v>0</v>
      </c>
      <c r="N506" s="49">
        <f t="shared" si="15"/>
        <v>0</v>
      </c>
    </row>
    <row r="507" spans="1:14" s="75" customFormat="1" ht="33.75">
      <c r="A507" s="12" t="s">
        <v>1060</v>
      </c>
      <c r="B507" s="53" t="s">
        <v>1061</v>
      </c>
      <c r="C507" s="73" t="s">
        <v>15</v>
      </c>
      <c r="D507" s="44">
        <v>1</v>
      </c>
      <c r="E507" s="44"/>
      <c r="F507" s="45"/>
      <c r="G507" s="45"/>
      <c r="H507" s="44">
        <v>0</v>
      </c>
      <c r="I507" s="48">
        <f t="shared" si="18"/>
        <v>0</v>
      </c>
      <c r="J507" s="74"/>
      <c r="K507" s="74"/>
      <c r="L507" s="74"/>
      <c r="M507" s="142">
        <v>0</v>
      </c>
      <c r="N507" s="49">
        <f t="shared" si="15"/>
        <v>0</v>
      </c>
    </row>
    <row r="508" spans="1:14" s="75" customFormat="1" ht="56.25">
      <c r="A508" s="12" t="s">
        <v>1063</v>
      </c>
      <c r="B508" s="53" t="s">
        <v>1064</v>
      </c>
      <c r="C508" s="73" t="s">
        <v>15</v>
      </c>
      <c r="D508" s="44">
        <v>11</v>
      </c>
      <c r="E508" s="44"/>
      <c r="F508" s="45"/>
      <c r="G508" s="45"/>
      <c r="H508" s="44">
        <v>0</v>
      </c>
      <c r="I508" s="48">
        <f t="shared" si="18"/>
        <v>0</v>
      </c>
      <c r="J508" s="74"/>
      <c r="K508" s="74"/>
      <c r="L508" s="74"/>
      <c r="M508" s="142">
        <v>0</v>
      </c>
      <c r="N508" s="49">
        <f t="shared" si="15"/>
        <v>0</v>
      </c>
    </row>
    <row r="509" spans="1:14" s="75" customFormat="1" ht="45">
      <c r="A509" s="12" t="s">
        <v>1066</v>
      </c>
      <c r="B509" s="53" t="s">
        <v>1067</v>
      </c>
      <c r="C509" s="73" t="s">
        <v>15</v>
      </c>
      <c r="D509" s="44">
        <v>3</v>
      </c>
      <c r="E509" s="44"/>
      <c r="F509" s="45"/>
      <c r="G509" s="45"/>
      <c r="H509" s="44">
        <v>0</v>
      </c>
      <c r="I509" s="48">
        <f t="shared" si="18"/>
        <v>0</v>
      </c>
      <c r="J509" s="74"/>
      <c r="K509" s="74"/>
      <c r="L509" s="74"/>
      <c r="M509" s="142">
        <v>0</v>
      </c>
      <c r="N509" s="49">
        <f t="shared" si="15"/>
        <v>0</v>
      </c>
    </row>
    <row r="510" spans="1:14" s="75" customFormat="1" ht="56.25">
      <c r="A510" s="12" t="s">
        <v>1069</v>
      </c>
      <c r="B510" s="53" t="s">
        <v>1070</v>
      </c>
      <c r="C510" s="73" t="s">
        <v>14</v>
      </c>
      <c r="D510" s="44">
        <v>5</v>
      </c>
      <c r="E510" s="44"/>
      <c r="F510" s="45"/>
      <c r="G510" s="45"/>
      <c r="H510" s="44">
        <v>0</v>
      </c>
      <c r="I510" s="48">
        <f t="shared" si="18"/>
        <v>0</v>
      </c>
      <c r="J510" s="74"/>
      <c r="K510" s="74"/>
      <c r="L510" s="74"/>
      <c r="M510" s="142">
        <v>0</v>
      </c>
      <c r="N510" s="49">
        <f t="shared" si="15"/>
        <v>0</v>
      </c>
    </row>
    <row r="511" spans="1:14" s="75" customFormat="1" ht="33.75">
      <c r="A511" s="12" t="s">
        <v>1072</v>
      </c>
      <c r="B511" s="53" t="s">
        <v>1073</v>
      </c>
      <c r="C511" s="73" t="s">
        <v>14</v>
      </c>
      <c r="D511" s="44">
        <v>1</v>
      </c>
      <c r="E511" s="44"/>
      <c r="F511" s="45"/>
      <c r="G511" s="45"/>
      <c r="H511" s="44">
        <v>0</v>
      </c>
      <c r="I511" s="48">
        <f t="shared" si="18"/>
        <v>0</v>
      </c>
      <c r="J511" s="74"/>
      <c r="K511" s="74"/>
      <c r="L511" s="74"/>
      <c r="M511" s="142">
        <v>0</v>
      </c>
      <c r="N511" s="49">
        <f t="shared" si="15"/>
        <v>0</v>
      </c>
    </row>
    <row r="512" spans="1:14" s="75" customFormat="1" ht="33.75">
      <c r="A512" s="12" t="s">
        <v>1075</v>
      </c>
      <c r="B512" s="53" t="s">
        <v>1076</v>
      </c>
      <c r="C512" s="73" t="s">
        <v>15</v>
      </c>
      <c r="D512" s="44">
        <v>2</v>
      </c>
      <c r="E512" s="44"/>
      <c r="F512" s="45"/>
      <c r="G512" s="45"/>
      <c r="H512" s="44">
        <v>0</v>
      </c>
      <c r="I512" s="48">
        <f t="shared" si="18"/>
        <v>0</v>
      </c>
      <c r="J512" s="74"/>
      <c r="K512" s="74"/>
      <c r="L512" s="74"/>
      <c r="M512" s="142">
        <v>0</v>
      </c>
      <c r="N512" s="49">
        <f t="shared" si="15"/>
        <v>0</v>
      </c>
    </row>
    <row r="513" spans="1:14" s="75" customFormat="1" ht="33.75">
      <c r="A513" s="12" t="s">
        <v>1078</v>
      </c>
      <c r="B513" s="53" t="s">
        <v>1079</v>
      </c>
      <c r="C513" s="73" t="s">
        <v>14</v>
      </c>
      <c r="D513" s="44">
        <v>1</v>
      </c>
      <c r="E513" s="44"/>
      <c r="F513" s="45"/>
      <c r="G513" s="45"/>
      <c r="H513" s="44">
        <v>0</v>
      </c>
      <c r="I513" s="48">
        <f t="shared" si="18"/>
        <v>0</v>
      </c>
      <c r="J513" s="74"/>
      <c r="K513" s="74"/>
      <c r="L513" s="74"/>
      <c r="M513" s="142">
        <v>0</v>
      </c>
      <c r="N513" s="49">
        <f t="shared" si="15"/>
        <v>0</v>
      </c>
    </row>
    <row r="514" spans="1:14" s="75" customFormat="1" ht="33.75">
      <c r="A514" s="12" t="s">
        <v>1081</v>
      </c>
      <c r="B514" s="53" t="s">
        <v>1082</v>
      </c>
      <c r="C514" s="73" t="s">
        <v>14</v>
      </c>
      <c r="D514" s="44">
        <v>1</v>
      </c>
      <c r="E514" s="44"/>
      <c r="F514" s="45"/>
      <c r="G514" s="45"/>
      <c r="H514" s="44">
        <v>0</v>
      </c>
      <c r="I514" s="48">
        <f t="shared" si="18"/>
        <v>0</v>
      </c>
      <c r="J514" s="74"/>
      <c r="K514" s="74"/>
      <c r="L514" s="74"/>
      <c r="M514" s="142">
        <v>0</v>
      </c>
      <c r="N514" s="49">
        <f t="shared" si="15"/>
        <v>0</v>
      </c>
    </row>
    <row r="515" spans="1:14" s="75" customFormat="1" ht="45">
      <c r="A515" s="12" t="s">
        <v>1084</v>
      </c>
      <c r="B515" s="53" t="s">
        <v>1085</v>
      </c>
      <c r="C515" s="73" t="s">
        <v>15</v>
      </c>
      <c r="D515" s="44">
        <v>4</v>
      </c>
      <c r="E515" s="44"/>
      <c r="F515" s="45"/>
      <c r="G515" s="45"/>
      <c r="H515" s="44">
        <v>0</v>
      </c>
      <c r="I515" s="48">
        <f t="shared" si="18"/>
        <v>0</v>
      </c>
      <c r="J515" s="74"/>
      <c r="K515" s="74"/>
      <c r="L515" s="74"/>
      <c r="M515" s="142">
        <v>0</v>
      </c>
      <c r="N515" s="49">
        <f t="shared" si="15"/>
        <v>0</v>
      </c>
    </row>
    <row r="516" spans="1:14" s="75" customFormat="1" ht="56.25">
      <c r="A516" s="12" t="s">
        <v>1087</v>
      </c>
      <c r="B516" s="53" t="s">
        <v>1088</v>
      </c>
      <c r="C516" s="73" t="s">
        <v>15</v>
      </c>
      <c r="D516" s="44">
        <v>2</v>
      </c>
      <c r="E516" s="44"/>
      <c r="F516" s="45"/>
      <c r="G516" s="45"/>
      <c r="H516" s="44">
        <v>0</v>
      </c>
      <c r="I516" s="48">
        <f t="shared" si="18"/>
        <v>0</v>
      </c>
      <c r="J516" s="74"/>
      <c r="K516" s="74"/>
      <c r="L516" s="74"/>
      <c r="M516" s="142">
        <v>0</v>
      </c>
      <c r="N516" s="49">
        <f t="shared" si="15"/>
        <v>0</v>
      </c>
    </row>
    <row r="517" spans="1:14" s="75" customFormat="1" ht="45">
      <c r="A517" s="12" t="s">
        <v>1090</v>
      </c>
      <c r="B517" s="53" t="s">
        <v>1091</v>
      </c>
      <c r="C517" s="73" t="s">
        <v>14</v>
      </c>
      <c r="D517" s="44">
        <v>1</v>
      </c>
      <c r="E517" s="44"/>
      <c r="F517" s="45"/>
      <c r="G517" s="45"/>
      <c r="H517" s="44">
        <v>0</v>
      </c>
      <c r="I517" s="48">
        <f t="shared" si="18"/>
        <v>0</v>
      </c>
      <c r="J517" s="74"/>
      <c r="K517" s="74"/>
      <c r="L517" s="74"/>
      <c r="M517" s="142">
        <v>0</v>
      </c>
      <c r="N517" s="49">
        <f t="shared" si="15"/>
        <v>0</v>
      </c>
    </row>
    <row r="518" spans="1:14" s="75" customFormat="1" ht="45">
      <c r="A518" s="12" t="s">
        <v>1093</v>
      </c>
      <c r="B518" s="53" t="s">
        <v>1094</v>
      </c>
      <c r="C518" s="73" t="s">
        <v>1095</v>
      </c>
      <c r="D518" s="44">
        <v>3</v>
      </c>
      <c r="E518" s="44"/>
      <c r="F518" s="45"/>
      <c r="G518" s="45"/>
      <c r="H518" s="44">
        <v>0</v>
      </c>
      <c r="I518" s="48">
        <f t="shared" si="18"/>
        <v>0</v>
      </c>
      <c r="J518" s="74"/>
      <c r="K518" s="74"/>
      <c r="L518" s="74"/>
      <c r="M518" s="142">
        <v>0</v>
      </c>
      <c r="N518" s="49">
        <f t="shared" si="15"/>
        <v>0</v>
      </c>
    </row>
    <row r="519" spans="1:14" s="75" customFormat="1" ht="22.5">
      <c r="A519" s="12" t="s">
        <v>1097</v>
      </c>
      <c r="B519" s="53" t="s">
        <v>1098</v>
      </c>
      <c r="C519" s="73" t="s">
        <v>1095</v>
      </c>
      <c r="D519" s="44">
        <v>4</v>
      </c>
      <c r="E519" s="44"/>
      <c r="F519" s="45"/>
      <c r="G519" s="45"/>
      <c r="H519" s="44">
        <v>0</v>
      </c>
      <c r="I519" s="48">
        <f t="shared" si="18"/>
        <v>0</v>
      </c>
      <c r="J519" s="74"/>
      <c r="K519" s="74"/>
      <c r="L519" s="74"/>
      <c r="M519" s="142">
        <v>0</v>
      </c>
      <c r="N519" s="49">
        <f t="shared" si="15"/>
        <v>0</v>
      </c>
    </row>
    <row r="520" spans="1:14" s="75" customFormat="1" ht="22.5">
      <c r="A520" s="12" t="s">
        <v>1100</v>
      </c>
      <c r="B520" s="53" t="s">
        <v>1101</v>
      </c>
      <c r="C520" s="73" t="s">
        <v>15</v>
      </c>
      <c r="D520" s="44">
        <v>2</v>
      </c>
      <c r="E520" s="44"/>
      <c r="F520" s="45"/>
      <c r="G520" s="45"/>
      <c r="H520" s="44">
        <v>0</v>
      </c>
      <c r="I520" s="48">
        <f t="shared" si="18"/>
        <v>0</v>
      </c>
      <c r="J520" s="74"/>
      <c r="K520" s="74"/>
      <c r="L520" s="74"/>
      <c r="M520" s="142">
        <v>0</v>
      </c>
      <c r="N520" s="49">
        <f t="shared" si="15"/>
        <v>0</v>
      </c>
    </row>
    <row r="521" spans="1:14" s="75" customFormat="1" ht="45">
      <c r="A521" s="12" t="s">
        <v>1103</v>
      </c>
      <c r="B521" s="53" t="s">
        <v>1104</v>
      </c>
      <c r="C521" s="73" t="s">
        <v>15</v>
      </c>
      <c r="D521" s="44">
        <v>4</v>
      </c>
      <c r="E521" s="44"/>
      <c r="F521" s="45"/>
      <c r="G521" s="45"/>
      <c r="H521" s="44">
        <v>0</v>
      </c>
      <c r="I521" s="48">
        <f t="shared" si="18"/>
        <v>0</v>
      </c>
      <c r="J521" s="74"/>
      <c r="K521" s="74"/>
      <c r="L521" s="74"/>
      <c r="M521" s="142">
        <v>0</v>
      </c>
      <c r="N521" s="49">
        <f t="shared" si="15"/>
        <v>0</v>
      </c>
    </row>
    <row r="522" spans="1:14" s="75" customFormat="1" ht="33.75">
      <c r="A522" s="12" t="s">
        <v>1106</v>
      </c>
      <c r="B522" s="53" t="s">
        <v>1107</v>
      </c>
      <c r="C522" s="73" t="s">
        <v>14</v>
      </c>
      <c r="D522" s="44">
        <v>2</v>
      </c>
      <c r="E522" s="44"/>
      <c r="F522" s="45"/>
      <c r="G522" s="45"/>
      <c r="H522" s="44">
        <v>0</v>
      </c>
      <c r="I522" s="48">
        <f t="shared" si="18"/>
        <v>0</v>
      </c>
      <c r="J522" s="74"/>
      <c r="K522" s="74"/>
      <c r="L522" s="74"/>
      <c r="M522" s="142">
        <v>0</v>
      </c>
      <c r="N522" s="49">
        <f t="shared" si="15"/>
        <v>0</v>
      </c>
    </row>
    <row r="523" spans="1:14" s="75" customFormat="1" ht="33.75">
      <c r="A523" s="12" t="s">
        <v>1109</v>
      </c>
      <c r="B523" s="53" t="s">
        <v>224</v>
      </c>
      <c r="C523" s="73" t="s">
        <v>15</v>
      </c>
      <c r="D523" s="44">
        <v>12</v>
      </c>
      <c r="E523" s="44"/>
      <c r="F523" s="45"/>
      <c r="G523" s="45"/>
      <c r="H523" s="44">
        <v>0</v>
      </c>
      <c r="I523" s="48">
        <f t="shared" si="18"/>
        <v>0</v>
      </c>
      <c r="J523" s="74"/>
      <c r="K523" s="74"/>
      <c r="L523" s="74"/>
      <c r="M523" s="142">
        <v>0</v>
      </c>
      <c r="N523" s="49">
        <f t="shared" si="15"/>
        <v>0</v>
      </c>
    </row>
    <row r="524" spans="1:14" s="75" customFormat="1" ht="22.5">
      <c r="A524" s="12" t="s">
        <v>1111</v>
      </c>
      <c r="B524" s="53" t="s">
        <v>1112</v>
      </c>
      <c r="C524" s="73" t="s">
        <v>15</v>
      </c>
      <c r="D524" s="44">
        <v>2</v>
      </c>
      <c r="E524" s="44"/>
      <c r="F524" s="45"/>
      <c r="G524" s="45"/>
      <c r="H524" s="44">
        <v>2</v>
      </c>
      <c r="I524" s="48">
        <f t="shared" si="18"/>
        <v>2</v>
      </c>
      <c r="J524" s="74"/>
      <c r="K524" s="74"/>
      <c r="L524" s="74"/>
      <c r="M524" s="142">
        <v>2</v>
      </c>
      <c r="N524" s="49">
        <f t="shared" si="15"/>
        <v>0</v>
      </c>
    </row>
    <row r="525" spans="1:14" s="75" customFormat="1" ht="45">
      <c r="A525" s="12" t="s">
        <v>1114</v>
      </c>
      <c r="B525" s="53" t="s">
        <v>1115</v>
      </c>
      <c r="C525" s="73" t="s">
        <v>1116</v>
      </c>
      <c r="D525" s="44">
        <v>4</v>
      </c>
      <c r="E525" s="44"/>
      <c r="F525" s="45"/>
      <c r="G525" s="45"/>
      <c r="H525" s="44">
        <v>0</v>
      </c>
      <c r="I525" s="48">
        <f t="shared" si="18"/>
        <v>0</v>
      </c>
      <c r="J525" s="74"/>
      <c r="K525" s="74"/>
      <c r="L525" s="74"/>
      <c r="M525" s="142">
        <v>0</v>
      </c>
      <c r="N525" s="49">
        <f t="shared" si="15"/>
        <v>0</v>
      </c>
    </row>
    <row r="526" spans="1:14" s="75" customFormat="1">
      <c r="A526" s="12" t="s">
        <v>1541</v>
      </c>
      <c r="B526" s="53" t="s">
        <v>1542</v>
      </c>
      <c r="C526" s="73" t="s">
        <v>15</v>
      </c>
      <c r="D526" s="44"/>
      <c r="E526" s="44">
        <v>1</v>
      </c>
      <c r="F526" s="45"/>
      <c r="G526" s="45"/>
      <c r="H526" s="44">
        <v>1</v>
      </c>
      <c r="I526" s="48">
        <f t="shared" si="18"/>
        <v>1</v>
      </c>
      <c r="J526" s="74"/>
      <c r="K526" s="74"/>
      <c r="L526" s="74"/>
      <c r="M526" s="142">
        <v>1</v>
      </c>
      <c r="N526" s="49">
        <f t="shared" si="15"/>
        <v>0</v>
      </c>
    </row>
    <row r="527" spans="1:14" s="75" customFormat="1" ht="22.5">
      <c r="A527" s="12" t="s">
        <v>1543</v>
      </c>
      <c r="B527" s="53" t="s">
        <v>1544</v>
      </c>
      <c r="C527" s="73" t="s">
        <v>15</v>
      </c>
      <c r="D527" s="44"/>
      <c r="E527" s="44">
        <v>1</v>
      </c>
      <c r="F527" s="45"/>
      <c r="G527" s="45"/>
      <c r="H527" s="44">
        <v>1</v>
      </c>
      <c r="I527" s="48">
        <f t="shared" si="18"/>
        <v>1</v>
      </c>
      <c r="J527" s="74"/>
      <c r="K527" s="74"/>
      <c r="L527" s="74"/>
      <c r="M527" s="142">
        <v>1</v>
      </c>
      <c r="N527" s="49">
        <f t="shared" si="15"/>
        <v>0</v>
      </c>
    </row>
    <row r="528" spans="1:14" s="75" customFormat="1" ht="56.25">
      <c r="A528" s="12" t="s">
        <v>1545</v>
      </c>
      <c r="B528" s="53" t="s">
        <v>1546</v>
      </c>
      <c r="C528" s="73" t="s">
        <v>15</v>
      </c>
      <c r="D528" s="44"/>
      <c r="E528" s="44">
        <v>2</v>
      </c>
      <c r="F528" s="45"/>
      <c r="G528" s="45"/>
      <c r="H528" s="44">
        <v>2</v>
      </c>
      <c r="I528" s="48">
        <f t="shared" si="18"/>
        <v>2</v>
      </c>
      <c r="J528" s="74"/>
      <c r="K528" s="74"/>
      <c r="L528" s="74"/>
      <c r="M528" s="142">
        <v>2</v>
      </c>
      <c r="N528" s="49">
        <f t="shared" si="15"/>
        <v>0</v>
      </c>
    </row>
    <row r="529" spans="1:14" s="75" customFormat="1" ht="45">
      <c r="A529" s="12" t="s">
        <v>1547</v>
      </c>
      <c r="B529" s="53" t="s">
        <v>1548</v>
      </c>
      <c r="C529" s="73" t="s">
        <v>15</v>
      </c>
      <c r="D529" s="44"/>
      <c r="E529" s="44">
        <v>1</v>
      </c>
      <c r="F529" s="45"/>
      <c r="G529" s="45"/>
      <c r="H529" s="44">
        <v>1</v>
      </c>
      <c r="I529" s="48">
        <f t="shared" si="18"/>
        <v>1</v>
      </c>
      <c r="J529" s="74"/>
      <c r="K529" s="74"/>
      <c r="L529" s="74"/>
      <c r="M529" s="142">
        <v>1</v>
      </c>
      <c r="N529" s="49">
        <f t="shared" si="15"/>
        <v>0</v>
      </c>
    </row>
    <row r="530" spans="1:14" s="75" customFormat="1" ht="33.75">
      <c r="A530" s="12" t="s">
        <v>1549</v>
      </c>
      <c r="B530" s="53" t="s">
        <v>1550</v>
      </c>
      <c r="C530" s="73" t="s">
        <v>15</v>
      </c>
      <c r="D530" s="44"/>
      <c r="E530" s="44">
        <v>2</v>
      </c>
      <c r="F530" s="45"/>
      <c r="G530" s="45"/>
      <c r="H530" s="44">
        <v>2</v>
      </c>
      <c r="I530" s="48">
        <f t="shared" si="18"/>
        <v>2</v>
      </c>
      <c r="J530" s="74"/>
      <c r="K530" s="74"/>
      <c r="L530" s="74"/>
      <c r="M530" s="142">
        <v>2</v>
      </c>
      <c r="N530" s="49">
        <f t="shared" si="15"/>
        <v>0</v>
      </c>
    </row>
    <row r="531" spans="1:14" ht="25.5" customHeight="1">
      <c r="A531" s="145" t="s">
        <v>115</v>
      </c>
      <c r="B531" s="146" t="s">
        <v>1118</v>
      </c>
      <c r="C531" s="147" t="s">
        <v>4</v>
      </c>
      <c r="D531" s="148">
        <v>1</v>
      </c>
      <c r="E531" s="148"/>
      <c r="F531" s="149"/>
      <c r="G531" s="149"/>
      <c r="H531" s="148"/>
      <c r="I531" s="150" t="s">
        <v>243</v>
      </c>
      <c r="N531" s="49"/>
    </row>
    <row r="532" spans="1:14" ht="42.75">
      <c r="A532" s="12" t="s">
        <v>116</v>
      </c>
      <c r="B532" s="10" t="s">
        <v>26</v>
      </c>
      <c r="C532" s="8" t="s">
        <v>20</v>
      </c>
      <c r="D532" s="44">
        <v>48</v>
      </c>
      <c r="E532" s="44"/>
      <c r="F532" s="45"/>
      <c r="G532" s="45"/>
      <c r="H532" s="44">
        <v>20</v>
      </c>
      <c r="I532" s="48">
        <f>H532</f>
        <v>20</v>
      </c>
      <c r="M532" s="142">
        <v>20</v>
      </c>
      <c r="N532" s="49">
        <f t="shared" si="15"/>
        <v>0</v>
      </c>
    </row>
    <row r="533" spans="1:14" ht="31.5">
      <c r="A533" s="12" t="s">
        <v>117</v>
      </c>
      <c r="B533" s="7" t="s">
        <v>27</v>
      </c>
      <c r="C533" s="8" t="s">
        <v>21</v>
      </c>
      <c r="D533" s="44">
        <v>6720</v>
      </c>
      <c r="E533" s="44">
        <v>28448</v>
      </c>
      <c r="F533" s="45"/>
      <c r="G533" s="45"/>
      <c r="H533" s="44">
        <v>8120</v>
      </c>
      <c r="I533" s="48">
        <f t="shared" ref="I533:I534" si="19">H533</f>
        <v>8120</v>
      </c>
      <c r="M533" s="142">
        <v>8120</v>
      </c>
      <c r="N533" s="49">
        <f t="shared" si="15"/>
        <v>0</v>
      </c>
    </row>
    <row r="534" spans="1:14" ht="31.5">
      <c r="A534" s="12" t="s">
        <v>1552</v>
      </c>
      <c r="B534" s="7" t="s">
        <v>1553</v>
      </c>
      <c r="C534" s="8" t="s">
        <v>1554</v>
      </c>
      <c r="D534" s="44"/>
      <c r="E534" s="44">
        <v>1570</v>
      </c>
      <c r="F534" s="45"/>
      <c r="G534" s="45"/>
      <c r="H534" s="44">
        <v>228</v>
      </c>
      <c r="I534" s="48">
        <f t="shared" si="19"/>
        <v>228</v>
      </c>
      <c r="M534" s="142">
        <v>228</v>
      </c>
      <c r="N534" s="49">
        <f t="shared" si="15"/>
        <v>0</v>
      </c>
    </row>
    <row r="535" spans="1:14" s="174" customFormat="1" ht="33">
      <c r="A535" s="145" t="s">
        <v>118</v>
      </c>
      <c r="B535" s="146" t="s">
        <v>1121</v>
      </c>
      <c r="C535" s="147" t="s">
        <v>4</v>
      </c>
      <c r="D535" s="148">
        <v>1</v>
      </c>
      <c r="E535" s="148"/>
      <c r="F535" s="149"/>
      <c r="G535" s="149"/>
      <c r="H535" s="148"/>
      <c r="I535" s="150" t="s">
        <v>243</v>
      </c>
      <c r="J535" s="172"/>
      <c r="K535" s="172"/>
      <c r="L535" s="172"/>
      <c r="M535" s="173"/>
      <c r="N535" s="49"/>
    </row>
    <row r="536" spans="1:14" ht="33">
      <c r="A536" s="12" t="s">
        <v>119</v>
      </c>
      <c r="B536" s="10" t="s">
        <v>1122</v>
      </c>
      <c r="C536" s="8" t="s">
        <v>8</v>
      </c>
      <c r="D536" s="44">
        <v>1294.97</v>
      </c>
      <c r="E536" s="44"/>
      <c r="F536" s="45" t="s">
        <v>1560</v>
      </c>
      <c r="G536" s="45" t="s">
        <v>1562</v>
      </c>
      <c r="H536" s="44">
        <f>(26.7+162+38.2+16.7+58+10+12+85.8+30+66.5+104.5+88+175+82.8)+(85.9+69.2+36)+(31.5+29.1+37.6+28)</f>
        <v>1273.5</v>
      </c>
      <c r="I536" s="48">
        <f>H536</f>
        <v>1273.5</v>
      </c>
      <c r="M536" s="142">
        <v>1273.5</v>
      </c>
      <c r="N536" s="49">
        <f t="shared" ref="N536:N582" si="20">I536-M536</f>
        <v>0</v>
      </c>
    </row>
    <row r="537" spans="1:14" ht="42.75">
      <c r="A537" s="12" t="s">
        <v>120</v>
      </c>
      <c r="B537" s="10" t="s">
        <v>1124</v>
      </c>
      <c r="C537" s="8" t="s">
        <v>13</v>
      </c>
      <c r="D537" s="44">
        <v>1840.93</v>
      </c>
      <c r="E537" s="44"/>
      <c r="F537" s="45" t="s">
        <v>1563</v>
      </c>
      <c r="G537" s="45" t="s">
        <v>1564</v>
      </c>
      <c r="H537" s="44">
        <f>((26.7+162+38.2+16.7+58+10+12+85.8+30+66.5+175)*2.4)+220</f>
        <v>1854.1599999999999</v>
      </c>
      <c r="I537" s="48">
        <f t="shared" ref="I537:I553" si="21">H537</f>
        <v>1854.1599999999999</v>
      </c>
      <c r="M537" s="142">
        <v>1835</v>
      </c>
      <c r="N537" s="49">
        <f t="shared" si="20"/>
        <v>19.159999999999854</v>
      </c>
    </row>
    <row r="538" spans="1:14" ht="42.75">
      <c r="A538" s="12" t="s">
        <v>121</v>
      </c>
      <c r="B538" s="10" t="s">
        <v>32</v>
      </c>
      <c r="C538" s="8" t="s">
        <v>7</v>
      </c>
      <c r="D538" s="44">
        <v>59</v>
      </c>
      <c r="E538" s="44"/>
      <c r="F538" s="45" t="s">
        <v>1218</v>
      </c>
      <c r="G538" s="45"/>
      <c r="H538" s="44">
        <v>59</v>
      </c>
      <c r="I538" s="48">
        <f t="shared" si="21"/>
        <v>59</v>
      </c>
      <c r="M538" s="142">
        <v>59</v>
      </c>
      <c r="N538" s="49">
        <f t="shared" si="20"/>
        <v>0</v>
      </c>
    </row>
    <row r="539" spans="1:14">
      <c r="A539" s="12" t="s">
        <v>122</v>
      </c>
      <c r="B539" s="7" t="s">
        <v>33</v>
      </c>
      <c r="C539" s="8" t="s">
        <v>5</v>
      </c>
      <c r="D539" s="44">
        <v>30</v>
      </c>
      <c r="E539" s="44"/>
      <c r="F539" s="45" t="s">
        <v>1219</v>
      </c>
      <c r="G539" s="45"/>
      <c r="H539" s="44">
        <v>30</v>
      </c>
      <c r="I539" s="48">
        <f t="shared" si="21"/>
        <v>30</v>
      </c>
      <c r="M539" s="142">
        <v>30</v>
      </c>
      <c r="N539" s="49">
        <f t="shared" si="20"/>
        <v>0</v>
      </c>
    </row>
    <row r="540" spans="1:14">
      <c r="A540" s="12" t="s">
        <v>123</v>
      </c>
      <c r="B540" s="7" t="s">
        <v>1128</v>
      </c>
      <c r="C540" s="8" t="s">
        <v>0</v>
      </c>
      <c r="D540" s="44">
        <v>19</v>
      </c>
      <c r="E540" s="44"/>
      <c r="F540" s="45" t="s">
        <v>1220</v>
      </c>
      <c r="G540" s="45"/>
      <c r="H540" s="44">
        <v>19</v>
      </c>
      <c r="I540" s="48">
        <f t="shared" si="21"/>
        <v>19</v>
      </c>
      <c r="M540" s="142">
        <v>19</v>
      </c>
      <c r="N540" s="49">
        <f t="shared" si="20"/>
        <v>0</v>
      </c>
    </row>
    <row r="541" spans="1:14" ht="31.5">
      <c r="A541" s="12" t="s">
        <v>124</v>
      </c>
      <c r="B541" s="7" t="s">
        <v>1130</v>
      </c>
      <c r="C541" s="8" t="s">
        <v>0</v>
      </c>
      <c r="D541" s="44">
        <v>10</v>
      </c>
      <c r="E541" s="44"/>
      <c r="F541" s="45" t="s">
        <v>1221</v>
      </c>
      <c r="G541" s="45"/>
      <c r="H541" s="44">
        <v>10</v>
      </c>
      <c r="I541" s="48">
        <f t="shared" si="21"/>
        <v>10</v>
      </c>
      <c r="M541" s="142">
        <v>5</v>
      </c>
      <c r="N541" s="49">
        <f t="shared" si="20"/>
        <v>5</v>
      </c>
    </row>
    <row r="542" spans="1:14">
      <c r="A542" s="12" t="s">
        <v>125</v>
      </c>
      <c r="B542" s="7" t="s">
        <v>30</v>
      </c>
      <c r="C542" s="8" t="s">
        <v>0</v>
      </c>
      <c r="D542" s="44">
        <v>577</v>
      </c>
      <c r="E542" s="44"/>
      <c r="F542" s="45"/>
      <c r="G542" s="45"/>
      <c r="H542" s="44">
        <v>387</v>
      </c>
      <c r="I542" s="48">
        <f t="shared" si="21"/>
        <v>387</v>
      </c>
      <c r="M542" s="142">
        <v>387</v>
      </c>
      <c r="N542" s="49">
        <f t="shared" si="20"/>
        <v>0</v>
      </c>
    </row>
    <row r="543" spans="1:14" ht="33.75">
      <c r="A543" s="12" t="s">
        <v>126</v>
      </c>
      <c r="B543" s="53" t="s">
        <v>1133</v>
      </c>
      <c r="C543" s="8" t="s">
        <v>0</v>
      </c>
      <c r="D543" s="44">
        <v>2</v>
      </c>
      <c r="E543" s="44"/>
      <c r="F543" s="45"/>
      <c r="G543" s="45"/>
      <c r="H543" s="44">
        <v>2</v>
      </c>
      <c r="I543" s="48">
        <f t="shared" si="21"/>
        <v>2</v>
      </c>
      <c r="M543" s="142">
        <v>2</v>
      </c>
      <c r="N543" s="49">
        <f t="shared" si="20"/>
        <v>0</v>
      </c>
    </row>
    <row r="544" spans="1:14" ht="33">
      <c r="A544" s="12" t="s">
        <v>127</v>
      </c>
      <c r="B544" s="10" t="s">
        <v>28</v>
      </c>
      <c r="C544" s="8" t="s">
        <v>22</v>
      </c>
      <c r="D544" s="44">
        <v>19</v>
      </c>
      <c r="E544" s="44"/>
      <c r="F544" s="45" t="s">
        <v>1222</v>
      </c>
      <c r="G544" s="45"/>
      <c r="H544" s="44">
        <v>19</v>
      </c>
      <c r="I544" s="48">
        <f t="shared" si="21"/>
        <v>19</v>
      </c>
      <c r="M544" s="142">
        <v>10</v>
      </c>
      <c r="N544" s="49">
        <f t="shared" si="20"/>
        <v>9</v>
      </c>
    </row>
    <row r="545" spans="1:14">
      <c r="A545" s="12" t="s">
        <v>128</v>
      </c>
      <c r="B545" s="7" t="s">
        <v>1136</v>
      </c>
      <c r="C545" s="8" t="s">
        <v>7</v>
      </c>
      <c r="D545" s="44">
        <v>19</v>
      </c>
      <c r="E545" s="44"/>
      <c r="F545" s="45" t="s">
        <v>1223</v>
      </c>
      <c r="G545" s="45"/>
      <c r="H545" s="44">
        <v>19</v>
      </c>
      <c r="I545" s="48">
        <f t="shared" si="21"/>
        <v>19</v>
      </c>
      <c r="M545" s="142">
        <v>10</v>
      </c>
      <c r="N545" s="49">
        <f t="shared" si="20"/>
        <v>9</v>
      </c>
    </row>
    <row r="546" spans="1:14" ht="31.5">
      <c r="A546" s="12" t="s">
        <v>129</v>
      </c>
      <c r="B546" s="7" t="s">
        <v>1138</v>
      </c>
      <c r="C546" s="8" t="s">
        <v>1139</v>
      </c>
      <c r="D546" s="44">
        <v>2</v>
      </c>
      <c r="E546" s="44"/>
      <c r="F546" s="45" t="s">
        <v>1226</v>
      </c>
      <c r="G546" s="45"/>
      <c r="H546" s="44">
        <v>2</v>
      </c>
      <c r="I546" s="48">
        <f t="shared" si="21"/>
        <v>2</v>
      </c>
      <c r="M546" s="142">
        <v>2</v>
      </c>
      <c r="N546" s="49">
        <f t="shared" si="20"/>
        <v>0</v>
      </c>
    </row>
    <row r="547" spans="1:14" ht="33">
      <c r="A547" s="12" t="s">
        <v>1141</v>
      </c>
      <c r="B547" s="7" t="s">
        <v>1142</v>
      </c>
      <c r="C547" s="8" t="s">
        <v>8</v>
      </c>
      <c r="D547" s="44">
        <v>698.15</v>
      </c>
      <c r="E547" s="44"/>
      <c r="F547" s="45" t="s">
        <v>1572</v>
      </c>
      <c r="G547" s="45" t="s">
        <v>1565</v>
      </c>
      <c r="H547" s="44">
        <f>((76.3+33.2+23)+39.2+(71*2)+(246.5+21))</f>
        <v>581.20000000000005</v>
      </c>
      <c r="I547" s="48">
        <f t="shared" si="21"/>
        <v>581.20000000000005</v>
      </c>
      <c r="M547" s="142">
        <v>570</v>
      </c>
      <c r="N547" s="49">
        <f t="shared" si="20"/>
        <v>11.200000000000045</v>
      </c>
    </row>
    <row r="548" spans="1:14" ht="47.25">
      <c r="A548" s="12" t="s">
        <v>1144</v>
      </c>
      <c r="B548" s="7" t="s">
        <v>1145</v>
      </c>
      <c r="C548" s="8" t="s">
        <v>8</v>
      </c>
      <c r="D548" s="44">
        <v>2498.77</v>
      </c>
      <c r="E548" s="44"/>
      <c r="F548" s="76" t="s">
        <v>1570</v>
      </c>
      <c r="G548" s="45" t="s">
        <v>1571</v>
      </c>
      <c r="H548" s="44">
        <f>(22.5+31.5*2+13.6*2)+(156.2+233.5+72+31.5)+(51.7+18.9)+86.2+(95.2+45+22.5)+(62.3+38.5+22.5)</f>
        <v>1048.7</v>
      </c>
      <c r="I548" s="48">
        <f t="shared" si="21"/>
        <v>1048.7</v>
      </c>
      <c r="M548" s="142">
        <v>1047.5</v>
      </c>
      <c r="N548" s="49">
        <f t="shared" si="20"/>
        <v>1.2000000000000455</v>
      </c>
    </row>
    <row r="549" spans="1:14" ht="31.5">
      <c r="A549" s="12" t="s">
        <v>1147</v>
      </c>
      <c r="B549" s="7" t="s">
        <v>1148</v>
      </c>
      <c r="C549" s="8" t="s">
        <v>8</v>
      </c>
      <c r="D549" s="44">
        <v>1396.3</v>
      </c>
      <c r="E549" s="44"/>
      <c r="F549" s="76" t="s">
        <v>1573</v>
      </c>
      <c r="G549" s="45"/>
      <c r="H549" s="44">
        <f>(32.3*2+41.5+16+30.5*2)+(53.5+25.2)+(18.5*2+21)+(65.2*2)+(246.5+36+27.6)</f>
        <v>760.30000000000007</v>
      </c>
      <c r="I549" s="48">
        <f t="shared" si="21"/>
        <v>760.30000000000007</v>
      </c>
      <c r="M549" s="142">
        <v>746</v>
      </c>
      <c r="N549" s="49">
        <f t="shared" si="20"/>
        <v>14.300000000000068</v>
      </c>
    </row>
    <row r="550" spans="1:14" ht="31.5">
      <c r="A550" s="12" t="s">
        <v>1150</v>
      </c>
      <c r="B550" s="7" t="s">
        <v>1151</v>
      </c>
      <c r="C550" s="8" t="s">
        <v>4</v>
      </c>
      <c r="D550" s="44">
        <v>1</v>
      </c>
      <c r="E550" s="44"/>
      <c r="F550" s="45"/>
      <c r="G550" s="45"/>
      <c r="H550" s="44"/>
      <c r="I550" s="48">
        <f t="shared" si="21"/>
        <v>0</v>
      </c>
      <c r="M550" s="142">
        <v>0</v>
      </c>
      <c r="N550" s="49">
        <f t="shared" si="20"/>
        <v>0</v>
      </c>
    </row>
    <row r="551" spans="1:14" ht="42.75">
      <c r="A551" s="12" t="s">
        <v>1555</v>
      </c>
      <c r="B551" s="10" t="s">
        <v>1556</v>
      </c>
      <c r="C551" s="8" t="s">
        <v>8</v>
      </c>
      <c r="D551" s="44"/>
      <c r="E551" s="44">
        <v>355</v>
      </c>
      <c r="F551" s="45" t="s">
        <v>1566</v>
      </c>
      <c r="G551" s="45" t="s">
        <v>1567</v>
      </c>
      <c r="H551" s="44">
        <f>255+20*2</f>
        <v>295</v>
      </c>
      <c r="I551" s="48">
        <f t="shared" si="21"/>
        <v>295</v>
      </c>
      <c r="M551" s="142">
        <v>295</v>
      </c>
      <c r="N551" s="49">
        <f t="shared" si="20"/>
        <v>0</v>
      </c>
    </row>
    <row r="552" spans="1:14" ht="31.5">
      <c r="A552" s="12" t="s">
        <v>1557</v>
      </c>
      <c r="B552" s="7" t="s">
        <v>29</v>
      </c>
      <c r="C552" s="8" t="s">
        <v>8</v>
      </c>
      <c r="D552" s="44"/>
      <c r="E552" s="44">
        <v>465</v>
      </c>
      <c r="F552" s="45" t="s">
        <v>1568</v>
      </c>
      <c r="G552" s="151" t="s">
        <v>1569</v>
      </c>
      <c r="H552" s="152">
        <f>28*2</f>
        <v>56</v>
      </c>
      <c r="I552" s="48">
        <f t="shared" si="21"/>
        <v>56</v>
      </c>
      <c r="M552" s="142">
        <v>0</v>
      </c>
      <c r="N552" s="49">
        <f t="shared" si="20"/>
        <v>56</v>
      </c>
    </row>
    <row r="553" spans="1:14" ht="33">
      <c r="A553" s="12" t="s">
        <v>1558</v>
      </c>
      <c r="B553" s="7" t="s">
        <v>1559</v>
      </c>
      <c r="C553" s="8" t="s">
        <v>16</v>
      </c>
      <c r="D553" s="44"/>
      <c r="E553" s="44">
        <v>4920</v>
      </c>
      <c r="F553" s="45" t="s">
        <v>1574</v>
      </c>
      <c r="G553" s="151" t="s">
        <v>1575</v>
      </c>
      <c r="H553" s="152">
        <f>(162*5*2)+(37*8)</f>
        <v>1916</v>
      </c>
      <c r="I553" s="48">
        <f t="shared" si="21"/>
        <v>1916</v>
      </c>
      <c r="M553" s="142">
        <v>1260</v>
      </c>
      <c r="N553" s="49">
        <f t="shared" si="20"/>
        <v>656</v>
      </c>
    </row>
    <row r="554" spans="1:14">
      <c r="A554" s="12"/>
      <c r="B554" s="7"/>
      <c r="C554" s="8"/>
      <c r="D554" s="44"/>
      <c r="E554" s="44"/>
      <c r="F554" s="45"/>
      <c r="G554" s="175" t="s">
        <v>1588</v>
      </c>
      <c r="H554" s="176">
        <f>323*5*3</f>
        <v>4845</v>
      </c>
      <c r="I554" s="48"/>
      <c r="N554" s="49"/>
    </row>
    <row r="555" spans="1:14" ht="24" customHeight="1">
      <c r="A555" s="145" t="s">
        <v>130</v>
      </c>
      <c r="B555" s="146" t="s">
        <v>34</v>
      </c>
      <c r="C555" s="147" t="s">
        <v>4</v>
      </c>
      <c r="D555" s="148">
        <v>1</v>
      </c>
      <c r="E555" s="148"/>
      <c r="F555" s="149"/>
      <c r="G555" s="149"/>
      <c r="H555" s="148"/>
      <c r="I555" s="150" t="s">
        <v>243</v>
      </c>
      <c r="N555" s="49"/>
    </row>
    <row r="556" spans="1:14" ht="33.75">
      <c r="A556" s="12" t="s">
        <v>131</v>
      </c>
      <c r="B556" s="53" t="s">
        <v>146</v>
      </c>
      <c r="C556" s="8" t="s">
        <v>1007</v>
      </c>
      <c r="D556" s="44">
        <v>10</v>
      </c>
      <c r="E556" s="44"/>
      <c r="F556" s="45"/>
      <c r="G556" s="45"/>
      <c r="H556" s="44">
        <v>5</v>
      </c>
      <c r="I556" s="48">
        <f>H556</f>
        <v>5</v>
      </c>
      <c r="M556" s="142">
        <v>5</v>
      </c>
      <c r="N556" s="49">
        <f t="shared" si="20"/>
        <v>0</v>
      </c>
    </row>
    <row r="557" spans="1:14" ht="33.75">
      <c r="A557" s="12" t="s">
        <v>132</v>
      </c>
      <c r="B557" s="53" t="s">
        <v>145</v>
      </c>
      <c r="C557" s="8" t="s">
        <v>1</v>
      </c>
      <c r="D557" s="44">
        <v>100</v>
      </c>
      <c r="E557" s="44"/>
      <c r="F557" s="45"/>
      <c r="G557" s="45"/>
      <c r="H557" s="44">
        <v>40</v>
      </c>
      <c r="I557" s="48">
        <f>H557</f>
        <v>40</v>
      </c>
      <c r="M557" s="142">
        <v>40</v>
      </c>
      <c r="N557" s="49">
        <f t="shared" si="20"/>
        <v>0</v>
      </c>
    </row>
    <row r="558" spans="1:14" ht="22.5">
      <c r="A558" s="12" t="s">
        <v>133</v>
      </c>
      <c r="B558" s="53" t="s">
        <v>144</v>
      </c>
      <c r="C558" s="8" t="s">
        <v>9</v>
      </c>
      <c r="D558" s="44">
        <v>50</v>
      </c>
      <c r="E558" s="44"/>
      <c r="F558" s="45"/>
      <c r="G558" s="45"/>
      <c r="H558" s="44">
        <v>30</v>
      </c>
      <c r="I558" s="48">
        <f t="shared" ref="I558:I574" si="22">H558</f>
        <v>30</v>
      </c>
      <c r="M558" s="142">
        <v>30</v>
      </c>
      <c r="N558" s="49">
        <f t="shared" si="20"/>
        <v>0</v>
      </c>
    </row>
    <row r="559" spans="1:14" ht="33.75">
      <c r="A559" s="12" t="s">
        <v>134</v>
      </c>
      <c r="B559" s="53" t="s">
        <v>35</v>
      </c>
      <c r="C559" s="8" t="s">
        <v>15</v>
      </c>
      <c r="D559" s="44">
        <v>75</v>
      </c>
      <c r="E559" s="44"/>
      <c r="F559" s="45"/>
      <c r="G559" s="45"/>
      <c r="H559" s="44">
        <v>40</v>
      </c>
      <c r="I559" s="48">
        <f t="shared" si="22"/>
        <v>40</v>
      </c>
      <c r="M559" s="142">
        <v>40</v>
      </c>
      <c r="N559" s="49">
        <f t="shared" si="20"/>
        <v>0</v>
      </c>
    </row>
    <row r="560" spans="1:14" ht="33.75">
      <c r="A560" s="12" t="s">
        <v>135</v>
      </c>
      <c r="B560" s="53" t="s">
        <v>143</v>
      </c>
      <c r="C560" s="8" t="s">
        <v>3</v>
      </c>
      <c r="D560" s="44">
        <v>200</v>
      </c>
      <c r="E560" s="44"/>
      <c r="F560" s="45"/>
      <c r="G560" s="45"/>
      <c r="H560" s="44">
        <v>70</v>
      </c>
      <c r="I560" s="48">
        <f t="shared" si="22"/>
        <v>70</v>
      </c>
      <c r="M560" s="142">
        <v>70</v>
      </c>
      <c r="N560" s="49">
        <f t="shared" si="20"/>
        <v>0</v>
      </c>
    </row>
    <row r="561" spans="1:14" ht="22.5">
      <c r="A561" s="12" t="s">
        <v>136</v>
      </c>
      <c r="B561" s="53" t="s">
        <v>36</v>
      </c>
      <c r="C561" s="8" t="s">
        <v>3</v>
      </c>
      <c r="D561" s="44">
        <v>100</v>
      </c>
      <c r="E561" s="44"/>
      <c r="F561" s="45"/>
      <c r="G561" s="45"/>
      <c r="H561" s="44">
        <v>40</v>
      </c>
      <c r="I561" s="48">
        <f t="shared" si="22"/>
        <v>40</v>
      </c>
      <c r="M561" s="142">
        <v>40</v>
      </c>
      <c r="N561" s="49">
        <f t="shared" si="20"/>
        <v>0</v>
      </c>
    </row>
    <row r="562" spans="1:14" ht="33.75">
      <c r="A562" s="12" t="s">
        <v>137</v>
      </c>
      <c r="B562" s="53" t="s">
        <v>1159</v>
      </c>
      <c r="C562" s="8" t="s">
        <v>18</v>
      </c>
      <c r="D562" s="44">
        <v>75</v>
      </c>
      <c r="E562" s="44"/>
      <c r="F562" s="45"/>
      <c r="G562" s="45"/>
      <c r="H562" s="44">
        <v>0</v>
      </c>
      <c r="I562" s="48">
        <f t="shared" si="22"/>
        <v>0</v>
      </c>
      <c r="M562" s="142">
        <v>0</v>
      </c>
      <c r="N562" s="49">
        <f t="shared" si="20"/>
        <v>0</v>
      </c>
    </row>
    <row r="563" spans="1:14" ht="45">
      <c r="A563" s="12" t="s">
        <v>138</v>
      </c>
      <c r="B563" s="53" t="s">
        <v>37</v>
      </c>
      <c r="C563" s="8" t="s">
        <v>18</v>
      </c>
      <c r="D563" s="44">
        <v>50</v>
      </c>
      <c r="E563" s="44"/>
      <c r="F563" s="45"/>
      <c r="G563" s="45"/>
      <c r="H563" s="44">
        <v>50</v>
      </c>
      <c r="I563" s="48">
        <f t="shared" si="22"/>
        <v>50</v>
      </c>
      <c r="M563" s="142">
        <v>50</v>
      </c>
      <c r="N563" s="49">
        <f t="shared" si="20"/>
        <v>0</v>
      </c>
    </row>
    <row r="564" spans="1:14" ht="33.75">
      <c r="A564" s="12" t="s">
        <v>139</v>
      </c>
      <c r="B564" s="53" t="s">
        <v>1162</v>
      </c>
      <c r="C564" s="8" t="s">
        <v>15</v>
      </c>
      <c r="D564" s="44">
        <v>10</v>
      </c>
      <c r="E564" s="44"/>
      <c r="F564" s="45"/>
      <c r="G564" s="45"/>
      <c r="H564" s="44">
        <v>10</v>
      </c>
      <c r="I564" s="48">
        <f t="shared" si="22"/>
        <v>10</v>
      </c>
      <c r="M564" s="142">
        <v>10</v>
      </c>
      <c r="N564" s="49">
        <f t="shared" si="20"/>
        <v>0</v>
      </c>
    </row>
    <row r="565" spans="1:14" ht="33.75">
      <c r="A565" s="12" t="s">
        <v>140</v>
      </c>
      <c r="B565" s="53" t="s">
        <v>38</v>
      </c>
      <c r="C565" s="8" t="s">
        <v>7</v>
      </c>
      <c r="D565" s="44">
        <v>4</v>
      </c>
      <c r="E565" s="44"/>
      <c r="F565" s="45" t="s">
        <v>1225</v>
      </c>
      <c r="G565" s="45"/>
      <c r="H565" s="44">
        <v>4</v>
      </c>
      <c r="I565" s="48">
        <f t="shared" si="22"/>
        <v>4</v>
      </c>
      <c r="M565" s="142">
        <v>4</v>
      </c>
      <c r="N565" s="49">
        <f t="shared" si="20"/>
        <v>0</v>
      </c>
    </row>
    <row r="566" spans="1:14" ht="33.75">
      <c r="A566" s="12" t="s">
        <v>141</v>
      </c>
      <c r="B566" s="53" t="s">
        <v>1165</v>
      </c>
      <c r="C566" s="8" t="s">
        <v>15</v>
      </c>
      <c r="D566" s="44">
        <v>5</v>
      </c>
      <c r="E566" s="44"/>
      <c r="F566" s="45" t="s">
        <v>1228</v>
      </c>
      <c r="G566" s="45"/>
      <c r="H566" s="44">
        <v>5</v>
      </c>
      <c r="I566" s="48">
        <f t="shared" si="22"/>
        <v>5</v>
      </c>
      <c r="M566" s="142">
        <v>5</v>
      </c>
      <c r="N566" s="49">
        <f t="shared" si="20"/>
        <v>0</v>
      </c>
    </row>
    <row r="567" spans="1:14" ht="33.75">
      <c r="A567" s="12" t="s">
        <v>1167</v>
      </c>
      <c r="B567" s="53" t="s">
        <v>1168</v>
      </c>
      <c r="C567" s="8" t="s">
        <v>15</v>
      </c>
      <c r="D567" s="44">
        <v>5</v>
      </c>
      <c r="E567" s="44"/>
      <c r="F567" s="45" t="s">
        <v>1229</v>
      </c>
      <c r="G567" s="45"/>
      <c r="H567" s="44">
        <v>5</v>
      </c>
      <c r="I567" s="48">
        <f t="shared" si="22"/>
        <v>5</v>
      </c>
      <c r="M567" s="142">
        <v>5</v>
      </c>
      <c r="N567" s="49">
        <f t="shared" si="20"/>
        <v>0</v>
      </c>
    </row>
    <row r="568" spans="1:14" ht="33.75">
      <c r="A568" s="12" t="s">
        <v>1170</v>
      </c>
      <c r="B568" s="53" t="s">
        <v>1171</v>
      </c>
      <c r="C568" s="8" t="s">
        <v>15</v>
      </c>
      <c r="D568" s="44">
        <v>5</v>
      </c>
      <c r="E568" s="44"/>
      <c r="F568" s="45" t="s">
        <v>1227</v>
      </c>
      <c r="G568" s="45"/>
      <c r="H568" s="44">
        <v>5</v>
      </c>
      <c r="I568" s="48">
        <f t="shared" si="22"/>
        <v>5</v>
      </c>
      <c r="M568" s="142">
        <v>5</v>
      </c>
      <c r="N568" s="49">
        <f t="shared" si="20"/>
        <v>0</v>
      </c>
    </row>
    <row r="569" spans="1:14" ht="33.75">
      <c r="A569" s="12" t="s">
        <v>1173</v>
      </c>
      <c r="B569" s="53" t="s">
        <v>1174</v>
      </c>
      <c r="C569" s="8" t="s">
        <v>15</v>
      </c>
      <c r="D569" s="44">
        <v>5</v>
      </c>
      <c r="E569" s="44"/>
      <c r="F569" s="45"/>
      <c r="G569" s="45"/>
      <c r="H569" s="44">
        <v>3</v>
      </c>
      <c r="I569" s="48">
        <f t="shared" si="22"/>
        <v>3</v>
      </c>
      <c r="M569" s="142">
        <v>3</v>
      </c>
      <c r="N569" s="49">
        <f t="shared" si="20"/>
        <v>0</v>
      </c>
    </row>
    <row r="570" spans="1:14" ht="22.5">
      <c r="A570" s="12" t="s">
        <v>1176</v>
      </c>
      <c r="B570" s="53" t="s">
        <v>1177</v>
      </c>
      <c r="C570" s="8" t="s">
        <v>15</v>
      </c>
      <c r="D570" s="44">
        <v>80</v>
      </c>
      <c r="E570" s="44"/>
      <c r="F570" s="45"/>
      <c r="G570" s="45"/>
      <c r="H570" s="44">
        <v>20</v>
      </c>
      <c r="I570" s="48">
        <f t="shared" si="22"/>
        <v>20</v>
      </c>
      <c r="M570" s="142">
        <v>20</v>
      </c>
      <c r="N570" s="49">
        <f t="shared" si="20"/>
        <v>0</v>
      </c>
    </row>
    <row r="571" spans="1:14" ht="22.5">
      <c r="A571" s="12" t="s">
        <v>1179</v>
      </c>
      <c r="B571" s="53" t="s">
        <v>39</v>
      </c>
      <c r="C571" s="8" t="s">
        <v>4</v>
      </c>
      <c r="D571" s="44">
        <v>1</v>
      </c>
      <c r="E571" s="44"/>
      <c r="F571" s="45" t="s">
        <v>1224</v>
      </c>
      <c r="G571" s="45"/>
      <c r="H571" s="44">
        <v>0.4</v>
      </c>
      <c r="I571" s="48">
        <f t="shared" si="22"/>
        <v>0.4</v>
      </c>
      <c r="M571" s="142">
        <v>0.4</v>
      </c>
      <c r="N571" s="49">
        <f t="shared" si="20"/>
        <v>0</v>
      </c>
    </row>
    <row r="572" spans="1:14" ht="22.5">
      <c r="A572" s="12" t="s">
        <v>1181</v>
      </c>
      <c r="B572" s="53" t="s">
        <v>1182</v>
      </c>
      <c r="C572" s="8" t="s">
        <v>8</v>
      </c>
      <c r="D572" s="44">
        <v>5000</v>
      </c>
      <c r="E572" s="44"/>
      <c r="F572" s="45"/>
      <c r="G572" s="45"/>
      <c r="H572" s="44">
        <v>1060</v>
      </c>
      <c r="I572" s="48">
        <f t="shared" si="22"/>
        <v>1060</v>
      </c>
      <c r="M572" s="142">
        <v>1060</v>
      </c>
      <c r="N572" s="49">
        <f t="shared" si="20"/>
        <v>0</v>
      </c>
    </row>
    <row r="573" spans="1:14">
      <c r="A573" s="12" t="s">
        <v>1184</v>
      </c>
      <c r="B573" s="53" t="s">
        <v>225</v>
      </c>
      <c r="C573" s="8" t="s">
        <v>226</v>
      </c>
      <c r="D573" s="44">
        <v>48</v>
      </c>
      <c r="E573" s="44"/>
      <c r="F573" s="45"/>
      <c r="G573" s="45"/>
      <c r="H573" s="44">
        <v>20</v>
      </c>
      <c r="I573" s="48">
        <f t="shared" si="22"/>
        <v>20</v>
      </c>
      <c r="M573" s="142">
        <v>20</v>
      </c>
      <c r="N573" s="49">
        <f t="shared" si="20"/>
        <v>0</v>
      </c>
    </row>
    <row r="574" spans="1:14" ht="22.5">
      <c r="A574" s="12" t="s">
        <v>1186</v>
      </c>
      <c r="B574" s="53" t="s">
        <v>1187</v>
      </c>
      <c r="C574" s="8" t="s">
        <v>4</v>
      </c>
      <c r="D574" s="44">
        <v>1</v>
      </c>
      <c r="E574" s="44"/>
      <c r="F574" s="45"/>
      <c r="G574" s="45"/>
      <c r="H574" s="44">
        <v>0.4</v>
      </c>
      <c r="I574" s="48">
        <f t="shared" si="22"/>
        <v>0.4</v>
      </c>
      <c r="M574" s="142">
        <v>0.4</v>
      </c>
      <c r="N574" s="49">
        <f t="shared" si="20"/>
        <v>0</v>
      </c>
    </row>
    <row r="575" spans="1:14" ht="21.95" customHeight="1">
      <c r="A575" s="145" t="s">
        <v>1189</v>
      </c>
      <c r="B575" s="146" t="s">
        <v>227</v>
      </c>
      <c r="C575" s="147" t="s">
        <v>4</v>
      </c>
      <c r="D575" s="148">
        <v>1</v>
      </c>
      <c r="E575" s="148"/>
      <c r="F575" s="149"/>
      <c r="G575" s="149"/>
      <c r="H575" s="148"/>
      <c r="I575" s="150" t="s">
        <v>243</v>
      </c>
      <c r="N575" s="49"/>
    </row>
    <row r="576" spans="1:14">
      <c r="A576" s="12" t="s">
        <v>1190</v>
      </c>
      <c r="B576" s="7" t="s">
        <v>228</v>
      </c>
      <c r="C576" s="8" t="s">
        <v>226</v>
      </c>
      <c r="D576" s="44">
        <v>48</v>
      </c>
      <c r="E576" s="44"/>
      <c r="F576" s="45"/>
      <c r="G576" s="45"/>
      <c r="H576" s="44">
        <v>20</v>
      </c>
      <c r="I576" s="48">
        <f>H576</f>
        <v>20</v>
      </c>
      <c r="M576" s="142">
        <v>20</v>
      </c>
      <c r="N576" s="49">
        <f t="shared" si="20"/>
        <v>0</v>
      </c>
    </row>
    <row r="577" spans="1:14">
      <c r="A577" s="12" t="s">
        <v>1192</v>
      </c>
      <c r="B577" s="7" t="s">
        <v>1193</v>
      </c>
      <c r="C577" s="8" t="s">
        <v>4</v>
      </c>
      <c r="D577" s="44">
        <v>1</v>
      </c>
      <c r="E577" s="44"/>
      <c r="F577" s="45"/>
      <c r="G577" s="45"/>
      <c r="H577" s="44">
        <v>0.40980000000000005</v>
      </c>
      <c r="I577" s="48">
        <f>H577</f>
        <v>0.40980000000000005</v>
      </c>
      <c r="M577" s="142">
        <v>0.40980000000000005</v>
      </c>
      <c r="N577" s="49">
        <f t="shared" si="20"/>
        <v>0</v>
      </c>
    </row>
    <row r="578" spans="1:14" ht="27.75" customHeight="1">
      <c r="A578" s="145" t="s">
        <v>1195</v>
      </c>
      <c r="B578" s="177" t="s">
        <v>1196</v>
      </c>
      <c r="C578" s="147" t="s">
        <v>4</v>
      </c>
      <c r="D578" s="148">
        <v>1</v>
      </c>
      <c r="E578" s="148"/>
      <c r="F578" s="149"/>
      <c r="G578" s="149"/>
      <c r="H578" s="148"/>
      <c r="I578" s="150" t="s">
        <v>243</v>
      </c>
      <c r="N578" s="49"/>
    </row>
    <row r="579" spans="1:14" ht="19.5" customHeight="1">
      <c r="A579" s="145" t="s">
        <v>1198</v>
      </c>
      <c r="B579" s="177" t="s">
        <v>1199</v>
      </c>
      <c r="C579" s="147" t="s">
        <v>4</v>
      </c>
      <c r="D579" s="148">
        <v>1</v>
      </c>
      <c r="E579" s="148"/>
      <c r="F579" s="149"/>
      <c r="G579" s="149"/>
      <c r="H579" s="148"/>
      <c r="I579" s="150" t="s">
        <v>243</v>
      </c>
      <c r="N579" s="49"/>
    </row>
    <row r="580" spans="1:14">
      <c r="A580" s="12" t="s">
        <v>1201</v>
      </c>
      <c r="B580" s="10" t="s">
        <v>1199</v>
      </c>
      <c r="C580" s="8" t="s">
        <v>6</v>
      </c>
      <c r="D580" s="44">
        <v>13251</v>
      </c>
      <c r="E580" s="44"/>
      <c r="F580" s="45" t="s">
        <v>1576</v>
      </c>
      <c r="G580" s="45"/>
      <c r="H580" s="44">
        <f>H52</f>
        <v>10404</v>
      </c>
      <c r="I580" s="48">
        <f>H580</f>
        <v>10404</v>
      </c>
      <c r="M580" s="142">
        <v>10404</v>
      </c>
      <c r="N580" s="49">
        <f t="shared" si="20"/>
        <v>0</v>
      </c>
    </row>
    <row r="581" spans="1:14" ht="33">
      <c r="A581" s="145" t="s">
        <v>1203</v>
      </c>
      <c r="B581" s="177" t="s">
        <v>1204</v>
      </c>
      <c r="C581" s="147" t="s">
        <v>4</v>
      </c>
      <c r="D581" s="148">
        <v>1</v>
      </c>
      <c r="E581" s="148"/>
      <c r="F581" s="149"/>
      <c r="G581" s="149"/>
      <c r="H581" s="148"/>
      <c r="I581" s="150" t="s">
        <v>243</v>
      </c>
      <c r="N581" s="49"/>
    </row>
    <row r="582" spans="1:14" ht="28.5">
      <c r="A582" s="12" t="s">
        <v>1206</v>
      </c>
      <c r="B582" s="10" t="s">
        <v>1207</v>
      </c>
      <c r="C582" s="8" t="s">
        <v>13</v>
      </c>
      <c r="D582" s="44">
        <v>1000</v>
      </c>
      <c r="E582" s="44">
        <v>3208.78</v>
      </c>
      <c r="F582" s="45"/>
      <c r="G582" s="45"/>
      <c r="H582" s="44">
        <v>3208.78</v>
      </c>
      <c r="I582" s="48">
        <f>H582</f>
        <v>3208.78</v>
      </c>
      <c r="M582" s="142">
        <v>2892.39</v>
      </c>
      <c r="N582" s="49">
        <f t="shared" si="20"/>
        <v>316.39000000000033</v>
      </c>
    </row>
    <row r="583" spans="1:14" ht="24.75" customHeight="1">
      <c r="A583" s="6"/>
      <c r="B583" s="10" t="s">
        <v>1209</v>
      </c>
      <c r="C583" s="8"/>
      <c r="D583" s="44"/>
      <c r="E583" s="44"/>
      <c r="F583" s="45"/>
      <c r="G583" s="45"/>
      <c r="H583" s="46"/>
      <c r="I583" s="46" t="s">
        <v>243</v>
      </c>
    </row>
    <row r="584" spans="1:14" ht="21.95" customHeight="1">
      <c r="A584" s="6"/>
      <c r="B584" s="7" t="s">
        <v>1210</v>
      </c>
      <c r="C584" s="8"/>
      <c r="D584" s="44"/>
      <c r="E584" s="44"/>
      <c r="F584" s="45"/>
      <c r="G584" s="45"/>
      <c r="H584" s="46"/>
      <c r="I584" s="46" t="s">
        <v>243</v>
      </c>
    </row>
    <row r="585" spans="1:14" ht="10.5" customHeight="1">
      <c r="A585" s="684"/>
      <c r="B585" s="685"/>
      <c r="C585" s="685"/>
      <c r="D585" s="685"/>
      <c r="E585" s="685"/>
      <c r="F585" s="685"/>
      <c r="G585" s="685"/>
      <c r="H585" s="686"/>
      <c r="I585" s="77"/>
    </row>
  </sheetData>
  <autoFilter ref="A5:L584" xr:uid="{E21CD539-3EB1-4D8C-9974-633841A871FF}"/>
  <mergeCells count="2">
    <mergeCell ref="A585:H585"/>
    <mergeCell ref="A3:F3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7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F2C3-D130-436E-A225-7BB7EAA66C52}">
  <sheetPr>
    <tabColor theme="5" tint="0.39997558519241921"/>
  </sheetPr>
  <dimension ref="A1:O648"/>
  <sheetViews>
    <sheetView view="pageBreakPreview" zoomScale="87" zoomScaleNormal="100" zoomScaleSheetLayoutView="87" workbookViewId="0">
      <pane ySplit="5" topLeftCell="A91" activePane="bottomLeft" state="frozen"/>
      <selection pane="bottomLeft" activeCell="J99" sqref="J99"/>
    </sheetView>
  </sheetViews>
  <sheetFormatPr defaultColWidth="10.28515625" defaultRowHeight="21"/>
  <cols>
    <col min="1" max="1" width="6" style="78" customWidth="1"/>
    <col min="2" max="2" width="22.42578125" style="78" customWidth="1"/>
    <col min="3" max="3" width="6.28515625" style="78" customWidth="1"/>
    <col min="4" max="5" width="14.28515625" style="33" customWidth="1"/>
    <col min="6" max="6" width="38.140625" style="27" customWidth="1"/>
    <col min="7" max="7" width="55.5703125" style="27" customWidth="1"/>
    <col min="8" max="8" width="14.28515625" style="29" customWidth="1"/>
    <col min="9" max="9" width="16.28515625" style="29" customWidth="1"/>
    <col min="10" max="10" width="15.28515625" style="25" customWidth="1"/>
    <col min="11" max="11" width="16.85546875" style="521" customWidth="1"/>
    <col min="12" max="12" width="3" style="29" customWidth="1"/>
    <col min="13" max="13" width="17" style="202" customWidth="1"/>
    <col min="14" max="14" width="17.42578125" style="25" customWidth="1"/>
    <col min="15" max="15" width="17.140625" style="30" customWidth="1"/>
    <col min="16" max="257" width="10.28515625" style="30"/>
    <col min="258" max="258" width="6" style="30" customWidth="1"/>
    <col min="259" max="259" width="30" style="30" customWidth="1"/>
    <col min="260" max="260" width="6.28515625" style="30" customWidth="1"/>
    <col min="261" max="261" width="9.5703125" style="30" customWidth="1"/>
    <col min="262" max="263" width="12.42578125" style="30" customWidth="1"/>
    <col min="264" max="264" width="17.42578125" style="30" customWidth="1"/>
    <col min="265" max="265" width="0.85546875" style="30" customWidth="1"/>
    <col min="266" max="267" width="0.7109375" style="30" customWidth="1"/>
    <col min="268" max="268" width="0.5703125" style="30" customWidth="1"/>
    <col min="269" max="513" width="10.28515625" style="30"/>
    <col min="514" max="514" width="6" style="30" customWidth="1"/>
    <col min="515" max="515" width="30" style="30" customWidth="1"/>
    <col min="516" max="516" width="6.28515625" style="30" customWidth="1"/>
    <col min="517" max="517" width="9.5703125" style="30" customWidth="1"/>
    <col min="518" max="519" width="12.42578125" style="30" customWidth="1"/>
    <col min="520" max="520" width="17.42578125" style="30" customWidth="1"/>
    <col min="521" max="521" width="0.85546875" style="30" customWidth="1"/>
    <col min="522" max="523" width="0.7109375" style="30" customWidth="1"/>
    <col min="524" max="524" width="0.5703125" style="30" customWidth="1"/>
    <col min="525" max="769" width="10.28515625" style="30"/>
    <col min="770" max="770" width="6" style="30" customWidth="1"/>
    <col min="771" max="771" width="30" style="30" customWidth="1"/>
    <col min="772" max="772" width="6.28515625" style="30" customWidth="1"/>
    <col min="773" max="773" width="9.5703125" style="30" customWidth="1"/>
    <col min="774" max="775" width="12.42578125" style="30" customWidth="1"/>
    <col min="776" max="776" width="17.42578125" style="30" customWidth="1"/>
    <col min="777" max="777" width="0.85546875" style="30" customWidth="1"/>
    <col min="778" max="779" width="0.7109375" style="30" customWidth="1"/>
    <col min="780" max="780" width="0.5703125" style="30" customWidth="1"/>
    <col min="781" max="1025" width="10.28515625" style="30"/>
    <col min="1026" max="1026" width="6" style="30" customWidth="1"/>
    <col min="1027" max="1027" width="30" style="30" customWidth="1"/>
    <col min="1028" max="1028" width="6.28515625" style="30" customWidth="1"/>
    <col min="1029" max="1029" width="9.5703125" style="30" customWidth="1"/>
    <col min="1030" max="1031" width="12.42578125" style="30" customWidth="1"/>
    <col min="1032" max="1032" width="17.42578125" style="30" customWidth="1"/>
    <col min="1033" max="1033" width="0.85546875" style="30" customWidth="1"/>
    <col min="1034" max="1035" width="0.7109375" style="30" customWidth="1"/>
    <col min="1036" max="1036" width="0.5703125" style="30" customWidth="1"/>
    <col min="1037" max="1281" width="10.28515625" style="30"/>
    <col min="1282" max="1282" width="6" style="30" customWidth="1"/>
    <col min="1283" max="1283" width="30" style="30" customWidth="1"/>
    <col min="1284" max="1284" width="6.28515625" style="30" customWidth="1"/>
    <col min="1285" max="1285" width="9.5703125" style="30" customWidth="1"/>
    <col min="1286" max="1287" width="12.42578125" style="30" customWidth="1"/>
    <col min="1288" max="1288" width="17.42578125" style="30" customWidth="1"/>
    <col min="1289" max="1289" width="0.85546875" style="30" customWidth="1"/>
    <col min="1290" max="1291" width="0.7109375" style="30" customWidth="1"/>
    <col min="1292" max="1292" width="0.5703125" style="30" customWidth="1"/>
    <col min="1293" max="1537" width="10.28515625" style="30"/>
    <col min="1538" max="1538" width="6" style="30" customWidth="1"/>
    <col min="1539" max="1539" width="30" style="30" customWidth="1"/>
    <col min="1540" max="1540" width="6.28515625" style="30" customWidth="1"/>
    <col min="1541" max="1541" width="9.5703125" style="30" customWidth="1"/>
    <col min="1542" max="1543" width="12.42578125" style="30" customWidth="1"/>
    <col min="1544" max="1544" width="17.42578125" style="30" customWidth="1"/>
    <col min="1545" max="1545" width="0.85546875" style="30" customWidth="1"/>
    <col min="1546" max="1547" width="0.7109375" style="30" customWidth="1"/>
    <col min="1548" max="1548" width="0.5703125" style="30" customWidth="1"/>
    <col min="1549" max="1793" width="10.28515625" style="30"/>
    <col min="1794" max="1794" width="6" style="30" customWidth="1"/>
    <col min="1795" max="1795" width="30" style="30" customWidth="1"/>
    <col min="1796" max="1796" width="6.28515625" style="30" customWidth="1"/>
    <col min="1797" max="1797" width="9.5703125" style="30" customWidth="1"/>
    <col min="1798" max="1799" width="12.42578125" style="30" customWidth="1"/>
    <col min="1800" max="1800" width="17.42578125" style="30" customWidth="1"/>
    <col min="1801" max="1801" width="0.85546875" style="30" customWidth="1"/>
    <col min="1802" max="1803" width="0.7109375" style="30" customWidth="1"/>
    <col min="1804" max="1804" width="0.5703125" style="30" customWidth="1"/>
    <col min="1805" max="2049" width="10.28515625" style="30"/>
    <col min="2050" max="2050" width="6" style="30" customWidth="1"/>
    <col min="2051" max="2051" width="30" style="30" customWidth="1"/>
    <col min="2052" max="2052" width="6.28515625" style="30" customWidth="1"/>
    <col min="2053" max="2053" width="9.5703125" style="30" customWidth="1"/>
    <col min="2054" max="2055" width="12.42578125" style="30" customWidth="1"/>
    <col min="2056" max="2056" width="17.42578125" style="30" customWidth="1"/>
    <col min="2057" max="2057" width="0.85546875" style="30" customWidth="1"/>
    <col min="2058" max="2059" width="0.7109375" style="30" customWidth="1"/>
    <col min="2060" max="2060" width="0.5703125" style="30" customWidth="1"/>
    <col min="2061" max="2305" width="10.28515625" style="30"/>
    <col min="2306" max="2306" width="6" style="30" customWidth="1"/>
    <col min="2307" max="2307" width="30" style="30" customWidth="1"/>
    <col min="2308" max="2308" width="6.28515625" style="30" customWidth="1"/>
    <col min="2309" max="2309" width="9.5703125" style="30" customWidth="1"/>
    <col min="2310" max="2311" width="12.42578125" style="30" customWidth="1"/>
    <col min="2312" max="2312" width="17.42578125" style="30" customWidth="1"/>
    <col min="2313" max="2313" width="0.85546875" style="30" customWidth="1"/>
    <col min="2314" max="2315" width="0.7109375" style="30" customWidth="1"/>
    <col min="2316" max="2316" width="0.5703125" style="30" customWidth="1"/>
    <col min="2317" max="2561" width="10.28515625" style="30"/>
    <col min="2562" max="2562" width="6" style="30" customWidth="1"/>
    <col min="2563" max="2563" width="30" style="30" customWidth="1"/>
    <col min="2564" max="2564" width="6.28515625" style="30" customWidth="1"/>
    <col min="2565" max="2565" width="9.5703125" style="30" customWidth="1"/>
    <col min="2566" max="2567" width="12.42578125" style="30" customWidth="1"/>
    <col min="2568" max="2568" width="17.42578125" style="30" customWidth="1"/>
    <col min="2569" max="2569" width="0.85546875" style="30" customWidth="1"/>
    <col min="2570" max="2571" width="0.7109375" style="30" customWidth="1"/>
    <col min="2572" max="2572" width="0.5703125" style="30" customWidth="1"/>
    <col min="2573" max="2817" width="10.28515625" style="30"/>
    <col min="2818" max="2818" width="6" style="30" customWidth="1"/>
    <col min="2819" max="2819" width="30" style="30" customWidth="1"/>
    <col min="2820" max="2820" width="6.28515625" style="30" customWidth="1"/>
    <col min="2821" max="2821" width="9.5703125" style="30" customWidth="1"/>
    <col min="2822" max="2823" width="12.42578125" style="30" customWidth="1"/>
    <col min="2824" max="2824" width="17.42578125" style="30" customWidth="1"/>
    <col min="2825" max="2825" width="0.85546875" style="30" customWidth="1"/>
    <col min="2826" max="2827" width="0.7109375" style="30" customWidth="1"/>
    <col min="2828" max="2828" width="0.5703125" style="30" customWidth="1"/>
    <col min="2829" max="3073" width="10.28515625" style="30"/>
    <col min="3074" max="3074" width="6" style="30" customWidth="1"/>
    <col min="3075" max="3075" width="30" style="30" customWidth="1"/>
    <col min="3076" max="3076" width="6.28515625" style="30" customWidth="1"/>
    <col min="3077" max="3077" width="9.5703125" style="30" customWidth="1"/>
    <col min="3078" max="3079" width="12.42578125" style="30" customWidth="1"/>
    <col min="3080" max="3080" width="17.42578125" style="30" customWidth="1"/>
    <col min="3081" max="3081" width="0.85546875" style="30" customWidth="1"/>
    <col min="3082" max="3083" width="0.7109375" style="30" customWidth="1"/>
    <col min="3084" max="3084" width="0.5703125" style="30" customWidth="1"/>
    <col min="3085" max="3329" width="10.28515625" style="30"/>
    <col min="3330" max="3330" width="6" style="30" customWidth="1"/>
    <col min="3331" max="3331" width="30" style="30" customWidth="1"/>
    <col min="3332" max="3332" width="6.28515625" style="30" customWidth="1"/>
    <col min="3333" max="3333" width="9.5703125" style="30" customWidth="1"/>
    <col min="3334" max="3335" width="12.42578125" style="30" customWidth="1"/>
    <col min="3336" max="3336" width="17.42578125" style="30" customWidth="1"/>
    <col min="3337" max="3337" width="0.85546875" style="30" customWidth="1"/>
    <col min="3338" max="3339" width="0.7109375" style="30" customWidth="1"/>
    <col min="3340" max="3340" width="0.5703125" style="30" customWidth="1"/>
    <col min="3341" max="3585" width="10.28515625" style="30"/>
    <col min="3586" max="3586" width="6" style="30" customWidth="1"/>
    <col min="3587" max="3587" width="30" style="30" customWidth="1"/>
    <col min="3588" max="3588" width="6.28515625" style="30" customWidth="1"/>
    <col min="3589" max="3589" width="9.5703125" style="30" customWidth="1"/>
    <col min="3590" max="3591" width="12.42578125" style="30" customWidth="1"/>
    <col min="3592" max="3592" width="17.42578125" style="30" customWidth="1"/>
    <col min="3593" max="3593" width="0.85546875" style="30" customWidth="1"/>
    <col min="3594" max="3595" width="0.7109375" style="30" customWidth="1"/>
    <col min="3596" max="3596" width="0.5703125" style="30" customWidth="1"/>
    <col min="3597" max="3841" width="10.28515625" style="30"/>
    <col min="3842" max="3842" width="6" style="30" customWidth="1"/>
    <col min="3843" max="3843" width="30" style="30" customWidth="1"/>
    <col min="3844" max="3844" width="6.28515625" style="30" customWidth="1"/>
    <col min="3845" max="3845" width="9.5703125" style="30" customWidth="1"/>
    <col min="3846" max="3847" width="12.42578125" style="30" customWidth="1"/>
    <col min="3848" max="3848" width="17.42578125" style="30" customWidth="1"/>
    <col min="3849" max="3849" width="0.85546875" style="30" customWidth="1"/>
    <col min="3850" max="3851" width="0.7109375" style="30" customWidth="1"/>
    <col min="3852" max="3852" width="0.5703125" style="30" customWidth="1"/>
    <col min="3853" max="4097" width="10.28515625" style="30"/>
    <col min="4098" max="4098" width="6" style="30" customWidth="1"/>
    <col min="4099" max="4099" width="30" style="30" customWidth="1"/>
    <col min="4100" max="4100" width="6.28515625" style="30" customWidth="1"/>
    <col min="4101" max="4101" width="9.5703125" style="30" customWidth="1"/>
    <col min="4102" max="4103" width="12.42578125" style="30" customWidth="1"/>
    <col min="4104" max="4104" width="17.42578125" style="30" customWidth="1"/>
    <col min="4105" max="4105" width="0.85546875" style="30" customWidth="1"/>
    <col min="4106" max="4107" width="0.7109375" style="30" customWidth="1"/>
    <col min="4108" max="4108" width="0.5703125" style="30" customWidth="1"/>
    <col min="4109" max="4353" width="10.28515625" style="30"/>
    <col min="4354" max="4354" width="6" style="30" customWidth="1"/>
    <col min="4355" max="4355" width="30" style="30" customWidth="1"/>
    <col min="4356" max="4356" width="6.28515625" style="30" customWidth="1"/>
    <col min="4357" max="4357" width="9.5703125" style="30" customWidth="1"/>
    <col min="4358" max="4359" width="12.42578125" style="30" customWidth="1"/>
    <col min="4360" max="4360" width="17.42578125" style="30" customWidth="1"/>
    <col min="4361" max="4361" width="0.85546875" style="30" customWidth="1"/>
    <col min="4362" max="4363" width="0.7109375" style="30" customWidth="1"/>
    <col min="4364" max="4364" width="0.5703125" style="30" customWidth="1"/>
    <col min="4365" max="4609" width="10.28515625" style="30"/>
    <col min="4610" max="4610" width="6" style="30" customWidth="1"/>
    <col min="4611" max="4611" width="30" style="30" customWidth="1"/>
    <col min="4612" max="4612" width="6.28515625" style="30" customWidth="1"/>
    <col min="4613" max="4613" width="9.5703125" style="30" customWidth="1"/>
    <col min="4614" max="4615" width="12.42578125" style="30" customWidth="1"/>
    <col min="4616" max="4616" width="17.42578125" style="30" customWidth="1"/>
    <col min="4617" max="4617" width="0.85546875" style="30" customWidth="1"/>
    <col min="4618" max="4619" width="0.7109375" style="30" customWidth="1"/>
    <col min="4620" max="4620" width="0.5703125" style="30" customWidth="1"/>
    <col min="4621" max="4865" width="10.28515625" style="30"/>
    <col min="4866" max="4866" width="6" style="30" customWidth="1"/>
    <col min="4867" max="4867" width="30" style="30" customWidth="1"/>
    <col min="4868" max="4868" width="6.28515625" style="30" customWidth="1"/>
    <col min="4869" max="4869" width="9.5703125" style="30" customWidth="1"/>
    <col min="4870" max="4871" width="12.42578125" style="30" customWidth="1"/>
    <col min="4872" max="4872" width="17.42578125" style="30" customWidth="1"/>
    <col min="4873" max="4873" width="0.85546875" style="30" customWidth="1"/>
    <col min="4874" max="4875" width="0.7109375" style="30" customWidth="1"/>
    <col min="4876" max="4876" width="0.5703125" style="30" customWidth="1"/>
    <col min="4877" max="5121" width="10.28515625" style="30"/>
    <col min="5122" max="5122" width="6" style="30" customWidth="1"/>
    <col min="5123" max="5123" width="30" style="30" customWidth="1"/>
    <col min="5124" max="5124" width="6.28515625" style="30" customWidth="1"/>
    <col min="5125" max="5125" width="9.5703125" style="30" customWidth="1"/>
    <col min="5126" max="5127" width="12.42578125" style="30" customWidth="1"/>
    <col min="5128" max="5128" width="17.42578125" style="30" customWidth="1"/>
    <col min="5129" max="5129" width="0.85546875" style="30" customWidth="1"/>
    <col min="5130" max="5131" width="0.7109375" style="30" customWidth="1"/>
    <col min="5132" max="5132" width="0.5703125" style="30" customWidth="1"/>
    <col min="5133" max="5377" width="10.28515625" style="30"/>
    <col min="5378" max="5378" width="6" style="30" customWidth="1"/>
    <col min="5379" max="5379" width="30" style="30" customWidth="1"/>
    <col min="5380" max="5380" width="6.28515625" style="30" customWidth="1"/>
    <col min="5381" max="5381" width="9.5703125" style="30" customWidth="1"/>
    <col min="5382" max="5383" width="12.42578125" style="30" customWidth="1"/>
    <col min="5384" max="5384" width="17.42578125" style="30" customWidth="1"/>
    <col min="5385" max="5385" width="0.85546875" style="30" customWidth="1"/>
    <col min="5386" max="5387" width="0.7109375" style="30" customWidth="1"/>
    <col min="5388" max="5388" width="0.5703125" style="30" customWidth="1"/>
    <col min="5389" max="5633" width="10.28515625" style="30"/>
    <col min="5634" max="5634" width="6" style="30" customWidth="1"/>
    <col min="5635" max="5635" width="30" style="30" customWidth="1"/>
    <col min="5636" max="5636" width="6.28515625" style="30" customWidth="1"/>
    <col min="5637" max="5637" width="9.5703125" style="30" customWidth="1"/>
    <col min="5638" max="5639" width="12.42578125" style="30" customWidth="1"/>
    <col min="5640" max="5640" width="17.42578125" style="30" customWidth="1"/>
    <col min="5641" max="5641" width="0.85546875" style="30" customWidth="1"/>
    <col min="5642" max="5643" width="0.7109375" style="30" customWidth="1"/>
    <col min="5644" max="5644" width="0.5703125" style="30" customWidth="1"/>
    <col min="5645" max="5889" width="10.28515625" style="30"/>
    <col min="5890" max="5890" width="6" style="30" customWidth="1"/>
    <col min="5891" max="5891" width="30" style="30" customWidth="1"/>
    <col min="5892" max="5892" width="6.28515625" style="30" customWidth="1"/>
    <col min="5893" max="5893" width="9.5703125" style="30" customWidth="1"/>
    <col min="5894" max="5895" width="12.42578125" style="30" customWidth="1"/>
    <col min="5896" max="5896" width="17.42578125" style="30" customWidth="1"/>
    <col min="5897" max="5897" width="0.85546875" style="30" customWidth="1"/>
    <col min="5898" max="5899" width="0.7109375" style="30" customWidth="1"/>
    <col min="5900" max="5900" width="0.5703125" style="30" customWidth="1"/>
    <col min="5901" max="6145" width="10.28515625" style="30"/>
    <col min="6146" max="6146" width="6" style="30" customWidth="1"/>
    <col min="6147" max="6147" width="30" style="30" customWidth="1"/>
    <col min="6148" max="6148" width="6.28515625" style="30" customWidth="1"/>
    <col min="6149" max="6149" width="9.5703125" style="30" customWidth="1"/>
    <col min="6150" max="6151" width="12.42578125" style="30" customWidth="1"/>
    <col min="6152" max="6152" width="17.42578125" style="30" customWidth="1"/>
    <col min="6153" max="6153" width="0.85546875" style="30" customWidth="1"/>
    <col min="6154" max="6155" width="0.7109375" style="30" customWidth="1"/>
    <col min="6156" max="6156" width="0.5703125" style="30" customWidth="1"/>
    <col min="6157" max="6401" width="10.28515625" style="30"/>
    <col min="6402" max="6402" width="6" style="30" customWidth="1"/>
    <col min="6403" max="6403" width="30" style="30" customWidth="1"/>
    <col min="6404" max="6404" width="6.28515625" style="30" customWidth="1"/>
    <col min="6405" max="6405" width="9.5703125" style="30" customWidth="1"/>
    <col min="6406" max="6407" width="12.42578125" style="30" customWidth="1"/>
    <col min="6408" max="6408" width="17.42578125" style="30" customWidth="1"/>
    <col min="6409" max="6409" width="0.85546875" style="30" customWidth="1"/>
    <col min="6410" max="6411" width="0.7109375" style="30" customWidth="1"/>
    <col min="6412" max="6412" width="0.5703125" style="30" customWidth="1"/>
    <col min="6413" max="6657" width="10.28515625" style="30"/>
    <col min="6658" max="6658" width="6" style="30" customWidth="1"/>
    <col min="6659" max="6659" width="30" style="30" customWidth="1"/>
    <col min="6660" max="6660" width="6.28515625" style="30" customWidth="1"/>
    <col min="6661" max="6661" width="9.5703125" style="30" customWidth="1"/>
    <col min="6662" max="6663" width="12.42578125" style="30" customWidth="1"/>
    <col min="6664" max="6664" width="17.42578125" style="30" customWidth="1"/>
    <col min="6665" max="6665" width="0.85546875" style="30" customWidth="1"/>
    <col min="6666" max="6667" width="0.7109375" style="30" customWidth="1"/>
    <col min="6668" max="6668" width="0.5703125" style="30" customWidth="1"/>
    <col min="6669" max="6913" width="10.28515625" style="30"/>
    <col min="6914" max="6914" width="6" style="30" customWidth="1"/>
    <col min="6915" max="6915" width="30" style="30" customWidth="1"/>
    <col min="6916" max="6916" width="6.28515625" style="30" customWidth="1"/>
    <col min="6917" max="6917" width="9.5703125" style="30" customWidth="1"/>
    <col min="6918" max="6919" width="12.42578125" style="30" customWidth="1"/>
    <col min="6920" max="6920" width="17.42578125" style="30" customWidth="1"/>
    <col min="6921" max="6921" width="0.85546875" style="30" customWidth="1"/>
    <col min="6922" max="6923" width="0.7109375" style="30" customWidth="1"/>
    <col min="6924" max="6924" width="0.5703125" style="30" customWidth="1"/>
    <col min="6925" max="7169" width="10.28515625" style="30"/>
    <col min="7170" max="7170" width="6" style="30" customWidth="1"/>
    <col min="7171" max="7171" width="30" style="30" customWidth="1"/>
    <col min="7172" max="7172" width="6.28515625" style="30" customWidth="1"/>
    <col min="7173" max="7173" width="9.5703125" style="30" customWidth="1"/>
    <col min="7174" max="7175" width="12.42578125" style="30" customWidth="1"/>
    <col min="7176" max="7176" width="17.42578125" style="30" customWidth="1"/>
    <col min="7177" max="7177" width="0.85546875" style="30" customWidth="1"/>
    <col min="7178" max="7179" width="0.7109375" style="30" customWidth="1"/>
    <col min="7180" max="7180" width="0.5703125" style="30" customWidth="1"/>
    <col min="7181" max="7425" width="10.28515625" style="30"/>
    <col min="7426" max="7426" width="6" style="30" customWidth="1"/>
    <col min="7427" max="7427" width="30" style="30" customWidth="1"/>
    <col min="7428" max="7428" width="6.28515625" style="30" customWidth="1"/>
    <col min="7429" max="7429" width="9.5703125" style="30" customWidth="1"/>
    <col min="7430" max="7431" width="12.42578125" style="30" customWidth="1"/>
    <col min="7432" max="7432" width="17.42578125" style="30" customWidth="1"/>
    <col min="7433" max="7433" width="0.85546875" style="30" customWidth="1"/>
    <col min="7434" max="7435" width="0.7109375" style="30" customWidth="1"/>
    <col min="7436" max="7436" width="0.5703125" style="30" customWidth="1"/>
    <col min="7437" max="7681" width="10.28515625" style="30"/>
    <col min="7682" max="7682" width="6" style="30" customWidth="1"/>
    <col min="7683" max="7683" width="30" style="30" customWidth="1"/>
    <col min="7684" max="7684" width="6.28515625" style="30" customWidth="1"/>
    <col min="7685" max="7685" width="9.5703125" style="30" customWidth="1"/>
    <col min="7686" max="7687" width="12.42578125" style="30" customWidth="1"/>
    <col min="7688" max="7688" width="17.42578125" style="30" customWidth="1"/>
    <col min="7689" max="7689" width="0.85546875" style="30" customWidth="1"/>
    <col min="7690" max="7691" width="0.7109375" style="30" customWidth="1"/>
    <col min="7692" max="7692" width="0.5703125" style="30" customWidth="1"/>
    <col min="7693" max="7937" width="10.28515625" style="30"/>
    <col min="7938" max="7938" width="6" style="30" customWidth="1"/>
    <col min="7939" max="7939" width="30" style="30" customWidth="1"/>
    <col min="7940" max="7940" width="6.28515625" style="30" customWidth="1"/>
    <col min="7941" max="7941" width="9.5703125" style="30" customWidth="1"/>
    <col min="7942" max="7943" width="12.42578125" style="30" customWidth="1"/>
    <col min="7944" max="7944" width="17.42578125" style="30" customWidth="1"/>
    <col min="7945" max="7945" width="0.85546875" style="30" customWidth="1"/>
    <col min="7946" max="7947" width="0.7109375" style="30" customWidth="1"/>
    <col min="7948" max="7948" width="0.5703125" style="30" customWidth="1"/>
    <col min="7949" max="8193" width="10.28515625" style="30"/>
    <col min="8194" max="8194" width="6" style="30" customWidth="1"/>
    <col min="8195" max="8195" width="30" style="30" customWidth="1"/>
    <col min="8196" max="8196" width="6.28515625" style="30" customWidth="1"/>
    <col min="8197" max="8197" width="9.5703125" style="30" customWidth="1"/>
    <col min="8198" max="8199" width="12.42578125" style="30" customWidth="1"/>
    <col min="8200" max="8200" width="17.42578125" style="30" customWidth="1"/>
    <col min="8201" max="8201" width="0.85546875" style="30" customWidth="1"/>
    <col min="8202" max="8203" width="0.7109375" style="30" customWidth="1"/>
    <col min="8204" max="8204" width="0.5703125" style="30" customWidth="1"/>
    <col min="8205" max="8449" width="10.28515625" style="30"/>
    <col min="8450" max="8450" width="6" style="30" customWidth="1"/>
    <col min="8451" max="8451" width="30" style="30" customWidth="1"/>
    <col min="8452" max="8452" width="6.28515625" style="30" customWidth="1"/>
    <col min="8453" max="8453" width="9.5703125" style="30" customWidth="1"/>
    <col min="8454" max="8455" width="12.42578125" style="30" customWidth="1"/>
    <col min="8456" max="8456" width="17.42578125" style="30" customWidth="1"/>
    <col min="8457" max="8457" width="0.85546875" style="30" customWidth="1"/>
    <col min="8458" max="8459" width="0.7109375" style="30" customWidth="1"/>
    <col min="8460" max="8460" width="0.5703125" style="30" customWidth="1"/>
    <col min="8461" max="8705" width="10.28515625" style="30"/>
    <col min="8706" max="8706" width="6" style="30" customWidth="1"/>
    <col min="8707" max="8707" width="30" style="30" customWidth="1"/>
    <col min="8708" max="8708" width="6.28515625" style="30" customWidth="1"/>
    <col min="8709" max="8709" width="9.5703125" style="30" customWidth="1"/>
    <col min="8710" max="8711" width="12.42578125" style="30" customWidth="1"/>
    <col min="8712" max="8712" width="17.42578125" style="30" customWidth="1"/>
    <col min="8713" max="8713" width="0.85546875" style="30" customWidth="1"/>
    <col min="8714" max="8715" width="0.7109375" style="30" customWidth="1"/>
    <col min="8716" max="8716" width="0.5703125" style="30" customWidth="1"/>
    <col min="8717" max="8961" width="10.28515625" style="30"/>
    <col min="8962" max="8962" width="6" style="30" customWidth="1"/>
    <col min="8963" max="8963" width="30" style="30" customWidth="1"/>
    <col min="8964" max="8964" width="6.28515625" style="30" customWidth="1"/>
    <col min="8965" max="8965" width="9.5703125" style="30" customWidth="1"/>
    <col min="8966" max="8967" width="12.42578125" style="30" customWidth="1"/>
    <col min="8968" max="8968" width="17.42578125" style="30" customWidth="1"/>
    <col min="8969" max="8969" width="0.85546875" style="30" customWidth="1"/>
    <col min="8970" max="8971" width="0.7109375" style="30" customWidth="1"/>
    <col min="8972" max="8972" width="0.5703125" style="30" customWidth="1"/>
    <col min="8973" max="9217" width="10.28515625" style="30"/>
    <col min="9218" max="9218" width="6" style="30" customWidth="1"/>
    <col min="9219" max="9219" width="30" style="30" customWidth="1"/>
    <col min="9220" max="9220" width="6.28515625" style="30" customWidth="1"/>
    <col min="9221" max="9221" width="9.5703125" style="30" customWidth="1"/>
    <col min="9222" max="9223" width="12.42578125" style="30" customWidth="1"/>
    <col min="9224" max="9224" width="17.42578125" style="30" customWidth="1"/>
    <col min="9225" max="9225" width="0.85546875" style="30" customWidth="1"/>
    <col min="9226" max="9227" width="0.7109375" style="30" customWidth="1"/>
    <col min="9228" max="9228" width="0.5703125" style="30" customWidth="1"/>
    <col min="9229" max="9473" width="10.28515625" style="30"/>
    <col min="9474" max="9474" width="6" style="30" customWidth="1"/>
    <col min="9475" max="9475" width="30" style="30" customWidth="1"/>
    <col min="9476" max="9476" width="6.28515625" style="30" customWidth="1"/>
    <col min="9477" max="9477" width="9.5703125" style="30" customWidth="1"/>
    <col min="9478" max="9479" width="12.42578125" style="30" customWidth="1"/>
    <col min="9480" max="9480" width="17.42578125" style="30" customWidth="1"/>
    <col min="9481" max="9481" width="0.85546875" style="30" customWidth="1"/>
    <col min="9482" max="9483" width="0.7109375" style="30" customWidth="1"/>
    <col min="9484" max="9484" width="0.5703125" style="30" customWidth="1"/>
    <col min="9485" max="9729" width="10.28515625" style="30"/>
    <col min="9730" max="9730" width="6" style="30" customWidth="1"/>
    <col min="9731" max="9731" width="30" style="30" customWidth="1"/>
    <col min="9732" max="9732" width="6.28515625" style="30" customWidth="1"/>
    <col min="9733" max="9733" width="9.5703125" style="30" customWidth="1"/>
    <col min="9734" max="9735" width="12.42578125" style="30" customWidth="1"/>
    <col min="9736" max="9736" width="17.42578125" style="30" customWidth="1"/>
    <col min="9737" max="9737" width="0.85546875" style="30" customWidth="1"/>
    <col min="9738" max="9739" width="0.7109375" style="30" customWidth="1"/>
    <col min="9740" max="9740" width="0.5703125" style="30" customWidth="1"/>
    <col min="9741" max="9985" width="10.28515625" style="30"/>
    <col min="9986" max="9986" width="6" style="30" customWidth="1"/>
    <col min="9987" max="9987" width="30" style="30" customWidth="1"/>
    <col min="9988" max="9988" width="6.28515625" style="30" customWidth="1"/>
    <col min="9989" max="9989" width="9.5703125" style="30" customWidth="1"/>
    <col min="9990" max="9991" width="12.42578125" style="30" customWidth="1"/>
    <col min="9992" max="9992" width="17.42578125" style="30" customWidth="1"/>
    <col min="9993" max="9993" width="0.85546875" style="30" customWidth="1"/>
    <col min="9994" max="9995" width="0.7109375" style="30" customWidth="1"/>
    <col min="9996" max="9996" width="0.5703125" style="30" customWidth="1"/>
    <col min="9997" max="10241" width="10.28515625" style="30"/>
    <col min="10242" max="10242" width="6" style="30" customWidth="1"/>
    <col min="10243" max="10243" width="30" style="30" customWidth="1"/>
    <col min="10244" max="10244" width="6.28515625" style="30" customWidth="1"/>
    <col min="10245" max="10245" width="9.5703125" style="30" customWidth="1"/>
    <col min="10246" max="10247" width="12.42578125" style="30" customWidth="1"/>
    <col min="10248" max="10248" width="17.42578125" style="30" customWidth="1"/>
    <col min="10249" max="10249" width="0.85546875" style="30" customWidth="1"/>
    <col min="10250" max="10251" width="0.7109375" style="30" customWidth="1"/>
    <col min="10252" max="10252" width="0.5703125" style="30" customWidth="1"/>
    <col min="10253" max="10497" width="10.28515625" style="30"/>
    <col min="10498" max="10498" width="6" style="30" customWidth="1"/>
    <col min="10499" max="10499" width="30" style="30" customWidth="1"/>
    <col min="10500" max="10500" width="6.28515625" style="30" customWidth="1"/>
    <col min="10501" max="10501" width="9.5703125" style="30" customWidth="1"/>
    <col min="10502" max="10503" width="12.42578125" style="30" customWidth="1"/>
    <col min="10504" max="10504" width="17.42578125" style="30" customWidth="1"/>
    <col min="10505" max="10505" width="0.85546875" style="30" customWidth="1"/>
    <col min="10506" max="10507" width="0.7109375" style="30" customWidth="1"/>
    <col min="10508" max="10508" width="0.5703125" style="30" customWidth="1"/>
    <col min="10509" max="10753" width="10.28515625" style="30"/>
    <col min="10754" max="10754" width="6" style="30" customWidth="1"/>
    <col min="10755" max="10755" width="30" style="30" customWidth="1"/>
    <col min="10756" max="10756" width="6.28515625" style="30" customWidth="1"/>
    <col min="10757" max="10757" width="9.5703125" style="30" customWidth="1"/>
    <col min="10758" max="10759" width="12.42578125" style="30" customWidth="1"/>
    <col min="10760" max="10760" width="17.42578125" style="30" customWidth="1"/>
    <col min="10761" max="10761" width="0.85546875" style="30" customWidth="1"/>
    <col min="10762" max="10763" width="0.7109375" style="30" customWidth="1"/>
    <col min="10764" max="10764" width="0.5703125" style="30" customWidth="1"/>
    <col min="10765" max="11009" width="10.28515625" style="30"/>
    <col min="11010" max="11010" width="6" style="30" customWidth="1"/>
    <col min="11011" max="11011" width="30" style="30" customWidth="1"/>
    <col min="11012" max="11012" width="6.28515625" style="30" customWidth="1"/>
    <col min="11013" max="11013" width="9.5703125" style="30" customWidth="1"/>
    <col min="11014" max="11015" width="12.42578125" style="30" customWidth="1"/>
    <col min="11016" max="11016" width="17.42578125" style="30" customWidth="1"/>
    <col min="11017" max="11017" width="0.85546875" style="30" customWidth="1"/>
    <col min="11018" max="11019" width="0.7109375" style="30" customWidth="1"/>
    <col min="11020" max="11020" width="0.5703125" style="30" customWidth="1"/>
    <col min="11021" max="11265" width="10.28515625" style="30"/>
    <col min="11266" max="11266" width="6" style="30" customWidth="1"/>
    <col min="11267" max="11267" width="30" style="30" customWidth="1"/>
    <col min="11268" max="11268" width="6.28515625" style="30" customWidth="1"/>
    <col min="11269" max="11269" width="9.5703125" style="30" customWidth="1"/>
    <col min="11270" max="11271" width="12.42578125" style="30" customWidth="1"/>
    <col min="11272" max="11272" width="17.42578125" style="30" customWidth="1"/>
    <col min="11273" max="11273" width="0.85546875" style="30" customWidth="1"/>
    <col min="11274" max="11275" width="0.7109375" style="30" customWidth="1"/>
    <col min="11276" max="11276" width="0.5703125" style="30" customWidth="1"/>
    <col min="11277" max="11521" width="10.28515625" style="30"/>
    <col min="11522" max="11522" width="6" style="30" customWidth="1"/>
    <col min="11523" max="11523" width="30" style="30" customWidth="1"/>
    <col min="11524" max="11524" width="6.28515625" style="30" customWidth="1"/>
    <col min="11525" max="11525" width="9.5703125" style="30" customWidth="1"/>
    <col min="11526" max="11527" width="12.42578125" style="30" customWidth="1"/>
    <col min="11528" max="11528" width="17.42578125" style="30" customWidth="1"/>
    <col min="11529" max="11529" width="0.85546875" style="30" customWidth="1"/>
    <col min="11530" max="11531" width="0.7109375" style="30" customWidth="1"/>
    <col min="11532" max="11532" width="0.5703125" style="30" customWidth="1"/>
    <col min="11533" max="11777" width="10.28515625" style="30"/>
    <col min="11778" max="11778" width="6" style="30" customWidth="1"/>
    <col min="11779" max="11779" width="30" style="30" customWidth="1"/>
    <col min="11780" max="11780" width="6.28515625" style="30" customWidth="1"/>
    <col min="11781" max="11781" width="9.5703125" style="30" customWidth="1"/>
    <col min="11782" max="11783" width="12.42578125" style="30" customWidth="1"/>
    <col min="11784" max="11784" width="17.42578125" style="30" customWidth="1"/>
    <col min="11785" max="11785" width="0.85546875" style="30" customWidth="1"/>
    <col min="11786" max="11787" width="0.7109375" style="30" customWidth="1"/>
    <col min="11788" max="11788" width="0.5703125" style="30" customWidth="1"/>
    <col min="11789" max="12033" width="10.28515625" style="30"/>
    <col min="12034" max="12034" width="6" style="30" customWidth="1"/>
    <col min="12035" max="12035" width="30" style="30" customWidth="1"/>
    <col min="12036" max="12036" width="6.28515625" style="30" customWidth="1"/>
    <col min="12037" max="12037" width="9.5703125" style="30" customWidth="1"/>
    <col min="12038" max="12039" width="12.42578125" style="30" customWidth="1"/>
    <col min="12040" max="12040" width="17.42578125" style="30" customWidth="1"/>
    <col min="12041" max="12041" width="0.85546875" style="30" customWidth="1"/>
    <col min="12042" max="12043" width="0.7109375" style="30" customWidth="1"/>
    <col min="12044" max="12044" width="0.5703125" style="30" customWidth="1"/>
    <col min="12045" max="12289" width="10.28515625" style="30"/>
    <col min="12290" max="12290" width="6" style="30" customWidth="1"/>
    <col min="12291" max="12291" width="30" style="30" customWidth="1"/>
    <col min="12292" max="12292" width="6.28515625" style="30" customWidth="1"/>
    <col min="12293" max="12293" width="9.5703125" style="30" customWidth="1"/>
    <col min="12294" max="12295" width="12.42578125" style="30" customWidth="1"/>
    <col min="12296" max="12296" width="17.42578125" style="30" customWidth="1"/>
    <col min="12297" max="12297" width="0.85546875" style="30" customWidth="1"/>
    <col min="12298" max="12299" width="0.7109375" style="30" customWidth="1"/>
    <col min="12300" max="12300" width="0.5703125" style="30" customWidth="1"/>
    <col min="12301" max="12545" width="10.28515625" style="30"/>
    <col min="12546" max="12546" width="6" style="30" customWidth="1"/>
    <col min="12547" max="12547" width="30" style="30" customWidth="1"/>
    <col min="12548" max="12548" width="6.28515625" style="30" customWidth="1"/>
    <col min="12549" max="12549" width="9.5703125" style="30" customWidth="1"/>
    <col min="12550" max="12551" width="12.42578125" style="30" customWidth="1"/>
    <col min="12552" max="12552" width="17.42578125" style="30" customWidth="1"/>
    <col min="12553" max="12553" width="0.85546875" style="30" customWidth="1"/>
    <col min="12554" max="12555" width="0.7109375" style="30" customWidth="1"/>
    <col min="12556" max="12556" width="0.5703125" style="30" customWidth="1"/>
    <col min="12557" max="12801" width="10.28515625" style="30"/>
    <col min="12802" max="12802" width="6" style="30" customWidth="1"/>
    <col min="12803" max="12803" width="30" style="30" customWidth="1"/>
    <col min="12804" max="12804" width="6.28515625" style="30" customWidth="1"/>
    <col min="12805" max="12805" width="9.5703125" style="30" customWidth="1"/>
    <col min="12806" max="12807" width="12.42578125" style="30" customWidth="1"/>
    <col min="12808" max="12808" width="17.42578125" style="30" customWidth="1"/>
    <col min="12809" max="12809" width="0.85546875" style="30" customWidth="1"/>
    <col min="12810" max="12811" width="0.7109375" style="30" customWidth="1"/>
    <col min="12812" max="12812" width="0.5703125" style="30" customWidth="1"/>
    <col min="12813" max="13057" width="10.28515625" style="30"/>
    <col min="13058" max="13058" width="6" style="30" customWidth="1"/>
    <col min="13059" max="13059" width="30" style="30" customWidth="1"/>
    <col min="13060" max="13060" width="6.28515625" style="30" customWidth="1"/>
    <col min="13061" max="13061" width="9.5703125" style="30" customWidth="1"/>
    <col min="13062" max="13063" width="12.42578125" style="30" customWidth="1"/>
    <col min="13064" max="13064" width="17.42578125" style="30" customWidth="1"/>
    <col min="13065" max="13065" width="0.85546875" style="30" customWidth="1"/>
    <col min="13066" max="13067" width="0.7109375" style="30" customWidth="1"/>
    <col min="13068" max="13068" width="0.5703125" style="30" customWidth="1"/>
    <col min="13069" max="13313" width="10.28515625" style="30"/>
    <col min="13314" max="13314" width="6" style="30" customWidth="1"/>
    <col min="13315" max="13315" width="30" style="30" customWidth="1"/>
    <col min="13316" max="13316" width="6.28515625" style="30" customWidth="1"/>
    <col min="13317" max="13317" width="9.5703125" style="30" customWidth="1"/>
    <col min="13318" max="13319" width="12.42578125" style="30" customWidth="1"/>
    <col min="13320" max="13320" width="17.42578125" style="30" customWidth="1"/>
    <col min="13321" max="13321" width="0.85546875" style="30" customWidth="1"/>
    <col min="13322" max="13323" width="0.7109375" style="30" customWidth="1"/>
    <col min="13324" max="13324" width="0.5703125" style="30" customWidth="1"/>
    <col min="13325" max="13569" width="10.28515625" style="30"/>
    <col min="13570" max="13570" width="6" style="30" customWidth="1"/>
    <col min="13571" max="13571" width="30" style="30" customWidth="1"/>
    <col min="13572" max="13572" width="6.28515625" style="30" customWidth="1"/>
    <col min="13573" max="13573" width="9.5703125" style="30" customWidth="1"/>
    <col min="13574" max="13575" width="12.42578125" style="30" customWidth="1"/>
    <col min="13576" max="13576" width="17.42578125" style="30" customWidth="1"/>
    <col min="13577" max="13577" width="0.85546875" style="30" customWidth="1"/>
    <col min="13578" max="13579" width="0.7109375" style="30" customWidth="1"/>
    <col min="13580" max="13580" width="0.5703125" style="30" customWidth="1"/>
    <col min="13581" max="13825" width="10.28515625" style="30"/>
    <col min="13826" max="13826" width="6" style="30" customWidth="1"/>
    <col min="13827" max="13827" width="30" style="30" customWidth="1"/>
    <col min="13828" max="13828" width="6.28515625" style="30" customWidth="1"/>
    <col min="13829" max="13829" width="9.5703125" style="30" customWidth="1"/>
    <col min="13830" max="13831" width="12.42578125" style="30" customWidth="1"/>
    <col min="13832" max="13832" width="17.42578125" style="30" customWidth="1"/>
    <col min="13833" max="13833" width="0.85546875" style="30" customWidth="1"/>
    <col min="13834" max="13835" width="0.7109375" style="30" customWidth="1"/>
    <col min="13836" max="13836" width="0.5703125" style="30" customWidth="1"/>
    <col min="13837" max="14081" width="10.28515625" style="30"/>
    <col min="14082" max="14082" width="6" style="30" customWidth="1"/>
    <col min="14083" max="14083" width="30" style="30" customWidth="1"/>
    <col min="14084" max="14084" width="6.28515625" style="30" customWidth="1"/>
    <col min="14085" max="14085" width="9.5703125" style="30" customWidth="1"/>
    <col min="14086" max="14087" width="12.42578125" style="30" customWidth="1"/>
    <col min="14088" max="14088" width="17.42578125" style="30" customWidth="1"/>
    <col min="14089" max="14089" width="0.85546875" style="30" customWidth="1"/>
    <col min="14090" max="14091" width="0.7109375" style="30" customWidth="1"/>
    <col min="14092" max="14092" width="0.5703125" style="30" customWidth="1"/>
    <col min="14093" max="14337" width="10.28515625" style="30"/>
    <col min="14338" max="14338" width="6" style="30" customWidth="1"/>
    <col min="14339" max="14339" width="30" style="30" customWidth="1"/>
    <col min="14340" max="14340" width="6.28515625" style="30" customWidth="1"/>
    <col min="14341" max="14341" width="9.5703125" style="30" customWidth="1"/>
    <col min="14342" max="14343" width="12.42578125" style="30" customWidth="1"/>
    <col min="14344" max="14344" width="17.42578125" style="30" customWidth="1"/>
    <col min="14345" max="14345" width="0.85546875" style="30" customWidth="1"/>
    <col min="14346" max="14347" width="0.7109375" style="30" customWidth="1"/>
    <col min="14348" max="14348" width="0.5703125" style="30" customWidth="1"/>
    <col min="14349" max="14593" width="10.28515625" style="30"/>
    <col min="14594" max="14594" width="6" style="30" customWidth="1"/>
    <col min="14595" max="14595" width="30" style="30" customWidth="1"/>
    <col min="14596" max="14596" width="6.28515625" style="30" customWidth="1"/>
    <col min="14597" max="14597" width="9.5703125" style="30" customWidth="1"/>
    <col min="14598" max="14599" width="12.42578125" style="30" customWidth="1"/>
    <col min="14600" max="14600" width="17.42578125" style="30" customWidth="1"/>
    <col min="14601" max="14601" width="0.85546875" style="30" customWidth="1"/>
    <col min="14602" max="14603" width="0.7109375" style="30" customWidth="1"/>
    <col min="14604" max="14604" width="0.5703125" style="30" customWidth="1"/>
    <col min="14605" max="14849" width="10.28515625" style="30"/>
    <col min="14850" max="14850" width="6" style="30" customWidth="1"/>
    <col min="14851" max="14851" width="30" style="30" customWidth="1"/>
    <col min="14852" max="14852" width="6.28515625" style="30" customWidth="1"/>
    <col min="14853" max="14853" width="9.5703125" style="30" customWidth="1"/>
    <col min="14854" max="14855" width="12.42578125" style="30" customWidth="1"/>
    <col min="14856" max="14856" width="17.42578125" style="30" customWidth="1"/>
    <col min="14857" max="14857" width="0.85546875" style="30" customWidth="1"/>
    <col min="14858" max="14859" width="0.7109375" style="30" customWidth="1"/>
    <col min="14860" max="14860" width="0.5703125" style="30" customWidth="1"/>
    <col min="14861" max="15105" width="10.28515625" style="30"/>
    <col min="15106" max="15106" width="6" style="30" customWidth="1"/>
    <col min="15107" max="15107" width="30" style="30" customWidth="1"/>
    <col min="15108" max="15108" width="6.28515625" style="30" customWidth="1"/>
    <col min="15109" max="15109" width="9.5703125" style="30" customWidth="1"/>
    <col min="15110" max="15111" width="12.42578125" style="30" customWidth="1"/>
    <col min="15112" max="15112" width="17.42578125" style="30" customWidth="1"/>
    <col min="15113" max="15113" width="0.85546875" style="30" customWidth="1"/>
    <col min="15114" max="15115" width="0.7109375" style="30" customWidth="1"/>
    <col min="15116" max="15116" width="0.5703125" style="30" customWidth="1"/>
    <col min="15117" max="15361" width="10.28515625" style="30"/>
    <col min="15362" max="15362" width="6" style="30" customWidth="1"/>
    <col min="15363" max="15363" width="30" style="30" customWidth="1"/>
    <col min="15364" max="15364" width="6.28515625" style="30" customWidth="1"/>
    <col min="15365" max="15365" width="9.5703125" style="30" customWidth="1"/>
    <col min="15366" max="15367" width="12.42578125" style="30" customWidth="1"/>
    <col min="15368" max="15368" width="17.42578125" style="30" customWidth="1"/>
    <col min="15369" max="15369" width="0.85546875" style="30" customWidth="1"/>
    <col min="15370" max="15371" width="0.7109375" style="30" customWidth="1"/>
    <col min="15372" max="15372" width="0.5703125" style="30" customWidth="1"/>
    <col min="15373" max="15617" width="10.28515625" style="30"/>
    <col min="15618" max="15618" width="6" style="30" customWidth="1"/>
    <col min="15619" max="15619" width="30" style="30" customWidth="1"/>
    <col min="15620" max="15620" width="6.28515625" style="30" customWidth="1"/>
    <col min="15621" max="15621" width="9.5703125" style="30" customWidth="1"/>
    <col min="15622" max="15623" width="12.42578125" style="30" customWidth="1"/>
    <col min="15624" max="15624" width="17.42578125" style="30" customWidth="1"/>
    <col min="15625" max="15625" width="0.85546875" style="30" customWidth="1"/>
    <col min="15626" max="15627" width="0.7109375" style="30" customWidth="1"/>
    <col min="15628" max="15628" width="0.5703125" style="30" customWidth="1"/>
    <col min="15629" max="15873" width="10.28515625" style="30"/>
    <col min="15874" max="15874" width="6" style="30" customWidth="1"/>
    <col min="15875" max="15875" width="30" style="30" customWidth="1"/>
    <col min="15876" max="15876" width="6.28515625" style="30" customWidth="1"/>
    <col min="15877" max="15877" width="9.5703125" style="30" customWidth="1"/>
    <col min="15878" max="15879" width="12.42578125" style="30" customWidth="1"/>
    <col min="15880" max="15880" width="17.42578125" style="30" customWidth="1"/>
    <col min="15881" max="15881" width="0.85546875" style="30" customWidth="1"/>
    <col min="15882" max="15883" width="0.7109375" style="30" customWidth="1"/>
    <col min="15884" max="15884" width="0.5703125" style="30" customWidth="1"/>
    <col min="15885" max="16129" width="10.28515625" style="30"/>
    <col min="16130" max="16130" width="6" style="30" customWidth="1"/>
    <col min="16131" max="16131" width="30" style="30" customWidth="1"/>
    <col min="16132" max="16132" width="6.28515625" style="30" customWidth="1"/>
    <col min="16133" max="16133" width="9.5703125" style="30" customWidth="1"/>
    <col min="16134" max="16135" width="12.42578125" style="30" customWidth="1"/>
    <col min="16136" max="16136" width="17.42578125" style="30" customWidth="1"/>
    <col min="16137" max="16137" width="0.85546875" style="30" customWidth="1"/>
    <col min="16138" max="16139" width="0.7109375" style="30" customWidth="1"/>
    <col min="16140" max="16140" width="0.5703125" style="30" customWidth="1"/>
    <col min="16141" max="16384" width="10.28515625" style="30"/>
  </cols>
  <sheetData>
    <row r="1" spans="1:14" s="26" customFormat="1" ht="15.75" customHeight="1">
      <c r="A1" s="21" t="s">
        <v>230</v>
      </c>
      <c r="B1" s="21"/>
      <c r="C1" s="21"/>
      <c r="D1" s="21"/>
      <c r="E1" s="21"/>
      <c r="F1" s="22"/>
      <c r="G1" s="22"/>
      <c r="H1" s="21"/>
      <c r="I1" s="23"/>
      <c r="J1" s="311"/>
      <c r="K1" s="521"/>
      <c r="L1" s="24"/>
      <c r="M1" s="201"/>
      <c r="N1" s="25"/>
    </row>
    <row r="2" spans="1:14" s="26" customFormat="1" ht="15.75" customHeight="1">
      <c r="A2" s="21" t="s">
        <v>207</v>
      </c>
      <c r="B2" s="21"/>
      <c r="C2" s="21"/>
      <c r="D2" s="21"/>
      <c r="E2" s="21"/>
      <c r="F2" s="22"/>
      <c r="G2" s="22"/>
      <c r="H2" s="21"/>
      <c r="I2" s="23"/>
      <c r="J2" s="311"/>
      <c r="K2" s="521"/>
      <c r="L2" s="24"/>
      <c r="M2" s="201"/>
      <c r="N2" s="25"/>
    </row>
    <row r="3" spans="1:14" ht="13.5" customHeight="1">
      <c r="A3" s="682" t="s">
        <v>232</v>
      </c>
      <c r="B3" s="682"/>
      <c r="C3" s="682"/>
      <c r="D3" s="682"/>
      <c r="E3" s="682"/>
      <c r="F3" s="682"/>
      <c r="H3" s="27"/>
      <c r="I3" s="28"/>
    </row>
    <row r="4" spans="1:14" s="2" customFormat="1" ht="13.5" customHeight="1">
      <c r="A4" s="31" t="s">
        <v>1213</v>
      </c>
      <c r="B4" s="31"/>
      <c r="C4" s="32"/>
      <c r="D4" s="33"/>
      <c r="E4" s="33"/>
      <c r="F4" s="34" t="s">
        <v>1214</v>
      </c>
      <c r="G4" s="34"/>
      <c r="H4" s="29"/>
      <c r="J4" s="312"/>
      <c r="K4" s="522"/>
      <c r="M4" s="203"/>
      <c r="N4" s="35"/>
    </row>
    <row r="5" spans="1:14" s="43" customFormat="1" ht="30" customHeight="1">
      <c r="A5" s="36" t="s">
        <v>235</v>
      </c>
      <c r="B5" s="37" t="s">
        <v>1577</v>
      </c>
      <c r="C5" s="37" t="s">
        <v>237</v>
      </c>
      <c r="D5" s="37" t="s">
        <v>1439</v>
      </c>
      <c r="E5" s="38" t="s">
        <v>1438</v>
      </c>
      <c r="F5" s="39" t="s">
        <v>221</v>
      </c>
      <c r="G5" s="39"/>
      <c r="H5" s="204" t="s">
        <v>1769</v>
      </c>
      <c r="I5" s="222" t="s">
        <v>1942</v>
      </c>
      <c r="J5" s="313" t="s">
        <v>1943</v>
      </c>
      <c r="K5" s="521"/>
      <c r="L5" s="42"/>
      <c r="M5" s="205"/>
      <c r="N5" s="35"/>
    </row>
    <row r="6" spans="1:14" ht="21.95" customHeight="1">
      <c r="A6" s="6" t="s">
        <v>10</v>
      </c>
      <c r="B6" s="7" t="s">
        <v>12</v>
      </c>
      <c r="C6" s="8" t="s">
        <v>4</v>
      </c>
      <c r="D6" s="44">
        <v>1</v>
      </c>
      <c r="E6" s="44"/>
      <c r="F6" s="45"/>
      <c r="G6" s="45"/>
      <c r="H6" s="44" t="s">
        <v>242</v>
      </c>
      <c r="I6" s="223" t="s">
        <v>243</v>
      </c>
      <c r="J6" s="232"/>
    </row>
    <row r="7" spans="1:14" ht="21.95" customHeight="1">
      <c r="A7" s="6" t="s">
        <v>206</v>
      </c>
      <c r="B7" s="7" t="s">
        <v>2</v>
      </c>
      <c r="C7" s="8" t="s">
        <v>4</v>
      </c>
      <c r="D7" s="44">
        <v>1</v>
      </c>
      <c r="E7" s="44"/>
      <c r="F7" s="45"/>
      <c r="G7" s="45"/>
      <c r="H7" s="44" t="s">
        <v>242</v>
      </c>
      <c r="I7" s="223" t="s">
        <v>243</v>
      </c>
      <c r="J7" s="232"/>
    </row>
    <row r="8" spans="1:14" ht="21.95" customHeight="1">
      <c r="A8" s="6" t="s">
        <v>40</v>
      </c>
      <c r="B8" s="7" t="s">
        <v>244</v>
      </c>
      <c r="C8" s="8" t="s">
        <v>4</v>
      </c>
      <c r="D8" s="44">
        <v>1</v>
      </c>
      <c r="E8" s="44"/>
      <c r="F8" s="45"/>
      <c r="G8" s="45"/>
      <c r="H8" s="44" t="s">
        <v>242</v>
      </c>
      <c r="I8" s="223" t="s">
        <v>243</v>
      </c>
      <c r="J8" s="232"/>
    </row>
    <row r="9" spans="1:14" ht="33" customHeight="1">
      <c r="A9" s="12" t="s">
        <v>41</v>
      </c>
      <c r="B9" s="10" t="s">
        <v>1215</v>
      </c>
      <c r="C9" s="8" t="s">
        <v>6</v>
      </c>
      <c r="D9" s="44">
        <v>720.24</v>
      </c>
      <c r="E9" s="44"/>
      <c r="F9" s="45" t="s">
        <v>1246</v>
      </c>
      <c r="G9" s="47" t="s">
        <v>1239</v>
      </c>
      <c r="H9" s="44">
        <f>(290*2*0.15*0.2+12*5*0.15*0.2)+(53*2*0.15*0.2+3*4*0.14*0.2)</f>
        <v>22.716000000000001</v>
      </c>
      <c r="I9" s="224">
        <f>SUM(H9:H13)</f>
        <v>200.24699999999999</v>
      </c>
      <c r="J9" s="232" t="s">
        <v>2170</v>
      </c>
      <c r="N9" s="49"/>
    </row>
    <row r="10" spans="1:14">
      <c r="A10" s="12"/>
      <c r="B10" s="10"/>
      <c r="C10" s="8"/>
      <c r="D10" s="44"/>
      <c r="E10" s="44"/>
      <c r="F10" s="45" t="s">
        <v>1233</v>
      </c>
      <c r="G10" s="47" t="s">
        <v>1238</v>
      </c>
      <c r="H10" s="44">
        <f>27.2*10.5*0.25</f>
        <v>71.399999999999991</v>
      </c>
      <c r="I10" s="224"/>
      <c r="J10" s="232"/>
      <c r="N10" s="49"/>
    </row>
    <row r="11" spans="1:14" ht="16.5" customHeight="1">
      <c r="A11" s="12"/>
      <c r="B11" s="10"/>
      <c r="C11" s="8"/>
      <c r="D11" s="44"/>
      <c r="E11" s="44"/>
      <c r="F11" s="45" t="s">
        <v>1231</v>
      </c>
      <c r="G11" s="47" t="s">
        <v>1237</v>
      </c>
      <c r="H11" s="44">
        <f>11.5*(7.5+4.5)/2*0.23</f>
        <v>15.870000000000001</v>
      </c>
      <c r="I11" s="223"/>
      <c r="J11" s="232"/>
      <c r="N11" s="49"/>
    </row>
    <row r="12" spans="1:14" ht="32.25" customHeight="1">
      <c r="A12" s="12"/>
      <c r="B12" s="10"/>
      <c r="C12" s="8"/>
      <c r="D12" s="44"/>
      <c r="E12" s="44"/>
      <c r="F12" s="50" t="s">
        <v>1256</v>
      </c>
      <c r="G12" s="51" t="s">
        <v>1255</v>
      </c>
      <c r="H12" s="44">
        <f>(77.5+169.3+170.9+49.4)*0.15</f>
        <v>70.064999999999998</v>
      </c>
      <c r="I12" s="223"/>
      <c r="J12" s="232"/>
      <c r="N12" s="49"/>
    </row>
    <row r="13" spans="1:14" ht="16.5" customHeight="1">
      <c r="A13" s="12"/>
      <c r="B13" s="10"/>
      <c r="C13" s="8"/>
      <c r="D13" s="44"/>
      <c r="E13" s="44"/>
      <c r="F13" s="45" t="s">
        <v>1240</v>
      </c>
      <c r="G13" s="47" t="s">
        <v>1241</v>
      </c>
      <c r="H13" s="44">
        <f>10.8*(7.5+9.5)/2*0.22</f>
        <v>20.196000000000002</v>
      </c>
      <c r="I13" s="223"/>
      <c r="J13" s="232"/>
      <c r="N13" s="49"/>
    </row>
    <row r="14" spans="1:14" ht="16.5" customHeight="1">
      <c r="A14" s="12"/>
      <c r="B14" s="10"/>
      <c r="C14" s="8"/>
      <c r="D14" s="44"/>
      <c r="E14" s="44"/>
      <c r="F14" s="45"/>
      <c r="G14" s="47"/>
      <c r="H14" s="44"/>
      <c r="I14" s="223"/>
      <c r="J14" s="232"/>
      <c r="N14" s="49"/>
    </row>
    <row r="15" spans="1:14" ht="36" customHeight="1">
      <c r="A15" s="12" t="s">
        <v>42</v>
      </c>
      <c r="B15" s="10" t="s">
        <v>1612</v>
      </c>
      <c r="C15" s="8" t="s">
        <v>6</v>
      </c>
      <c r="D15" s="44">
        <v>4813.4399999999996</v>
      </c>
      <c r="E15" s="44"/>
      <c r="F15" s="45" t="s">
        <v>1273</v>
      </c>
      <c r="G15" s="47" t="s">
        <v>1232</v>
      </c>
      <c r="H15" s="44">
        <f>(1.2*0.5*8*39)+(1.2*0.5*8*7)</f>
        <v>220.79999999999998</v>
      </c>
      <c r="I15" s="224">
        <f>SUM(H15:H31)</f>
        <v>4091.1705088000003</v>
      </c>
      <c r="J15" s="232" t="s">
        <v>2170</v>
      </c>
      <c r="N15" s="49"/>
    </row>
    <row r="16" spans="1:14" ht="52.5" customHeight="1">
      <c r="A16" s="12"/>
      <c r="B16" s="7"/>
      <c r="C16" s="8"/>
      <c r="D16" s="44"/>
      <c r="E16" s="44"/>
      <c r="F16" s="45" t="s">
        <v>1244</v>
      </c>
      <c r="G16" s="47" t="s">
        <v>1262</v>
      </c>
      <c r="H16" s="44">
        <f>((27.2*10.3*0.3+0.3*1.1*27.2*2)+(13.2*1.25*0.6*7*2)+(6.8*1.25*0.5*7)+(((1.9+0.8)/2*1.2*7.8)+1.9*2.5*1.2)+((1.25*1.25*3.14*3.6)))</f>
        <v>306.34850000000006</v>
      </c>
      <c r="I16" s="223"/>
      <c r="J16" s="232"/>
      <c r="N16" s="49"/>
    </row>
    <row r="17" spans="1:14" ht="33" customHeight="1">
      <c r="A17" s="12"/>
      <c r="B17" s="7"/>
      <c r="C17" s="8"/>
      <c r="D17" s="44"/>
      <c r="E17" s="44"/>
      <c r="F17" s="45" t="s">
        <v>1245</v>
      </c>
      <c r="G17" s="52" t="s">
        <v>1263</v>
      </c>
      <c r="H17" s="44">
        <f>(10.3*1.8*4.2+10.3*1.8*2.8)*2+(10.3*2.8*1.8)*2+((60.65*(3.9+2.2)/2*0.55)+(10.3*3.9*0.6))</f>
        <v>489.22637500000008</v>
      </c>
      <c r="I17" s="223"/>
      <c r="J17" s="232"/>
      <c r="N17" s="49"/>
    </row>
    <row r="18" spans="1:14" ht="33" customHeight="1">
      <c r="A18" s="12"/>
      <c r="B18" s="7"/>
      <c r="C18" s="8"/>
      <c r="D18" s="44"/>
      <c r="E18" s="44"/>
      <c r="F18" s="45" t="s">
        <v>1243</v>
      </c>
      <c r="G18" s="47" t="s">
        <v>1277</v>
      </c>
      <c r="H18" s="44">
        <f>((3.75*(0.3+0.6)/2*63.7)+(5.5*0.85*63.7))+(26.8*7*0.6+18.5*7*0.35)</f>
        <v>563.17624999999998</v>
      </c>
      <c r="I18" s="223"/>
      <c r="J18" s="232"/>
      <c r="N18" s="49"/>
    </row>
    <row r="19" spans="1:14" ht="33" customHeight="1">
      <c r="A19" s="12"/>
      <c r="B19" s="7"/>
      <c r="C19" s="8"/>
      <c r="D19" s="44"/>
      <c r="E19" s="44"/>
      <c r="F19" s="45" t="s">
        <v>1242</v>
      </c>
      <c r="G19" s="47" t="s">
        <v>1266</v>
      </c>
      <c r="H19" s="44">
        <f>((19.3*0.52*0.8*4)+(19.3*7.2*0.3)+(6.8*2.2*0.8*2)+(9.5*3*0.8+9.5*1.8*0.3)+(17.8*0.55*2.8*2))</f>
        <v>180.49320000000003</v>
      </c>
      <c r="I19" s="223"/>
      <c r="J19" s="232"/>
      <c r="N19" s="49"/>
    </row>
    <row r="20" spans="1:14" ht="33" customHeight="1">
      <c r="A20" s="12"/>
      <c r="B20" s="7"/>
      <c r="C20" s="8"/>
      <c r="D20" s="44"/>
      <c r="E20" s="44"/>
      <c r="F20" s="45" t="s">
        <v>1248</v>
      </c>
      <c r="G20" s="45" t="s">
        <v>1249</v>
      </c>
      <c r="H20" s="44">
        <f>((0.9*0.25*80)+(1.25*0.25*263)+(1.15*0.2*263+0.5*0.5*1.05*31))</f>
        <v>168.815</v>
      </c>
      <c r="I20" s="223"/>
      <c r="J20" s="232"/>
      <c r="N20" s="49"/>
    </row>
    <row r="21" spans="1:14" ht="16.5" customHeight="1">
      <c r="A21" s="12"/>
      <c r="B21" s="7"/>
      <c r="C21" s="8"/>
      <c r="D21" s="44"/>
      <c r="E21" s="44"/>
      <c r="F21" s="45" t="s">
        <v>1274</v>
      </c>
      <c r="G21" s="45" t="s">
        <v>1247</v>
      </c>
      <c r="H21" s="44">
        <f>((1.1*0.8-(0.04*0.04*3.14*6))*263+(1.15*5))</f>
        <v>229.26212800000005</v>
      </c>
      <c r="I21" s="223"/>
      <c r="J21" s="232"/>
      <c r="N21" s="49"/>
    </row>
    <row r="22" spans="1:14" ht="16.5" customHeight="1">
      <c r="A22" s="12"/>
      <c r="B22" s="7"/>
      <c r="C22" s="8"/>
      <c r="D22" s="44"/>
      <c r="E22" s="44"/>
      <c r="F22" s="45" t="s">
        <v>1276</v>
      </c>
      <c r="G22" s="45" t="s">
        <v>1275</v>
      </c>
      <c r="H22" s="44">
        <f>((2.1*2.4)-(1.5*1.75))*25.7+(2.1*1.25*0.6)</f>
        <v>63.640500000000003</v>
      </c>
      <c r="I22" s="223"/>
      <c r="J22" s="232"/>
      <c r="N22" s="49"/>
    </row>
    <row r="23" spans="1:14" ht="16.5" customHeight="1">
      <c r="A23" s="12"/>
      <c r="B23" s="7"/>
      <c r="C23" s="8"/>
      <c r="D23" s="44"/>
      <c r="E23" s="44"/>
      <c r="F23" s="45" t="s">
        <v>1250</v>
      </c>
      <c r="G23" s="45" t="s">
        <v>1265</v>
      </c>
      <c r="H23" s="44">
        <f>((3.75*(0.3+0.6)/2*35.65)+(5.5*0.85*35.65))</f>
        <v>226.82312499999998</v>
      </c>
      <c r="I23" s="223"/>
      <c r="J23" s="232"/>
      <c r="N23" s="49"/>
    </row>
    <row r="24" spans="1:14" ht="33" customHeight="1">
      <c r="A24" s="12"/>
      <c r="B24" s="7"/>
      <c r="C24" s="8"/>
      <c r="D24" s="44"/>
      <c r="E24" s="44"/>
      <c r="F24" s="45" t="s">
        <v>1251</v>
      </c>
      <c r="G24" s="45" t="s">
        <v>1253</v>
      </c>
      <c r="H24" s="44">
        <f>((3.75*(0.3+0.6)/2*6.7)+(2.1*0.6*18.7)+(0.35*1.5*18.7)+(0.35*3.75*3.2))</f>
        <v>48.885749999999994</v>
      </c>
      <c r="I24" s="223"/>
      <c r="J24" s="232"/>
      <c r="N24" s="49"/>
    </row>
    <row r="25" spans="1:14" ht="16.5" customHeight="1">
      <c r="A25" s="12"/>
      <c r="B25" s="7"/>
      <c r="C25" s="8"/>
      <c r="D25" s="44"/>
      <c r="E25" s="44"/>
      <c r="F25" s="45" t="s">
        <v>1257</v>
      </c>
      <c r="G25" s="45" t="s">
        <v>1254</v>
      </c>
      <c r="H25" s="44">
        <f>(277.6*0.525)</f>
        <v>145.74</v>
      </c>
      <c r="I25" s="223"/>
      <c r="J25" s="232"/>
      <c r="N25" s="49"/>
    </row>
    <row r="26" spans="1:14" ht="33" customHeight="1">
      <c r="A26" s="12"/>
      <c r="B26" s="7"/>
      <c r="C26" s="8"/>
      <c r="D26" s="44"/>
      <c r="E26" s="44"/>
      <c r="F26" s="45" t="s">
        <v>1252</v>
      </c>
      <c r="G26" s="45" t="s">
        <v>1264</v>
      </c>
      <c r="H26" s="44">
        <f>(1.1*0.35*196.3)+((0.38*0.38*3.14-0.3*0.3*3.14)*196.3)+2.85*2</f>
        <v>114.80668080000002</v>
      </c>
      <c r="I26" s="223"/>
      <c r="J26" s="232"/>
      <c r="N26" s="49"/>
    </row>
    <row r="27" spans="1:14" ht="16.5" customHeight="1">
      <c r="A27" s="12"/>
      <c r="B27" s="7"/>
      <c r="C27" s="8"/>
      <c r="D27" s="44"/>
      <c r="E27" s="44"/>
      <c r="F27" s="45" t="s">
        <v>1261</v>
      </c>
      <c r="G27" s="50" t="s">
        <v>1260</v>
      </c>
      <c r="H27" s="44">
        <f>(401.1+1104.5+1276+169.3+767.7+52.1)*0.3</f>
        <v>1131.21</v>
      </c>
      <c r="I27" s="223"/>
      <c r="J27" s="232"/>
      <c r="N27" s="49"/>
    </row>
    <row r="28" spans="1:14" ht="16.5" customHeight="1">
      <c r="A28" s="12"/>
      <c r="B28" s="7"/>
      <c r="C28" s="8"/>
      <c r="D28" s="44"/>
      <c r="E28" s="44"/>
      <c r="F28" s="45" t="s">
        <v>1258</v>
      </c>
      <c r="G28" s="50" t="s">
        <v>1259</v>
      </c>
      <c r="H28" s="44">
        <f>(77.5+169.3+170.9+49.4)*0.25</f>
        <v>116.77500000000001</v>
      </c>
      <c r="I28" s="223"/>
      <c r="J28" s="232"/>
      <c r="N28" s="49"/>
    </row>
    <row r="29" spans="1:14" ht="33" customHeight="1">
      <c r="A29" s="12"/>
      <c r="B29" s="7"/>
      <c r="C29" s="8"/>
      <c r="D29" s="44"/>
      <c r="E29" s="44"/>
      <c r="F29" s="45" t="s">
        <v>1267</v>
      </c>
      <c r="G29" s="50" t="s">
        <v>1268</v>
      </c>
      <c r="H29" s="44">
        <f>((112.1+241.1+229.5+0+60.8+0)*0.033)+((3+8+5.7+2.9)*0.5*0.75)</f>
        <v>28.585500000000003</v>
      </c>
      <c r="I29" s="223"/>
      <c r="J29" s="232"/>
      <c r="N29" s="49"/>
    </row>
    <row r="30" spans="1:14" ht="16.5" customHeight="1">
      <c r="A30" s="12"/>
      <c r="B30" s="7"/>
      <c r="C30" s="8"/>
      <c r="D30" s="44"/>
      <c r="E30" s="44"/>
      <c r="F30" s="45" t="s">
        <v>1271</v>
      </c>
      <c r="G30" s="45" t="s">
        <v>1272</v>
      </c>
      <c r="H30" s="44">
        <f>(0.8*(0.75+0.35)/2*18.2)+(0.8*0.8*1.45*7)</f>
        <v>14.504000000000001</v>
      </c>
      <c r="I30" s="223"/>
      <c r="J30" s="232"/>
      <c r="N30" s="49"/>
    </row>
    <row r="31" spans="1:14" ht="33" customHeight="1">
      <c r="A31" s="12"/>
      <c r="B31" s="7"/>
      <c r="C31" s="8"/>
      <c r="D31" s="44"/>
      <c r="E31" s="44"/>
      <c r="F31" s="45" t="s">
        <v>1269</v>
      </c>
      <c r="G31" s="45" t="s">
        <v>1270</v>
      </c>
      <c r="H31" s="44">
        <f>(0.25*1.65*39)+((3.5*(0.3+0.6)/2*5.6)+(2.1*0.6*2.3))+(6.2*5.3*0.35+2.1*2.2*0.6)</f>
        <v>42.078499999999991</v>
      </c>
      <c r="I31" s="223"/>
      <c r="J31" s="232"/>
      <c r="N31" s="49"/>
    </row>
    <row r="32" spans="1:14" ht="16.5" customHeight="1">
      <c r="A32" s="12"/>
      <c r="B32" s="7"/>
      <c r="C32" s="8"/>
      <c r="D32" s="44"/>
      <c r="E32" s="44"/>
      <c r="F32" s="45"/>
      <c r="G32" s="45"/>
      <c r="H32" s="44"/>
      <c r="I32" s="223"/>
      <c r="J32" s="232"/>
      <c r="N32" s="49"/>
    </row>
    <row r="33" spans="1:14" ht="16.5" customHeight="1">
      <c r="A33" s="12"/>
      <c r="B33" s="7"/>
      <c r="C33" s="8"/>
      <c r="D33" s="44"/>
      <c r="E33" s="44"/>
      <c r="F33" s="45"/>
      <c r="G33" s="45"/>
      <c r="H33" s="44"/>
      <c r="I33" s="223"/>
      <c r="J33" s="232"/>
      <c r="N33" s="49"/>
    </row>
    <row r="34" spans="1:14" ht="16.5" customHeight="1">
      <c r="A34" s="12"/>
      <c r="B34" s="7"/>
      <c r="C34" s="8"/>
      <c r="D34" s="44"/>
      <c r="E34" s="44"/>
      <c r="F34" s="45"/>
      <c r="G34" s="45"/>
      <c r="H34" s="44"/>
      <c r="I34" s="223"/>
      <c r="J34" s="232"/>
      <c r="N34" s="49"/>
    </row>
    <row r="35" spans="1:14" ht="30.75" customHeight="1">
      <c r="A35" s="12" t="s">
        <v>43</v>
      </c>
      <c r="B35" s="7" t="s">
        <v>249</v>
      </c>
      <c r="C35" s="8" t="s">
        <v>8</v>
      </c>
      <c r="D35" s="44">
        <v>1743</v>
      </c>
      <c r="E35" s="44"/>
      <c r="F35" s="45" t="s">
        <v>1235</v>
      </c>
      <c r="G35" s="47" t="s">
        <v>1236</v>
      </c>
      <c r="H35" s="44">
        <f>(27.2*16+10.5*6)+(1.25*6*12*5)+(2.3*6*7*2)+(3.8*6+5.2*8)+(2.5*3.14*6)</f>
        <v>1252.9000000000001</v>
      </c>
      <c r="I35" s="224">
        <f>H35+H36</f>
        <v>1747.3000000000002</v>
      </c>
      <c r="J35" s="314">
        <f>I35-D35</f>
        <v>4.3000000000001819</v>
      </c>
      <c r="K35" s="522" t="s">
        <v>2693</v>
      </c>
      <c r="N35" s="49"/>
    </row>
    <row r="36" spans="1:14" ht="16.5" customHeight="1">
      <c r="A36" s="12"/>
      <c r="B36" s="7"/>
      <c r="C36" s="8"/>
      <c r="D36" s="44"/>
      <c r="E36" s="44"/>
      <c r="F36" s="45" t="s">
        <v>1281</v>
      </c>
      <c r="G36" s="47" t="s">
        <v>1280</v>
      </c>
      <c r="H36" s="44">
        <f>18*12+8.5*4+(1.1*6*12*3+0.8)+(3*2)</f>
        <v>494.40000000000003</v>
      </c>
      <c r="I36" s="223"/>
      <c r="J36" s="232"/>
      <c r="N36" s="49"/>
    </row>
    <row r="37" spans="1:14" ht="16.5" customHeight="1">
      <c r="A37" s="12"/>
      <c r="B37" s="7"/>
      <c r="C37" s="8"/>
      <c r="D37" s="44"/>
      <c r="E37" s="44"/>
      <c r="F37" s="45"/>
      <c r="G37" s="47"/>
      <c r="H37" s="44"/>
      <c r="I37" s="223"/>
      <c r="J37" s="232"/>
      <c r="N37" s="49"/>
    </row>
    <row r="38" spans="1:14" ht="38.25" customHeight="1">
      <c r="A38" s="12" t="s">
        <v>44</v>
      </c>
      <c r="B38" s="53" t="s">
        <v>229</v>
      </c>
      <c r="C38" s="8" t="s">
        <v>23</v>
      </c>
      <c r="D38" s="44">
        <v>26370</v>
      </c>
      <c r="E38" s="44">
        <v>28009.56</v>
      </c>
      <c r="F38" s="45" t="s">
        <v>1279</v>
      </c>
      <c r="G38" s="51" t="s">
        <v>1278</v>
      </c>
      <c r="H38" s="54">
        <v>26370</v>
      </c>
      <c r="I38" s="224">
        <f>H38+H39</f>
        <v>28009.56</v>
      </c>
      <c r="J38" s="232"/>
      <c r="N38" s="49"/>
    </row>
    <row r="39" spans="1:14" ht="33" customHeight="1">
      <c r="A39" s="12"/>
      <c r="B39" s="7"/>
      <c r="C39" s="8"/>
      <c r="D39" s="44"/>
      <c r="E39" s="44"/>
      <c r="F39" s="45" t="s">
        <v>1286</v>
      </c>
      <c r="G39" s="47" t="s">
        <v>1287</v>
      </c>
      <c r="H39" s="44">
        <f>((5*6*6.5*2)+(13*3.5*6.8)+(3.2*8.5*1.6))+((747.2+149.44))</f>
        <v>1639.56</v>
      </c>
      <c r="I39" s="223"/>
      <c r="J39" s="232"/>
      <c r="N39" s="49"/>
    </row>
    <row r="40" spans="1:14" ht="16.5" customHeight="1">
      <c r="A40" s="12"/>
      <c r="B40" s="7"/>
      <c r="C40" s="8"/>
      <c r="D40" s="44"/>
      <c r="E40" s="44"/>
      <c r="F40" s="45"/>
      <c r="G40" s="47"/>
      <c r="H40" s="44"/>
      <c r="I40" s="223"/>
      <c r="J40" s="232"/>
      <c r="N40" s="49"/>
    </row>
    <row r="41" spans="1:14" ht="16.5" customHeight="1">
      <c r="A41" s="12"/>
      <c r="B41" s="7"/>
      <c r="C41" s="8"/>
      <c r="D41" s="44"/>
      <c r="E41" s="44"/>
      <c r="F41" s="45"/>
      <c r="G41" s="47"/>
      <c r="H41" s="44"/>
      <c r="I41" s="223"/>
      <c r="J41" s="232"/>
      <c r="N41" s="49"/>
    </row>
    <row r="42" spans="1:14" ht="33">
      <c r="A42" s="12" t="s">
        <v>45</v>
      </c>
      <c r="B42" s="10" t="s">
        <v>252</v>
      </c>
      <c r="C42" s="8" t="s">
        <v>6</v>
      </c>
      <c r="D42" s="44">
        <v>4726.67</v>
      </c>
      <c r="E42" s="44"/>
      <c r="F42" s="45" t="s">
        <v>1284</v>
      </c>
      <c r="G42" s="45" t="s">
        <v>1285</v>
      </c>
      <c r="H42" s="44">
        <f>(7.5*55*0.24)+(9.6*37*0.25)+(7.1*243*0.24)</f>
        <v>601.87199999999996</v>
      </c>
      <c r="I42" s="224">
        <f>H42+H43</f>
        <v>601.87199999999996</v>
      </c>
      <c r="J42" s="232" t="s">
        <v>2170</v>
      </c>
      <c r="N42" s="49"/>
    </row>
    <row r="43" spans="1:14">
      <c r="A43" s="12"/>
      <c r="B43" s="7"/>
      <c r="C43" s="8"/>
      <c r="D43" s="44"/>
      <c r="E43" s="44"/>
      <c r="F43" s="45"/>
      <c r="G43" s="45"/>
      <c r="H43" s="44"/>
      <c r="I43" s="223"/>
      <c r="J43" s="232"/>
      <c r="M43" s="30"/>
      <c r="N43" s="49"/>
    </row>
    <row r="44" spans="1:14">
      <c r="A44" s="12"/>
      <c r="B44" s="7"/>
      <c r="C44" s="8"/>
      <c r="D44" s="44"/>
      <c r="E44" s="44"/>
      <c r="F44" s="45"/>
      <c r="G44" s="45"/>
      <c r="H44" s="44"/>
      <c r="I44" s="223"/>
      <c r="J44" s="232"/>
      <c r="M44" s="30"/>
      <c r="N44" s="49"/>
    </row>
    <row r="45" spans="1:14" ht="33">
      <c r="A45" s="12" t="s">
        <v>254</v>
      </c>
      <c r="B45" s="7" t="s">
        <v>255</v>
      </c>
      <c r="C45" s="8" t="s">
        <v>6</v>
      </c>
      <c r="D45" s="44">
        <v>13120</v>
      </c>
      <c r="E45" s="44"/>
      <c r="F45" s="45" t="s">
        <v>1319</v>
      </c>
      <c r="G45" s="45" t="s">
        <v>1290</v>
      </c>
      <c r="H45" s="44">
        <f>(16.5*9.2*4.6+21.2*4.7*4.2)+(11.2*3.2*4.6)+(9.5*3.5*2.9)</f>
        <v>1378.0569999999998</v>
      </c>
      <c r="I45" s="224">
        <f>SUM(H45:H50)</f>
        <v>6701.7469999999994</v>
      </c>
      <c r="J45" s="232" t="s">
        <v>2170</v>
      </c>
      <c r="N45" s="49"/>
    </row>
    <row r="46" spans="1:14">
      <c r="A46" s="12"/>
      <c r="B46" s="7"/>
      <c r="C46" s="8"/>
      <c r="D46" s="44"/>
      <c r="E46" s="44"/>
      <c r="F46" s="45" t="s">
        <v>1288</v>
      </c>
      <c r="G46" s="45" t="s">
        <v>1289</v>
      </c>
      <c r="H46" s="44">
        <f>(0.8*4.5*52.3)+(1.2*4.5*52.3)</f>
        <v>470.69999999999993</v>
      </c>
      <c r="I46" s="223"/>
      <c r="J46" s="232"/>
      <c r="N46" s="49"/>
    </row>
    <row r="47" spans="1:14">
      <c r="A47" s="12"/>
      <c r="B47" s="7"/>
      <c r="C47" s="8"/>
      <c r="D47" s="44"/>
      <c r="E47" s="44"/>
      <c r="F47" s="45" t="s">
        <v>1293</v>
      </c>
      <c r="G47" s="56" t="s">
        <v>1296</v>
      </c>
      <c r="H47" s="55">
        <f>(0.8*1.9*2*23+3.4*2.7*23)+(0.8*2.1*2*41)</f>
        <v>418.82000000000005</v>
      </c>
      <c r="I47" s="223"/>
      <c r="J47" s="232"/>
      <c r="N47" s="49"/>
    </row>
    <row r="48" spans="1:14">
      <c r="A48" s="12"/>
      <c r="B48" s="7"/>
      <c r="C48" s="8"/>
      <c r="D48" s="44"/>
      <c r="E48" s="44"/>
      <c r="F48" s="45" t="s">
        <v>1944</v>
      </c>
      <c r="G48" s="45" t="s">
        <v>1947</v>
      </c>
      <c r="H48" s="44">
        <f>3091.11+461.7</f>
        <v>3552.81</v>
      </c>
      <c r="I48" s="223"/>
      <c r="J48" s="232"/>
      <c r="N48" s="49"/>
    </row>
    <row r="49" spans="1:14">
      <c r="A49" s="12"/>
      <c r="B49" s="7"/>
      <c r="C49" s="8"/>
      <c r="D49" s="44"/>
      <c r="E49" s="44"/>
      <c r="F49" s="45" t="s">
        <v>1945</v>
      </c>
      <c r="G49" s="45"/>
      <c r="H49" s="44"/>
      <c r="I49" s="223"/>
      <c r="J49" s="232"/>
      <c r="N49" s="49"/>
    </row>
    <row r="50" spans="1:14">
      <c r="A50" s="12"/>
      <c r="B50" s="7"/>
      <c r="C50" s="8"/>
      <c r="D50" s="44"/>
      <c r="E50" s="44"/>
      <c r="F50" s="45" t="s">
        <v>1949</v>
      </c>
      <c r="G50" s="45" t="s">
        <v>1948</v>
      </c>
      <c r="H50" s="44">
        <f>756.34+125.02</f>
        <v>881.36</v>
      </c>
      <c r="I50" s="223"/>
      <c r="J50" s="232"/>
      <c r="N50" s="49"/>
    </row>
    <row r="51" spans="1:14">
      <c r="A51" s="259"/>
      <c r="B51" s="260"/>
      <c r="C51" s="261"/>
      <c r="D51" s="262"/>
      <c r="E51" s="262"/>
      <c r="F51" s="45" t="s">
        <v>1946</v>
      </c>
      <c r="G51" s="263"/>
      <c r="H51" s="262"/>
      <c r="I51" s="223"/>
      <c r="J51" s="232"/>
      <c r="N51" s="49"/>
    </row>
    <row r="52" spans="1:14">
      <c r="A52" s="259"/>
      <c r="B52" s="260"/>
      <c r="C52" s="261"/>
      <c r="D52" s="262"/>
      <c r="E52" s="262"/>
      <c r="F52" s="263"/>
      <c r="G52" s="263"/>
      <c r="H52" s="262"/>
      <c r="I52" s="223"/>
      <c r="J52" s="232"/>
      <c r="N52" s="49"/>
    </row>
    <row r="53" spans="1:14">
      <c r="A53" s="12"/>
      <c r="B53" s="7"/>
      <c r="C53" s="8"/>
      <c r="D53" s="44"/>
      <c r="E53" s="44"/>
      <c r="F53" s="45"/>
      <c r="G53" s="45"/>
      <c r="H53" s="44"/>
      <c r="I53" s="223"/>
      <c r="J53" s="232"/>
      <c r="N53" s="49"/>
    </row>
    <row r="54" spans="1:14" ht="29.25" customHeight="1">
      <c r="A54" s="12" t="s">
        <v>257</v>
      </c>
      <c r="B54" s="7" t="s">
        <v>258</v>
      </c>
      <c r="C54" s="8" t="s">
        <v>23</v>
      </c>
      <c r="D54" s="44">
        <v>13251</v>
      </c>
      <c r="E54" s="44"/>
      <c r="F54" s="45" t="s">
        <v>1283</v>
      </c>
      <c r="G54" s="45" t="s">
        <v>1283</v>
      </c>
      <c r="H54" s="44">
        <v>10404</v>
      </c>
      <c r="I54" s="224"/>
      <c r="J54" s="232" t="s">
        <v>2170</v>
      </c>
      <c r="N54" s="49"/>
    </row>
    <row r="55" spans="1:14" ht="33">
      <c r="A55" s="12" t="s">
        <v>260</v>
      </c>
      <c r="B55" s="10" t="s">
        <v>261</v>
      </c>
      <c r="C55" s="8" t="s">
        <v>6</v>
      </c>
      <c r="D55" s="44">
        <v>4601.4399999999996</v>
      </c>
      <c r="E55" s="44"/>
      <c r="F55" s="45"/>
      <c r="G55" s="50"/>
      <c r="H55" s="44"/>
      <c r="I55" s="223" t="s">
        <v>243</v>
      </c>
      <c r="J55" s="232"/>
      <c r="K55" s="521" t="s">
        <v>2693</v>
      </c>
      <c r="N55" s="49"/>
    </row>
    <row r="56" spans="1:14" ht="57">
      <c r="A56" s="12" t="s">
        <v>263</v>
      </c>
      <c r="B56" s="10" t="s">
        <v>264</v>
      </c>
      <c r="C56" s="8" t="s">
        <v>13</v>
      </c>
      <c r="D56" s="44">
        <v>2588.5</v>
      </c>
      <c r="E56" s="44"/>
      <c r="F56" s="45"/>
      <c r="G56" s="45"/>
      <c r="H56" s="44"/>
      <c r="I56" s="223" t="s">
        <v>243</v>
      </c>
      <c r="J56" s="232" t="s">
        <v>2170</v>
      </c>
      <c r="N56" s="49"/>
    </row>
    <row r="57" spans="1:14">
      <c r="A57" s="12"/>
      <c r="B57" s="7"/>
      <c r="C57" s="8"/>
      <c r="D57" s="44"/>
      <c r="E57" s="44"/>
      <c r="F57" s="45"/>
      <c r="G57" s="45"/>
      <c r="H57" s="44"/>
      <c r="I57" s="223"/>
      <c r="J57" s="232"/>
      <c r="N57" s="49"/>
    </row>
    <row r="58" spans="1:14" ht="42.75">
      <c r="A58" s="12" t="s">
        <v>266</v>
      </c>
      <c r="B58" s="10" t="s">
        <v>267</v>
      </c>
      <c r="C58" s="8" t="s">
        <v>13</v>
      </c>
      <c r="D58" s="44">
        <v>9177</v>
      </c>
      <c r="E58" s="44"/>
      <c r="F58" s="45" t="s">
        <v>1284</v>
      </c>
      <c r="G58" s="45" t="s">
        <v>1297</v>
      </c>
      <c r="H58" s="44">
        <f>(7.5*55*2.5)+(9.6*37*2.5)+(7.1*243*2.5)</f>
        <v>6232.5</v>
      </c>
      <c r="I58" s="224"/>
      <c r="J58" s="232" t="s">
        <v>2170</v>
      </c>
      <c r="N58" s="49"/>
    </row>
    <row r="59" spans="1:14">
      <c r="A59" s="12"/>
      <c r="B59" s="7"/>
      <c r="C59" s="8"/>
      <c r="D59" s="44"/>
      <c r="E59" s="44"/>
      <c r="F59" s="45"/>
      <c r="G59" s="45"/>
      <c r="H59" s="44"/>
      <c r="I59" s="224"/>
      <c r="J59" s="232"/>
      <c r="N59" s="49"/>
    </row>
    <row r="60" spans="1:14" ht="42.75">
      <c r="A60" s="12" t="s">
        <v>269</v>
      </c>
      <c r="B60" s="10" t="s">
        <v>270</v>
      </c>
      <c r="C60" s="8" t="s">
        <v>8</v>
      </c>
      <c r="D60" s="44">
        <v>162.5</v>
      </c>
      <c r="E60" s="44"/>
      <c r="F60" s="45" t="s">
        <v>1298</v>
      </c>
      <c r="G60" s="45" t="s">
        <v>1299</v>
      </c>
      <c r="H60" s="44">
        <f>(27.9+9.6+7.5+7.1)</f>
        <v>52.1</v>
      </c>
      <c r="I60" s="224"/>
      <c r="J60" s="232" t="s">
        <v>2170</v>
      </c>
      <c r="N60" s="49"/>
    </row>
    <row r="61" spans="1:14">
      <c r="A61" s="12"/>
      <c r="B61" s="7"/>
      <c r="C61" s="8"/>
      <c r="D61" s="44"/>
      <c r="E61" s="44"/>
      <c r="F61" s="45"/>
      <c r="G61" s="45"/>
      <c r="H61" s="44"/>
      <c r="I61" s="224"/>
      <c r="J61" s="232"/>
      <c r="M61" s="30"/>
      <c r="N61" s="49"/>
    </row>
    <row r="62" spans="1:14" ht="28.5">
      <c r="A62" s="12" t="s">
        <v>272</v>
      </c>
      <c r="B62" s="10" t="s">
        <v>273</v>
      </c>
      <c r="C62" s="8" t="s">
        <v>13</v>
      </c>
      <c r="D62" s="44">
        <v>5217.7</v>
      </c>
      <c r="E62" s="44"/>
      <c r="F62" s="50" t="s">
        <v>1437</v>
      </c>
      <c r="G62" s="50" t="s">
        <v>1300</v>
      </c>
      <c r="H62" s="44">
        <v>3637</v>
      </c>
      <c r="I62" s="224"/>
      <c r="J62" s="232" t="s">
        <v>2170</v>
      </c>
      <c r="N62" s="49"/>
    </row>
    <row r="63" spans="1:14">
      <c r="A63" s="12"/>
      <c r="B63" s="7"/>
      <c r="C63" s="8"/>
      <c r="D63" s="44"/>
      <c r="E63" s="44"/>
      <c r="F63" s="45"/>
      <c r="G63" s="45"/>
      <c r="H63" s="44"/>
      <c r="I63" s="224"/>
      <c r="J63" s="232"/>
      <c r="M63" s="30"/>
      <c r="N63" s="49"/>
    </row>
    <row r="64" spans="1:14" ht="31.5">
      <c r="A64" s="12" t="s">
        <v>275</v>
      </c>
      <c r="B64" s="7" t="s">
        <v>276</v>
      </c>
      <c r="C64" s="8" t="s">
        <v>6</v>
      </c>
      <c r="D64" s="44">
        <v>782.66</v>
      </c>
      <c r="E64" s="44"/>
      <c r="F64" s="45" t="s">
        <v>1282</v>
      </c>
      <c r="G64" s="45" t="s">
        <v>1951</v>
      </c>
      <c r="H64" s="44">
        <f>27*4</f>
        <v>108</v>
      </c>
      <c r="I64" s="224"/>
      <c r="J64" s="232" t="s">
        <v>2170</v>
      </c>
      <c r="N64" s="49"/>
    </row>
    <row r="65" spans="1:14" ht="33">
      <c r="A65" s="12" t="s">
        <v>278</v>
      </c>
      <c r="B65" s="7" t="s">
        <v>279</v>
      </c>
      <c r="C65" s="8" t="s">
        <v>14</v>
      </c>
      <c r="D65" s="44">
        <v>425</v>
      </c>
      <c r="E65" s="44"/>
      <c r="F65" s="45" t="s">
        <v>1301</v>
      </c>
      <c r="G65" s="45">
        <v>425</v>
      </c>
      <c r="H65" s="44">
        <v>425</v>
      </c>
      <c r="I65" s="224"/>
      <c r="J65" s="232"/>
      <c r="N65" s="49"/>
    </row>
    <row r="66" spans="1:14" ht="51.75" customHeight="1">
      <c r="A66" s="12" t="s">
        <v>281</v>
      </c>
      <c r="B66" s="10" t="s">
        <v>282</v>
      </c>
      <c r="C66" s="8" t="s">
        <v>8</v>
      </c>
      <c r="D66" s="44">
        <v>255.5</v>
      </c>
      <c r="E66" s="44"/>
      <c r="F66" s="45" t="s">
        <v>1302</v>
      </c>
      <c r="G66" s="45" t="s">
        <v>1303</v>
      </c>
      <c r="H66" s="44">
        <f>35+(55-0.5*7)+(27*8+6.5+5.3)</f>
        <v>314.3</v>
      </c>
      <c r="I66" s="224">
        <f>H66</f>
        <v>314.3</v>
      </c>
      <c r="J66" s="314">
        <f>H66-D66</f>
        <v>58.800000000000011</v>
      </c>
      <c r="K66" s="524" t="s">
        <v>2694</v>
      </c>
      <c r="N66" s="49"/>
    </row>
    <row r="67" spans="1:14">
      <c r="A67" s="12"/>
      <c r="B67" s="7"/>
      <c r="C67" s="8"/>
      <c r="D67" s="44"/>
      <c r="E67" s="44"/>
      <c r="F67" s="45"/>
      <c r="G67" s="45"/>
      <c r="H67" s="44"/>
      <c r="I67" s="223"/>
      <c r="J67" s="232"/>
      <c r="N67" s="49"/>
    </row>
    <row r="68" spans="1:14">
      <c r="A68" s="12"/>
      <c r="B68" s="7"/>
      <c r="C68" s="8"/>
      <c r="D68" s="44"/>
      <c r="E68" s="44"/>
      <c r="F68" s="45"/>
      <c r="G68" s="45"/>
      <c r="H68" s="44"/>
      <c r="I68" s="223"/>
      <c r="J68" s="232"/>
      <c r="N68" s="49"/>
    </row>
    <row r="69" spans="1:14" ht="31.5">
      <c r="A69" s="12" t="s">
        <v>284</v>
      </c>
      <c r="B69" s="7" t="s">
        <v>285</v>
      </c>
      <c r="C69" s="8" t="s">
        <v>286</v>
      </c>
      <c r="D69" s="44">
        <v>2204</v>
      </c>
      <c r="E69" s="44"/>
      <c r="F69" s="45" t="s">
        <v>1282</v>
      </c>
      <c r="G69" s="45" t="s">
        <v>1952</v>
      </c>
      <c r="H69" s="44">
        <v>2107</v>
      </c>
      <c r="I69" s="224"/>
      <c r="J69" s="232" t="s">
        <v>2170</v>
      </c>
      <c r="N69" s="49"/>
    </row>
    <row r="70" spans="1:14" ht="33">
      <c r="A70" s="12" t="s">
        <v>288</v>
      </c>
      <c r="B70" s="7" t="s">
        <v>289</v>
      </c>
      <c r="C70" s="8" t="s">
        <v>290</v>
      </c>
      <c r="D70" s="44">
        <v>66</v>
      </c>
      <c r="E70" s="44"/>
      <c r="F70" s="45" t="s">
        <v>1304</v>
      </c>
      <c r="G70" s="45" t="s">
        <v>1305</v>
      </c>
      <c r="H70" s="44">
        <f>9+12+22*2</f>
        <v>65</v>
      </c>
      <c r="I70" s="224"/>
      <c r="J70" s="232" t="s">
        <v>2170</v>
      </c>
      <c r="N70" s="49"/>
    </row>
    <row r="71" spans="1:14">
      <c r="A71" s="12" t="s">
        <v>292</v>
      </c>
      <c r="B71" s="7" t="s">
        <v>293</v>
      </c>
      <c r="C71" s="8" t="s">
        <v>0</v>
      </c>
      <c r="D71" s="44">
        <v>18</v>
      </c>
      <c r="E71" s="44"/>
      <c r="F71" s="45"/>
      <c r="G71" s="45" t="s">
        <v>1306</v>
      </c>
      <c r="H71" s="44">
        <v>18</v>
      </c>
      <c r="I71" s="224"/>
      <c r="J71" s="232"/>
      <c r="N71" s="49"/>
    </row>
    <row r="72" spans="1:14">
      <c r="A72" s="12" t="s">
        <v>295</v>
      </c>
      <c r="B72" s="7" t="s">
        <v>296</v>
      </c>
      <c r="C72" s="8" t="s">
        <v>0</v>
      </c>
      <c r="D72" s="44">
        <v>4</v>
      </c>
      <c r="E72" s="44"/>
      <c r="F72" s="45"/>
      <c r="G72" s="45" t="s">
        <v>1950</v>
      </c>
      <c r="H72" s="44">
        <v>4</v>
      </c>
      <c r="I72" s="224"/>
      <c r="J72" s="232"/>
      <c r="N72" s="49"/>
    </row>
    <row r="73" spans="1:14">
      <c r="A73" s="12" t="s">
        <v>298</v>
      </c>
      <c r="B73" s="7" t="s">
        <v>299</v>
      </c>
      <c r="C73" s="8" t="s">
        <v>0</v>
      </c>
      <c r="D73" s="44">
        <v>20</v>
      </c>
      <c r="E73" s="44"/>
      <c r="F73" s="45" t="s">
        <v>1230</v>
      </c>
      <c r="G73" s="45">
        <v>20</v>
      </c>
      <c r="H73" s="44">
        <v>20</v>
      </c>
      <c r="I73" s="224"/>
      <c r="J73" s="232"/>
      <c r="N73" s="49"/>
    </row>
    <row r="74" spans="1:14">
      <c r="A74" s="12" t="s">
        <v>301</v>
      </c>
      <c r="B74" s="7" t="s">
        <v>302</v>
      </c>
      <c r="C74" s="8" t="s">
        <v>0</v>
      </c>
      <c r="D74" s="44">
        <v>15</v>
      </c>
      <c r="E74" s="44"/>
      <c r="F74" s="45" t="s">
        <v>1307</v>
      </c>
      <c r="G74" s="45" t="s">
        <v>1953</v>
      </c>
      <c r="H74" s="44">
        <f>6+3+4+1+1</f>
        <v>15</v>
      </c>
      <c r="I74" s="224"/>
      <c r="J74" s="232"/>
      <c r="N74" s="49"/>
    </row>
    <row r="75" spans="1:14">
      <c r="A75" s="12"/>
      <c r="B75" s="7"/>
      <c r="C75" s="8"/>
      <c r="D75" s="44"/>
      <c r="E75" s="44"/>
      <c r="F75" s="45"/>
      <c r="G75" s="45"/>
      <c r="H75" s="44"/>
      <c r="I75" s="223"/>
      <c r="J75" s="232"/>
      <c r="N75" s="49"/>
    </row>
    <row r="76" spans="1:14" ht="28.5">
      <c r="A76" s="12" t="s">
        <v>304</v>
      </c>
      <c r="B76" s="10" t="s">
        <v>1308</v>
      </c>
      <c r="C76" s="8" t="s">
        <v>4</v>
      </c>
      <c r="D76" s="44">
        <v>1</v>
      </c>
      <c r="E76" s="44"/>
      <c r="F76" s="45" t="s">
        <v>1309</v>
      </c>
      <c r="G76" s="45">
        <v>1</v>
      </c>
      <c r="H76" s="44">
        <v>1</v>
      </c>
      <c r="I76" s="224"/>
      <c r="J76" s="232"/>
      <c r="N76" s="49"/>
    </row>
    <row r="77" spans="1:14" ht="42.75">
      <c r="A77" s="12" t="s">
        <v>307</v>
      </c>
      <c r="B77" s="10" t="s">
        <v>31</v>
      </c>
      <c r="C77" s="8" t="s">
        <v>16</v>
      </c>
      <c r="D77" s="44">
        <v>30800</v>
      </c>
      <c r="E77" s="44"/>
      <c r="F77" s="45" t="s">
        <v>1310</v>
      </c>
      <c r="G77" s="45" t="s">
        <v>1954</v>
      </c>
      <c r="H77" s="44">
        <f>16568.5+3104.5+1440+240</f>
        <v>21353</v>
      </c>
      <c r="I77" s="224"/>
      <c r="J77" s="232" t="s">
        <v>2170</v>
      </c>
      <c r="K77" s="521">
        <f>710*16*3</f>
        <v>34080</v>
      </c>
      <c r="M77" s="202">
        <f>30800/730</f>
        <v>42.19178082191781</v>
      </c>
      <c r="N77" s="49"/>
    </row>
    <row r="78" spans="1:14" ht="28.5">
      <c r="A78" s="12" t="s">
        <v>1311</v>
      </c>
      <c r="B78" s="10" t="s">
        <v>1312</v>
      </c>
      <c r="C78" s="8" t="s">
        <v>13</v>
      </c>
      <c r="D78" s="44"/>
      <c r="E78" s="44">
        <v>2150</v>
      </c>
      <c r="F78" s="45" t="s">
        <v>1317</v>
      </c>
      <c r="G78" s="45">
        <v>2150</v>
      </c>
      <c r="H78" s="44">
        <v>2150</v>
      </c>
      <c r="I78" s="224"/>
      <c r="J78" s="232"/>
      <c r="N78" s="49"/>
    </row>
    <row r="79" spans="1:14">
      <c r="A79" s="12" t="s">
        <v>1313</v>
      </c>
      <c r="B79" s="7" t="s">
        <v>1314</v>
      </c>
      <c r="C79" s="8" t="s">
        <v>1315</v>
      </c>
      <c r="D79" s="44"/>
      <c r="E79" s="44">
        <v>111</v>
      </c>
      <c r="F79" s="80" t="s">
        <v>1316</v>
      </c>
      <c r="G79" s="80" t="s">
        <v>1955</v>
      </c>
      <c r="H79" s="44">
        <v>101</v>
      </c>
      <c r="I79" s="224"/>
      <c r="J79" s="232" t="s">
        <v>2170</v>
      </c>
      <c r="N79" s="49"/>
    </row>
    <row r="80" spans="1:14" ht="33">
      <c r="A80" s="6" t="s">
        <v>46</v>
      </c>
      <c r="B80" s="7" t="s">
        <v>309</v>
      </c>
      <c r="C80" s="8" t="s">
        <v>4</v>
      </c>
      <c r="D80" s="44">
        <v>1</v>
      </c>
      <c r="E80" s="44"/>
      <c r="F80" s="45"/>
      <c r="G80" s="50" t="s">
        <v>2171</v>
      </c>
      <c r="H80" s="44"/>
      <c r="I80" s="223" t="s">
        <v>243</v>
      </c>
      <c r="J80" s="232" t="s">
        <v>2170</v>
      </c>
      <c r="N80" s="49"/>
    </row>
    <row r="81" spans="1:14" ht="33">
      <c r="A81" s="12" t="s">
        <v>47</v>
      </c>
      <c r="B81" s="7" t="s">
        <v>310</v>
      </c>
      <c r="C81" s="8" t="s">
        <v>223</v>
      </c>
      <c r="D81" s="44">
        <v>1887.64</v>
      </c>
      <c r="E81" s="44"/>
      <c r="F81" s="45"/>
      <c r="G81" s="45"/>
      <c r="H81" s="44"/>
      <c r="I81" s="223" t="s">
        <v>243</v>
      </c>
      <c r="J81" s="232"/>
      <c r="N81" s="49"/>
    </row>
    <row r="82" spans="1:14" ht="33">
      <c r="A82" s="12" t="s">
        <v>48</v>
      </c>
      <c r="B82" s="10" t="s">
        <v>312</v>
      </c>
      <c r="C82" s="8" t="s">
        <v>223</v>
      </c>
      <c r="D82" s="44">
        <v>402.21</v>
      </c>
      <c r="E82" s="44"/>
      <c r="F82" s="45"/>
      <c r="G82" s="45"/>
      <c r="H82" s="44"/>
      <c r="I82" s="223" t="s">
        <v>243</v>
      </c>
      <c r="J82" s="232"/>
      <c r="N82" s="49"/>
    </row>
    <row r="83" spans="1:14" ht="36.75" customHeight="1">
      <c r="A83" s="12" t="s">
        <v>49</v>
      </c>
      <c r="B83" s="7" t="s">
        <v>192</v>
      </c>
      <c r="C83" s="8" t="s">
        <v>17</v>
      </c>
      <c r="D83" s="44">
        <v>18865.759999999998</v>
      </c>
      <c r="E83" s="44"/>
      <c r="F83" s="80" t="s">
        <v>1963</v>
      </c>
      <c r="G83" s="45" t="s">
        <v>1812</v>
      </c>
      <c r="H83" s="44">
        <f>(1.65*236*2+6*60*2+3.95*236+2.9*236+6*282)*0.994</f>
        <v>4778.5555999999997</v>
      </c>
      <c r="I83" s="223" t="s">
        <v>243</v>
      </c>
      <c r="J83" s="232"/>
      <c r="N83" s="49"/>
    </row>
    <row r="84" spans="1:14" ht="21.95" customHeight="1">
      <c r="A84" s="259"/>
      <c r="B84" s="260"/>
      <c r="C84" s="261"/>
      <c r="D84" s="262"/>
      <c r="E84" s="262"/>
      <c r="F84" s="265"/>
      <c r="G84" s="263"/>
      <c r="H84" s="262"/>
      <c r="I84" s="223"/>
      <c r="J84" s="232"/>
      <c r="N84" s="49"/>
    </row>
    <row r="85" spans="1:14" ht="28.5">
      <c r="A85" s="12" t="s">
        <v>50</v>
      </c>
      <c r="B85" s="10" t="s">
        <v>315</v>
      </c>
      <c r="C85" s="8" t="s">
        <v>6</v>
      </c>
      <c r="D85" s="44">
        <v>107.91</v>
      </c>
      <c r="E85" s="44"/>
      <c r="F85" s="80" t="s">
        <v>1963</v>
      </c>
      <c r="G85" s="45" t="s">
        <v>1773</v>
      </c>
      <c r="H85" s="44">
        <f>1.35*35.2*0.1</f>
        <v>4.7520000000000016</v>
      </c>
      <c r="I85" s="224">
        <f>H85</f>
        <v>4.7520000000000016</v>
      </c>
      <c r="J85" s="232"/>
      <c r="N85" s="49"/>
    </row>
    <row r="86" spans="1:14">
      <c r="A86" s="259"/>
      <c r="B86" s="264"/>
      <c r="C86" s="261"/>
      <c r="D86" s="262"/>
      <c r="E86" s="262"/>
      <c r="F86" s="265"/>
      <c r="G86" s="263"/>
      <c r="H86" s="262"/>
      <c r="I86" s="223"/>
      <c r="J86" s="232"/>
      <c r="N86" s="49"/>
    </row>
    <row r="87" spans="1:14" ht="28.5">
      <c r="A87" s="12" t="s">
        <v>51</v>
      </c>
      <c r="B87" s="10" t="s">
        <v>24</v>
      </c>
      <c r="C87" s="8" t="s">
        <v>6</v>
      </c>
      <c r="D87" s="44">
        <v>564.01</v>
      </c>
      <c r="E87" s="44"/>
      <c r="F87" s="80" t="s">
        <v>1963</v>
      </c>
      <c r="G87" s="56" t="s">
        <v>1783</v>
      </c>
      <c r="H87" s="44">
        <f>(1.35+2.05)*35.2*0.3+0.8*0.35*35.2</f>
        <v>45.760000000000005</v>
      </c>
      <c r="I87" s="224">
        <f>SUM(H87:H88)</f>
        <v>45.760000000000005</v>
      </c>
      <c r="J87" s="232"/>
      <c r="N87" s="49"/>
    </row>
    <row r="88" spans="1:14">
      <c r="A88" s="259"/>
      <c r="B88" s="264"/>
      <c r="C88" s="261"/>
      <c r="D88" s="262"/>
      <c r="E88" s="262"/>
      <c r="F88" s="265"/>
      <c r="G88" s="266"/>
      <c r="H88" s="262"/>
      <c r="I88" s="223"/>
      <c r="J88" s="232"/>
      <c r="N88" s="49"/>
    </row>
    <row r="89" spans="1:14">
      <c r="A89" s="259"/>
      <c r="B89" s="264"/>
      <c r="C89" s="261"/>
      <c r="D89" s="262"/>
      <c r="E89" s="262"/>
      <c r="F89" s="265"/>
      <c r="G89" s="266"/>
      <c r="H89" s="262"/>
      <c r="I89" s="223"/>
      <c r="J89" s="232"/>
      <c r="N89" s="49"/>
    </row>
    <row r="90" spans="1:14" ht="21.95" customHeight="1">
      <c r="A90" s="12" t="s">
        <v>52</v>
      </c>
      <c r="B90" s="7" t="s">
        <v>193</v>
      </c>
      <c r="C90" s="8" t="s">
        <v>13</v>
      </c>
      <c r="D90" s="44">
        <v>1926.87</v>
      </c>
      <c r="E90" s="44"/>
      <c r="F90" s="80" t="s">
        <v>1963</v>
      </c>
      <c r="G90" s="56" t="s">
        <v>1956</v>
      </c>
      <c r="H90" s="44">
        <f>(0.3+2.35+0.5+0.35+2.7)*35.2</f>
        <v>218.24000000000004</v>
      </c>
      <c r="I90" s="224">
        <f>SUM(H90:H91)</f>
        <v>301.54000000000002</v>
      </c>
      <c r="J90" s="232"/>
      <c r="N90" s="49"/>
    </row>
    <row r="91" spans="1:14" ht="28.5" customHeight="1">
      <c r="A91" s="343"/>
      <c r="B91" s="285"/>
      <c r="C91" s="286"/>
      <c r="D91" s="139"/>
      <c r="E91" s="139"/>
      <c r="F91" s="564" t="s">
        <v>2752</v>
      </c>
      <c r="G91" s="564" t="s">
        <v>2753</v>
      </c>
      <c r="H91" s="565">
        <f>(0.24+0.95)*2*(18.2+16)+0.4*(0.24+0.95)*4</f>
        <v>83.3</v>
      </c>
      <c r="I91" s="562"/>
      <c r="J91" s="563"/>
      <c r="N91" s="49"/>
    </row>
    <row r="92" spans="1:14" ht="45.75" customHeight="1">
      <c r="A92" s="12" t="s">
        <v>53</v>
      </c>
      <c r="B92" s="7" t="s">
        <v>319</v>
      </c>
      <c r="C92" s="8" t="s">
        <v>13</v>
      </c>
      <c r="D92" s="44">
        <v>301.33</v>
      </c>
      <c r="E92" s="44"/>
      <c r="F92" s="56" t="s">
        <v>2233</v>
      </c>
      <c r="G92" s="45"/>
      <c r="H92" s="44"/>
      <c r="I92" s="223" t="s">
        <v>243</v>
      </c>
      <c r="J92" s="232"/>
      <c r="N92" s="49"/>
    </row>
    <row r="93" spans="1:14" ht="21.95" customHeight="1">
      <c r="A93" s="12" t="s">
        <v>54</v>
      </c>
      <c r="B93" s="7" t="s">
        <v>321</v>
      </c>
      <c r="C93" s="8" t="s">
        <v>17</v>
      </c>
      <c r="D93" s="44">
        <v>5991.34</v>
      </c>
      <c r="E93" s="44"/>
      <c r="F93" s="45"/>
      <c r="G93" s="45"/>
      <c r="H93" s="44">
        <v>5991.34</v>
      </c>
      <c r="I93" s="224">
        <f>SUM(H93:H97)</f>
        <v>14260.384600000001</v>
      </c>
      <c r="J93" s="314">
        <f>I93-D93</f>
        <v>8269.0446000000011</v>
      </c>
      <c r="N93" s="49"/>
    </row>
    <row r="94" spans="1:14" ht="29.25" customHeight="1">
      <c r="A94" s="303"/>
      <c r="B94" s="304"/>
      <c r="C94" s="305"/>
      <c r="D94" s="666" t="s">
        <v>2872</v>
      </c>
      <c r="E94" s="306"/>
      <c r="F94" s="307" t="s">
        <v>2873</v>
      </c>
      <c r="G94" s="307" t="s">
        <v>2876</v>
      </c>
      <c r="H94" s="306">
        <f>(6.35*2+0.53*11)*(18.25+16+3.25)</f>
        <v>694.875</v>
      </c>
      <c r="I94" s="354"/>
      <c r="J94" s="122"/>
      <c r="N94" s="49"/>
    </row>
    <row r="95" spans="1:14" ht="33" customHeight="1">
      <c r="A95" s="303"/>
      <c r="B95" s="304"/>
      <c r="C95" s="305"/>
      <c r="D95" s="666" t="s">
        <v>2872</v>
      </c>
      <c r="E95" s="306"/>
      <c r="F95" s="307" t="s">
        <v>2877</v>
      </c>
      <c r="G95" s="307" t="s">
        <v>2881</v>
      </c>
      <c r="H95" s="306">
        <f>(6.35*2+0.53*9+6.61*1)*(3.5+2.4*2+21.7+24.85+113.54+3.21)</f>
        <v>4132.1280000000006</v>
      </c>
      <c r="I95" s="308"/>
      <c r="J95" s="122"/>
      <c r="N95" s="49"/>
    </row>
    <row r="96" spans="1:14" ht="33" customHeight="1">
      <c r="A96" s="303"/>
      <c r="B96" s="304"/>
      <c r="C96" s="305"/>
      <c r="D96" s="666" t="s">
        <v>2875</v>
      </c>
      <c r="E96" s="306"/>
      <c r="F96" s="307" t="s">
        <v>2874</v>
      </c>
      <c r="G96" s="307" t="s">
        <v>2880</v>
      </c>
      <c r="H96" s="306">
        <f>(6.35*2+0.53*9+6.61*1)*(34.27+66.51)</f>
        <v>2426.7824000000001</v>
      </c>
      <c r="I96" s="308"/>
      <c r="J96" s="122"/>
      <c r="N96" s="49"/>
    </row>
    <row r="97" spans="1:14" ht="21.95" customHeight="1">
      <c r="A97" s="303"/>
      <c r="B97" s="304"/>
      <c r="C97" s="305"/>
      <c r="D97" s="666" t="s">
        <v>2872</v>
      </c>
      <c r="E97" s="306"/>
      <c r="F97" s="307" t="s">
        <v>2878</v>
      </c>
      <c r="G97" s="307" t="s">
        <v>2879</v>
      </c>
      <c r="H97" s="306">
        <f>((1.8+2.34)*2+1.4*8+3.144*2)*(21.65+17.75)</f>
        <v>1015.2591999999999</v>
      </c>
      <c r="I97" s="308"/>
      <c r="J97" s="122"/>
      <c r="N97" s="49"/>
    </row>
    <row r="98" spans="1:14" ht="47.25">
      <c r="A98" s="12" t="s">
        <v>55</v>
      </c>
      <c r="B98" s="7" t="s">
        <v>323</v>
      </c>
      <c r="C98" s="8" t="s">
        <v>17</v>
      </c>
      <c r="D98" s="44">
        <v>5991.34</v>
      </c>
      <c r="E98" s="44"/>
      <c r="F98" s="45"/>
      <c r="G98" s="45"/>
      <c r="H98" s="44">
        <v>5991.34</v>
      </c>
      <c r="I98" s="224">
        <f>SUM(H98:H102)</f>
        <v>14260.384600000001</v>
      </c>
      <c r="J98" s="314">
        <f>I98-D98</f>
        <v>8269.0446000000011</v>
      </c>
      <c r="N98" s="49"/>
    </row>
    <row r="99" spans="1:14">
      <c r="A99" s="303"/>
      <c r="B99" s="304"/>
      <c r="C99" s="305"/>
      <c r="D99" s="666" t="s">
        <v>2872</v>
      </c>
      <c r="E99" s="306"/>
      <c r="F99" s="307" t="s">
        <v>2873</v>
      </c>
      <c r="G99" s="307" t="s">
        <v>2876</v>
      </c>
      <c r="H99" s="306">
        <f>(6.35*2+0.53*11)*(18.25+16+3.25)</f>
        <v>694.875</v>
      </c>
      <c r="I99" s="308"/>
      <c r="J99" s="122"/>
      <c r="N99" s="49"/>
    </row>
    <row r="100" spans="1:14" ht="33">
      <c r="A100" s="303"/>
      <c r="B100" s="304"/>
      <c r="C100" s="305"/>
      <c r="D100" s="666" t="s">
        <v>2872</v>
      </c>
      <c r="E100" s="306"/>
      <c r="F100" s="307" t="s">
        <v>2877</v>
      </c>
      <c r="G100" s="307" t="s">
        <v>2881</v>
      </c>
      <c r="H100" s="306">
        <f>(6.35*2+0.53*9+6.61*1)*(3.5+2.4*2+21.7+24.85+113.54+3.21)</f>
        <v>4132.1280000000006</v>
      </c>
      <c r="I100" s="308"/>
      <c r="J100" s="122"/>
      <c r="N100" s="49"/>
    </row>
    <row r="101" spans="1:14">
      <c r="A101" s="303"/>
      <c r="B101" s="304"/>
      <c r="C101" s="305"/>
      <c r="D101" s="666" t="s">
        <v>2875</v>
      </c>
      <c r="E101" s="306"/>
      <c r="F101" s="307" t="s">
        <v>2874</v>
      </c>
      <c r="G101" s="307" t="s">
        <v>2880</v>
      </c>
      <c r="H101" s="306">
        <f>(6.35*2+0.53*9+6.61*1)*(34.27+66.51)</f>
        <v>2426.7824000000001</v>
      </c>
      <c r="I101" s="308"/>
      <c r="J101" s="122"/>
      <c r="N101" s="49"/>
    </row>
    <row r="102" spans="1:14">
      <c r="A102" s="303"/>
      <c r="B102" s="304"/>
      <c r="C102" s="305"/>
      <c r="D102" s="666" t="s">
        <v>2872</v>
      </c>
      <c r="E102" s="306"/>
      <c r="F102" s="307" t="s">
        <v>2878</v>
      </c>
      <c r="G102" s="307" t="s">
        <v>2879</v>
      </c>
      <c r="H102" s="306">
        <f>((1.8+2.34)*2+1.4*8+3.144*2)*(21.65+17.75)</f>
        <v>1015.2591999999999</v>
      </c>
      <c r="I102" s="308"/>
      <c r="J102" s="122"/>
      <c r="N102" s="49"/>
    </row>
    <row r="103" spans="1:14" ht="45">
      <c r="A103" s="12" t="s">
        <v>56</v>
      </c>
      <c r="B103" s="53" t="s">
        <v>325</v>
      </c>
      <c r="C103" s="8" t="s">
        <v>17</v>
      </c>
      <c r="D103" s="44">
        <v>1180.03</v>
      </c>
      <c r="E103" s="44"/>
      <c r="F103" s="45"/>
      <c r="G103" s="45"/>
      <c r="H103" s="44"/>
      <c r="I103" s="223" t="s">
        <v>243</v>
      </c>
      <c r="J103" s="232"/>
      <c r="N103" s="49"/>
    </row>
    <row r="104" spans="1:14" ht="21.95" customHeight="1">
      <c r="A104" s="12" t="s">
        <v>57</v>
      </c>
      <c r="B104" s="7" t="s">
        <v>327</v>
      </c>
      <c r="C104" s="8" t="s">
        <v>13</v>
      </c>
      <c r="D104" s="44">
        <v>3879.21</v>
      </c>
      <c r="E104" s="44"/>
      <c r="F104" s="45"/>
      <c r="G104" s="45"/>
      <c r="H104" s="44"/>
      <c r="I104" s="223" t="s">
        <v>243</v>
      </c>
      <c r="J104" s="232"/>
      <c r="N104" s="49"/>
    </row>
    <row r="105" spans="1:14" ht="33">
      <c r="A105" s="12" t="s">
        <v>58</v>
      </c>
      <c r="B105" s="10" t="s">
        <v>329</v>
      </c>
      <c r="C105" s="8" t="s">
        <v>13</v>
      </c>
      <c r="D105" s="44">
        <v>462.9</v>
      </c>
      <c r="E105" s="44"/>
      <c r="F105" s="45"/>
      <c r="G105" s="45"/>
      <c r="H105" s="44"/>
      <c r="I105" s="223" t="s">
        <v>243</v>
      </c>
      <c r="J105" s="232"/>
      <c r="N105" s="49"/>
    </row>
    <row r="106" spans="1:14" ht="21.95" customHeight="1">
      <c r="A106" s="12" t="s">
        <v>59</v>
      </c>
      <c r="B106" s="7" t="s">
        <v>331</v>
      </c>
      <c r="C106" s="8" t="s">
        <v>13</v>
      </c>
      <c r="D106" s="44">
        <v>5.09</v>
      </c>
      <c r="E106" s="44"/>
      <c r="F106" s="45"/>
      <c r="G106" s="45" t="s">
        <v>2739</v>
      </c>
      <c r="H106" s="44">
        <f>59.03+161.99+5.09+5.09+31.2+17.9</f>
        <v>280.3</v>
      </c>
      <c r="I106" s="223" t="s">
        <v>243</v>
      </c>
      <c r="J106" s="314">
        <f>H106-D106</f>
        <v>275.21000000000004</v>
      </c>
      <c r="N106" s="49"/>
    </row>
    <row r="107" spans="1:14" ht="21.95" customHeight="1">
      <c r="A107" s="12" t="s">
        <v>60</v>
      </c>
      <c r="B107" s="7" t="s">
        <v>333</v>
      </c>
      <c r="C107" s="8" t="s">
        <v>13</v>
      </c>
      <c r="D107" s="44">
        <v>18.760000000000002</v>
      </c>
      <c r="E107" s="44"/>
      <c r="F107" s="45"/>
      <c r="G107" s="45"/>
      <c r="H107" s="44"/>
      <c r="I107" s="223" t="s">
        <v>243</v>
      </c>
      <c r="J107" s="232"/>
      <c r="N107" s="49"/>
    </row>
    <row r="108" spans="1:14" ht="21.95" customHeight="1">
      <c r="A108" s="12" t="s">
        <v>61</v>
      </c>
      <c r="B108" s="7" t="s">
        <v>335</v>
      </c>
      <c r="C108" s="8" t="s">
        <v>13</v>
      </c>
      <c r="D108" s="44">
        <v>118.92</v>
      </c>
      <c r="E108" s="44"/>
      <c r="F108" s="45"/>
      <c r="G108" s="45"/>
      <c r="H108" s="44"/>
      <c r="I108" s="223" t="s">
        <v>243</v>
      </c>
      <c r="J108" s="232"/>
      <c r="N108" s="49"/>
    </row>
    <row r="109" spans="1:14" ht="21.95" customHeight="1">
      <c r="A109" s="12" t="s">
        <v>62</v>
      </c>
      <c r="B109" s="7" t="s">
        <v>337</v>
      </c>
      <c r="C109" s="8" t="s">
        <v>13</v>
      </c>
      <c r="D109" s="44">
        <v>173.3</v>
      </c>
      <c r="E109" s="44"/>
      <c r="F109" s="45"/>
      <c r="G109" s="45"/>
      <c r="H109" s="44"/>
      <c r="I109" s="223" t="s">
        <v>243</v>
      </c>
      <c r="J109" s="232"/>
      <c r="N109" s="49"/>
    </row>
    <row r="110" spans="1:14" ht="21.95" customHeight="1">
      <c r="A110" s="12" t="s">
        <v>63</v>
      </c>
      <c r="B110" s="7" t="s">
        <v>339</v>
      </c>
      <c r="C110" s="8" t="s">
        <v>0</v>
      </c>
      <c r="D110" s="44">
        <v>1</v>
      </c>
      <c r="E110" s="44"/>
      <c r="F110" s="45"/>
      <c r="G110" s="45"/>
      <c r="H110" s="44"/>
      <c r="I110" s="223" t="s">
        <v>243</v>
      </c>
      <c r="J110" s="232"/>
      <c r="N110" s="49"/>
    </row>
    <row r="111" spans="1:14" ht="21.95" customHeight="1">
      <c r="A111" s="12" t="s">
        <v>64</v>
      </c>
      <c r="B111" s="7" t="s">
        <v>341</v>
      </c>
      <c r="C111" s="8" t="s">
        <v>223</v>
      </c>
      <c r="D111" s="44">
        <v>156.68</v>
      </c>
      <c r="E111" s="44"/>
      <c r="F111" s="45"/>
      <c r="G111" s="45"/>
      <c r="H111" s="44"/>
      <c r="I111" s="223" t="s">
        <v>243</v>
      </c>
      <c r="J111" s="232"/>
      <c r="N111" s="49"/>
    </row>
    <row r="112" spans="1:14" ht="21.95" customHeight="1">
      <c r="A112" s="12" t="s">
        <v>65</v>
      </c>
      <c r="B112" s="7" t="s">
        <v>343</v>
      </c>
      <c r="C112" s="8" t="s">
        <v>8</v>
      </c>
      <c r="D112" s="44">
        <v>689.86</v>
      </c>
      <c r="E112" s="44"/>
      <c r="F112" s="45"/>
      <c r="G112" s="45"/>
      <c r="H112" s="44"/>
      <c r="I112" s="223" t="s">
        <v>243</v>
      </c>
      <c r="J112" s="232"/>
      <c r="N112" s="49"/>
    </row>
    <row r="113" spans="1:14" ht="21.95" customHeight="1">
      <c r="A113" s="12" t="s">
        <v>66</v>
      </c>
      <c r="B113" s="7" t="s">
        <v>345</v>
      </c>
      <c r="C113" s="8" t="s">
        <v>8</v>
      </c>
      <c r="D113" s="44">
        <v>12.91</v>
      </c>
      <c r="E113" s="44"/>
      <c r="F113" s="45"/>
      <c r="G113" s="45"/>
      <c r="H113" s="44"/>
      <c r="I113" s="223" t="s">
        <v>243</v>
      </c>
      <c r="J113" s="232"/>
      <c r="N113" s="49"/>
    </row>
    <row r="114" spans="1:14" ht="21.95" customHeight="1">
      <c r="A114" s="12" t="s">
        <v>67</v>
      </c>
      <c r="B114" s="7" t="s">
        <v>347</v>
      </c>
      <c r="C114" s="8" t="s">
        <v>8</v>
      </c>
      <c r="D114" s="44">
        <v>56.09</v>
      </c>
      <c r="E114" s="44"/>
      <c r="F114" s="45"/>
      <c r="G114" s="45"/>
      <c r="H114" s="44"/>
      <c r="I114" s="223" t="s">
        <v>243</v>
      </c>
      <c r="J114" s="232"/>
      <c r="N114" s="49"/>
    </row>
    <row r="115" spans="1:14" ht="21.95" customHeight="1">
      <c r="A115" s="12" t="s">
        <v>68</v>
      </c>
      <c r="B115" s="7" t="s">
        <v>349</v>
      </c>
      <c r="C115" s="8" t="s">
        <v>8</v>
      </c>
      <c r="D115" s="44">
        <v>656.91</v>
      </c>
      <c r="E115" s="44"/>
      <c r="F115" s="45"/>
      <c r="G115" s="45"/>
      <c r="H115" s="44"/>
      <c r="I115" s="223" t="s">
        <v>243</v>
      </c>
      <c r="J115" s="232"/>
      <c r="N115" s="49"/>
    </row>
    <row r="116" spans="1:14" ht="21.95" customHeight="1">
      <c r="A116" s="12" t="s">
        <v>69</v>
      </c>
      <c r="B116" s="7" t="s">
        <v>351</v>
      </c>
      <c r="C116" s="8" t="s">
        <v>8</v>
      </c>
      <c r="D116" s="44">
        <v>1254.1300000000001</v>
      </c>
      <c r="E116" s="44"/>
      <c r="F116" s="45"/>
      <c r="G116" s="45"/>
      <c r="H116" s="44"/>
      <c r="I116" s="223" t="s">
        <v>243</v>
      </c>
      <c r="J116" s="232"/>
      <c r="N116" s="49"/>
    </row>
    <row r="117" spans="1:14" ht="21.95" customHeight="1">
      <c r="A117" s="12" t="s">
        <v>70</v>
      </c>
      <c r="B117" s="7" t="s">
        <v>353</v>
      </c>
      <c r="C117" s="8" t="s">
        <v>8</v>
      </c>
      <c r="D117" s="44">
        <v>44.64</v>
      </c>
      <c r="E117" s="44"/>
      <c r="F117" s="45"/>
      <c r="G117" s="45"/>
      <c r="H117" s="44"/>
      <c r="I117" s="223" t="s">
        <v>243</v>
      </c>
      <c r="J117" s="232"/>
      <c r="N117" s="49"/>
    </row>
    <row r="118" spans="1:14" ht="21.95" customHeight="1">
      <c r="A118" s="12" t="s">
        <v>71</v>
      </c>
      <c r="B118" s="7" t="s">
        <v>355</v>
      </c>
      <c r="C118" s="8" t="s">
        <v>8</v>
      </c>
      <c r="D118" s="44">
        <v>142.26</v>
      </c>
      <c r="E118" s="44"/>
      <c r="F118" s="45"/>
      <c r="G118" s="45"/>
      <c r="H118" s="44"/>
      <c r="I118" s="223" t="s">
        <v>243</v>
      </c>
      <c r="J118" s="232"/>
      <c r="N118" s="49"/>
    </row>
    <row r="119" spans="1:14" ht="21.95" customHeight="1">
      <c r="A119" s="12" t="s">
        <v>72</v>
      </c>
      <c r="B119" s="7" t="s">
        <v>357</v>
      </c>
      <c r="C119" s="8" t="s">
        <v>8</v>
      </c>
      <c r="D119" s="44">
        <v>8.5</v>
      </c>
      <c r="E119" s="44"/>
      <c r="F119" s="45"/>
      <c r="G119" s="45"/>
      <c r="H119" s="44"/>
      <c r="I119" s="223" t="s">
        <v>243</v>
      </c>
      <c r="J119" s="232"/>
      <c r="N119" s="49"/>
    </row>
    <row r="120" spans="1:14" ht="21.95" customHeight="1">
      <c r="A120" s="12" t="s">
        <v>73</v>
      </c>
      <c r="B120" s="7" t="s">
        <v>359</v>
      </c>
      <c r="C120" s="8" t="s">
        <v>13</v>
      </c>
      <c r="D120" s="44">
        <v>20.48</v>
      </c>
      <c r="E120" s="44"/>
      <c r="F120" s="45"/>
      <c r="G120" s="45"/>
      <c r="H120" s="44"/>
      <c r="I120" s="223" t="s">
        <v>243</v>
      </c>
      <c r="J120" s="232"/>
      <c r="N120" s="49"/>
    </row>
    <row r="121" spans="1:14" ht="21.95" customHeight="1">
      <c r="A121" s="12" t="s">
        <v>74</v>
      </c>
      <c r="B121" s="7" t="s">
        <v>361</v>
      </c>
      <c r="C121" s="8" t="s">
        <v>8</v>
      </c>
      <c r="D121" s="44">
        <v>56.1</v>
      </c>
      <c r="E121" s="44"/>
      <c r="F121" s="45"/>
      <c r="G121" s="45"/>
      <c r="H121" s="44"/>
      <c r="I121" s="223" t="s">
        <v>243</v>
      </c>
      <c r="J121" s="232"/>
      <c r="N121" s="49"/>
    </row>
    <row r="122" spans="1:14" ht="21.95" customHeight="1">
      <c r="A122" s="12" t="s">
        <v>75</v>
      </c>
      <c r="B122" s="7" t="s">
        <v>363</v>
      </c>
      <c r="C122" s="8" t="s">
        <v>8</v>
      </c>
      <c r="D122" s="44">
        <v>16.600000000000001</v>
      </c>
      <c r="E122" s="44"/>
      <c r="F122" s="45"/>
      <c r="G122" s="45"/>
      <c r="H122" s="44"/>
      <c r="I122" s="223" t="s">
        <v>243</v>
      </c>
      <c r="J122" s="232"/>
      <c r="N122" s="49"/>
    </row>
    <row r="123" spans="1:14" ht="21.95" customHeight="1">
      <c r="A123" s="12" t="s">
        <v>76</v>
      </c>
      <c r="B123" s="7" t="s">
        <v>365</v>
      </c>
      <c r="C123" s="8" t="s">
        <v>8</v>
      </c>
      <c r="D123" s="44">
        <v>2</v>
      </c>
      <c r="E123" s="44"/>
      <c r="F123" s="45"/>
      <c r="G123" s="45"/>
      <c r="H123" s="44"/>
      <c r="I123" s="223" t="s">
        <v>243</v>
      </c>
      <c r="J123" s="232"/>
      <c r="N123" s="49"/>
    </row>
    <row r="124" spans="1:14" ht="21.95" customHeight="1">
      <c r="A124" s="12" t="s">
        <v>215</v>
      </c>
      <c r="B124" s="7" t="s">
        <v>367</v>
      </c>
      <c r="C124" s="8" t="s">
        <v>0</v>
      </c>
      <c r="D124" s="44">
        <v>7</v>
      </c>
      <c r="E124" s="44"/>
      <c r="F124" s="45"/>
      <c r="G124" s="45"/>
      <c r="H124" s="44"/>
      <c r="I124" s="223" t="s">
        <v>243</v>
      </c>
      <c r="J124" s="232"/>
      <c r="N124" s="49"/>
    </row>
    <row r="125" spans="1:14" ht="21.95" customHeight="1">
      <c r="A125" s="12" t="s">
        <v>216</v>
      </c>
      <c r="B125" s="7" t="s">
        <v>369</v>
      </c>
      <c r="C125" s="8" t="s">
        <v>8</v>
      </c>
      <c r="D125" s="44">
        <v>19.2</v>
      </c>
      <c r="E125" s="44"/>
      <c r="F125" s="45"/>
      <c r="G125" s="45"/>
      <c r="H125" s="44"/>
      <c r="I125" s="223" t="s">
        <v>243</v>
      </c>
      <c r="J125" s="232"/>
      <c r="N125" s="49"/>
    </row>
    <row r="126" spans="1:14" ht="21.95" customHeight="1">
      <c r="A126" s="12" t="s">
        <v>371</v>
      </c>
      <c r="B126" s="7" t="s">
        <v>372</v>
      </c>
      <c r="C126" s="8" t="s">
        <v>0</v>
      </c>
      <c r="D126" s="44">
        <v>2</v>
      </c>
      <c r="E126" s="44"/>
      <c r="F126" s="45"/>
      <c r="G126" s="45"/>
      <c r="H126" s="44"/>
      <c r="I126" s="223" t="s">
        <v>243</v>
      </c>
      <c r="J126" s="232"/>
      <c r="N126" s="49"/>
    </row>
    <row r="127" spans="1:14" ht="21.95" customHeight="1">
      <c r="A127" s="12" t="s">
        <v>208</v>
      </c>
      <c r="B127" s="7" t="s">
        <v>374</v>
      </c>
      <c r="C127" s="8" t="s">
        <v>0</v>
      </c>
      <c r="D127" s="44">
        <v>8</v>
      </c>
      <c r="E127" s="44"/>
      <c r="F127" s="45"/>
      <c r="G127" s="45"/>
      <c r="H127" s="44"/>
      <c r="I127" s="223" t="s">
        <v>243</v>
      </c>
      <c r="J127" s="232"/>
      <c r="N127" s="49"/>
    </row>
    <row r="128" spans="1:14" ht="21.95" customHeight="1">
      <c r="A128" s="12" t="s">
        <v>209</v>
      </c>
      <c r="B128" s="7" t="s">
        <v>376</v>
      </c>
      <c r="C128" s="8" t="s">
        <v>0</v>
      </c>
      <c r="D128" s="44">
        <v>3</v>
      </c>
      <c r="E128" s="44"/>
      <c r="F128" s="45"/>
      <c r="G128" s="45"/>
      <c r="H128" s="44"/>
      <c r="I128" s="223" t="s">
        <v>243</v>
      </c>
      <c r="J128" s="232"/>
      <c r="N128" s="49"/>
    </row>
    <row r="129" spans="1:14" ht="21.95" customHeight="1">
      <c r="A129" s="12" t="s">
        <v>210</v>
      </c>
      <c r="B129" s="7" t="s">
        <v>378</v>
      </c>
      <c r="C129" s="8" t="s">
        <v>8</v>
      </c>
      <c r="D129" s="44">
        <v>30.1</v>
      </c>
      <c r="E129" s="44"/>
      <c r="F129" s="45"/>
      <c r="G129" s="45"/>
      <c r="H129" s="44"/>
      <c r="I129" s="223" t="s">
        <v>243</v>
      </c>
      <c r="J129" s="232"/>
      <c r="N129" s="49"/>
    </row>
    <row r="130" spans="1:14" ht="21.95" customHeight="1">
      <c r="A130" s="12" t="s">
        <v>211</v>
      </c>
      <c r="B130" s="7" t="s">
        <v>380</v>
      </c>
      <c r="C130" s="8" t="s">
        <v>8</v>
      </c>
      <c r="D130" s="44">
        <v>31.2</v>
      </c>
      <c r="E130" s="44"/>
      <c r="F130" s="80" t="s">
        <v>1639</v>
      </c>
      <c r="G130" s="80" t="s">
        <v>1957</v>
      </c>
      <c r="H130" s="44">
        <f>23.2+12</f>
        <v>35.200000000000003</v>
      </c>
      <c r="I130" s="224">
        <f>H130</f>
        <v>35.200000000000003</v>
      </c>
      <c r="J130" s="314">
        <f>I130-D130</f>
        <v>4.0000000000000036</v>
      </c>
      <c r="N130" s="49"/>
    </row>
    <row r="131" spans="1:14" ht="21.95" customHeight="1">
      <c r="A131" s="12" t="s">
        <v>382</v>
      </c>
      <c r="B131" s="7" t="s">
        <v>383</v>
      </c>
      <c r="C131" s="8" t="s">
        <v>8</v>
      </c>
      <c r="D131" s="44">
        <v>17.899999999999999</v>
      </c>
      <c r="E131" s="44"/>
      <c r="F131" s="80" t="s">
        <v>1639</v>
      </c>
      <c r="G131" s="80">
        <v>24.3</v>
      </c>
      <c r="H131" s="44">
        <f>G131</f>
        <v>24.3</v>
      </c>
      <c r="I131" s="224">
        <f>H131</f>
        <v>24.3</v>
      </c>
      <c r="J131" s="314">
        <f>I131-D131</f>
        <v>6.4000000000000021</v>
      </c>
      <c r="N131" s="49"/>
    </row>
    <row r="132" spans="1:14" ht="21.95" customHeight="1">
      <c r="A132" s="12" t="s">
        <v>385</v>
      </c>
      <c r="B132" s="7" t="s">
        <v>386</v>
      </c>
      <c r="C132" s="8" t="s">
        <v>8</v>
      </c>
      <c r="D132" s="44">
        <v>19.600000000000001</v>
      </c>
      <c r="E132" s="44"/>
      <c r="F132" s="45"/>
      <c r="G132" s="45"/>
      <c r="H132" s="44"/>
      <c r="I132" s="224"/>
      <c r="J132" s="232"/>
      <c r="N132" s="49"/>
    </row>
    <row r="133" spans="1:14" ht="21.95" customHeight="1">
      <c r="A133" s="12" t="s">
        <v>388</v>
      </c>
      <c r="B133" s="7" t="s">
        <v>389</v>
      </c>
      <c r="C133" s="8" t="s">
        <v>8</v>
      </c>
      <c r="D133" s="44">
        <v>24.9</v>
      </c>
      <c r="E133" s="44"/>
      <c r="F133" s="45"/>
      <c r="G133" s="45"/>
      <c r="H133" s="44"/>
      <c r="I133" s="223" t="s">
        <v>243</v>
      </c>
      <c r="J133" s="232"/>
      <c r="N133" s="49"/>
    </row>
    <row r="134" spans="1:14" ht="21.95" customHeight="1">
      <c r="A134" s="12" t="s">
        <v>391</v>
      </c>
      <c r="B134" s="7" t="s">
        <v>392</v>
      </c>
      <c r="C134" s="8" t="s">
        <v>8</v>
      </c>
      <c r="D134" s="44">
        <v>3.5</v>
      </c>
      <c r="E134" s="44"/>
      <c r="F134" s="45"/>
      <c r="G134" s="45"/>
      <c r="H134" s="44"/>
      <c r="I134" s="223" t="s">
        <v>243</v>
      </c>
      <c r="J134" s="232"/>
      <c r="N134" s="49"/>
    </row>
    <row r="135" spans="1:14" ht="21.95" customHeight="1">
      <c r="A135" s="12" t="s">
        <v>394</v>
      </c>
      <c r="B135" s="7" t="s">
        <v>395</v>
      </c>
      <c r="C135" s="8" t="s">
        <v>0</v>
      </c>
      <c r="D135" s="44">
        <v>1</v>
      </c>
      <c r="E135" s="44"/>
      <c r="F135" s="45"/>
      <c r="G135" s="45"/>
      <c r="H135" s="44"/>
      <c r="I135" s="223" t="s">
        <v>243</v>
      </c>
      <c r="J135" s="232"/>
      <c r="N135" s="49"/>
    </row>
    <row r="136" spans="1:14" ht="21.95" customHeight="1">
      <c r="A136" s="12" t="s">
        <v>397</v>
      </c>
      <c r="B136" s="7" t="s">
        <v>398</v>
      </c>
      <c r="C136" s="8" t="s">
        <v>0</v>
      </c>
      <c r="D136" s="44">
        <v>1</v>
      </c>
      <c r="E136" s="44"/>
      <c r="F136" s="45"/>
      <c r="G136" s="45"/>
      <c r="H136" s="44"/>
      <c r="I136" s="223" t="s">
        <v>243</v>
      </c>
      <c r="J136" s="232"/>
      <c r="N136" s="49"/>
    </row>
    <row r="137" spans="1:14" ht="21.95" customHeight="1">
      <c r="A137" s="12" t="s">
        <v>400</v>
      </c>
      <c r="B137" s="7" t="s">
        <v>401</v>
      </c>
      <c r="C137" s="8" t="s">
        <v>0</v>
      </c>
      <c r="D137" s="44">
        <v>1</v>
      </c>
      <c r="E137" s="44"/>
      <c r="F137" s="45"/>
      <c r="G137" s="45"/>
      <c r="H137" s="44"/>
      <c r="I137" s="223" t="s">
        <v>243</v>
      </c>
      <c r="J137" s="232"/>
      <c r="N137" s="49"/>
    </row>
    <row r="138" spans="1:14" ht="21.95" customHeight="1">
      <c r="A138" s="12" t="s">
        <v>403</v>
      </c>
      <c r="B138" s="7" t="s">
        <v>404</v>
      </c>
      <c r="C138" s="8" t="s">
        <v>0</v>
      </c>
      <c r="D138" s="44">
        <v>1</v>
      </c>
      <c r="E138" s="44"/>
      <c r="F138" s="45"/>
      <c r="G138" s="45"/>
      <c r="H138" s="44"/>
      <c r="I138" s="223" t="s">
        <v>243</v>
      </c>
      <c r="J138" s="232"/>
      <c r="N138" s="49"/>
    </row>
    <row r="139" spans="1:14" ht="21.95" customHeight="1">
      <c r="A139" s="12" t="s">
        <v>406</v>
      </c>
      <c r="B139" s="7" t="s">
        <v>407</v>
      </c>
      <c r="C139" s="8" t="s">
        <v>0</v>
      </c>
      <c r="D139" s="44">
        <v>1</v>
      </c>
      <c r="E139" s="44"/>
      <c r="F139" s="45"/>
      <c r="G139" s="45"/>
      <c r="H139" s="44"/>
      <c r="I139" s="223" t="s">
        <v>243</v>
      </c>
      <c r="J139" s="232"/>
      <c r="N139" s="49"/>
    </row>
    <row r="140" spans="1:14" ht="21.95" customHeight="1">
      <c r="A140" s="12" t="s">
        <v>409</v>
      </c>
      <c r="B140" s="7" t="s">
        <v>410</v>
      </c>
      <c r="C140" s="8" t="s">
        <v>8</v>
      </c>
      <c r="D140" s="44">
        <v>149.5</v>
      </c>
      <c r="E140" s="44"/>
      <c r="F140" s="45"/>
      <c r="G140" s="45"/>
      <c r="H140" s="44"/>
      <c r="I140" s="223" t="s">
        <v>243</v>
      </c>
      <c r="J140" s="232"/>
      <c r="M140" s="202" t="s">
        <v>2143</v>
      </c>
      <c r="N140" s="49"/>
    </row>
    <row r="141" spans="1:14" ht="21.95" customHeight="1">
      <c r="A141" s="12" t="s">
        <v>412</v>
      </c>
      <c r="B141" s="7" t="s">
        <v>413</v>
      </c>
      <c r="C141" s="8" t="s">
        <v>8</v>
      </c>
      <c r="D141" s="44">
        <v>39.299999999999997</v>
      </c>
      <c r="E141" s="44"/>
      <c r="F141" s="45"/>
      <c r="G141" s="45"/>
      <c r="H141" s="44"/>
      <c r="I141" s="223" t="s">
        <v>243</v>
      </c>
      <c r="J141" s="232"/>
      <c r="N141" s="49"/>
    </row>
    <row r="142" spans="1:14" ht="21.95" customHeight="1">
      <c r="A142" s="12" t="s">
        <v>415</v>
      </c>
      <c r="B142" s="7" t="s">
        <v>416</v>
      </c>
      <c r="C142" s="8" t="s">
        <v>8</v>
      </c>
      <c r="D142" s="44">
        <v>51.3</v>
      </c>
      <c r="E142" s="44"/>
      <c r="F142" s="45"/>
      <c r="G142" s="45"/>
      <c r="H142" s="44"/>
      <c r="I142" s="223" t="s">
        <v>243</v>
      </c>
      <c r="J142" s="232"/>
      <c r="N142" s="49"/>
    </row>
    <row r="143" spans="1:14" ht="21.95" customHeight="1">
      <c r="A143" s="12" t="s">
        <v>418</v>
      </c>
      <c r="B143" s="7" t="s">
        <v>419</v>
      </c>
      <c r="C143" s="8" t="s">
        <v>0</v>
      </c>
      <c r="D143" s="44">
        <v>1</v>
      </c>
      <c r="E143" s="44"/>
      <c r="F143" s="45"/>
      <c r="G143" s="45"/>
      <c r="H143" s="44"/>
      <c r="I143" s="223" t="s">
        <v>243</v>
      </c>
      <c r="J143" s="232"/>
      <c r="N143" s="49"/>
    </row>
    <row r="144" spans="1:14" ht="21.95" customHeight="1">
      <c r="A144" s="12" t="s">
        <v>421</v>
      </c>
      <c r="B144" s="7" t="s">
        <v>422</v>
      </c>
      <c r="C144" s="8" t="s">
        <v>0</v>
      </c>
      <c r="D144" s="44">
        <v>2</v>
      </c>
      <c r="E144" s="44"/>
      <c r="F144" s="45"/>
      <c r="G144" s="45"/>
      <c r="H144" s="44"/>
      <c r="I144" s="223" t="s">
        <v>243</v>
      </c>
      <c r="J144" s="232"/>
      <c r="N144" s="49"/>
    </row>
    <row r="145" spans="1:14" ht="21.95" customHeight="1">
      <c r="A145" s="12" t="s">
        <v>424</v>
      </c>
      <c r="B145" s="7" t="s">
        <v>425</v>
      </c>
      <c r="C145" s="8" t="s">
        <v>0</v>
      </c>
      <c r="D145" s="44">
        <v>1</v>
      </c>
      <c r="E145" s="44"/>
      <c r="F145" s="45"/>
      <c r="G145" s="45"/>
      <c r="H145" s="44"/>
      <c r="I145" s="223" t="s">
        <v>243</v>
      </c>
      <c r="J145" s="232"/>
      <c r="N145" s="49"/>
    </row>
    <row r="146" spans="1:14" ht="21.95" customHeight="1">
      <c r="A146" s="12" t="s">
        <v>427</v>
      </c>
      <c r="B146" s="7" t="s">
        <v>428</v>
      </c>
      <c r="C146" s="8" t="s">
        <v>0</v>
      </c>
      <c r="D146" s="44">
        <v>2</v>
      </c>
      <c r="E146" s="44"/>
      <c r="F146" s="45"/>
      <c r="G146" s="45"/>
      <c r="H146" s="44"/>
      <c r="I146" s="223" t="s">
        <v>243</v>
      </c>
      <c r="J146" s="232"/>
      <c r="N146" s="49"/>
    </row>
    <row r="147" spans="1:14" ht="21.95" customHeight="1">
      <c r="A147" s="12" t="s">
        <v>430</v>
      </c>
      <c r="B147" s="7" t="s">
        <v>431</v>
      </c>
      <c r="C147" s="8" t="s">
        <v>0</v>
      </c>
      <c r="D147" s="44">
        <v>2</v>
      </c>
      <c r="E147" s="44"/>
      <c r="F147" s="45"/>
      <c r="G147" s="45"/>
      <c r="H147" s="44"/>
      <c r="I147" s="223" t="s">
        <v>243</v>
      </c>
      <c r="J147" s="232"/>
      <c r="N147" s="49"/>
    </row>
    <row r="148" spans="1:14" ht="21.95" customHeight="1">
      <c r="A148" s="12" t="s">
        <v>433</v>
      </c>
      <c r="B148" s="7" t="s">
        <v>434</v>
      </c>
      <c r="C148" s="8" t="s">
        <v>0</v>
      </c>
      <c r="D148" s="44">
        <v>1</v>
      </c>
      <c r="E148" s="44"/>
      <c r="F148" s="45"/>
      <c r="G148" s="45"/>
      <c r="H148" s="44"/>
      <c r="I148" s="223" t="s">
        <v>243</v>
      </c>
      <c r="J148" s="232"/>
      <c r="N148" s="49"/>
    </row>
    <row r="149" spans="1:14" ht="21.95" customHeight="1">
      <c r="A149" s="12" t="s">
        <v>436</v>
      </c>
      <c r="B149" s="7" t="s">
        <v>437</v>
      </c>
      <c r="C149" s="8" t="s">
        <v>0</v>
      </c>
      <c r="D149" s="44">
        <v>1</v>
      </c>
      <c r="E149" s="44"/>
      <c r="F149" s="45"/>
      <c r="G149" s="45"/>
      <c r="H149" s="44"/>
      <c r="I149" s="223" t="s">
        <v>243</v>
      </c>
      <c r="J149" s="232"/>
      <c r="N149" s="49"/>
    </row>
    <row r="150" spans="1:14" ht="21.95" customHeight="1">
      <c r="A150" s="12" t="s">
        <v>439</v>
      </c>
      <c r="B150" s="7" t="s">
        <v>440</v>
      </c>
      <c r="C150" s="8" t="s">
        <v>0</v>
      </c>
      <c r="D150" s="44">
        <v>1</v>
      </c>
      <c r="E150" s="44"/>
      <c r="F150" s="45"/>
      <c r="G150" s="45"/>
      <c r="H150" s="44"/>
      <c r="I150" s="223" t="s">
        <v>243</v>
      </c>
      <c r="J150" s="232"/>
      <c r="N150" s="49"/>
    </row>
    <row r="151" spans="1:14" ht="21.95" customHeight="1">
      <c r="A151" s="12" t="s">
        <v>442</v>
      </c>
      <c r="B151" s="7" t="s">
        <v>443</v>
      </c>
      <c r="C151" s="8" t="s">
        <v>0</v>
      </c>
      <c r="D151" s="44">
        <v>4</v>
      </c>
      <c r="E151" s="44"/>
      <c r="F151" s="45"/>
      <c r="G151" s="45"/>
      <c r="H151" s="44"/>
      <c r="I151" s="223" t="s">
        <v>243</v>
      </c>
      <c r="J151" s="232"/>
      <c r="N151" s="49"/>
    </row>
    <row r="152" spans="1:14" ht="21.95" customHeight="1">
      <c r="A152" s="12" t="s">
        <v>445</v>
      </c>
      <c r="B152" s="7" t="s">
        <v>446</v>
      </c>
      <c r="C152" s="8" t="s">
        <v>0</v>
      </c>
      <c r="D152" s="44">
        <v>6</v>
      </c>
      <c r="E152" s="44"/>
      <c r="F152" s="45"/>
      <c r="G152" s="45"/>
      <c r="H152" s="44"/>
      <c r="I152" s="223" t="s">
        <v>243</v>
      </c>
      <c r="J152" s="232"/>
      <c r="N152" s="49"/>
    </row>
    <row r="153" spans="1:14" ht="21.95" customHeight="1">
      <c r="A153" s="12" t="s">
        <v>448</v>
      </c>
      <c r="B153" s="7" t="s">
        <v>449</v>
      </c>
      <c r="C153" s="8" t="s">
        <v>0</v>
      </c>
      <c r="D153" s="44">
        <v>1</v>
      </c>
      <c r="E153" s="44"/>
      <c r="F153" s="45"/>
      <c r="G153" s="45"/>
      <c r="H153" s="44"/>
      <c r="I153" s="223" t="s">
        <v>243</v>
      </c>
      <c r="J153" s="232"/>
      <c r="N153" s="49"/>
    </row>
    <row r="154" spans="1:14" ht="21.95" customHeight="1">
      <c r="A154" s="12" t="s">
        <v>451</v>
      </c>
      <c r="B154" s="7" t="s">
        <v>452</v>
      </c>
      <c r="C154" s="8" t="s">
        <v>0</v>
      </c>
      <c r="D154" s="44">
        <v>1</v>
      </c>
      <c r="E154" s="44"/>
      <c r="F154" s="45"/>
      <c r="G154" s="45"/>
      <c r="H154" s="44"/>
      <c r="I154" s="223" t="s">
        <v>243</v>
      </c>
      <c r="J154" s="232"/>
      <c r="N154" s="49"/>
    </row>
    <row r="155" spans="1:14" ht="21.95" customHeight="1">
      <c r="A155" s="12" t="s">
        <v>454</v>
      </c>
      <c r="B155" s="7" t="s">
        <v>455</v>
      </c>
      <c r="C155" s="8" t="s">
        <v>0</v>
      </c>
      <c r="D155" s="44">
        <v>1</v>
      </c>
      <c r="E155" s="44"/>
      <c r="F155" s="45"/>
      <c r="G155" s="45"/>
      <c r="H155" s="44"/>
      <c r="I155" s="223" t="s">
        <v>243</v>
      </c>
      <c r="J155" s="232"/>
      <c r="N155" s="49"/>
    </row>
    <row r="156" spans="1:14" ht="21.95" customHeight="1">
      <c r="A156" s="12" t="s">
        <v>457</v>
      </c>
      <c r="B156" s="7" t="s">
        <v>458</v>
      </c>
      <c r="C156" s="8" t="s">
        <v>0</v>
      </c>
      <c r="D156" s="44">
        <v>1</v>
      </c>
      <c r="E156" s="44"/>
      <c r="F156" s="45"/>
      <c r="G156" s="45"/>
      <c r="H156" s="44"/>
      <c r="I156" s="223" t="s">
        <v>243</v>
      </c>
      <c r="J156" s="232"/>
      <c r="N156" s="49"/>
    </row>
    <row r="157" spans="1:14" ht="21.95" customHeight="1">
      <c r="A157" s="12" t="s">
        <v>460</v>
      </c>
      <c r="B157" s="7" t="s">
        <v>461</v>
      </c>
      <c r="C157" s="8" t="s">
        <v>0</v>
      </c>
      <c r="D157" s="44">
        <v>1</v>
      </c>
      <c r="E157" s="44"/>
      <c r="F157" s="45"/>
      <c r="G157" s="45"/>
      <c r="H157" s="44"/>
      <c r="I157" s="223" t="s">
        <v>243</v>
      </c>
      <c r="J157" s="232"/>
      <c r="N157" s="49"/>
    </row>
    <row r="158" spans="1:14" ht="21.95" customHeight="1">
      <c r="A158" s="12" t="s">
        <v>463</v>
      </c>
      <c r="B158" s="7" t="s">
        <v>464</v>
      </c>
      <c r="C158" s="8" t="s">
        <v>0</v>
      </c>
      <c r="D158" s="44">
        <v>3</v>
      </c>
      <c r="E158" s="44"/>
      <c r="F158" s="45"/>
      <c r="G158" s="45"/>
      <c r="H158" s="44"/>
      <c r="I158" s="223" t="s">
        <v>243</v>
      </c>
      <c r="J158" s="232"/>
      <c r="N158" s="49"/>
    </row>
    <row r="159" spans="1:14" ht="21.95" customHeight="1">
      <c r="A159" s="12" t="s">
        <v>466</v>
      </c>
      <c r="B159" s="7" t="s">
        <v>467</v>
      </c>
      <c r="C159" s="8" t="s">
        <v>0</v>
      </c>
      <c r="D159" s="44">
        <v>7</v>
      </c>
      <c r="E159" s="44"/>
      <c r="F159" s="45"/>
      <c r="G159" s="45"/>
      <c r="H159" s="44"/>
      <c r="I159" s="223" t="s">
        <v>243</v>
      </c>
      <c r="J159" s="232"/>
      <c r="N159" s="49"/>
    </row>
    <row r="160" spans="1:14" ht="21.95" customHeight="1">
      <c r="A160" s="12" t="s">
        <v>469</v>
      </c>
      <c r="B160" s="7" t="s">
        <v>470</v>
      </c>
      <c r="C160" s="8" t="s">
        <v>0</v>
      </c>
      <c r="D160" s="44">
        <v>1</v>
      </c>
      <c r="E160" s="44"/>
      <c r="F160" s="45"/>
      <c r="G160" s="45"/>
      <c r="H160" s="44"/>
      <c r="I160" s="223" t="s">
        <v>243</v>
      </c>
      <c r="J160" s="232"/>
      <c r="N160" s="49"/>
    </row>
    <row r="161" spans="1:14" ht="42.75">
      <c r="A161" s="12" t="s">
        <v>472</v>
      </c>
      <c r="B161" s="10" t="s">
        <v>473</v>
      </c>
      <c r="C161" s="8" t="s">
        <v>13</v>
      </c>
      <c r="D161" s="44">
        <v>759.43</v>
      </c>
      <c r="E161" s="44"/>
      <c r="F161" s="45"/>
      <c r="G161" s="45"/>
      <c r="H161" s="44"/>
      <c r="I161" s="223" t="s">
        <v>243</v>
      </c>
      <c r="J161" s="232"/>
      <c r="N161" s="49"/>
    </row>
    <row r="162" spans="1:14" ht="21.95" customHeight="1">
      <c r="A162" s="12" t="s">
        <v>475</v>
      </c>
      <c r="B162" s="7" t="s">
        <v>476</v>
      </c>
      <c r="C162" s="8" t="s">
        <v>15</v>
      </c>
      <c r="D162" s="44">
        <v>1</v>
      </c>
      <c r="E162" s="44"/>
      <c r="F162" s="45"/>
      <c r="G162" s="45"/>
      <c r="H162" s="44"/>
      <c r="I162" s="223" t="s">
        <v>243</v>
      </c>
      <c r="J162" s="232"/>
      <c r="N162" s="49"/>
    </row>
    <row r="163" spans="1:14" ht="21.95" customHeight="1">
      <c r="A163" s="12" t="s">
        <v>478</v>
      </c>
      <c r="B163" s="7" t="s">
        <v>479</v>
      </c>
      <c r="C163" s="8" t="s">
        <v>15</v>
      </c>
      <c r="D163" s="44">
        <v>3</v>
      </c>
      <c r="E163" s="44"/>
      <c r="F163" s="45"/>
      <c r="G163" s="45"/>
      <c r="H163" s="44"/>
      <c r="I163" s="223" t="s">
        <v>243</v>
      </c>
      <c r="J163" s="232"/>
      <c r="N163" s="49"/>
    </row>
    <row r="164" spans="1:14" ht="39.75" customHeight="1">
      <c r="A164" s="12" t="s">
        <v>481</v>
      </c>
      <c r="B164" s="260" t="s">
        <v>482</v>
      </c>
      <c r="C164" s="261" t="s">
        <v>483</v>
      </c>
      <c r="D164" s="262">
        <v>88.17</v>
      </c>
      <c r="E164" s="262"/>
      <c r="F164" s="263" t="s">
        <v>2411</v>
      </c>
      <c r="G164" s="263" t="s">
        <v>2412</v>
      </c>
      <c r="H164" s="262">
        <f>(12*3234+35*1078+19*336+46*134)/1000</f>
        <v>89.085999999999999</v>
      </c>
      <c r="I164" s="354">
        <f>H164</f>
        <v>89.085999999999999</v>
      </c>
      <c r="J164" s="342">
        <f>I164-D164</f>
        <v>0.91599999999999682</v>
      </c>
      <c r="N164" s="49"/>
    </row>
    <row r="165" spans="1:14" ht="21.95" customHeight="1">
      <c r="A165" s="12" t="s">
        <v>485</v>
      </c>
      <c r="B165" s="260" t="s">
        <v>486</v>
      </c>
      <c r="C165" s="261" t="s">
        <v>0</v>
      </c>
      <c r="D165" s="262">
        <v>25</v>
      </c>
      <c r="E165" s="262"/>
      <c r="F165" s="263"/>
      <c r="G165" s="263"/>
      <c r="H165" s="262"/>
      <c r="I165" s="308"/>
      <c r="J165" s="122"/>
      <c r="N165" s="49"/>
    </row>
    <row r="166" spans="1:14" ht="21.95" customHeight="1">
      <c r="A166" s="12" t="s">
        <v>488</v>
      </c>
      <c r="B166" s="260" t="s">
        <v>489</v>
      </c>
      <c r="C166" s="261" t="s">
        <v>0</v>
      </c>
      <c r="D166" s="262">
        <v>13</v>
      </c>
      <c r="E166" s="262"/>
      <c r="F166" s="263"/>
      <c r="G166" s="263"/>
      <c r="H166" s="262"/>
      <c r="I166" s="308"/>
      <c r="J166" s="122"/>
      <c r="N166" s="49"/>
    </row>
    <row r="167" spans="1:14" ht="21.95" customHeight="1">
      <c r="A167" s="12" t="s">
        <v>491</v>
      </c>
      <c r="B167" s="260" t="s">
        <v>492</v>
      </c>
      <c r="C167" s="261" t="s">
        <v>8</v>
      </c>
      <c r="D167" s="262">
        <v>9.8000000000000007</v>
      </c>
      <c r="E167" s="262"/>
      <c r="F167" s="263"/>
      <c r="G167" s="263"/>
      <c r="H167" s="262"/>
      <c r="I167" s="308"/>
      <c r="J167" s="122"/>
      <c r="N167" s="49"/>
    </row>
    <row r="168" spans="1:14" ht="21.95" customHeight="1">
      <c r="A168" s="12" t="s">
        <v>494</v>
      </c>
      <c r="B168" s="260" t="s">
        <v>495</v>
      </c>
      <c r="C168" s="261" t="s">
        <v>8</v>
      </c>
      <c r="D168" s="262">
        <v>6.2</v>
      </c>
      <c r="E168" s="262"/>
      <c r="F168" s="263"/>
      <c r="G168" s="263"/>
      <c r="H168" s="262"/>
      <c r="I168" s="308"/>
      <c r="J168" s="122"/>
      <c r="N168" s="49"/>
    </row>
    <row r="169" spans="1:14" ht="21.95" customHeight="1">
      <c r="A169" s="12" t="s">
        <v>497</v>
      </c>
      <c r="B169" s="260" t="s">
        <v>498</v>
      </c>
      <c r="C169" s="261" t="s">
        <v>8</v>
      </c>
      <c r="D169" s="262">
        <v>3.3</v>
      </c>
      <c r="E169" s="262"/>
      <c r="F169" s="263"/>
      <c r="G169" s="263"/>
      <c r="H169" s="262"/>
      <c r="I169" s="308"/>
      <c r="J169" s="122"/>
      <c r="N169" s="49"/>
    </row>
    <row r="170" spans="1:14" ht="21.95" customHeight="1">
      <c r="A170" s="12" t="s">
        <v>500</v>
      </c>
      <c r="B170" s="260" t="s">
        <v>501</v>
      </c>
      <c r="C170" s="261" t="s">
        <v>8</v>
      </c>
      <c r="D170" s="262">
        <v>40.6</v>
      </c>
      <c r="E170" s="262"/>
      <c r="F170" s="263"/>
      <c r="G170" s="263"/>
      <c r="H170" s="262"/>
      <c r="I170" s="308"/>
      <c r="J170" s="122"/>
      <c r="N170" s="49"/>
    </row>
    <row r="171" spans="1:14" ht="21.95" customHeight="1">
      <c r="A171" s="12" t="s">
        <v>503</v>
      </c>
      <c r="B171" s="260" t="s">
        <v>504</v>
      </c>
      <c r="C171" s="261" t="s">
        <v>8</v>
      </c>
      <c r="D171" s="262">
        <v>176.7</v>
      </c>
      <c r="E171" s="262"/>
      <c r="F171" s="263"/>
      <c r="G171" s="263"/>
      <c r="H171" s="262"/>
      <c r="I171" s="308"/>
      <c r="J171" s="122"/>
      <c r="N171" s="49"/>
    </row>
    <row r="172" spans="1:14" ht="21.95" customHeight="1">
      <c r="A172" s="12" t="s">
        <v>506</v>
      </c>
      <c r="B172" s="260" t="s">
        <v>507</v>
      </c>
      <c r="C172" s="261" t="s">
        <v>8</v>
      </c>
      <c r="D172" s="262">
        <v>251.7</v>
      </c>
      <c r="E172" s="262"/>
      <c r="F172" s="263"/>
      <c r="G172" s="263"/>
      <c r="H172" s="262"/>
      <c r="I172" s="308"/>
      <c r="J172" s="122"/>
      <c r="N172" s="49"/>
    </row>
    <row r="173" spans="1:14" ht="21.95" customHeight="1">
      <c r="A173" s="12" t="s">
        <v>509</v>
      </c>
      <c r="B173" s="260" t="s">
        <v>510</v>
      </c>
      <c r="C173" s="261" t="s">
        <v>8</v>
      </c>
      <c r="D173" s="262">
        <v>6.8</v>
      </c>
      <c r="E173" s="262"/>
      <c r="F173" s="263"/>
      <c r="G173" s="263"/>
      <c r="H173" s="262"/>
      <c r="I173" s="308"/>
      <c r="J173" s="122"/>
      <c r="N173" s="49"/>
    </row>
    <row r="174" spans="1:14" ht="21.95" customHeight="1">
      <c r="A174" s="12" t="s">
        <v>512</v>
      </c>
      <c r="B174" s="260" t="s">
        <v>513</v>
      </c>
      <c r="C174" s="261" t="s">
        <v>8</v>
      </c>
      <c r="D174" s="262">
        <v>44.2</v>
      </c>
      <c r="E174" s="262"/>
      <c r="F174" s="263"/>
      <c r="G174" s="263"/>
      <c r="H174" s="262"/>
      <c r="I174" s="308"/>
      <c r="J174" s="122"/>
      <c r="N174" s="49"/>
    </row>
    <row r="175" spans="1:14" ht="21.95" customHeight="1">
      <c r="A175" s="12" t="s">
        <v>515</v>
      </c>
      <c r="B175" s="260" t="s">
        <v>516</v>
      </c>
      <c r="C175" s="261" t="s">
        <v>8</v>
      </c>
      <c r="D175" s="262">
        <v>10.7</v>
      </c>
      <c r="E175" s="262"/>
      <c r="F175" s="263"/>
      <c r="G175" s="263"/>
      <c r="H175" s="262"/>
      <c r="I175" s="308"/>
      <c r="J175" s="122"/>
      <c r="N175" s="49"/>
    </row>
    <row r="176" spans="1:14" ht="21.95" customHeight="1">
      <c r="A176" s="12" t="s">
        <v>518</v>
      </c>
      <c r="B176" s="260" t="s">
        <v>519</v>
      </c>
      <c r="C176" s="261" t="s">
        <v>8</v>
      </c>
      <c r="D176" s="262">
        <v>62.5</v>
      </c>
      <c r="E176" s="262"/>
      <c r="F176" s="263"/>
      <c r="G176" s="263"/>
      <c r="H176" s="262"/>
      <c r="I176" s="308"/>
      <c r="J176" s="122"/>
      <c r="N176" s="49"/>
    </row>
    <row r="177" spans="1:14" ht="21.95" customHeight="1">
      <c r="A177" s="12" t="s">
        <v>521</v>
      </c>
      <c r="B177" s="260" t="s">
        <v>522</v>
      </c>
      <c r="C177" s="261" t="s">
        <v>8</v>
      </c>
      <c r="D177" s="262">
        <v>84.8</v>
      </c>
      <c r="E177" s="262"/>
      <c r="F177" s="263"/>
      <c r="G177" s="263"/>
      <c r="H177" s="262"/>
      <c r="I177" s="308"/>
      <c r="J177" s="122"/>
      <c r="N177" s="49"/>
    </row>
    <row r="178" spans="1:14" ht="21.95" customHeight="1">
      <c r="A178" s="12" t="s">
        <v>524</v>
      </c>
      <c r="B178" s="7" t="s">
        <v>525</v>
      </c>
      <c r="C178" s="8" t="s">
        <v>0</v>
      </c>
      <c r="D178" s="44">
        <v>2</v>
      </c>
      <c r="E178" s="44"/>
      <c r="F178" s="51" t="s">
        <v>2182</v>
      </c>
      <c r="G178" s="50" t="s">
        <v>2181</v>
      </c>
      <c r="H178" s="44">
        <v>3</v>
      </c>
      <c r="I178" s="44">
        <v>3</v>
      </c>
      <c r="J178" s="314">
        <f>I178-D178</f>
        <v>1</v>
      </c>
      <c r="N178" s="49"/>
    </row>
    <row r="179" spans="1:14" ht="33">
      <c r="A179" s="6" t="s">
        <v>77</v>
      </c>
      <c r="B179" s="7" t="s">
        <v>527</v>
      </c>
      <c r="C179" s="8" t="s">
        <v>4</v>
      </c>
      <c r="D179" s="44">
        <v>1</v>
      </c>
      <c r="E179" s="44"/>
      <c r="F179" s="45"/>
      <c r="G179" s="45"/>
      <c r="H179" s="44"/>
      <c r="I179" s="223" t="s">
        <v>243</v>
      </c>
      <c r="J179" s="232"/>
      <c r="N179" s="49"/>
    </row>
    <row r="180" spans="1:14" ht="31.5">
      <c r="A180" s="12" t="s">
        <v>78</v>
      </c>
      <c r="B180" s="7" t="s">
        <v>310</v>
      </c>
      <c r="C180" s="8" t="s">
        <v>223</v>
      </c>
      <c r="D180" s="44">
        <v>185.59</v>
      </c>
      <c r="E180" s="44">
        <v>928.51</v>
      </c>
      <c r="F180" s="45" t="s">
        <v>1320</v>
      </c>
      <c r="G180" s="45" t="s">
        <v>1321</v>
      </c>
      <c r="H180" s="44">
        <f>((5*6*6.5*2)+(13*3.5*6.8)+(3.2*8.5*1.6))</f>
        <v>742.92</v>
      </c>
      <c r="I180" s="224"/>
      <c r="J180" s="122" t="s">
        <v>2169</v>
      </c>
      <c r="N180" s="49"/>
    </row>
    <row r="181" spans="1:14" ht="33">
      <c r="A181" s="12"/>
      <c r="B181" s="7"/>
      <c r="C181" s="8"/>
      <c r="D181" s="44"/>
      <c r="E181" s="44"/>
      <c r="F181" s="45" t="s">
        <v>1323</v>
      </c>
      <c r="G181" s="45" t="s">
        <v>1322</v>
      </c>
      <c r="H181" s="44">
        <f>(14.35*0.8*1.25+14.35*0.8*2.75+15*0.8*2.75)+((5.1+1.92)*2*1.25)</f>
        <v>96.47</v>
      </c>
      <c r="I181" s="223"/>
      <c r="J181" s="232"/>
      <c r="N181" s="49"/>
    </row>
    <row r="182" spans="1:14">
      <c r="A182" s="12"/>
      <c r="B182" s="7"/>
      <c r="C182" s="8"/>
      <c r="D182" s="44"/>
      <c r="E182" s="44"/>
      <c r="F182" s="45"/>
      <c r="G182" s="45"/>
      <c r="H182" s="44"/>
      <c r="I182" s="223"/>
      <c r="J182" s="232"/>
      <c r="N182" s="49"/>
    </row>
    <row r="183" spans="1:14" ht="28.5">
      <c r="A183" s="12" t="s">
        <v>79</v>
      </c>
      <c r="B183" s="10" t="s">
        <v>315</v>
      </c>
      <c r="C183" s="8" t="s">
        <v>6</v>
      </c>
      <c r="D183" s="44">
        <v>26.33</v>
      </c>
      <c r="E183" s="44"/>
      <c r="F183" s="45" t="s">
        <v>1325</v>
      </c>
      <c r="G183" s="45" t="s">
        <v>1332</v>
      </c>
      <c r="H183" s="44">
        <f>(15.2*1.9*0.1)+(14.55*1.9*0.1)</f>
        <v>5.6524999999999999</v>
      </c>
      <c r="I183" s="225">
        <f>SUM(H183:H189)</f>
        <v>25.7851</v>
      </c>
      <c r="J183" s="122" t="s">
        <v>2169</v>
      </c>
      <c r="K183" s="523"/>
      <c r="L183" s="25"/>
      <c r="M183" s="206"/>
      <c r="N183" s="49"/>
    </row>
    <row r="184" spans="1:14">
      <c r="A184" s="12"/>
      <c r="B184" s="10"/>
      <c r="C184" s="8"/>
      <c r="D184" s="44"/>
      <c r="E184" s="44"/>
      <c r="F184" s="45" t="s">
        <v>1326</v>
      </c>
      <c r="G184" s="45" t="s">
        <v>1333</v>
      </c>
      <c r="H184" s="44">
        <f>(3.08*4.87*0.1)+(3.7*1.7*0.1)</f>
        <v>2.1289600000000002</v>
      </c>
      <c r="I184" s="223"/>
      <c r="J184" s="232"/>
      <c r="N184" s="49"/>
    </row>
    <row r="185" spans="1:14">
      <c r="A185" s="12"/>
      <c r="B185" s="10"/>
      <c r="C185" s="8"/>
      <c r="D185" s="44"/>
      <c r="E185" s="44"/>
      <c r="F185" s="45" t="s">
        <v>1388</v>
      </c>
      <c r="G185" s="45" t="s">
        <v>1385</v>
      </c>
      <c r="H185" s="44">
        <f>16.2*1.5*0.1</f>
        <v>2.4299999999999997</v>
      </c>
      <c r="I185" s="223"/>
      <c r="J185" s="232"/>
      <c r="N185" s="49"/>
    </row>
    <row r="186" spans="1:14">
      <c r="A186" s="12"/>
      <c r="B186" s="10"/>
      <c r="C186" s="8"/>
      <c r="D186" s="44"/>
      <c r="E186" s="44"/>
      <c r="F186" s="80" t="s">
        <v>2711</v>
      </c>
      <c r="G186" s="45" t="s">
        <v>2712</v>
      </c>
      <c r="H186" s="44">
        <f>2.57*32.6*0.1</f>
        <v>8.3781999999999996</v>
      </c>
      <c r="I186" s="223"/>
      <c r="J186" s="232"/>
      <c r="N186" s="49"/>
    </row>
    <row r="187" spans="1:14" ht="33">
      <c r="A187" s="12"/>
      <c r="B187" s="10"/>
      <c r="C187" s="8"/>
      <c r="D187" s="44"/>
      <c r="E187" s="44"/>
      <c r="F187" s="45" t="s">
        <v>2715</v>
      </c>
      <c r="G187" s="45" t="s">
        <v>2713</v>
      </c>
      <c r="H187" s="44">
        <f>((2.4+2.3)/2*5+(2.3+2.06)/2*16+(1.56+1.7)/2*10.88)*0.1</f>
        <v>6.4364399999999993</v>
      </c>
      <c r="I187" s="223"/>
      <c r="J187" s="232"/>
      <c r="N187" s="49"/>
    </row>
    <row r="188" spans="1:14">
      <c r="A188" s="303"/>
      <c r="B188" s="520"/>
      <c r="C188" s="305"/>
      <c r="D188" s="306"/>
      <c r="E188" s="306"/>
      <c r="F188" s="45" t="s">
        <v>2714</v>
      </c>
      <c r="G188" s="307" t="s">
        <v>2716</v>
      </c>
      <c r="H188" s="306">
        <f>(1.2*2.05+2.7*1.9)*0.1</f>
        <v>0.75900000000000001</v>
      </c>
      <c r="I188" s="308"/>
      <c r="J188" s="122"/>
      <c r="N188" s="49"/>
    </row>
    <row r="189" spans="1:14">
      <c r="A189" s="12"/>
      <c r="B189" s="10"/>
      <c r="C189" s="8"/>
      <c r="D189" s="44"/>
      <c r="E189" s="44"/>
      <c r="F189" s="45"/>
      <c r="G189" s="45"/>
      <c r="H189" s="44"/>
      <c r="I189" s="223"/>
      <c r="J189" s="232"/>
      <c r="N189" s="49"/>
    </row>
    <row r="190" spans="1:14" ht="28.5">
      <c r="A190" s="12" t="s">
        <v>80</v>
      </c>
      <c r="B190" s="10" t="s">
        <v>24</v>
      </c>
      <c r="C190" s="8" t="s">
        <v>6</v>
      </c>
      <c r="D190" s="44">
        <v>36.86</v>
      </c>
      <c r="E190" s="44"/>
      <c r="F190" s="45" t="s">
        <v>2717</v>
      </c>
      <c r="G190" s="45" t="s">
        <v>2719</v>
      </c>
      <c r="H190" s="44">
        <f>(0.367*0.394+(0.367+0.117)*0.394)*1.2</f>
        <v>0.40235279999999995</v>
      </c>
      <c r="I190" s="224"/>
      <c r="J190" s="122" t="s">
        <v>2169</v>
      </c>
      <c r="N190" s="49"/>
    </row>
    <row r="191" spans="1:14" ht="33">
      <c r="A191" s="303"/>
      <c r="B191" s="520"/>
      <c r="C191" s="305"/>
      <c r="D191" s="306"/>
      <c r="E191" s="306"/>
      <c r="F191" s="307" t="s">
        <v>2718</v>
      </c>
      <c r="G191" s="307"/>
      <c r="H191" s="306"/>
      <c r="I191" s="354"/>
      <c r="J191" s="122"/>
      <c r="N191" s="49"/>
    </row>
    <row r="192" spans="1:14">
      <c r="A192" s="303"/>
      <c r="B192" s="520"/>
      <c r="C192" s="305"/>
      <c r="D192" s="306"/>
      <c r="E192" s="306"/>
      <c r="F192" s="307" t="s">
        <v>2691</v>
      </c>
      <c r="G192" s="307" t="s">
        <v>2692</v>
      </c>
      <c r="H192" s="306">
        <f>(16+18.2)*2*0.13</f>
        <v>8.8920000000000012</v>
      </c>
      <c r="I192" s="354"/>
      <c r="J192" s="122"/>
      <c r="N192" s="49"/>
    </row>
    <row r="193" spans="1:15">
      <c r="A193" s="303"/>
      <c r="B193" s="520"/>
      <c r="C193" s="305"/>
      <c r="D193" s="306"/>
      <c r="E193" s="306"/>
      <c r="F193" s="307"/>
      <c r="G193" s="307"/>
      <c r="H193" s="306"/>
      <c r="I193" s="354"/>
      <c r="J193" s="122"/>
      <c r="N193" s="49"/>
    </row>
    <row r="194" spans="1:15" ht="49.5">
      <c r="A194" s="12" t="s">
        <v>81</v>
      </c>
      <c r="B194" s="10" t="s">
        <v>528</v>
      </c>
      <c r="C194" s="8" t="s">
        <v>6</v>
      </c>
      <c r="D194" s="44">
        <v>654.83000000000004</v>
      </c>
      <c r="E194" s="44"/>
      <c r="F194" s="45" t="s">
        <v>1330</v>
      </c>
      <c r="G194" s="45" t="s">
        <v>1339</v>
      </c>
      <c r="H194" s="44">
        <f>((14.35+15.2)*1.15*1.5)+((14.35+15.2)*1.5*0.5)+((14.35+15.2)*(0.42*0.3+0.4*0.42/2))+(2.2*0.45*0.75*14)</f>
        <v>89.736749999999986</v>
      </c>
      <c r="I194" s="224">
        <f>SUM(H194:H201)</f>
        <v>285.16166500000003</v>
      </c>
      <c r="J194" s="122" t="s">
        <v>2169</v>
      </c>
      <c r="K194" s="545"/>
      <c r="N194" s="49"/>
    </row>
    <row r="195" spans="1:15" ht="49.5">
      <c r="A195" s="12"/>
      <c r="B195" s="7"/>
      <c r="C195" s="8"/>
      <c r="D195" s="44"/>
      <c r="E195" s="44"/>
      <c r="F195" s="45" t="s">
        <v>1331</v>
      </c>
      <c r="G195" s="45" t="s">
        <v>1338</v>
      </c>
      <c r="H195" s="44">
        <f>((2.88*4.67*1.15)+(0.5*1*(1.88+1+1.8+2.67)))+((1.5*3.5*1.15)+(0.5*3.5*1)+(0.3*1*2)+(3.5*(0.42*0.3+0.4*0.42/2))+(2.1*0.45*0.75*4))</f>
        <v>31.099539999999998</v>
      </c>
      <c r="I195" s="223"/>
      <c r="J195" s="232"/>
      <c r="N195" s="49"/>
    </row>
    <row r="196" spans="1:15" ht="24.75" customHeight="1">
      <c r="A196" s="12"/>
      <c r="B196" s="7"/>
      <c r="C196" s="8"/>
      <c r="D196" s="44"/>
      <c r="E196" s="44"/>
      <c r="F196" s="45" t="s">
        <v>1388</v>
      </c>
      <c r="G196" s="45" t="s">
        <v>1386</v>
      </c>
      <c r="H196" s="44">
        <f>(15.8*0.3*3.45)+(1.2*0.4*15.8)</f>
        <v>23.937000000000001</v>
      </c>
      <c r="I196" s="223"/>
      <c r="J196" s="232"/>
      <c r="N196" s="49"/>
    </row>
    <row r="197" spans="1:15" ht="26.25" customHeight="1">
      <c r="A197" s="272"/>
      <c r="B197" s="210"/>
      <c r="C197" s="211"/>
      <c r="D197" s="212"/>
      <c r="E197" s="212"/>
      <c r="F197" s="389" t="s">
        <v>2036</v>
      </c>
      <c r="G197" s="389" t="s">
        <v>2249</v>
      </c>
      <c r="H197" s="390">
        <f>(2.85*(7.6+6.35)*0.3)+(0.5*(7.6+6.35)*1.5)</f>
        <v>22.389749999999999</v>
      </c>
      <c r="I197" s="224"/>
      <c r="J197" s="232"/>
      <c r="M197" s="206"/>
      <c r="N197" s="49"/>
    </row>
    <row r="198" spans="1:15">
      <c r="A198" s="12"/>
      <c r="B198" s="7"/>
      <c r="C198" s="8"/>
      <c r="D198" s="44"/>
      <c r="E198" s="44"/>
      <c r="F198" s="45" t="s">
        <v>1334</v>
      </c>
      <c r="G198" s="45" t="s">
        <v>1337</v>
      </c>
      <c r="H198" s="44">
        <f>(((16.55+15.7)/2*13.3*0.25)-(12.6*0.6*0.05))</f>
        <v>53.237625000000001</v>
      </c>
      <c r="I198" s="223"/>
      <c r="J198" s="232"/>
      <c r="N198" s="49"/>
    </row>
    <row r="199" spans="1:15">
      <c r="A199" s="12"/>
      <c r="B199" s="7"/>
      <c r="C199" s="8"/>
      <c r="D199" s="44"/>
      <c r="E199" s="44"/>
      <c r="F199" s="80" t="s">
        <v>1335</v>
      </c>
      <c r="G199" s="80" t="s">
        <v>1810</v>
      </c>
      <c r="H199" s="44">
        <f>(16+15.75)*5*0.3</f>
        <v>47.625</v>
      </c>
      <c r="I199" s="223"/>
      <c r="J199" s="232"/>
      <c r="N199" s="49"/>
    </row>
    <row r="200" spans="1:15">
      <c r="A200" s="12"/>
      <c r="B200" s="7"/>
      <c r="C200" s="8"/>
      <c r="D200" s="44"/>
      <c r="E200" s="44"/>
      <c r="F200" s="80" t="s">
        <v>1336</v>
      </c>
      <c r="G200" s="80" t="s">
        <v>1811</v>
      </c>
      <c r="H200" s="44">
        <f>1.2*0.4*(16.87+18.83)</f>
        <v>17.135999999999999</v>
      </c>
      <c r="I200" s="223"/>
      <c r="J200" s="232"/>
      <c r="N200" s="49"/>
    </row>
    <row r="201" spans="1:15">
      <c r="A201" s="12"/>
      <c r="B201" s="7"/>
      <c r="C201" s="8"/>
      <c r="D201" s="44"/>
      <c r="E201" s="44"/>
      <c r="F201" s="45"/>
      <c r="G201" s="45"/>
      <c r="H201" s="44"/>
      <c r="I201" s="223"/>
      <c r="J201" s="232"/>
      <c r="N201" s="49"/>
    </row>
    <row r="202" spans="1:15" ht="33">
      <c r="A202" s="12" t="s">
        <v>82</v>
      </c>
      <c r="B202" s="7" t="s">
        <v>192</v>
      </c>
      <c r="C202" s="8" t="s">
        <v>17</v>
      </c>
      <c r="D202" s="44">
        <v>6240.88</v>
      </c>
      <c r="E202" s="44"/>
      <c r="F202" s="45" t="s">
        <v>1329</v>
      </c>
      <c r="G202" s="45"/>
      <c r="H202" s="44"/>
      <c r="I202" s="226">
        <f>SUM(H202:H205)</f>
        <v>0</v>
      </c>
      <c r="J202" s="122" t="s">
        <v>2169</v>
      </c>
      <c r="N202" s="49"/>
    </row>
    <row r="203" spans="1:15">
      <c r="A203" s="12"/>
      <c r="B203" s="7"/>
      <c r="C203" s="8"/>
      <c r="D203" s="44"/>
      <c r="E203" s="44"/>
      <c r="F203" s="45"/>
      <c r="G203" s="45"/>
      <c r="H203" s="44"/>
      <c r="I203" s="226"/>
      <c r="J203" s="232"/>
      <c r="N203" s="49"/>
    </row>
    <row r="204" spans="1:15">
      <c r="A204" s="12"/>
      <c r="B204" s="7"/>
      <c r="C204" s="8"/>
      <c r="D204" s="44"/>
      <c r="E204" s="44"/>
      <c r="F204" s="45"/>
      <c r="G204" s="45"/>
      <c r="H204" s="44"/>
      <c r="I204" s="227"/>
      <c r="J204" s="232"/>
      <c r="N204" s="49"/>
    </row>
    <row r="205" spans="1:15">
      <c r="A205" s="12"/>
      <c r="B205" s="7"/>
      <c r="C205" s="8"/>
      <c r="D205" s="44"/>
      <c r="E205" s="44"/>
      <c r="F205" s="45"/>
      <c r="G205" s="45"/>
      <c r="H205" s="44"/>
      <c r="I205" s="227"/>
      <c r="J205" s="232"/>
      <c r="N205" s="49"/>
    </row>
    <row r="206" spans="1:15">
      <c r="A206" s="12" t="s">
        <v>83</v>
      </c>
      <c r="B206" s="7" t="s">
        <v>530</v>
      </c>
      <c r="C206" s="8" t="s">
        <v>17</v>
      </c>
      <c r="D206" s="44">
        <v>102796.95</v>
      </c>
      <c r="E206" s="44"/>
      <c r="F206" s="45" t="s">
        <v>1330</v>
      </c>
      <c r="G206" s="45" t="s">
        <v>2424</v>
      </c>
      <c r="H206" s="44">
        <f>鋼筋!K56</f>
        <v>19888.163419999997</v>
      </c>
      <c r="I206" s="309">
        <f>SUM(H206:H213)</f>
        <v>57362.312227999995</v>
      </c>
      <c r="J206" s="122" t="s">
        <v>2169</v>
      </c>
      <c r="M206" s="206"/>
      <c r="N206" s="49"/>
      <c r="O206" s="65"/>
    </row>
    <row r="207" spans="1:15">
      <c r="A207" s="12"/>
      <c r="B207" s="7"/>
      <c r="C207" s="8"/>
      <c r="D207" s="44"/>
      <c r="E207" s="44"/>
      <c r="F207" s="45" t="s">
        <v>1331</v>
      </c>
      <c r="G207" s="45" t="s">
        <v>2425</v>
      </c>
      <c r="H207" s="44">
        <f>鋼筋!M77</f>
        <v>3661.1010080000005</v>
      </c>
      <c r="I207" s="223"/>
      <c r="J207" s="232"/>
      <c r="M207" s="30"/>
      <c r="N207" s="49"/>
    </row>
    <row r="208" spans="1:15" ht="35.25" customHeight="1">
      <c r="A208" s="12"/>
      <c r="B208" s="7"/>
      <c r="C208" s="8"/>
      <c r="D208" s="44"/>
      <c r="E208" s="44"/>
      <c r="F208" s="45" t="s">
        <v>1388</v>
      </c>
      <c r="G208" s="45" t="s">
        <v>2426</v>
      </c>
      <c r="H208" s="44">
        <f>(14.6*36+6.75*80+3.65*80+1.75*80+14.6*12)*1.56+H196*3.2</f>
        <v>2686.1664000000001</v>
      </c>
      <c r="I208" s="223"/>
      <c r="J208" s="232"/>
      <c r="M208" s="30"/>
      <c r="N208" s="49"/>
    </row>
    <row r="209" spans="1:14" ht="49.5">
      <c r="A209" s="12"/>
      <c r="B209" s="7"/>
      <c r="C209" s="8"/>
      <c r="D209" s="44"/>
      <c r="E209" s="44"/>
      <c r="F209" s="45" t="s">
        <v>1334</v>
      </c>
      <c r="G209" s="45" t="s">
        <v>2427</v>
      </c>
      <c r="H209" s="44">
        <f>(11.5*142+5*142+9.85*71+8.35*142+6.85*71)*2.25+((8.5+6.4+5)*105+1.6*250+1.3*215+1.6*630+11*53+9.8*104+8.6*53)*1.56+H198*3.2</f>
        <v>19880.360400000001</v>
      </c>
      <c r="I209" s="223"/>
      <c r="J209" s="232"/>
      <c r="M209" s="30"/>
      <c r="N209" s="49"/>
    </row>
    <row r="210" spans="1:14" ht="49.5">
      <c r="A210" s="12"/>
      <c r="B210" s="7"/>
      <c r="C210" s="8"/>
      <c r="D210" s="44"/>
      <c r="E210" s="44"/>
      <c r="F210" s="56" t="s">
        <v>1335</v>
      </c>
      <c r="G210" s="45" t="s">
        <v>2428</v>
      </c>
      <c r="H210" s="44">
        <f>5.25*107*3.05+(12*34+4.8*34+5.25*54+10*9+8.5*18+7*9)*2.25+(5.25*106*3.05)+(12*34+4.8*34+5.25*53+10*9+8.5*18+7*9)*2.25+47.63*3.2</f>
        <v>8774.4159999999993</v>
      </c>
      <c r="I210" s="223"/>
      <c r="J210" s="232"/>
      <c r="M210" s="30"/>
      <c r="N210" s="49"/>
    </row>
    <row r="211" spans="1:14">
      <c r="A211" s="12"/>
      <c r="B211" s="7"/>
      <c r="C211" s="8"/>
      <c r="D211" s="44"/>
      <c r="E211" s="44"/>
      <c r="F211" s="45" t="s">
        <v>1336</v>
      </c>
      <c r="G211" s="45" t="s">
        <v>2429</v>
      </c>
      <c r="H211" s="44">
        <f>(7*108+3.1*252+0.5*252)*0.994+H200*3.2</f>
        <v>1708.056</v>
      </c>
      <c r="I211" s="223"/>
      <c r="J211" s="232"/>
      <c r="M211" s="30"/>
      <c r="N211" s="49"/>
    </row>
    <row r="212" spans="1:14">
      <c r="A212" s="12"/>
      <c r="B212" s="7"/>
      <c r="C212" s="8"/>
      <c r="D212" s="44"/>
      <c r="E212" s="44"/>
      <c r="F212" s="45" t="s">
        <v>1787</v>
      </c>
      <c r="G212" s="45" t="s">
        <v>1788</v>
      </c>
      <c r="H212" s="44">
        <f>7.95*8*3.05+(9.45+6.15)*4*1.56+1.1*191*2.25</f>
        <v>764.04899999999998</v>
      </c>
      <c r="I212" s="223"/>
      <c r="J212" s="232"/>
      <c r="M212" s="30"/>
      <c r="N212" s="49"/>
    </row>
    <row r="213" spans="1:14">
      <c r="A213" s="12"/>
      <c r="B213" s="7"/>
      <c r="C213" s="8"/>
      <c r="D213" s="44"/>
      <c r="E213" s="44"/>
      <c r="F213" s="45"/>
      <c r="G213" s="45"/>
      <c r="H213" s="44"/>
      <c r="I213" s="223"/>
      <c r="J213" s="232"/>
      <c r="N213" s="49"/>
    </row>
    <row r="214" spans="1:14" ht="33">
      <c r="A214" s="12" t="s">
        <v>84</v>
      </c>
      <c r="B214" s="7" t="s">
        <v>532</v>
      </c>
      <c r="C214" s="8" t="s">
        <v>13</v>
      </c>
      <c r="D214" s="44">
        <v>223.3</v>
      </c>
      <c r="E214" s="44"/>
      <c r="F214" s="45" t="s">
        <v>1329</v>
      </c>
      <c r="G214" s="45"/>
      <c r="H214" s="44"/>
      <c r="I214" s="224">
        <f>H214</f>
        <v>0</v>
      </c>
      <c r="J214" s="122" t="s">
        <v>2169</v>
      </c>
      <c r="N214" s="49"/>
    </row>
    <row r="215" spans="1:14" ht="49.5">
      <c r="A215" s="12" t="s">
        <v>85</v>
      </c>
      <c r="B215" s="7" t="s">
        <v>534</v>
      </c>
      <c r="C215" s="8" t="s">
        <v>13</v>
      </c>
      <c r="D215" s="44">
        <v>450.04</v>
      </c>
      <c r="E215" s="44"/>
      <c r="F215" s="45" t="s">
        <v>1330</v>
      </c>
      <c r="G215" s="45" t="s">
        <v>1350</v>
      </c>
      <c r="H215" s="44">
        <f>(15.3+14.35)*(1.15+1.5+2.75+0.1*2)+(1.5*1.15+1.5*0.5+0.42*0.7)*2*2+(0.25*0.6*4)*14+(2.2*0.45*2+0.75*2.2+1.05*0.6)*14</f>
        <v>245.15600000000003</v>
      </c>
      <c r="I215" s="226">
        <f>SUM(H215:H219)</f>
        <v>484.31400000000008</v>
      </c>
      <c r="J215" s="314">
        <f>I215-D215</f>
        <v>34.274000000000058</v>
      </c>
      <c r="K215" s="559" t="s">
        <v>2751</v>
      </c>
      <c r="N215" s="49"/>
    </row>
    <row r="216" spans="1:14" ht="49.5">
      <c r="A216" s="12"/>
      <c r="B216" s="7"/>
      <c r="C216" s="8"/>
      <c r="D216" s="44"/>
      <c r="E216" s="44"/>
      <c r="F216" s="45" t="s">
        <v>1342</v>
      </c>
      <c r="G216" s="56" t="s">
        <v>1352</v>
      </c>
      <c r="H216" s="55">
        <f>(2.38+1.95+0.5+0.5+2.67)*2*1+(0.25*0.6*4)*4+((3.5*2.15)+(3.5*2.35)+1.5*1.15*2+1*0.5*2*0.42*0.7*2)+(2*0.45*2+0.75*2+1.05*0.6)*4</f>
        <v>53.908000000000001</v>
      </c>
      <c r="I216" s="227"/>
      <c r="J216" s="232"/>
      <c r="K216" s="560" t="s">
        <v>2749</v>
      </c>
      <c r="N216" s="49"/>
    </row>
    <row r="217" spans="1:14" ht="33">
      <c r="A217" s="12"/>
      <c r="B217" s="7"/>
      <c r="C217" s="8"/>
      <c r="D217" s="44"/>
      <c r="E217" s="44"/>
      <c r="F217" s="45" t="s">
        <v>1334</v>
      </c>
      <c r="G217" s="45" t="s">
        <v>1348</v>
      </c>
      <c r="H217" s="44">
        <f>(18.6+16.96)/2*(13.3-0.7*7+0.1*14)+(0.2*(18.6+16.96)/2)+(0.25*(15.3+14.5))</f>
        <v>185.25000000000006</v>
      </c>
      <c r="I217" s="227"/>
      <c r="J217" s="232"/>
      <c r="K217" s="560" t="s">
        <v>2750</v>
      </c>
      <c r="N217" s="49"/>
    </row>
    <row r="218" spans="1:14">
      <c r="A218" s="12"/>
      <c r="B218" s="7"/>
      <c r="C218" s="8"/>
      <c r="D218" s="44"/>
      <c r="E218" s="44"/>
      <c r="F218" s="50"/>
      <c r="G218" s="45"/>
      <c r="H218" s="44"/>
      <c r="I218" s="227"/>
      <c r="J218" s="232"/>
      <c r="N218" s="49"/>
    </row>
    <row r="219" spans="1:14">
      <c r="A219" s="12"/>
      <c r="B219" s="7"/>
      <c r="C219" s="8"/>
      <c r="D219" s="44"/>
      <c r="E219" s="44"/>
      <c r="F219" s="45"/>
      <c r="G219" s="45"/>
      <c r="H219" s="44"/>
      <c r="I219" s="227"/>
      <c r="J219" s="232"/>
      <c r="N219" s="49"/>
    </row>
    <row r="220" spans="1:14" ht="33">
      <c r="A220" s="12" t="s">
        <v>86</v>
      </c>
      <c r="B220" s="7" t="s">
        <v>536</v>
      </c>
      <c r="C220" s="8" t="s">
        <v>13</v>
      </c>
      <c r="D220" s="44">
        <v>28.27</v>
      </c>
      <c r="E220" s="44"/>
      <c r="F220" s="45" t="s">
        <v>1349</v>
      </c>
      <c r="G220" s="45" t="s">
        <v>1353</v>
      </c>
      <c r="H220" s="44">
        <f>ROUND((4.67*1.15)*2+(2.88*1.15*2)+(5.05+3.1+3.9+1.9)*2*0.1+(15.7+14.75+1.9*2)*2*0.1,2)</f>
        <v>27.01</v>
      </c>
      <c r="I220" s="226">
        <f>SUM(H220:H222)</f>
        <v>42.534999999999997</v>
      </c>
      <c r="J220" s="314">
        <f>I220-D220</f>
        <v>14.264999999999997</v>
      </c>
      <c r="N220" s="49"/>
    </row>
    <row r="221" spans="1:14">
      <c r="A221" s="12"/>
      <c r="B221" s="7"/>
      <c r="C221" s="8"/>
      <c r="D221" s="44"/>
      <c r="E221" s="44"/>
      <c r="F221" s="45" t="s">
        <v>1767</v>
      </c>
      <c r="G221" s="45" t="s">
        <v>2408</v>
      </c>
      <c r="H221" s="44">
        <f>(5*4+16+15.75)*0.3</f>
        <v>15.524999999999999</v>
      </c>
      <c r="I221" s="223"/>
      <c r="J221" s="232"/>
      <c r="N221" s="49"/>
    </row>
    <row r="222" spans="1:14">
      <c r="A222" s="12"/>
      <c r="B222" s="7"/>
      <c r="C222" s="8"/>
      <c r="D222" s="44"/>
      <c r="E222" s="44"/>
      <c r="F222" s="45"/>
      <c r="G222" s="45"/>
      <c r="H222" s="44"/>
      <c r="I222" s="223"/>
      <c r="J222" s="232"/>
      <c r="N222" s="49"/>
    </row>
    <row r="223" spans="1:14" ht="21.95" customHeight="1">
      <c r="A223" s="12" t="s">
        <v>87</v>
      </c>
      <c r="B223" s="7" t="s">
        <v>538</v>
      </c>
      <c r="C223" s="8" t="s">
        <v>539</v>
      </c>
      <c r="D223" s="44">
        <v>25655</v>
      </c>
      <c r="E223" s="44"/>
      <c r="F223" s="45"/>
      <c r="G223" s="45"/>
      <c r="H223" s="44"/>
      <c r="I223" s="223" t="s">
        <v>243</v>
      </c>
      <c r="J223" s="122" t="s">
        <v>2169</v>
      </c>
      <c r="N223" s="49"/>
    </row>
    <row r="224" spans="1:14" ht="21.95" customHeight="1">
      <c r="A224" s="12" t="s">
        <v>541</v>
      </c>
      <c r="B224" s="7" t="s">
        <v>321</v>
      </c>
      <c r="C224" s="8" t="s">
        <v>17</v>
      </c>
      <c r="D224" s="44">
        <v>3691</v>
      </c>
      <c r="E224" s="44"/>
      <c r="F224" s="45"/>
      <c r="G224" s="45"/>
      <c r="H224" s="44"/>
      <c r="I224" s="223" t="s">
        <v>243</v>
      </c>
      <c r="J224" s="122" t="s">
        <v>2169</v>
      </c>
      <c r="N224" s="49"/>
    </row>
    <row r="225" spans="1:14" ht="33">
      <c r="A225" s="12" t="s">
        <v>88</v>
      </c>
      <c r="B225" s="10" t="s">
        <v>323</v>
      </c>
      <c r="C225" s="8" t="s">
        <v>17</v>
      </c>
      <c r="D225" s="44">
        <v>3691</v>
      </c>
      <c r="E225" s="44"/>
      <c r="F225" s="45"/>
      <c r="G225" s="45"/>
      <c r="H225" s="44"/>
      <c r="I225" s="223" t="s">
        <v>243</v>
      </c>
      <c r="J225" s="122" t="s">
        <v>2169</v>
      </c>
      <c r="N225" s="49"/>
    </row>
    <row r="226" spans="1:14" ht="33">
      <c r="A226" s="12" t="s">
        <v>89</v>
      </c>
      <c r="B226" s="10" t="s">
        <v>542</v>
      </c>
      <c r="C226" s="8" t="s">
        <v>17</v>
      </c>
      <c r="D226" s="44">
        <v>2162</v>
      </c>
      <c r="E226" s="44"/>
      <c r="F226" s="45"/>
      <c r="G226" s="45"/>
      <c r="H226" s="44"/>
      <c r="I226" s="223" t="s">
        <v>243</v>
      </c>
      <c r="J226" s="122" t="s">
        <v>2169</v>
      </c>
      <c r="N226" s="49"/>
    </row>
    <row r="227" spans="1:14" ht="42.75">
      <c r="A227" s="12" t="s">
        <v>90</v>
      </c>
      <c r="B227" s="10" t="s">
        <v>544</v>
      </c>
      <c r="C227" s="8" t="s">
        <v>13</v>
      </c>
      <c r="D227" s="44">
        <v>99.7</v>
      </c>
      <c r="E227" s="44"/>
      <c r="F227" s="45"/>
      <c r="G227" s="45"/>
      <c r="H227" s="44"/>
      <c r="I227" s="223" t="s">
        <v>243</v>
      </c>
      <c r="J227" s="122" t="s">
        <v>2169</v>
      </c>
      <c r="N227" s="49"/>
    </row>
    <row r="228" spans="1:14" ht="71.25">
      <c r="A228" s="12" t="s">
        <v>91</v>
      </c>
      <c r="B228" s="10" t="s">
        <v>325</v>
      </c>
      <c r="C228" s="8" t="s">
        <v>17</v>
      </c>
      <c r="D228" s="44">
        <v>95900</v>
      </c>
      <c r="E228" s="44"/>
      <c r="F228" s="45" t="s">
        <v>1234</v>
      </c>
      <c r="G228" s="56" t="s">
        <v>1358</v>
      </c>
      <c r="H228" s="55">
        <v>47258</v>
      </c>
      <c r="I228" s="224">
        <f>SUM(H228:H229)</f>
        <v>96604.35</v>
      </c>
      <c r="J228" s="314">
        <f>I228-D228</f>
        <v>704.35000000000582</v>
      </c>
      <c r="N228" s="49"/>
    </row>
    <row r="229" spans="1:14">
      <c r="A229" s="12"/>
      <c r="B229" s="7"/>
      <c r="C229" s="8"/>
      <c r="D229" s="44"/>
      <c r="E229" s="44"/>
      <c r="F229" s="45" t="s">
        <v>1324</v>
      </c>
      <c r="G229" s="56" t="s">
        <v>1344</v>
      </c>
      <c r="H229" s="55">
        <v>49346.35</v>
      </c>
      <c r="I229" s="223"/>
      <c r="J229" s="232"/>
      <c r="N229" s="49"/>
    </row>
    <row r="230" spans="1:14" ht="33">
      <c r="A230" s="12" t="s">
        <v>203</v>
      </c>
      <c r="B230" s="66" t="s">
        <v>222</v>
      </c>
      <c r="C230" s="67" t="s">
        <v>13</v>
      </c>
      <c r="D230" s="55">
        <v>438.86</v>
      </c>
      <c r="E230" s="55"/>
      <c r="F230" s="56" t="s">
        <v>1355</v>
      </c>
      <c r="G230" s="56" t="s">
        <v>2757</v>
      </c>
      <c r="H230" s="55">
        <f>((1.8*12*3*2+1.8*9*2*2+1.8*8*2*5)+(1.8*3*2+1.8*5*4+1.8*5*2)+1.8*3*32)</f>
        <v>576</v>
      </c>
      <c r="I230" s="226">
        <f>SUM(H230:H232)</f>
        <v>576</v>
      </c>
      <c r="J230" s="342">
        <f>I230-D230</f>
        <v>137.13999999999999</v>
      </c>
      <c r="N230" s="49"/>
    </row>
    <row r="231" spans="1:14">
      <c r="A231" s="12"/>
      <c r="B231" s="7"/>
      <c r="C231" s="8"/>
      <c r="D231" s="44"/>
      <c r="E231" s="44"/>
      <c r="F231" s="45"/>
      <c r="G231" s="45"/>
      <c r="H231" s="44"/>
      <c r="I231" s="223"/>
      <c r="J231" s="232"/>
      <c r="M231" s="30"/>
      <c r="N231" s="49"/>
    </row>
    <row r="232" spans="1:14">
      <c r="A232" s="12"/>
      <c r="B232" s="7"/>
      <c r="C232" s="8"/>
      <c r="D232" s="44"/>
      <c r="E232" s="44"/>
      <c r="F232" s="45"/>
      <c r="G232" s="45"/>
      <c r="H232" s="44"/>
      <c r="I232" s="223"/>
      <c r="J232" s="232"/>
      <c r="M232" s="30"/>
      <c r="N232" s="49"/>
    </row>
    <row r="233" spans="1:14" ht="42.75">
      <c r="A233" s="12" t="s">
        <v>202</v>
      </c>
      <c r="B233" s="10" t="s">
        <v>194</v>
      </c>
      <c r="C233" s="8" t="s">
        <v>23</v>
      </c>
      <c r="D233" s="44">
        <v>342.71</v>
      </c>
      <c r="E233" s="44"/>
      <c r="F233" s="45" t="s">
        <v>1343</v>
      </c>
      <c r="G233" s="45" t="s">
        <v>1354</v>
      </c>
      <c r="H233" s="44">
        <f>((16.2*3.35*2.7+16.8*3.25*1.8)+6.3*4.5*2+4.1*3.6*2.5)</f>
        <v>338.40899999999999</v>
      </c>
      <c r="I233" s="224">
        <f>H233</f>
        <v>338.40899999999999</v>
      </c>
      <c r="J233" s="314">
        <f>I233-D233</f>
        <v>-4.3009999999999877</v>
      </c>
      <c r="K233" s="521" t="s">
        <v>2693</v>
      </c>
      <c r="N233" s="49"/>
    </row>
    <row r="234" spans="1:14" ht="33">
      <c r="A234" s="12" t="s">
        <v>201</v>
      </c>
      <c r="B234" s="10" t="s">
        <v>205</v>
      </c>
      <c r="C234" s="8" t="s">
        <v>23</v>
      </c>
      <c r="D234" s="44">
        <v>231.09</v>
      </c>
      <c r="E234" s="44"/>
      <c r="F234" s="45"/>
      <c r="G234" s="50"/>
      <c r="H234" s="44"/>
      <c r="I234" s="310" t="s">
        <v>2172</v>
      </c>
      <c r="J234" s="232"/>
      <c r="K234" s="521" t="s">
        <v>2693</v>
      </c>
      <c r="N234" s="49"/>
    </row>
    <row r="235" spans="1:14">
      <c r="A235" s="12" t="s">
        <v>200</v>
      </c>
      <c r="B235" s="7" t="s">
        <v>548</v>
      </c>
      <c r="C235" s="8" t="s">
        <v>13</v>
      </c>
      <c r="D235" s="44">
        <v>183</v>
      </c>
      <c r="E235" s="44">
        <v>27956</v>
      </c>
      <c r="F235" s="45"/>
      <c r="G235" s="45" t="s">
        <v>1351</v>
      </c>
      <c r="H235" s="44">
        <v>11275</v>
      </c>
      <c r="I235" s="224">
        <f>H235</f>
        <v>11275</v>
      </c>
      <c r="J235" s="122" t="s">
        <v>2169</v>
      </c>
      <c r="N235" s="49"/>
    </row>
    <row r="236" spans="1:14">
      <c r="A236" s="12"/>
      <c r="B236" s="7"/>
      <c r="C236" s="8"/>
      <c r="D236" s="44"/>
      <c r="E236" s="44"/>
      <c r="F236" s="45"/>
      <c r="G236" s="45"/>
      <c r="H236" s="44"/>
      <c r="I236" s="223"/>
      <c r="J236" s="232"/>
      <c r="N236" s="49"/>
    </row>
    <row r="237" spans="1:14" ht="28.5">
      <c r="A237" s="12" t="s">
        <v>199</v>
      </c>
      <c r="B237" s="10" t="s">
        <v>550</v>
      </c>
      <c r="C237" s="8" t="s">
        <v>8</v>
      </c>
      <c r="D237" s="44">
        <v>322</v>
      </c>
      <c r="E237" s="44"/>
      <c r="F237" s="45" t="s">
        <v>1343</v>
      </c>
      <c r="G237" s="45" t="s">
        <v>1357</v>
      </c>
      <c r="H237" s="44">
        <f>2*45+3*36+4*31</f>
        <v>322</v>
      </c>
      <c r="I237" s="226">
        <f>H237</f>
        <v>322</v>
      </c>
      <c r="J237" s="232"/>
      <c r="N237" s="49"/>
    </row>
    <row r="238" spans="1:14" ht="33">
      <c r="A238" s="12" t="s">
        <v>198</v>
      </c>
      <c r="B238" s="10" t="s">
        <v>552</v>
      </c>
      <c r="C238" s="8" t="s">
        <v>13</v>
      </c>
      <c r="D238" s="44">
        <v>100</v>
      </c>
      <c r="E238" s="44"/>
      <c r="F238" s="45"/>
      <c r="G238" s="45"/>
      <c r="H238" s="44"/>
      <c r="I238" s="223" t="s">
        <v>243</v>
      </c>
      <c r="J238" s="122" t="s">
        <v>2169</v>
      </c>
      <c r="N238" s="49"/>
    </row>
    <row r="239" spans="1:14" ht="33">
      <c r="A239" s="12" t="s">
        <v>197</v>
      </c>
      <c r="B239" s="10" t="s">
        <v>554</v>
      </c>
      <c r="C239" s="8" t="s">
        <v>13</v>
      </c>
      <c r="D239" s="44">
        <v>83</v>
      </c>
      <c r="E239" s="44"/>
      <c r="F239" s="45"/>
      <c r="G239" s="45"/>
      <c r="H239" s="44"/>
      <c r="I239" s="223" t="s">
        <v>243</v>
      </c>
      <c r="J239" s="122" t="s">
        <v>2169</v>
      </c>
      <c r="N239" s="49"/>
    </row>
    <row r="240" spans="1:14" ht="33">
      <c r="A240" s="12" t="s">
        <v>196</v>
      </c>
      <c r="B240" s="7" t="s">
        <v>556</v>
      </c>
      <c r="C240" s="8" t="s">
        <v>13</v>
      </c>
      <c r="D240" s="44">
        <v>2.1</v>
      </c>
      <c r="E240" s="44"/>
      <c r="F240" s="45"/>
      <c r="G240" s="45"/>
      <c r="H240" s="44"/>
      <c r="I240" s="223" t="s">
        <v>243</v>
      </c>
      <c r="J240" s="122" t="s">
        <v>2169</v>
      </c>
      <c r="N240" s="49"/>
    </row>
    <row r="241" spans="1:14" ht="33">
      <c r="A241" s="12" t="s">
        <v>195</v>
      </c>
      <c r="B241" s="7" t="s">
        <v>558</v>
      </c>
      <c r="C241" s="8" t="s">
        <v>8</v>
      </c>
      <c r="D241" s="44">
        <v>62</v>
      </c>
      <c r="E241" s="44"/>
      <c r="F241" s="45"/>
      <c r="G241" s="45"/>
      <c r="H241" s="44"/>
      <c r="I241" s="223" t="s">
        <v>243</v>
      </c>
      <c r="J241" s="122" t="s">
        <v>2169</v>
      </c>
      <c r="N241" s="49"/>
    </row>
    <row r="242" spans="1:14" ht="33">
      <c r="A242" s="12" t="s">
        <v>212</v>
      </c>
      <c r="B242" s="7" t="s">
        <v>560</v>
      </c>
      <c r="C242" s="8" t="s">
        <v>8</v>
      </c>
      <c r="D242" s="44">
        <v>33</v>
      </c>
      <c r="E242" s="44"/>
      <c r="F242" s="45"/>
      <c r="G242" s="45"/>
      <c r="H242" s="44"/>
      <c r="I242" s="223" t="s">
        <v>243</v>
      </c>
      <c r="J242" s="122" t="s">
        <v>2169</v>
      </c>
      <c r="N242" s="49"/>
    </row>
    <row r="243" spans="1:14" ht="33">
      <c r="A243" s="12" t="s">
        <v>213</v>
      </c>
      <c r="B243" s="10" t="s">
        <v>562</v>
      </c>
      <c r="C243" s="8" t="s">
        <v>8</v>
      </c>
      <c r="D243" s="44">
        <v>32.6</v>
      </c>
      <c r="E243" s="44"/>
      <c r="F243" s="45"/>
      <c r="G243" s="45"/>
      <c r="H243" s="44"/>
      <c r="I243" s="223" t="s">
        <v>243</v>
      </c>
      <c r="J243" s="122" t="s">
        <v>2169</v>
      </c>
      <c r="N243" s="49"/>
    </row>
    <row r="244" spans="1:14" ht="42.75">
      <c r="A244" s="12" t="s">
        <v>217</v>
      </c>
      <c r="B244" s="10" t="s">
        <v>564</v>
      </c>
      <c r="C244" s="8" t="s">
        <v>8</v>
      </c>
      <c r="D244" s="44">
        <v>32.6</v>
      </c>
      <c r="E244" s="44"/>
      <c r="F244" s="45"/>
      <c r="G244" s="45"/>
      <c r="H244" s="44"/>
      <c r="I244" s="223" t="s">
        <v>243</v>
      </c>
      <c r="J244" s="122" t="s">
        <v>2169</v>
      </c>
      <c r="N244" s="49"/>
    </row>
    <row r="245" spans="1:14" ht="33">
      <c r="A245" s="12" t="s">
        <v>566</v>
      </c>
      <c r="B245" s="7" t="s">
        <v>567</v>
      </c>
      <c r="C245" s="8" t="s">
        <v>0</v>
      </c>
      <c r="D245" s="44">
        <v>1</v>
      </c>
      <c r="E245" s="44"/>
      <c r="F245" s="45"/>
      <c r="G245" s="45"/>
      <c r="H245" s="44"/>
      <c r="I245" s="223" t="s">
        <v>243</v>
      </c>
      <c r="J245" s="122" t="s">
        <v>2169</v>
      </c>
      <c r="N245" s="49"/>
    </row>
    <row r="246" spans="1:14" ht="33">
      <c r="A246" s="12" t="s">
        <v>569</v>
      </c>
      <c r="B246" s="7" t="s">
        <v>570</v>
      </c>
      <c r="C246" s="8" t="s">
        <v>8</v>
      </c>
      <c r="D246" s="44">
        <v>9.6</v>
      </c>
      <c r="E246" s="44"/>
      <c r="F246" s="45"/>
      <c r="G246" s="45"/>
      <c r="H246" s="44"/>
      <c r="I246" s="223" t="s">
        <v>243</v>
      </c>
      <c r="J246" s="122" t="s">
        <v>2169</v>
      </c>
      <c r="N246" s="49"/>
    </row>
    <row r="247" spans="1:14" ht="33">
      <c r="A247" s="12" t="s">
        <v>572</v>
      </c>
      <c r="B247" s="7" t="s">
        <v>573</v>
      </c>
      <c r="C247" s="8" t="s">
        <v>0</v>
      </c>
      <c r="D247" s="44">
        <v>1</v>
      </c>
      <c r="E247" s="44"/>
      <c r="F247" s="45"/>
      <c r="G247" s="45"/>
      <c r="H247" s="44"/>
      <c r="I247" s="223" t="s">
        <v>243</v>
      </c>
      <c r="J247" s="122" t="s">
        <v>2169</v>
      </c>
      <c r="N247" s="49"/>
    </row>
    <row r="248" spans="1:14" ht="33">
      <c r="A248" s="12" t="s">
        <v>575</v>
      </c>
      <c r="B248" s="7" t="s">
        <v>576</v>
      </c>
      <c r="C248" s="8" t="s">
        <v>8</v>
      </c>
      <c r="D248" s="44">
        <v>32.6</v>
      </c>
      <c r="E248" s="44"/>
      <c r="F248" s="45"/>
      <c r="G248" s="45"/>
      <c r="H248" s="44"/>
      <c r="I248" s="223" t="s">
        <v>243</v>
      </c>
      <c r="J248" s="122" t="s">
        <v>2169</v>
      </c>
      <c r="N248" s="49"/>
    </row>
    <row r="249" spans="1:14" ht="33">
      <c r="A249" s="12" t="s">
        <v>578</v>
      </c>
      <c r="B249" s="10" t="s">
        <v>579</v>
      </c>
      <c r="C249" s="8" t="s">
        <v>8</v>
      </c>
      <c r="D249" s="44">
        <v>32.6</v>
      </c>
      <c r="E249" s="44"/>
      <c r="F249" s="45"/>
      <c r="G249" s="45"/>
      <c r="H249" s="44"/>
      <c r="I249" s="223" t="s">
        <v>243</v>
      </c>
      <c r="J249" s="122" t="s">
        <v>2169</v>
      </c>
      <c r="N249" s="49"/>
    </row>
    <row r="250" spans="1:14" ht="42.75">
      <c r="A250" s="12" t="s">
        <v>581</v>
      </c>
      <c r="B250" s="10" t="s">
        <v>582</v>
      </c>
      <c r="C250" s="8" t="s">
        <v>583</v>
      </c>
      <c r="D250" s="44">
        <v>4</v>
      </c>
      <c r="E250" s="44"/>
      <c r="F250" s="45" t="s">
        <v>1234</v>
      </c>
      <c r="G250" s="45">
        <v>4</v>
      </c>
      <c r="H250" s="44">
        <v>4</v>
      </c>
      <c r="I250" s="224">
        <f>H250</f>
        <v>4</v>
      </c>
      <c r="J250" s="232"/>
      <c r="N250" s="49"/>
    </row>
    <row r="251" spans="1:14">
      <c r="A251" s="12" t="s">
        <v>585</v>
      </c>
      <c r="B251" s="7" t="s">
        <v>586</v>
      </c>
      <c r="C251" s="8" t="s">
        <v>8</v>
      </c>
      <c r="D251" s="44">
        <v>4.8</v>
      </c>
      <c r="E251" s="44"/>
      <c r="F251" s="45"/>
      <c r="G251" s="45"/>
      <c r="H251" s="44"/>
      <c r="I251" s="224">
        <f t="shared" ref="I251:I252" si="0">H251</f>
        <v>0</v>
      </c>
      <c r="J251" s="122" t="s">
        <v>2169</v>
      </c>
      <c r="N251" s="49"/>
    </row>
    <row r="252" spans="1:14">
      <c r="A252" s="12" t="s">
        <v>588</v>
      </c>
      <c r="B252" s="7" t="s">
        <v>589</v>
      </c>
      <c r="C252" s="8" t="s">
        <v>0</v>
      </c>
      <c r="D252" s="44">
        <v>1</v>
      </c>
      <c r="E252" s="44"/>
      <c r="F252" s="45"/>
      <c r="G252" s="45">
        <v>1</v>
      </c>
      <c r="H252" s="44">
        <v>1</v>
      </c>
      <c r="I252" s="224">
        <f t="shared" si="0"/>
        <v>1</v>
      </c>
      <c r="J252" s="232"/>
      <c r="N252" s="49"/>
    </row>
    <row r="253" spans="1:14">
      <c r="A253" s="12" t="s">
        <v>591</v>
      </c>
      <c r="B253" s="7" t="s">
        <v>592</v>
      </c>
      <c r="C253" s="8" t="s">
        <v>0</v>
      </c>
      <c r="D253" s="44">
        <v>1</v>
      </c>
      <c r="E253" s="44"/>
      <c r="F253" s="45"/>
      <c r="G253" s="45">
        <v>1</v>
      </c>
      <c r="H253" s="44">
        <v>1</v>
      </c>
      <c r="I253" s="224">
        <f>H253</f>
        <v>1</v>
      </c>
      <c r="J253" s="232"/>
      <c r="M253" s="206"/>
      <c r="N253" s="49"/>
    </row>
    <row r="254" spans="1:14">
      <c r="A254" s="12" t="s">
        <v>1359</v>
      </c>
      <c r="B254" s="7" t="s">
        <v>1360</v>
      </c>
      <c r="C254" s="8" t="s">
        <v>606</v>
      </c>
      <c r="D254" s="44"/>
      <c r="E254" s="44">
        <v>2</v>
      </c>
      <c r="F254" s="45" t="s">
        <v>1343</v>
      </c>
      <c r="G254" s="45">
        <v>2</v>
      </c>
      <c r="H254" s="44">
        <v>2</v>
      </c>
      <c r="I254" s="224">
        <f>H254</f>
        <v>2</v>
      </c>
      <c r="J254" s="232"/>
      <c r="N254" s="49"/>
    </row>
    <row r="255" spans="1:14">
      <c r="A255" s="12" t="s">
        <v>1361</v>
      </c>
      <c r="B255" s="7" t="s">
        <v>1362</v>
      </c>
      <c r="C255" s="8" t="s">
        <v>539</v>
      </c>
      <c r="D255" s="44"/>
      <c r="E255" s="44">
        <v>96850</v>
      </c>
      <c r="F255" s="45" t="s">
        <v>2410</v>
      </c>
      <c r="G255" s="45" t="s">
        <v>2853</v>
      </c>
      <c r="H255" s="44">
        <f>47258+49346.35+13948.4+1158.84</f>
        <v>111711.59</v>
      </c>
      <c r="I255" s="224">
        <f>H255</f>
        <v>111711.59</v>
      </c>
      <c r="J255" s="314">
        <f>I255-E255</f>
        <v>14861.589999999997</v>
      </c>
      <c r="N255" s="49"/>
    </row>
    <row r="256" spans="1:14">
      <c r="A256" s="12" t="s">
        <v>1363</v>
      </c>
      <c r="B256" s="7" t="s">
        <v>1364</v>
      </c>
      <c r="C256" s="8" t="s">
        <v>15</v>
      </c>
      <c r="D256" s="44"/>
      <c r="E256" s="44">
        <v>18</v>
      </c>
      <c r="F256" s="45" t="s">
        <v>1343</v>
      </c>
      <c r="G256" s="45" t="s">
        <v>1490</v>
      </c>
      <c r="H256" s="44">
        <v>18</v>
      </c>
      <c r="I256" s="224">
        <f>H256</f>
        <v>18</v>
      </c>
      <c r="J256" s="232"/>
      <c r="N256" s="49"/>
    </row>
    <row r="257" spans="1:14" ht="33">
      <c r="A257" s="6" t="s">
        <v>92</v>
      </c>
      <c r="B257" s="7" t="s">
        <v>594</v>
      </c>
      <c r="C257" s="8" t="s">
        <v>4</v>
      </c>
      <c r="D257" s="44">
        <v>1</v>
      </c>
      <c r="E257" s="44"/>
      <c r="F257" s="45"/>
      <c r="G257" s="45"/>
      <c r="H257" s="44"/>
      <c r="I257" s="223" t="s">
        <v>243</v>
      </c>
      <c r="J257" s="232"/>
      <c r="N257" s="49"/>
    </row>
    <row r="258" spans="1:14" ht="28.5">
      <c r="A258" s="12" t="s">
        <v>93</v>
      </c>
      <c r="B258" s="10" t="s">
        <v>1383</v>
      </c>
      <c r="C258" s="8" t="s">
        <v>6</v>
      </c>
      <c r="D258" s="44">
        <v>22</v>
      </c>
      <c r="E258" s="44"/>
      <c r="F258" s="45" t="s">
        <v>1511</v>
      </c>
      <c r="G258" s="45" t="s">
        <v>1390</v>
      </c>
      <c r="H258" s="44">
        <f>(246.3*0.85*0.05)+(1.7*0.1*(11.2+57.6))</f>
        <v>22.16375</v>
      </c>
      <c r="I258" s="224">
        <f>SUM(H258:H260)</f>
        <v>22.16375</v>
      </c>
      <c r="J258" s="232"/>
      <c r="N258" s="49"/>
    </row>
    <row r="259" spans="1:14">
      <c r="A259" s="12"/>
      <c r="B259" s="10"/>
      <c r="C259" s="8"/>
      <c r="D259" s="44"/>
      <c r="E259" s="44"/>
      <c r="F259" s="80"/>
      <c r="G259" s="45"/>
      <c r="H259" s="44"/>
      <c r="I259" s="224"/>
      <c r="J259" s="232"/>
      <c r="N259" s="49"/>
    </row>
    <row r="260" spans="1:14">
      <c r="A260" s="12"/>
      <c r="B260" s="10"/>
      <c r="C260" s="8"/>
      <c r="D260" s="44"/>
      <c r="E260" s="44"/>
      <c r="F260" s="45"/>
      <c r="G260" s="45"/>
      <c r="H260" s="44"/>
      <c r="I260" s="224"/>
      <c r="J260" s="232"/>
      <c r="N260" s="49"/>
    </row>
    <row r="261" spans="1:14" ht="33">
      <c r="A261" s="12" t="s">
        <v>94</v>
      </c>
      <c r="B261" s="10" t="s">
        <v>24</v>
      </c>
      <c r="C261" s="8" t="s">
        <v>6</v>
      </c>
      <c r="D261" s="44">
        <v>302</v>
      </c>
      <c r="E261" s="44"/>
      <c r="F261" s="208" t="s">
        <v>1843</v>
      </c>
      <c r="G261" s="208" t="s">
        <v>1958</v>
      </c>
      <c r="H261" s="44">
        <f>58*8*(0.25*0.25*3.14)</f>
        <v>91.06</v>
      </c>
      <c r="I261" s="225">
        <f>SUM(H261:H265)</f>
        <v>127.65557142857143</v>
      </c>
      <c r="J261" s="314">
        <f>I261-D261</f>
        <v>-174.34442857142858</v>
      </c>
      <c r="M261" s="206"/>
      <c r="N261" s="49"/>
    </row>
    <row r="262" spans="1:14" ht="27.75" customHeight="1">
      <c r="A262" s="12"/>
      <c r="B262" s="7"/>
      <c r="C262" s="8"/>
      <c r="D262" s="44"/>
      <c r="E262" s="44"/>
      <c r="F262" s="50" t="s">
        <v>1964</v>
      </c>
      <c r="G262" s="50" t="s">
        <v>1440</v>
      </c>
      <c r="H262" s="54">
        <f>0.6*0.4*(23.8+19.8)</f>
        <v>10.464</v>
      </c>
      <c r="I262" s="224"/>
      <c r="J262" s="232"/>
      <c r="M262" s="206"/>
      <c r="N262" s="49"/>
    </row>
    <row r="263" spans="1:14" ht="66">
      <c r="A263" s="12"/>
      <c r="B263" s="7"/>
      <c r="C263" s="8"/>
      <c r="D263" s="44"/>
      <c r="E263" s="44"/>
      <c r="F263" s="50" t="s">
        <v>1837</v>
      </c>
      <c r="G263" s="50" t="s">
        <v>1838</v>
      </c>
      <c r="H263" s="54">
        <f>(0.25*0.15*250)+((0.08+0.46+0.44+0.42+0.39+0.3+0.24+0.18+0.13+0.13+0.12+0.1+0.05+0.02)/14*0.2*250)+((0.2*0.55)+(0.2*0.4)+(0.375*0.2)+(0.225+0.375)*0.15/2)*18.8</f>
        <v>26.13157142857143</v>
      </c>
      <c r="I263" s="224"/>
      <c r="J263" s="232"/>
      <c r="M263" s="206"/>
      <c r="N263" s="49"/>
    </row>
    <row r="264" spans="1:14">
      <c r="A264" s="272" t="s">
        <v>1962</v>
      </c>
      <c r="B264" s="260"/>
      <c r="C264" s="261"/>
      <c r="D264" s="262"/>
      <c r="E264" s="262"/>
      <c r="F264" s="268" t="s">
        <v>2038</v>
      </c>
      <c r="G264" s="282" t="s">
        <v>2416</v>
      </c>
      <c r="H264" s="262"/>
      <c r="I264" s="283"/>
      <c r="J264" s="315"/>
      <c r="M264" s="206"/>
      <c r="N264" s="49"/>
    </row>
    <row r="265" spans="1:14">
      <c r="A265" s="12"/>
      <c r="B265" s="7"/>
      <c r="C265" s="8"/>
      <c r="D265" s="44"/>
      <c r="E265" s="44"/>
      <c r="F265" s="45"/>
      <c r="G265" s="68"/>
      <c r="H265" s="44"/>
      <c r="I265" s="224"/>
      <c r="J265" s="232"/>
      <c r="M265" s="206"/>
      <c r="N265" s="49"/>
    </row>
    <row r="266" spans="1:14" ht="33">
      <c r="A266" s="12" t="s">
        <v>95</v>
      </c>
      <c r="B266" s="10" t="s">
        <v>528</v>
      </c>
      <c r="C266" s="8" t="s">
        <v>6</v>
      </c>
      <c r="D266" s="44">
        <v>766</v>
      </c>
      <c r="E266" s="54">
        <v>0</v>
      </c>
      <c r="F266" s="45" t="s">
        <v>1366</v>
      </c>
      <c r="G266" s="68"/>
      <c r="H266" s="44"/>
      <c r="I266" s="225"/>
      <c r="J266" s="232"/>
      <c r="M266" s="206"/>
      <c r="N266" s="49"/>
    </row>
    <row r="267" spans="1:14" ht="31.5">
      <c r="A267" s="12" t="s">
        <v>96</v>
      </c>
      <c r="B267" s="7" t="s">
        <v>595</v>
      </c>
      <c r="C267" s="8" t="s">
        <v>6</v>
      </c>
      <c r="D267" s="44">
        <v>1090</v>
      </c>
      <c r="E267" s="44"/>
      <c r="F267" s="59" t="s">
        <v>1688</v>
      </c>
      <c r="G267" s="45"/>
      <c r="H267" s="44">
        <f>I258+I261+I326</f>
        <v>1366.8133214285715</v>
      </c>
      <c r="I267" s="224">
        <f>H267</f>
        <v>1366.8133214285715</v>
      </c>
      <c r="J267" s="314">
        <f>I267-D267</f>
        <v>276.8133214285715</v>
      </c>
      <c r="N267" s="49"/>
    </row>
    <row r="268" spans="1:14">
      <c r="A268" s="12" t="s">
        <v>191</v>
      </c>
      <c r="B268" s="7" t="s">
        <v>534</v>
      </c>
      <c r="C268" s="8" t="s">
        <v>13</v>
      </c>
      <c r="D268" s="44">
        <v>1203</v>
      </c>
      <c r="E268" s="44"/>
      <c r="F268" s="45" t="s">
        <v>1382</v>
      </c>
      <c r="G268" s="45" t="s">
        <v>1391</v>
      </c>
      <c r="H268" s="44">
        <f>(1.5*2*246.3+1.5*0.75*12)</f>
        <v>752.40000000000009</v>
      </c>
      <c r="I268" s="226">
        <f>SUM(H268:H274)</f>
        <v>1274.9890000000003</v>
      </c>
      <c r="J268" s="314">
        <f>I268-D268</f>
        <v>71.98900000000026</v>
      </c>
      <c r="N268" s="49"/>
    </row>
    <row r="269" spans="1:14" ht="49.5">
      <c r="A269" s="12"/>
      <c r="B269" s="7"/>
      <c r="C269" s="8"/>
      <c r="D269" s="44"/>
      <c r="E269" s="44"/>
      <c r="F269" s="45" t="s">
        <v>1398</v>
      </c>
      <c r="G269" s="45" t="s">
        <v>1401</v>
      </c>
      <c r="H269" s="44">
        <f>(3.63*41.1*1+(1.1+0.5)/2*3.6*3)+(2.1*16.5*1)+(3.95*11.2*1+(1.1+0.5)/2*3.95*2)</f>
        <v>243.04300000000003</v>
      </c>
      <c r="I269" s="228"/>
      <c r="J269" s="232"/>
      <c r="N269" s="49"/>
    </row>
    <row r="270" spans="1:14">
      <c r="A270" s="12"/>
      <c r="B270" s="7"/>
      <c r="C270" s="8"/>
      <c r="D270" s="44"/>
      <c r="E270" s="44"/>
      <c r="F270" s="45" t="s">
        <v>1399</v>
      </c>
      <c r="G270" s="45" t="s">
        <v>1393</v>
      </c>
      <c r="H270" s="44">
        <f>((4.79+3.4)/2*17*2+(0.3+0.5)/2*(4.79+3.4)/2*2)</f>
        <v>142.506</v>
      </c>
      <c r="I270" s="223"/>
      <c r="J270" s="232"/>
      <c r="N270" s="49"/>
    </row>
    <row r="271" spans="1:14" ht="43.5" customHeight="1">
      <c r="A271" s="12"/>
      <c r="B271" s="7"/>
      <c r="C271" s="8"/>
      <c r="D271" s="44"/>
      <c r="E271" s="44"/>
      <c r="F271" s="45" t="s">
        <v>2135</v>
      </c>
      <c r="G271" s="45" t="s">
        <v>1392</v>
      </c>
      <c r="H271" s="44">
        <f>(15.8*3.45-7.05*2.6)*2</f>
        <v>72.360000000000014</v>
      </c>
      <c r="I271" s="223"/>
      <c r="J271" s="232"/>
      <c r="N271" s="49"/>
    </row>
    <row r="272" spans="1:14">
      <c r="A272" s="12"/>
      <c r="B272" s="7"/>
      <c r="C272" s="8"/>
      <c r="D272" s="44"/>
      <c r="E272" s="44"/>
      <c r="F272" s="45" t="s">
        <v>1394</v>
      </c>
      <c r="G272" s="45" t="s">
        <v>1396</v>
      </c>
      <c r="H272" s="44">
        <f>(9.8*3.3*2)</f>
        <v>64.680000000000007</v>
      </c>
      <c r="I272" s="223"/>
      <c r="J272" s="232"/>
      <c r="N272" s="49"/>
    </row>
    <row r="273" spans="1:14">
      <c r="A273" s="272" t="s">
        <v>1962</v>
      </c>
      <c r="B273" s="260"/>
      <c r="C273" s="261"/>
      <c r="D273" s="262"/>
      <c r="E273" s="262"/>
      <c r="F273" s="268" t="s">
        <v>2038</v>
      </c>
      <c r="G273" s="45"/>
      <c r="H273" s="44"/>
      <c r="I273" s="223"/>
      <c r="J273" s="232"/>
      <c r="N273" s="49"/>
    </row>
    <row r="274" spans="1:14">
      <c r="A274" s="12"/>
      <c r="B274" s="7"/>
      <c r="C274" s="8"/>
      <c r="D274" s="44"/>
      <c r="E274" s="44"/>
      <c r="F274" s="45"/>
      <c r="G274" s="45"/>
      <c r="H274" s="44"/>
      <c r="I274" s="223"/>
      <c r="J274" s="232"/>
      <c r="N274" s="49"/>
    </row>
    <row r="275" spans="1:14" ht="66">
      <c r="A275" s="12" t="s">
        <v>190</v>
      </c>
      <c r="B275" s="7" t="s">
        <v>536</v>
      </c>
      <c r="C275" s="8" t="s">
        <v>13</v>
      </c>
      <c r="D275" s="44">
        <v>393</v>
      </c>
      <c r="E275" s="44"/>
      <c r="F275" s="45" t="s">
        <v>1397</v>
      </c>
      <c r="G275" s="45" t="s">
        <v>1400</v>
      </c>
      <c r="H275" s="55">
        <f>((0.6*41.1*2)+(0.6*1.7*3))+(1.7*16.5+0.6*16.5+0.6*2.2*2)+(3.63*41.1*1+(2.1*16.5*1))+(3.95*11.2*1+(0.6*11.2*2)+(0.6*1.7*1))+(41.1*2+1.7*4+11.2*2)*0.1</f>
        <v>346.65299999999996</v>
      </c>
      <c r="I275" s="226">
        <f>SUM(H275:H282)</f>
        <v>788.3735999999999</v>
      </c>
      <c r="J275" s="314">
        <f>I275-D275</f>
        <v>395.3735999999999</v>
      </c>
      <c r="N275" s="49"/>
    </row>
    <row r="276" spans="1:14">
      <c r="A276" s="12"/>
      <c r="B276" s="7"/>
      <c r="C276" s="8"/>
      <c r="D276" s="44"/>
      <c r="E276" s="44"/>
      <c r="F276" s="45" t="s">
        <v>1389</v>
      </c>
      <c r="G276" s="45" t="s">
        <v>1395</v>
      </c>
      <c r="H276" s="44">
        <f>(0.45*17)*2+(2.5*0.45*2)</f>
        <v>17.55</v>
      </c>
      <c r="I276" s="223"/>
      <c r="J276" s="232"/>
      <c r="N276" s="49"/>
    </row>
    <row r="277" spans="1:14">
      <c r="A277" s="272" t="s">
        <v>1962</v>
      </c>
      <c r="B277" s="7"/>
      <c r="C277" s="8"/>
      <c r="D277" s="44"/>
      <c r="E277" s="44"/>
      <c r="F277" s="50" t="s">
        <v>1402</v>
      </c>
      <c r="G277" s="50" t="s">
        <v>1404</v>
      </c>
      <c r="H277" s="54">
        <f>(2.85+0.5)*7.6*2+(2.85+0.5)*6.35*2</f>
        <v>93.465000000000003</v>
      </c>
      <c r="I277" s="223"/>
      <c r="J277" s="232"/>
      <c r="N277" s="49"/>
    </row>
    <row r="278" spans="1:14">
      <c r="A278" s="272" t="s">
        <v>1962</v>
      </c>
      <c r="B278" s="7"/>
      <c r="C278" s="8"/>
      <c r="D278" s="44"/>
      <c r="E278" s="44"/>
      <c r="F278" s="50" t="s">
        <v>1964</v>
      </c>
      <c r="G278" s="50" t="s">
        <v>1441</v>
      </c>
      <c r="H278" s="54">
        <f>0.6*(23.8+19.8)*2+0.6*0.4*4</f>
        <v>53.28</v>
      </c>
      <c r="I278" s="223"/>
      <c r="J278" s="232"/>
      <c r="N278" s="49"/>
    </row>
    <row r="279" spans="1:14">
      <c r="A279" s="272" t="s">
        <v>1962</v>
      </c>
      <c r="B279" s="210"/>
      <c r="C279" s="211"/>
      <c r="D279" s="212"/>
      <c r="E279" s="212"/>
      <c r="F279" s="50" t="s">
        <v>1829</v>
      </c>
      <c r="G279" s="50" t="s">
        <v>1839</v>
      </c>
      <c r="H279" s="271">
        <v>115.54</v>
      </c>
      <c r="I279" s="223"/>
      <c r="J279" s="232"/>
      <c r="N279" s="49"/>
    </row>
    <row r="280" spans="1:14">
      <c r="A280" s="272" t="s">
        <v>1962</v>
      </c>
      <c r="B280" s="210"/>
      <c r="C280" s="211"/>
      <c r="D280" s="212"/>
      <c r="E280" s="212"/>
      <c r="F280" s="214" t="s">
        <v>1840</v>
      </c>
      <c r="G280" s="214" t="s">
        <v>1842</v>
      </c>
      <c r="H280" s="271">
        <f>0.25*2*250</f>
        <v>125</v>
      </c>
      <c r="I280" s="223"/>
      <c r="J280" s="232"/>
      <c r="N280" s="49"/>
    </row>
    <row r="281" spans="1:14" ht="33">
      <c r="A281" s="272" t="s">
        <v>1962</v>
      </c>
      <c r="B281" s="260"/>
      <c r="C281" s="261"/>
      <c r="D281" s="262"/>
      <c r="E281" s="262"/>
      <c r="F281" s="268" t="s">
        <v>1966</v>
      </c>
      <c r="G281" s="268" t="s">
        <v>1965</v>
      </c>
      <c r="H281" s="270">
        <f>(0.2+0.55+0.4+0.225+0.212+0.375)*18.8</f>
        <v>36.885600000000004</v>
      </c>
      <c r="I281" s="223"/>
      <c r="J281" s="232"/>
      <c r="N281" s="49"/>
    </row>
    <row r="282" spans="1:14">
      <c r="A282" s="12"/>
      <c r="B282" s="7"/>
      <c r="C282" s="8"/>
      <c r="D282" s="44"/>
      <c r="E282" s="44"/>
      <c r="F282" s="45"/>
      <c r="G282" s="45"/>
      <c r="H282" s="44"/>
      <c r="I282" s="223"/>
      <c r="J282" s="232"/>
      <c r="N282" s="49"/>
    </row>
    <row r="283" spans="1:14">
      <c r="A283" s="12" t="s">
        <v>189</v>
      </c>
      <c r="B283" s="7" t="s">
        <v>192</v>
      </c>
      <c r="C283" s="8" t="s">
        <v>17</v>
      </c>
      <c r="D283" s="44">
        <v>13138</v>
      </c>
      <c r="E283" s="44"/>
      <c r="F283" s="45" t="s">
        <v>1403</v>
      </c>
      <c r="G283" s="45" t="s">
        <v>1345</v>
      </c>
      <c r="H283" s="44">
        <f>鋼筋!E87+鋼筋!N93+鋼筋!F103+鋼筋!E119+鋼筋!M113</f>
        <v>18521.108975700001</v>
      </c>
      <c r="I283" s="224">
        <f>SUM(H283:H294)</f>
        <v>34725.806255700001</v>
      </c>
      <c r="J283" s="314">
        <f>I283-D283</f>
        <v>21587.806255700001</v>
      </c>
      <c r="N283" s="49"/>
    </row>
    <row r="284" spans="1:14">
      <c r="A284" s="12"/>
      <c r="B284" s="7"/>
      <c r="C284" s="8"/>
      <c r="D284" s="44"/>
      <c r="E284" s="44"/>
      <c r="F284" s="80" t="s">
        <v>1417</v>
      </c>
      <c r="G284" s="45" t="s">
        <v>1450</v>
      </c>
      <c r="H284" s="44">
        <f>((2.8*1.56*8)+(0.55*0.56*13))*58</f>
        <v>2258.9839999999995</v>
      </c>
      <c r="I284" s="224"/>
      <c r="J284" s="232"/>
      <c r="N284" s="49"/>
    </row>
    <row r="285" spans="1:14">
      <c r="A285" s="12"/>
      <c r="B285" s="7"/>
      <c r="C285" s="8"/>
      <c r="D285" s="44"/>
      <c r="E285" s="44"/>
      <c r="F285" s="45" t="s">
        <v>1402</v>
      </c>
      <c r="G285" s="45" t="s">
        <v>1345</v>
      </c>
      <c r="H285" s="44">
        <f>鋼筋!N125</f>
        <v>2266.5672</v>
      </c>
      <c r="I285" s="224"/>
      <c r="J285" s="232"/>
      <c r="N285" s="49"/>
    </row>
    <row r="286" spans="1:14" ht="33">
      <c r="A286" s="272" t="s">
        <v>1962</v>
      </c>
      <c r="B286" s="7"/>
      <c r="C286" s="8"/>
      <c r="D286" s="44"/>
      <c r="E286" s="44"/>
      <c r="F286" s="80" t="s">
        <v>1434</v>
      </c>
      <c r="G286" s="45" t="s">
        <v>1451</v>
      </c>
      <c r="H286" s="44">
        <f>(43.6+0.6*8)*4*0.994+(0.3+0.35+0.18*2+0.55)*43.6/0.3*0.994</f>
        <v>417.79807999999997</v>
      </c>
      <c r="I286" s="224"/>
      <c r="J286" s="232"/>
      <c r="N286" s="49"/>
    </row>
    <row r="287" spans="1:14">
      <c r="A287" s="272" t="s">
        <v>1962</v>
      </c>
      <c r="B287" s="7"/>
      <c r="C287" s="8"/>
      <c r="D287" s="44"/>
      <c r="E287" s="44"/>
      <c r="F287" s="80" t="s">
        <v>1772</v>
      </c>
      <c r="G287" s="45" t="s">
        <v>1812</v>
      </c>
      <c r="H287" s="44">
        <f>(1.65*236*2+6*60*2+3.95*236+2.9*236+6*282)*0.994</f>
        <v>4778.5555999999997</v>
      </c>
      <c r="I287" s="224"/>
      <c r="J287" s="232"/>
      <c r="N287" s="49"/>
    </row>
    <row r="288" spans="1:14">
      <c r="A288" s="272" t="s">
        <v>1962</v>
      </c>
      <c r="B288" s="7"/>
      <c r="C288" s="8"/>
      <c r="D288" s="44"/>
      <c r="E288" s="44"/>
      <c r="F288" s="45" t="s">
        <v>1829</v>
      </c>
      <c r="G288" s="45" t="s">
        <v>1839</v>
      </c>
      <c r="H288" s="44">
        <v>599.58000000000004</v>
      </c>
      <c r="I288" s="223"/>
      <c r="J288" s="232"/>
      <c r="N288" s="49"/>
    </row>
    <row r="289" spans="1:14" ht="33">
      <c r="A289" s="272" t="s">
        <v>1962</v>
      </c>
      <c r="B289" s="260"/>
      <c r="C289" s="261"/>
      <c r="D289" s="262"/>
      <c r="E289" s="262"/>
      <c r="F289" s="268" t="s">
        <v>1966</v>
      </c>
      <c r="G289" s="263" t="s">
        <v>1967</v>
      </c>
      <c r="H289" s="262">
        <f>(18.8/0.2)*(1.075+0.62)*1.56+(8*18.8*1.56)</f>
        <v>483.17880000000002</v>
      </c>
      <c r="I289" s="274"/>
      <c r="J289" s="315"/>
      <c r="N289" s="49"/>
    </row>
    <row r="290" spans="1:14">
      <c r="A290" s="272" t="s">
        <v>1962</v>
      </c>
      <c r="B290" s="210"/>
      <c r="C290" s="211"/>
      <c r="D290" s="212"/>
      <c r="E290" s="212"/>
      <c r="F290" s="213" t="s">
        <v>1840</v>
      </c>
      <c r="G290" s="213" t="s">
        <v>1841</v>
      </c>
      <c r="H290" s="212">
        <f>(250/0.5*0.4+1*250)*0.994</f>
        <v>447.3</v>
      </c>
      <c r="I290" s="223"/>
      <c r="J290" s="232"/>
      <c r="N290" s="49"/>
    </row>
    <row r="291" spans="1:14" ht="36.75" customHeight="1">
      <c r="A291" s="284" t="s">
        <v>2039</v>
      </c>
      <c r="B291" s="285"/>
      <c r="C291" s="286"/>
      <c r="D291" s="139"/>
      <c r="E291" s="139"/>
      <c r="F291" s="287" t="s">
        <v>2134</v>
      </c>
      <c r="G291" s="45" t="s">
        <v>1345</v>
      </c>
      <c r="H291" s="262">
        <f>鋼筋!Q68</f>
        <v>2686.1664000000001</v>
      </c>
      <c r="I291" s="274"/>
      <c r="J291" s="315"/>
      <c r="N291" s="49"/>
    </row>
    <row r="292" spans="1:14">
      <c r="A292" s="288" t="s">
        <v>2039</v>
      </c>
      <c r="B292" s="289"/>
      <c r="C292" s="290"/>
      <c r="D292" s="140"/>
      <c r="E292" s="140"/>
      <c r="F292" s="287" t="s">
        <v>2035</v>
      </c>
      <c r="G292" s="45" t="s">
        <v>1345</v>
      </c>
      <c r="H292" s="262">
        <f>鋼筋!N125</f>
        <v>2266.5672</v>
      </c>
      <c r="I292" s="274"/>
      <c r="J292" s="315"/>
      <c r="N292" s="49"/>
    </row>
    <row r="293" spans="1:14">
      <c r="A293" s="284"/>
      <c r="B293" s="300"/>
      <c r="C293" s="301"/>
      <c r="D293" s="302"/>
      <c r="E293" s="302"/>
      <c r="F293" s="291" t="s">
        <v>2037</v>
      </c>
      <c r="G293" s="323" t="s">
        <v>2416</v>
      </c>
      <c r="H293" s="262"/>
      <c r="I293" s="274"/>
      <c r="J293" s="315"/>
      <c r="N293" s="49"/>
    </row>
    <row r="294" spans="1:14">
      <c r="A294" s="295"/>
      <c r="B294" s="296"/>
      <c r="C294" s="297"/>
      <c r="D294" s="298"/>
      <c r="E294" s="298"/>
      <c r="F294" s="299"/>
      <c r="G294" s="213"/>
      <c r="H294" s="212"/>
      <c r="I294" s="223"/>
      <c r="J294" s="232"/>
      <c r="N294" s="49"/>
    </row>
    <row r="295" spans="1:14">
      <c r="A295" s="12" t="s">
        <v>188</v>
      </c>
      <c r="B295" s="7" t="s">
        <v>530</v>
      </c>
      <c r="C295" s="8" t="s">
        <v>17</v>
      </c>
      <c r="D295" s="44">
        <v>15589</v>
      </c>
      <c r="E295" s="44"/>
      <c r="F295" s="45" t="s">
        <v>1407</v>
      </c>
      <c r="G295" s="45" t="s">
        <v>1345</v>
      </c>
      <c r="H295" s="44">
        <f>鋼筋!M95+鋼筋!E104+鋼筋!E120+鋼筋!M114</f>
        <v>15565.554937500001</v>
      </c>
      <c r="I295" s="224">
        <f>SUM(H295:H296)</f>
        <v>23923.6749375</v>
      </c>
      <c r="J295" s="314">
        <f>I295-D295</f>
        <v>8334.6749374999999</v>
      </c>
      <c r="N295" s="49"/>
    </row>
    <row r="296" spans="1:14">
      <c r="A296" s="272" t="s">
        <v>1962</v>
      </c>
      <c r="B296" s="7"/>
      <c r="C296" s="8"/>
      <c r="D296" s="44"/>
      <c r="E296" s="44"/>
      <c r="F296" s="50" t="s">
        <v>1435</v>
      </c>
      <c r="G296" s="50" t="s">
        <v>1448</v>
      </c>
      <c r="H296" s="44">
        <f>6*218*6.39</f>
        <v>8358.119999999999</v>
      </c>
      <c r="I296" s="223"/>
      <c r="J296" s="232"/>
      <c r="N296" s="49"/>
    </row>
    <row r="297" spans="1:14">
      <c r="A297" s="288" t="s">
        <v>2039</v>
      </c>
      <c r="B297" s="289"/>
      <c r="C297" s="290"/>
      <c r="D297" s="140"/>
      <c r="E297" s="140"/>
      <c r="F297" s="291" t="s">
        <v>2037</v>
      </c>
      <c r="G297" s="268"/>
      <c r="H297" s="262"/>
      <c r="I297" s="274"/>
      <c r="J297" s="315"/>
      <c r="N297" s="49"/>
    </row>
    <row r="298" spans="1:14">
      <c r="A298" s="12"/>
      <c r="B298" s="7"/>
      <c r="C298" s="8"/>
      <c r="D298" s="44"/>
      <c r="E298" s="44"/>
      <c r="F298" s="45"/>
      <c r="G298" s="45"/>
      <c r="H298" s="44"/>
      <c r="I298" s="223"/>
      <c r="J298" s="232"/>
      <c r="N298" s="49"/>
    </row>
    <row r="299" spans="1:14" ht="30" customHeight="1">
      <c r="A299" s="12" t="s">
        <v>187</v>
      </c>
      <c r="B299" s="7" t="s">
        <v>1408</v>
      </c>
      <c r="C299" s="8" t="s">
        <v>13</v>
      </c>
      <c r="D299" s="44">
        <v>776</v>
      </c>
      <c r="E299" s="44"/>
      <c r="F299" s="45" t="s">
        <v>2126</v>
      </c>
      <c r="G299" s="45" t="s">
        <v>2117</v>
      </c>
      <c r="H299" s="44">
        <f>614.13+154.5+7.26</f>
        <v>775.89</v>
      </c>
      <c r="I299" s="224">
        <f>H299</f>
        <v>775.89</v>
      </c>
      <c r="J299" s="232"/>
      <c r="N299" s="49"/>
    </row>
    <row r="300" spans="1:14" ht="31.5">
      <c r="A300" s="12" t="s">
        <v>186</v>
      </c>
      <c r="B300" s="7" t="s">
        <v>1411</v>
      </c>
      <c r="C300" s="8" t="s">
        <v>223</v>
      </c>
      <c r="D300" s="44">
        <v>235</v>
      </c>
      <c r="E300" s="44"/>
      <c r="F300" s="45" t="s">
        <v>1382</v>
      </c>
      <c r="G300" s="45" t="s">
        <v>1940</v>
      </c>
      <c r="H300" s="44">
        <v>251.85</v>
      </c>
      <c r="I300" s="224">
        <f>H300</f>
        <v>251.85</v>
      </c>
      <c r="J300" s="314">
        <f>I300-D300</f>
        <v>16.849999999999994</v>
      </c>
      <c r="N300" s="49"/>
    </row>
    <row r="301" spans="1:14" ht="31.5">
      <c r="A301" s="12" t="s">
        <v>185</v>
      </c>
      <c r="B301" s="7" t="s">
        <v>1409</v>
      </c>
      <c r="C301" s="8" t="s">
        <v>13</v>
      </c>
      <c r="D301" s="44">
        <v>102</v>
      </c>
      <c r="E301" s="44"/>
      <c r="F301" s="45" t="s">
        <v>1410</v>
      </c>
      <c r="G301" s="45" t="s">
        <v>1941</v>
      </c>
      <c r="H301" s="44">
        <f>94.85+78.97</f>
        <v>173.82</v>
      </c>
      <c r="I301" s="224">
        <f>H301</f>
        <v>173.82</v>
      </c>
      <c r="J301" s="314">
        <f>I301-D301</f>
        <v>71.819999999999993</v>
      </c>
      <c r="N301" s="49"/>
    </row>
    <row r="302" spans="1:14" ht="33">
      <c r="A302" s="12" t="s">
        <v>184</v>
      </c>
      <c r="B302" s="7" t="s">
        <v>603</v>
      </c>
      <c r="C302" s="8" t="s">
        <v>13</v>
      </c>
      <c r="D302" s="44">
        <v>400</v>
      </c>
      <c r="E302" s="44"/>
      <c r="F302" s="45" t="s">
        <v>1825</v>
      </c>
      <c r="G302" s="45" t="s">
        <v>2761</v>
      </c>
      <c r="H302" s="44">
        <f>(0.4+0.4+0.2)*(280+17+57.6+11.2)+0.4*0.2*2+((0.19+0.56)/2+0.15)*18.8</f>
        <v>375.83000000000004</v>
      </c>
      <c r="I302" s="224">
        <f>SUM(H302:H306)</f>
        <v>618.4325</v>
      </c>
      <c r="J302" s="314">
        <f>I302-D302</f>
        <v>218.4325</v>
      </c>
      <c r="N302" s="49"/>
    </row>
    <row r="303" spans="1:14" ht="33">
      <c r="A303" s="209"/>
      <c r="B303" s="210"/>
      <c r="C303" s="211"/>
      <c r="D303" s="212"/>
      <c r="E303" s="212"/>
      <c r="F303" s="213" t="s">
        <v>1826</v>
      </c>
      <c r="G303" s="213" t="s">
        <v>2756</v>
      </c>
      <c r="H303" s="212">
        <f>(0.95+0.24)*(18.2+16)+0.95*(18.2+16)+0.4*(18.2+16)+0.4*(0.95+0.2)*4</f>
        <v>88.708000000000013</v>
      </c>
      <c r="I303" s="224"/>
      <c r="J303" s="232"/>
      <c r="N303" s="49"/>
    </row>
    <row r="304" spans="1:14">
      <c r="A304" s="303"/>
      <c r="B304" s="304"/>
      <c r="C304" s="305"/>
      <c r="D304" s="306"/>
      <c r="E304" s="306"/>
      <c r="F304" s="307" t="s">
        <v>2762</v>
      </c>
      <c r="G304" s="307" t="s">
        <v>2764</v>
      </c>
      <c r="H304" s="306">
        <f>(0.25+0.15+0.1)*280</f>
        <v>140</v>
      </c>
      <c r="I304" s="354"/>
      <c r="J304" s="122"/>
      <c r="N304" s="49"/>
    </row>
    <row r="305" spans="1:14">
      <c r="A305" s="303"/>
      <c r="B305" s="304"/>
      <c r="C305" s="305"/>
      <c r="D305" s="306"/>
      <c r="E305" s="306"/>
      <c r="F305" s="307" t="s">
        <v>2763</v>
      </c>
      <c r="G305" s="307" t="s">
        <v>2777</v>
      </c>
      <c r="H305" s="306">
        <f>0.3*3.14/2*29.5</f>
        <v>13.894499999999999</v>
      </c>
      <c r="I305" s="354"/>
      <c r="J305" s="122"/>
      <c r="N305" s="49"/>
    </row>
    <row r="306" spans="1:14">
      <c r="A306" s="209"/>
      <c r="B306" s="210"/>
      <c r="C306" s="211"/>
      <c r="D306" s="212"/>
      <c r="E306" s="212"/>
      <c r="F306" s="213"/>
      <c r="G306" s="213"/>
      <c r="H306" s="212"/>
      <c r="I306" s="224"/>
      <c r="J306" s="232"/>
      <c r="N306" s="49"/>
    </row>
    <row r="307" spans="1:14" ht="42.75">
      <c r="A307" s="12" t="s">
        <v>183</v>
      </c>
      <c r="B307" s="10" t="s">
        <v>605</v>
      </c>
      <c r="C307" s="8" t="s">
        <v>606</v>
      </c>
      <c r="D307" s="44">
        <v>333</v>
      </c>
      <c r="E307" s="44"/>
      <c r="F307" s="45" t="s">
        <v>1387</v>
      </c>
      <c r="G307" s="45" t="s">
        <v>1416</v>
      </c>
      <c r="H307" s="44">
        <f>(3/0.15)*17</f>
        <v>340</v>
      </c>
      <c r="I307" s="224">
        <f>H307</f>
        <v>340</v>
      </c>
      <c r="J307" s="314">
        <f>I307-D307</f>
        <v>7</v>
      </c>
      <c r="K307" s="521" t="s">
        <v>2693</v>
      </c>
      <c r="N307" s="49"/>
    </row>
    <row r="308" spans="1:14">
      <c r="A308" s="269" t="s">
        <v>1962</v>
      </c>
      <c r="B308" s="267" t="s">
        <v>1959</v>
      </c>
      <c r="C308" s="261"/>
      <c r="D308" s="262"/>
      <c r="E308" s="262"/>
      <c r="F308" s="268" t="s">
        <v>1961</v>
      </c>
      <c r="G308" s="268" t="s">
        <v>2724</v>
      </c>
      <c r="H308" s="270">
        <f>(280-30)/0.5*2</f>
        <v>1000</v>
      </c>
      <c r="I308" s="224"/>
      <c r="J308" s="232"/>
      <c r="N308" s="49"/>
    </row>
    <row r="309" spans="1:14" ht="33">
      <c r="A309" s="269" t="s">
        <v>1962</v>
      </c>
      <c r="B309" s="267" t="s">
        <v>1960</v>
      </c>
      <c r="C309" s="261"/>
      <c r="D309" s="262"/>
      <c r="E309" s="262"/>
      <c r="F309" s="268" t="s">
        <v>2726</v>
      </c>
      <c r="G309" s="268" t="s">
        <v>2725</v>
      </c>
      <c r="H309" s="270">
        <f>ROUNDUP(7.05/0.2*2,0)+18.8/0.2*2</f>
        <v>259</v>
      </c>
      <c r="I309" s="224"/>
      <c r="J309" s="232"/>
      <c r="N309" s="49"/>
    </row>
    <row r="310" spans="1:14">
      <c r="A310" s="259"/>
      <c r="B310" s="267"/>
      <c r="C310" s="261"/>
      <c r="D310" s="262"/>
      <c r="E310" s="262"/>
      <c r="F310" s="268"/>
      <c r="G310" s="263"/>
      <c r="H310" s="262"/>
      <c r="I310" s="224"/>
      <c r="J310" s="232"/>
      <c r="N310" s="49"/>
    </row>
    <row r="311" spans="1:14">
      <c r="A311" s="259"/>
      <c r="B311" s="267"/>
      <c r="C311" s="261"/>
      <c r="D311" s="262"/>
      <c r="E311" s="262"/>
      <c r="F311" s="263"/>
      <c r="G311" s="263"/>
      <c r="H311" s="262"/>
      <c r="I311" s="224"/>
      <c r="J311" s="232"/>
      <c r="N311" s="49"/>
    </row>
    <row r="312" spans="1:14" ht="56.25" customHeight="1">
      <c r="A312" s="12" t="s">
        <v>182</v>
      </c>
      <c r="B312" s="7" t="s">
        <v>608</v>
      </c>
      <c r="C312" s="8" t="s">
        <v>13</v>
      </c>
      <c r="D312" s="44">
        <v>1702</v>
      </c>
      <c r="E312" s="44"/>
      <c r="F312" s="80" t="s">
        <v>1382</v>
      </c>
      <c r="G312" s="80" t="s">
        <v>2866</v>
      </c>
      <c r="H312" s="44">
        <f>(160*5.9)+(26.7*8.2)+(1.9+7.4)*17.7/2+(3.9*5.1)+19.6*5.1</f>
        <v>1365.0950000000003</v>
      </c>
      <c r="I312" s="224">
        <f t="shared" ref="I312:I318" si="1">H312</f>
        <v>1365.0950000000003</v>
      </c>
      <c r="J312" s="342">
        <f>I312-D312</f>
        <v>-336.90499999999975</v>
      </c>
      <c r="N312" s="49"/>
    </row>
    <row r="313" spans="1:14">
      <c r="A313" s="12" t="s">
        <v>181</v>
      </c>
      <c r="B313" s="7" t="s">
        <v>357</v>
      </c>
      <c r="C313" s="8" t="s">
        <v>8</v>
      </c>
      <c r="D313" s="44">
        <v>49</v>
      </c>
      <c r="E313" s="44"/>
      <c r="F313" s="45" t="s">
        <v>1403</v>
      </c>
      <c r="G313" s="45" t="s">
        <v>2122</v>
      </c>
      <c r="H313" s="44">
        <f>1.5*12+(4.6+1.7)*( 3+1)+(3.3+0.5+0.95+3.2)</f>
        <v>51.150000000000006</v>
      </c>
      <c r="I313" s="224">
        <f t="shared" si="1"/>
        <v>51.150000000000006</v>
      </c>
      <c r="J313" s="314">
        <f>I313-D313</f>
        <v>2.1500000000000057</v>
      </c>
      <c r="N313" s="49"/>
    </row>
    <row r="314" spans="1:14">
      <c r="A314" s="12" t="s">
        <v>610</v>
      </c>
      <c r="B314" s="7" t="s">
        <v>611</v>
      </c>
      <c r="C314" s="8" t="s">
        <v>8</v>
      </c>
      <c r="D314" s="44">
        <v>85</v>
      </c>
      <c r="E314" s="44"/>
      <c r="F314" s="45" t="s">
        <v>1407</v>
      </c>
      <c r="G314" s="45" t="s">
        <v>2123</v>
      </c>
      <c r="H314" s="44">
        <f>57.6+11.2+17</f>
        <v>85.8</v>
      </c>
      <c r="I314" s="224">
        <f t="shared" si="1"/>
        <v>85.8</v>
      </c>
      <c r="J314" s="314">
        <f>I314-D314</f>
        <v>0.79999999999999716</v>
      </c>
      <c r="N314" s="49"/>
    </row>
    <row r="315" spans="1:14" ht="33">
      <c r="A315" s="12" t="s">
        <v>613</v>
      </c>
      <c r="B315" s="10" t="s">
        <v>222</v>
      </c>
      <c r="C315" s="8" t="s">
        <v>13</v>
      </c>
      <c r="D315" s="44">
        <v>385</v>
      </c>
      <c r="E315" s="44"/>
      <c r="F315" s="45" t="s">
        <v>2857</v>
      </c>
      <c r="G315" s="45" t="s">
        <v>2858</v>
      </c>
      <c r="H315" s="44">
        <f>(1.8*21*2*2+1.8*11.2*3*2+1.8*17*2*2)+1.8*280</f>
        <v>898.56000000000006</v>
      </c>
      <c r="I315" s="224">
        <f t="shared" si="1"/>
        <v>898.56000000000006</v>
      </c>
      <c r="J315" s="314">
        <f>I315-D315</f>
        <v>513.56000000000006</v>
      </c>
      <c r="N315" s="49"/>
    </row>
    <row r="316" spans="1:14" ht="31.5">
      <c r="A316" s="12" t="s">
        <v>614</v>
      </c>
      <c r="B316" s="7" t="s">
        <v>615</v>
      </c>
      <c r="C316" s="8" t="s">
        <v>8</v>
      </c>
      <c r="D316" s="44">
        <v>686</v>
      </c>
      <c r="E316" s="44">
        <v>0</v>
      </c>
      <c r="F316" s="45"/>
      <c r="G316" s="45"/>
      <c r="H316" s="44"/>
      <c r="I316" s="224">
        <f t="shared" si="1"/>
        <v>0</v>
      </c>
      <c r="J316" s="232"/>
      <c r="N316" s="49"/>
    </row>
    <row r="317" spans="1:14">
      <c r="A317" s="12" t="s">
        <v>617</v>
      </c>
      <c r="B317" s="7" t="s">
        <v>1421</v>
      </c>
      <c r="C317" s="8" t="s">
        <v>23</v>
      </c>
      <c r="D317" s="44">
        <v>1070.5</v>
      </c>
      <c r="E317" s="44"/>
      <c r="F317" s="45" t="s">
        <v>1421</v>
      </c>
      <c r="G317" s="45" t="s">
        <v>1422</v>
      </c>
      <c r="H317" s="44">
        <f>312*7*0.5</f>
        <v>1092</v>
      </c>
      <c r="I317" s="224">
        <f t="shared" si="1"/>
        <v>1092</v>
      </c>
      <c r="J317" s="314">
        <f>I317-D317</f>
        <v>21.5</v>
      </c>
      <c r="N317" s="49"/>
    </row>
    <row r="318" spans="1:14" ht="22.5">
      <c r="A318" s="12" t="s">
        <v>620</v>
      </c>
      <c r="B318" s="53" t="s">
        <v>621</v>
      </c>
      <c r="C318" s="8" t="s">
        <v>19</v>
      </c>
      <c r="D318" s="44">
        <v>2</v>
      </c>
      <c r="E318" s="44"/>
      <c r="F318" s="45" t="s">
        <v>2124</v>
      </c>
      <c r="G318" s="45">
        <v>2</v>
      </c>
      <c r="H318" s="44">
        <v>2</v>
      </c>
      <c r="I318" s="224">
        <f t="shared" si="1"/>
        <v>2</v>
      </c>
      <c r="J318" s="232"/>
      <c r="N318" s="49"/>
    </row>
    <row r="319" spans="1:14" ht="33.75">
      <c r="A319" s="12" t="s">
        <v>1367</v>
      </c>
      <c r="B319" s="53" t="s">
        <v>1368</v>
      </c>
      <c r="C319" s="8" t="s">
        <v>8</v>
      </c>
      <c r="D319" s="44"/>
      <c r="E319" s="44">
        <v>571.08000000000004</v>
      </c>
      <c r="F319" s="45" t="s">
        <v>2133</v>
      </c>
      <c r="G319" s="45" t="s">
        <v>1381</v>
      </c>
      <c r="H319" s="44">
        <v>580</v>
      </c>
      <c r="I319" s="224">
        <f>H319</f>
        <v>580</v>
      </c>
      <c r="J319" s="314">
        <f>I319-E319</f>
        <v>8.9199999999999591</v>
      </c>
      <c r="N319" s="49"/>
    </row>
    <row r="320" spans="1:14">
      <c r="A320" s="12" t="s">
        <v>1369</v>
      </c>
      <c r="B320" s="7" t="s">
        <v>1370</v>
      </c>
      <c r="C320" s="8" t="s">
        <v>6</v>
      </c>
      <c r="D320" s="44"/>
      <c r="E320" s="44">
        <v>161.38999999999999</v>
      </c>
      <c r="F320" s="45"/>
      <c r="G320" s="45"/>
      <c r="H320" s="44"/>
      <c r="I320" s="223"/>
      <c r="J320" s="232"/>
      <c r="N320" s="49"/>
    </row>
    <row r="321" spans="1:14" ht="28.5">
      <c r="A321" s="12" t="s">
        <v>1371</v>
      </c>
      <c r="B321" s="10" t="s">
        <v>1372</v>
      </c>
      <c r="C321" s="8" t="s">
        <v>13</v>
      </c>
      <c r="D321" s="44"/>
      <c r="E321" s="44">
        <v>634.14</v>
      </c>
      <c r="F321" s="45" t="s">
        <v>2125</v>
      </c>
      <c r="G321" s="45" t="s">
        <v>2119</v>
      </c>
      <c r="H321" s="44">
        <f>467.53+92.19</f>
        <v>559.72</v>
      </c>
      <c r="I321" s="224">
        <f>H321+H322</f>
        <v>776.79333333333329</v>
      </c>
      <c r="J321" s="314">
        <f>I321-E321</f>
        <v>142.65333333333331</v>
      </c>
      <c r="N321" s="49"/>
    </row>
    <row r="322" spans="1:14" ht="33" customHeight="1">
      <c r="A322" s="269" t="s">
        <v>1962</v>
      </c>
      <c r="B322" s="264"/>
      <c r="C322" s="261"/>
      <c r="D322" s="262"/>
      <c r="E322" s="262"/>
      <c r="F322" s="268" t="s">
        <v>2118</v>
      </c>
      <c r="G322" s="268" t="s">
        <v>2120</v>
      </c>
      <c r="H322" s="270">
        <f>(3.8+3.7+4)/3*26.2+((8.1+4.3+6.5)/3-1.5)*24.3</f>
        <v>217.07333333333332</v>
      </c>
      <c r="I322" s="283"/>
      <c r="J322" s="315"/>
      <c r="N322" s="49"/>
    </row>
    <row r="323" spans="1:14" ht="33">
      <c r="A323" s="12" t="s">
        <v>1373</v>
      </c>
      <c r="B323" s="7" t="s">
        <v>586</v>
      </c>
      <c r="C323" s="8" t="s">
        <v>8</v>
      </c>
      <c r="D323" s="44"/>
      <c r="E323" s="44">
        <v>343.5</v>
      </c>
      <c r="F323" s="45" t="s">
        <v>1425</v>
      </c>
      <c r="G323" s="45" t="s">
        <v>1426</v>
      </c>
      <c r="H323" s="44">
        <f>295*0.7+76*0.75+40*2+12*0.3</f>
        <v>347.1</v>
      </c>
      <c r="I323" s="224">
        <f t="shared" ref="I323:I325" si="2">H323</f>
        <v>347.1</v>
      </c>
      <c r="J323" s="314">
        <f>I323-E323</f>
        <v>3.6000000000000227</v>
      </c>
      <c r="N323" s="49"/>
    </row>
    <row r="324" spans="1:14" ht="33">
      <c r="A324" s="12" t="s">
        <v>1374</v>
      </c>
      <c r="B324" s="7" t="s">
        <v>1375</v>
      </c>
      <c r="C324" s="8" t="s">
        <v>7</v>
      </c>
      <c r="D324" s="44"/>
      <c r="E324" s="44">
        <v>451</v>
      </c>
      <c r="F324" s="45" t="s">
        <v>1425</v>
      </c>
      <c r="G324" s="45" t="s">
        <v>1427</v>
      </c>
      <c r="H324" s="44">
        <f>295+76+80+12</f>
        <v>463</v>
      </c>
      <c r="I324" s="224">
        <f t="shared" si="2"/>
        <v>463</v>
      </c>
      <c r="J324" s="314">
        <f>I324-E324</f>
        <v>12</v>
      </c>
      <c r="N324" s="49"/>
    </row>
    <row r="325" spans="1:14" ht="31.5">
      <c r="A325" s="12" t="s">
        <v>1376</v>
      </c>
      <c r="B325" s="7" t="s">
        <v>1377</v>
      </c>
      <c r="C325" s="8" t="s">
        <v>6</v>
      </c>
      <c r="D325" s="44"/>
      <c r="E325" s="44">
        <v>1513</v>
      </c>
      <c r="F325" s="45" t="s">
        <v>1428</v>
      </c>
      <c r="G325" s="45" t="s">
        <v>1431</v>
      </c>
      <c r="H325" s="44">
        <f>(282.3*8.2*0.5)+(246.3*(1.5*0.6+0.6*1))</f>
        <v>1526.8799999999999</v>
      </c>
      <c r="I325" s="224">
        <f t="shared" si="2"/>
        <v>1526.8799999999999</v>
      </c>
      <c r="J325" s="314">
        <f>I325-E325</f>
        <v>13.879999999999882</v>
      </c>
      <c r="N325" s="49"/>
    </row>
    <row r="326" spans="1:14" ht="42.75">
      <c r="A326" s="12" t="s">
        <v>1378</v>
      </c>
      <c r="B326" s="10" t="s">
        <v>1365</v>
      </c>
      <c r="C326" s="8" t="s">
        <v>6</v>
      </c>
      <c r="D326" s="44"/>
      <c r="E326" s="44">
        <v>1177.9000000000001</v>
      </c>
      <c r="F326" s="45" t="s">
        <v>1382</v>
      </c>
      <c r="G326" s="45" t="s">
        <v>1430</v>
      </c>
      <c r="H326" s="44">
        <f>246.3*0.75*1.5</f>
        <v>277.08750000000003</v>
      </c>
      <c r="I326" s="224">
        <f>SUM(H326:H332)</f>
        <v>1216.9940000000001</v>
      </c>
      <c r="J326" s="314">
        <f>I326-E326</f>
        <v>39.094000000000051</v>
      </c>
      <c r="N326" s="49"/>
    </row>
    <row r="327" spans="1:14" ht="33">
      <c r="A327" s="12"/>
      <c r="B327" s="7"/>
      <c r="C327" s="8"/>
      <c r="D327" s="44"/>
      <c r="E327" s="44"/>
      <c r="F327" s="45" t="s">
        <v>1432</v>
      </c>
      <c r="G327" s="45" t="s">
        <v>1454</v>
      </c>
      <c r="H327" s="44">
        <f>(17*2.5*0.45)+(17*(0.5+0.7)/2*(4.79+3.4)/2)+(0.5*3.2*5.1)</f>
        <v>69.053999999999988</v>
      </c>
      <c r="I327" s="223"/>
      <c r="J327" s="232"/>
      <c r="N327" s="49"/>
    </row>
    <row r="328" spans="1:14" ht="45" customHeight="1">
      <c r="A328" s="12"/>
      <c r="B328" s="7"/>
      <c r="C328" s="8"/>
      <c r="D328" s="44"/>
      <c r="E328" s="44"/>
      <c r="F328" s="45" t="s">
        <v>1429</v>
      </c>
      <c r="G328" s="45" t="s">
        <v>1455</v>
      </c>
      <c r="H328" s="44">
        <f>(41.1*1.7*0.6)+(41.1*(0.5+1.1)/2*3.63)+(16.5*2.2*0.6)+(16.5*(0.5+0.85)/2*2.1+16.5*0.3*1.1)</f>
        <v>211.89015000000003</v>
      </c>
      <c r="I328" s="223"/>
      <c r="J328" s="232"/>
      <c r="N328" s="49"/>
    </row>
    <row r="329" spans="1:14" ht="33">
      <c r="A329" s="12"/>
      <c r="B329" s="7"/>
      <c r="C329" s="8"/>
      <c r="D329" s="44"/>
      <c r="E329" s="44"/>
      <c r="F329" s="56" t="s">
        <v>1766</v>
      </c>
      <c r="G329" s="45" t="s">
        <v>1456</v>
      </c>
      <c r="H329" s="44">
        <f>246.3*1.75*0.25+503.7*0.15+1335.6*0.15+82.85*0.35+78.97*0.25</f>
        <v>432.39125000000001</v>
      </c>
      <c r="I329" s="223"/>
      <c r="J329" s="232"/>
      <c r="N329" s="49"/>
    </row>
    <row r="330" spans="1:14" ht="33">
      <c r="A330" s="12"/>
      <c r="B330" s="7"/>
      <c r="C330" s="8"/>
      <c r="D330" s="44"/>
      <c r="E330" s="44"/>
      <c r="F330" s="56" t="s">
        <v>1775</v>
      </c>
      <c r="G330" s="50" t="s">
        <v>1774</v>
      </c>
      <c r="H330" s="44">
        <f>35.2*2*0.15+26.2*3.83*0.35+25.7*5.5*0.35</f>
        <v>95.153599999999997</v>
      </c>
      <c r="I330" s="223"/>
      <c r="J330" s="232"/>
      <c r="N330" s="49"/>
    </row>
    <row r="331" spans="1:14">
      <c r="A331" s="12"/>
      <c r="B331" s="7"/>
      <c r="C331" s="8"/>
      <c r="D331" s="44"/>
      <c r="E331" s="44"/>
      <c r="F331" s="50" t="s">
        <v>1968</v>
      </c>
      <c r="G331" s="50" t="s">
        <v>1765</v>
      </c>
      <c r="H331" s="44">
        <f>0.25*2*246.3</f>
        <v>123.15</v>
      </c>
      <c r="I331" s="223"/>
      <c r="J331" s="232"/>
      <c r="N331" s="49"/>
    </row>
    <row r="332" spans="1:14" ht="40.5" customHeight="1">
      <c r="A332" s="12"/>
      <c r="B332" s="7"/>
      <c r="C332" s="8"/>
      <c r="D332" s="44"/>
      <c r="E332" s="44"/>
      <c r="F332" s="45" t="s">
        <v>2135</v>
      </c>
      <c r="G332" s="45" t="s">
        <v>2121</v>
      </c>
      <c r="H332" s="44">
        <f>(12.85*4-7.05*2.6)*0.25</f>
        <v>8.2674999999999983</v>
      </c>
      <c r="I332" s="223"/>
      <c r="J332" s="232"/>
      <c r="N332" s="49"/>
    </row>
    <row r="333" spans="1:14" ht="31.5">
      <c r="A333" s="12" t="s">
        <v>1379</v>
      </c>
      <c r="B333" s="7" t="s">
        <v>1380</v>
      </c>
      <c r="C333" s="8" t="s">
        <v>13</v>
      </c>
      <c r="D333" s="44"/>
      <c r="E333" s="44">
        <v>442.5</v>
      </c>
      <c r="F333" s="56" t="s">
        <v>1436</v>
      </c>
      <c r="G333" s="45" t="s">
        <v>1692</v>
      </c>
      <c r="H333" s="44">
        <f>246.3*2+26.2*3.83+25.7*5.5</f>
        <v>734.29600000000005</v>
      </c>
      <c r="I333" s="224">
        <f>H333+H334</f>
        <v>734.29600000000005</v>
      </c>
      <c r="J333" s="314">
        <f>I333-E333</f>
        <v>291.79600000000005</v>
      </c>
      <c r="N333" s="49"/>
    </row>
    <row r="334" spans="1:14">
      <c r="A334" s="12"/>
      <c r="B334" s="7"/>
      <c r="C334" s="8"/>
      <c r="D334" s="44"/>
      <c r="E334" s="44"/>
      <c r="F334" s="45"/>
      <c r="G334" s="45"/>
      <c r="H334" s="44"/>
      <c r="I334" s="223"/>
      <c r="J334" s="232"/>
      <c r="N334" s="49"/>
    </row>
    <row r="335" spans="1:14">
      <c r="A335" s="12"/>
      <c r="B335" s="7"/>
      <c r="C335" s="8"/>
      <c r="D335" s="44"/>
      <c r="E335" s="44"/>
      <c r="F335" s="45"/>
      <c r="G335" s="45"/>
      <c r="H335" s="44"/>
      <c r="I335" s="223"/>
      <c r="J335" s="232"/>
      <c r="N335" s="49"/>
    </row>
    <row r="336" spans="1:14" ht="33">
      <c r="A336" s="6" t="s">
        <v>97</v>
      </c>
      <c r="B336" s="7" t="s">
        <v>623</v>
      </c>
      <c r="C336" s="8" t="s">
        <v>4</v>
      </c>
      <c r="D336" s="44">
        <v>1</v>
      </c>
      <c r="E336" s="44"/>
      <c r="F336" s="45"/>
      <c r="G336" s="45"/>
      <c r="H336" s="44"/>
      <c r="I336" s="223" t="s">
        <v>243</v>
      </c>
      <c r="J336" s="232"/>
      <c r="N336" s="49"/>
    </row>
    <row r="337" spans="1:15" ht="36.75" customHeight="1">
      <c r="A337" s="12" t="s">
        <v>98</v>
      </c>
      <c r="B337" s="10" t="s">
        <v>1383</v>
      </c>
      <c r="C337" s="8" t="s">
        <v>6</v>
      </c>
      <c r="D337" s="44">
        <v>252</v>
      </c>
      <c r="E337" s="44"/>
      <c r="F337" s="45" t="s">
        <v>1468</v>
      </c>
      <c r="G337" s="45" t="s">
        <v>1472</v>
      </c>
      <c r="H337" s="44">
        <f>(2.1*0.1*300)+(5*3.7*0.1+1.8*2.1*0.1)+(7.35*0.1*60)</f>
        <v>109.328</v>
      </c>
      <c r="I337" s="224">
        <f>H337</f>
        <v>109.328</v>
      </c>
      <c r="J337" s="314">
        <f>I337-D337</f>
        <v>-142.672</v>
      </c>
      <c r="K337" s="521" t="s">
        <v>2765</v>
      </c>
      <c r="N337" s="49"/>
    </row>
    <row r="338" spans="1:15" ht="28.5">
      <c r="A338" s="12" t="s">
        <v>99</v>
      </c>
      <c r="B338" s="10" t="s">
        <v>24</v>
      </c>
      <c r="C338" s="8" t="s">
        <v>6</v>
      </c>
      <c r="D338" s="44">
        <v>2490</v>
      </c>
      <c r="E338" s="44"/>
      <c r="F338" s="80" t="s">
        <v>1693</v>
      </c>
      <c r="G338" s="80" t="s">
        <v>1474</v>
      </c>
      <c r="H338" s="44">
        <f>(1.8*0.3*2+1.2*0.3*2)*300</f>
        <v>540</v>
      </c>
      <c r="I338" s="229">
        <f>SUM(H338:H342)</f>
        <v>2673.7048824999997</v>
      </c>
      <c r="J338" s="314">
        <f>I338-D338</f>
        <v>183.70488249999971</v>
      </c>
      <c r="K338" s="521" t="s">
        <v>2867</v>
      </c>
      <c r="N338" s="49"/>
    </row>
    <row r="339" spans="1:15" ht="49.5">
      <c r="A339" s="12"/>
      <c r="B339" s="10"/>
      <c r="C339" s="8"/>
      <c r="D339" s="44"/>
      <c r="E339" s="44"/>
      <c r="F339" s="80" t="s">
        <v>1489</v>
      </c>
      <c r="G339" s="80" t="s">
        <v>1482</v>
      </c>
      <c r="H339" s="44">
        <f>(4.7*3.4*0.3*2)+(2.7*4.7*0.3*2)+(1.75*0.2*2.8+2.8*2.45*0.2)+(2.7*2.8*0.3*2)-(2.4*1.5+1.2*1.2*2)*0.3</f>
        <v>22.145999999999997</v>
      </c>
      <c r="I339" s="230"/>
      <c r="J339" s="232"/>
      <c r="N339" s="49"/>
    </row>
    <row r="340" spans="1:15">
      <c r="A340" s="12"/>
      <c r="B340" s="10"/>
      <c r="C340" s="8"/>
      <c r="D340" s="44"/>
      <c r="E340" s="44"/>
      <c r="F340" s="80" t="s">
        <v>1694</v>
      </c>
      <c r="G340" s="80" t="s">
        <v>1587</v>
      </c>
      <c r="H340" s="44">
        <f>(7.05*2.7-3*2*2+0.35*0.35*4)*280</f>
        <v>2107</v>
      </c>
      <c r="I340" s="230"/>
      <c r="J340" s="232"/>
      <c r="N340" s="49"/>
    </row>
    <row r="341" spans="1:15" ht="49.5">
      <c r="A341" s="12"/>
      <c r="B341" s="10"/>
      <c r="C341" s="8"/>
      <c r="D341" s="44"/>
      <c r="E341" s="44"/>
      <c r="F341" s="80" t="s">
        <v>2004</v>
      </c>
      <c r="G341" s="80" t="s">
        <v>2248</v>
      </c>
      <c r="H341" s="44">
        <f>(0.45*0.45-0.3*0.3)*3.14*(1.41+2.59+2.57+1.88)+(1.5*1.5-(0.3*0.3*3.14))*0.2*4</f>
        <v>4.5588825000000011</v>
      </c>
      <c r="I341" s="230"/>
      <c r="J341" s="232"/>
      <c r="N341" s="49"/>
    </row>
    <row r="342" spans="1:15">
      <c r="A342" s="259"/>
      <c r="B342" s="264"/>
      <c r="C342" s="261"/>
      <c r="D342" s="262"/>
      <c r="E342" s="262"/>
      <c r="F342" s="268"/>
      <c r="G342" s="268"/>
      <c r="H342" s="262"/>
      <c r="I342" s="280"/>
      <c r="J342" s="315"/>
      <c r="N342" s="49"/>
    </row>
    <row r="343" spans="1:15" ht="31.5">
      <c r="A343" s="12" t="s">
        <v>100</v>
      </c>
      <c r="B343" s="7" t="s">
        <v>1460</v>
      </c>
      <c r="C343" s="8" t="s">
        <v>6</v>
      </c>
      <c r="D343" s="44">
        <v>998</v>
      </c>
      <c r="E343" s="44"/>
      <c r="F343" s="45" t="s">
        <v>1464</v>
      </c>
      <c r="G343" s="45" t="s">
        <v>1471</v>
      </c>
      <c r="H343" s="44">
        <f>16.5*1.3*0.65+2.7*(2.5+1.35)/2*15.2</f>
        <v>92.944500000000005</v>
      </c>
      <c r="I343" s="229">
        <f>SUM(H343:H346)</f>
        <v>776.5883</v>
      </c>
      <c r="J343" s="232"/>
      <c r="N343" s="49"/>
    </row>
    <row r="344" spans="1:15">
      <c r="A344" s="12"/>
      <c r="B344" s="7"/>
      <c r="C344" s="8"/>
      <c r="D344" s="44"/>
      <c r="E344" s="44"/>
      <c r="F344" s="45" t="s">
        <v>1470</v>
      </c>
      <c r="G344" s="45" t="s">
        <v>1473</v>
      </c>
      <c r="H344" s="44">
        <f>(1.8+0.8)/2*1.6*2.45</f>
        <v>5.096000000000001</v>
      </c>
      <c r="I344" s="229"/>
      <c r="J344" s="232"/>
      <c r="N344" s="49"/>
    </row>
    <row r="345" spans="1:15">
      <c r="A345" s="12"/>
      <c r="B345" s="7"/>
      <c r="C345" s="8"/>
      <c r="D345" s="44"/>
      <c r="E345" s="44"/>
      <c r="F345" s="45" t="s">
        <v>1466</v>
      </c>
      <c r="G345" s="45" t="s">
        <v>1467</v>
      </c>
      <c r="H345" s="44">
        <f>1.15*1.8*245.7</f>
        <v>508.59899999999993</v>
      </c>
      <c r="I345" s="230"/>
      <c r="J345" s="232"/>
      <c r="N345" s="49"/>
    </row>
    <row r="346" spans="1:15">
      <c r="A346" s="12"/>
      <c r="B346" s="7"/>
      <c r="C346" s="8"/>
      <c r="D346" s="44"/>
      <c r="E346" s="44"/>
      <c r="F346" s="50" t="s">
        <v>1776</v>
      </c>
      <c r="G346" s="50" t="s">
        <v>2005</v>
      </c>
      <c r="H346" s="54">
        <f>(2*0.9-(0.3*0.3*3.14))*112</f>
        <v>169.94880000000001</v>
      </c>
      <c r="I346" s="230"/>
      <c r="J346" s="232"/>
      <c r="N346" s="49"/>
    </row>
    <row r="347" spans="1:15">
      <c r="A347" s="259"/>
      <c r="B347" s="260"/>
      <c r="C347" s="261"/>
      <c r="D347" s="262"/>
      <c r="E347" s="262"/>
      <c r="F347" s="268" t="s">
        <v>2006</v>
      </c>
      <c r="G347" s="268" t="s">
        <v>2127</v>
      </c>
      <c r="H347" s="270"/>
      <c r="I347" s="280"/>
      <c r="J347" s="315"/>
      <c r="N347" s="49"/>
    </row>
    <row r="348" spans="1:15" ht="33">
      <c r="A348" s="12" t="s">
        <v>101</v>
      </c>
      <c r="B348" s="7" t="s">
        <v>595</v>
      </c>
      <c r="C348" s="8" t="s">
        <v>6</v>
      </c>
      <c r="D348" s="44">
        <v>3740</v>
      </c>
      <c r="E348" s="44"/>
      <c r="F348" s="45" t="s">
        <v>1465</v>
      </c>
      <c r="G348" s="50" t="s">
        <v>2128</v>
      </c>
      <c r="H348" s="44">
        <f>I337+I338+I343</f>
        <v>3559.6211824999996</v>
      </c>
      <c r="I348" s="230">
        <f>H348</f>
        <v>3559.6211824999996</v>
      </c>
      <c r="J348" s="232"/>
      <c r="N348" s="49"/>
    </row>
    <row r="349" spans="1:15">
      <c r="A349" s="12" t="s">
        <v>102</v>
      </c>
      <c r="B349" s="7" t="s">
        <v>534</v>
      </c>
      <c r="C349" s="8" t="s">
        <v>13</v>
      </c>
      <c r="D349" s="44">
        <v>3740</v>
      </c>
      <c r="E349" s="44">
        <v>4240</v>
      </c>
      <c r="F349" s="45" t="s">
        <v>1475</v>
      </c>
      <c r="G349" s="47" t="s">
        <v>1480</v>
      </c>
      <c r="H349" s="44">
        <f>(1.3*4+2.3*2+0.495*8)*280</f>
        <v>3852.8000000000006</v>
      </c>
      <c r="I349" s="230">
        <f>SUM(H349:H351)</f>
        <v>4949.6072000000013</v>
      </c>
      <c r="J349" s="314">
        <f>I349-E349</f>
        <v>709.60720000000128</v>
      </c>
      <c r="N349" s="49"/>
      <c r="O349" s="207"/>
    </row>
    <row r="350" spans="1:15">
      <c r="A350" s="12"/>
      <c r="B350" s="7"/>
      <c r="C350" s="8"/>
      <c r="D350" s="44"/>
      <c r="E350" s="44"/>
      <c r="F350" s="45" t="s">
        <v>1476</v>
      </c>
      <c r="G350" s="47" t="s">
        <v>1481</v>
      </c>
      <c r="H350" s="44">
        <f>1.2*3*300</f>
        <v>1080</v>
      </c>
      <c r="I350" s="230"/>
      <c r="J350" s="232"/>
      <c r="N350" s="49"/>
      <c r="O350" s="207"/>
    </row>
    <row r="351" spans="1:15" ht="33">
      <c r="A351" s="12"/>
      <c r="B351" s="7"/>
      <c r="C351" s="8"/>
      <c r="D351" s="44"/>
      <c r="E351" s="44"/>
      <c r="F351" s="45" t="s">
        <v>2129</v>
      </c>
      <c r="G351" s="47" t="s">
        <v>2131</v>
      </c>
      <c r="H351" s="44">
        <f>((1.41-0.2)+(2.59-0.2)+(2.57-0.2)+(1.88-0.2))*2+(0.6*3.14*0.2*4)</f>
        <v>16.807199999999998</v>
      </c>
      <c r="I351" s="230"/>
      <c r="J351" s="232"/>
      <c r="N351" s="49"/>
      <c r="O351" s="207"/>
    </row>
    <row r="352" spans="1:15" ht="38.25" customHeight="1">
      <c r="A352" s="12" t="s">
        <v>180</v>
      </c>
      <c r="B352" s="7" t="s">
        <v>626</v>
      </c>
      <c r="C352" s="8" t="s">
        <v>13</v>
      </c>
      <c r="D352" s="44">
        <v>38</v>
      </c>
      <c r="E352" s="44"/>
      <c r="F352" s="45" t="s">
        <v>1478</v>
      </c>
      <c r="G352" s="45" t="s">
        <v>1483</v>
      </c>
      <c r="H352" s="44">
        <f>(4.1*2.7+2.8*2.7)*2-(1.2*1.2*2)+4.1*2.8+1.75*2</f>
        <v>49.359999999999992</v>
      </c>
      <c r="I352" s="230">
        <f>H352</f>
        <v>49.359999999999992</v>
      </c>
      <c r="J352" s="314">
        <f>I352-D352</f>
        <v>11.359999999999992</v>
      </c>
      <c r="N352" s="49"/>
      <c r="O352" s="207"/>
    </row>
    <row r="353" spans="1:14" ht="33">
      <c r="A353" s="12" t="s">
        <v>179</v>
      </c>
      <c r="B353" s="7" t="s">
        <v>536</v>
      </c>
      <c r="C353" s="8" t="s">
        <v>13</v>
      </c>
      <c r="D353" s="44">
        <v>783</v>
      </c>
      <c r="E353" s="44"/>
      <c r="F353" s="45" t="s">
        <v>1485</v>
      </c>
      <c r="G353" s="47" t="s">
        <v>1777</v>
      </c>
      <c r="H353" s="44">
        <f>(2.8*2)*60+(2.2*2)*220+(0.7*7.05+0.35*2*3+0.35*0.35*4)*14</f>
        <v>1409.35</v>
      </c>
      <c r="I353" s="230">
        <f>SUM(H353:H354)</f>
        <v>1409.35</v>
      </c>
      <c r="J353" s="314">
        <f>I353-D353</f>
        <v>626.34999999999991</v>
      </c>
      <c r="N353" s="49"/>
    </row>
    <row r="354" spans="1:14" ht="16.5" customHeight="1">
      <c r="A354" s="12"/>
      <c r="B354" s="7"/>
      <c r="C354" s="8"/>
      <c r="D354" s="44"/>
      <c r="E354" s="44"/>
      <c r="F354" s="45"/>
      <c r="G354" s="47"/>
      <c r="H354" s="44"/>
      <c r="I354" s="230"/>
      <c r="J354" s="232"/>
      <c r="N354" s="49"/>
    </row>
    <row r="355" spans="1:14">
      <c r="A355" s="12" t="s">
        <v>178</v>
      </c>
      <c r="B355" s="7" t="s">
        <v>193</v>
      </c>
      <c r="C355" s="8" t="s">
        <v>13</v>
      </c>
      <c r="D355" s="44">
        <v>300</v>
      </c>
      <c r="E355" s="44"/>
      <c r="F355" s="45" t="s">
        <v>1479</v>
      </c>
      <c r="G355" s="45" t="s">
        <v>1484</v>
      </c>
      <c r="H355" s="44">
        <f>(4.7+3.4)*3.4*2-(1.2*1.2)</f>
        <v>53.64</v>
      </c>
      <c r="I355" s="230">
        <f>SUM(H355:H357)</f>
        <v>761.34</v>
      </c>
      <c r="J355" s="314">
        <f>I355-D355</f>
        <v>461.34000000000003</v>
      </c>
      <c r="N355" s="49"/>
    </row>
    <row r="356" spans="1:14" ht="34.5" customHeight="1">
      <c r="A356" s="12"/>
      <c r="B356" s="7"/>
      <c r="C356" s="8"/>
      <c r="D356" s="44"/>
      <c r="E356" s="44"/>
      <c r="F356" s="45" t="s">
        <v>1477</v>
      </c>
      <c r="G356" s="47" t="s">
        <v>1487</v>
      </c>
      <c r="H356" s="44">
        <f>1.8*2*67+1.8*1*233+(1.8*1.8-1.2*1.2)*15</f>
        <v>687.6</v>
      </c>
      <c r="I356" s="230"/>
      <c r="J356" s="232"/>
      <c r="N356" s="49"/>
    </row>
    <row r="357" spans="1:14" ht="35.25" customHeight="1">
      <c r="A357" s="12"/>
      <c r="B357" s="7"/>
      <c r="C357" s="8"/>
      <c r="D357" s="44"/>
      <c r="E357" s="44"/>
      <c r="F357" s="45" t="s">
        <v>2130</v>
      </c>
      <c r="G357" s="47" t="s">
        <v>2132</v>
      </c>
      <c r="H357" s="44">
        <f>((1.41-0.2)+(2.59-0.2)+(2.57-0.2)+(1.88-0.2))*2+(1.5*4*0.2*4)</f>
        <v>20.099999999999998</v>
      </c>
      <c r="I357" s="230"/>
      <c r="J357" s="232"/>
      <c r="N357" s="49"/>
    </row>
    <row r="358" spans="1:14">
      <c r="A358" s="12" t="s">
        <v>177</v>
      </c>
      <c r="B358" s="7" t="s">
        <v>192</v>
      </c>
      <c r="C358" s="8" t="s">
        <v>17</v>
      </c>
      <c r="D358" s="44">
        <v>137462</v>
      </c>
      <c r="E358" s="44"/>
      <c r="F358" s="80" t="s">
        <v>1461</v>
      </c>
      <c r="G358" s="45" t="s">
        <v>1345</v>
      </c>
      <c r="H358" s="44">
        <v>75613.2</v>
      </c>
      <c r="I358" s="230">
        <f>SUM(H358:H361)</f>
        <v>207085.17276800002</v>
      </c>
      <c r="J358" s="314">
        <f>I358-D358</f>
        <v>69623.172768000019</v>
      </c>
      <c r="N358" s="49"/>
    </row>
    <row r="359" spans="1:14">
      <c r="A359" s="12"/>
      <c r="B359" s="7"/>
      <c r="C359" s="8"/>
      <c r="D359" s="44"/>
      <c r="E359" s="44"/>
      <c r="F359" s="80" t="s">
        <v>1489</v>
      </c>
      <c r="G359" s="45" t="s">
        <v>1345</v>
      </c>
      <c r="H359" s="44">
        <f>鋼筋!L162</f>
        <v>262.21719999999999</v>
      </c>
      <c r="I359" s="230"/>
      <c r="J359" s="232"/>
      <c r="N359" s="49"/>
    </row>
    <row r="360" spans="1:14">
      <c r="A360" s="12"/>
      <c r="B360" s="7"/>
      <c r="C360" s="8"/>
      <c r="D360" s="44"/>
      <c r="E360" s="44"/>
      <c r="F360" s="80" t="s">
        <v>1459</v>
      </c>
      <c r="G360" s="45" t="s">
        <v>1345</v>
      </c>
      <c r="H360" s="44">
        <v>130550.17</v>
      </c>
      <c r="I360" s="230"/>
      <c r="J360" s="232"/>
      <c r="N360" s="49"/>
    </row>
    <row r="361" spans="1:14" ht="42.75" customHeight="1">
      <c r="A361" s="12"/>
      <c r="B361" s="7"/>
      <c r="C361" s="8"/>
      <c r="D361" s="44"/>
      <c r="E361" s="44"/>
      <c r="F361" s="80" t="s">
        <v>2003</v>
      </c>
      <c r="G361" s="45" t="s">
        <v>2137</v>
      </c>
      <c r="H361" s="44">
        <f>(1.35*9*2*2*1.56+1.2*8*2*0.994)*4+(1.41+2.59+2.57+1.88)*13*1.56+0.6*3.14*(10+18+17+13)*0.994</f>
        <v>659.58556799999997</v>
      </c>
      <c r="I361" s="230"/>
      <c r="J361" s="232"/>
      <c r="N361" s="49"/>
    </row>
    <row r="362" spans="1:14">
      <c r="A362" s="259"/>
      <c r="B362" s="260"/>
      <c r="C362" s="261"/>
      <c r="D362" s="262"/>
      <c r="E362" s="262"/>
      <c r="F362" s="265"/>
      <c r="G362" s="263"/>
      <c r="H362" s="262"/>
      <c r="I362" s="280"/>
      <c r="J362" s="315"/>
      <c r="N362" s="49"/>
    </row>
    <row r="363" spans="1:14">
      <c r="A363" s="12" t="s">
        <v>176</v>
      </c>
      <c r="B363" s="7" t="s">
        <v>530</v>
      </c>
      <c r="C363" s="8" t="s">
        <v>17</v>
      </c>
      <c r="D363" s="44">
        <v>116638</v>
      </c>
      <c r="E363" s="44"/>
      <c r="F363" s="80" t="s">
        <v>1489</v>
      </c>
      <c r="G363" s="45" t="s">
        <v>1345</v>
      </c>
      <c r="H363" s="44">
        <f>鋼筋!L163</f>
        <v>5375.7860000000001</v>
      </c>
      <c r="I363" s="230">
        <f>SUM(H363:H366)</f>
        <v>168230.73</v>
      </c>
      <c r="J363" s="314">
        <f>I363-D363</f>
        <v>51592.73000000001</v>
      </c>
      <c r="N363" s="49"/>
    </row>
    <row r="364" spans="1:14">
      <c r="A364" s="12"/>
      <c r="B364" s="7"/>
      <c r="C364" s="8"/>
      <c r="D364" s="44"/>
      <c r="E364" s="44"/>
      <c r="F364" s="80" t="s">
        <v>1459</v>
      </c>
      <c r="G364" s="45" t="s">
        <v>1345</v>
      </c>
      <c r="H364" s="44">
        <f>鋼筋!E157</f>
        <v>162854.94400000002</v>
      </c>
      <c r="I364" s="230"/>
      <c r="J364" s="232"/>
      <c r="N364" s="49"/>
    </row>
    <row r="365" spans="1:14">
      <c r="A365" s="12"/>
      <c r="B365" s="7"/>
      <c r="C365" s="8"/>
      <c r="D365" s="44"/>
      <c r="E365" s="44"/>
      <c r="F365" s="50"/>
      <c r="G365" s="45"/>
      <c r="H365" s="44"/>
      <c r="I365" s="230"/>
      <c r="J365" s="232"/>
      <c r="N365" s="49"/>
    </row>
    <row r="366" spans="1:14">
      <c r="A366" s="12"/>
      <c r="B366" s="7"/>
      <c r="C366" s="8"/>
      <c r="D366" s="44"/>
      <c r="E366" s="44"/>
      <c r="F366" s="45"/>
      <c r="G366" s="45"/>
      <c r="H366" s="44"/>
      <c r="I366" s="230"/>
      <c r="J366" s="232"/>
      <c r="N366" s="49"/>
    </row>
    <row r="367" spans="1:14" ht="42.75">
      <c r="A367" s="12" t="s">
        <v>175</v>
      </c>
      <c r="B367" s="10" t="s">
        <v>628</v>
      </c>
      <c r="C367" s="8" t="s">
        <v>8</v>
      </c>
      <c r="D367" s="44">
        <v>112</v>
      </c>
      <c r="E367" s="54"/>
      <c r="F367" s="45" t="s">
        <v>2007</v>
      </c>
      <c r="G367" s="45" t="s">
        <v>2168</v>
      </c>
      <c r="H367" s="44"/>
      <c r="I367" s="230" t="s">
        <v>2136</v>
      </c>
      <c r="J367" s="316">
        <v>-112</v>
      </c>
      <c r="N367" s="49"/>
    </row>
    <row r="368" spans="1:14" ht="33">
      <c r="A368" s="12" t="s">
        <v>174</v>
      </c>
      <c r="B368" s="10" t="s">
        <v>630</v>
      </c>
      <c r="C368" s="8" t="s">
        <v>0</v>
      </c>
      <c r="D368" s="44">
        <v>47</v>
      </c>
      <c r="E368" s="44"/>
      <c r="F368" s="45"/>
      <c r="G368" s="45"/>
      <c r="H368" s="44"/>
      <c r="I368" s="223" t="s">
        <v>243</v>
      </c>
      <c r="J368" s="232"/>
      <c r="N368" s="49"/>
    </row>
    <row r="369" spans="1:14" ht="57">
      <c r="A369" s="12" t="s">
        <v>173</v>
      </c>
      <c r="B369" s="10" t="s">
        <v>632</v>
      </c>
      <c r="C369" s="8" t="s">
        <v>8</v>
      </c>
      <c r="D369" s="44">
        <v>148</v>
      </c>
      <c r="E369" s="44"/>
      <c r="F369" s="45"/>
      <c r="G369" s="45"/>
      <c r="H369" s="44"/>
      <c r="I369" s="223" t="s">
        <v>243</v>
      </c>
      <c r="J369" s="232"/>
      <c r="N369" s="49"/>
    </row>
    <row r="370" spans="1:14" ht="42.75">
      <c r="A370" s="12" t="s">
        <v>218</v>
      </c>
      <c r="B370" s="10" t="s">
        <v>634</v>
      </c>
      <c r="C370" s="8" t="s">
        <v>15</v>
      </c>
      <c r="D370" s="44">
        <v>6</v>
      </c>
      <c r="E370" s="44"/>
      <c r="F370" s="45" t="s">
        <v>2174</v>
      </c>
      <c r="G370" s="45">
        <v>5</v>
      </c>
      <c r="H370" s="44">
        <v>5</v>
      </c>
      <c r="I370" s="44">
        <f>H370</f>
        <v>5</v>
      </c>
      <c r="J370" s="314">
        <f>I370-D370</f>
        <v>-1</v>
      </c>
      <c r="N370" s="49"/>
    </row>
    <row r="371" spans="1:14">
      <c r="A371" s="12" t="s">
        <v>636</v>
      </c>
      <c r="B371" s="7" t="s">
        <v>1346</v>
      </c>
      <c r="C371" s="8" t="s">
        <v>8</v>
      </c>
      <c r="D371" s="44">
        <v>746</v>
      </c>
      <c r="E371" s="44"/>
      <c r="F371" s="45" t="s">
        <v>1491</v>
      </c>
      <c r="G371" s="45" t="s">
        <v>1494</v>
      </c>
      <c r="H371" s="44">
        <f>(1.8*2+1.6*2)*15+(7.05*2+2.4*3)*14</f>
        <v>400.19999999999993</v>
      </c>
      <c r="I371" s="224">
        <f>H371</f>
        <v>400.19999999999993</v>
      </c>
      <c r="J371" s="314">
        <f>I371-D371</f>
        <v>-345.80000000000007</v>
      </c>
      <c r="N371" s="49"/>
    </row>
    <row r="372" spans="1:14" ht="33">
      <c r="A372" s="12" t="s">
        <v>637</v>
      </c>
      <c r="B372" s="7" t="s">
        <v>1492</v>
      </c>
      <c r="C372" s="8" t="s">
        <v>8</v>
      </c>
      <c r="D372" s="44">
        <v>1740</v>
      </c>
      <c r="E372" s="44"/>
      <c r="F372" s="45" t="s">
        <v>2175</v>
      </c>
      <c r="G372" s="45" t="s">
        <v>2176</v>
      </c>
      <c r="H372" s="44">
        <f>280*3+300*2</f>
        <v>1440</v>
      </c>
      <c r="I372" s="224">
        <f t="shared" ref="I372:I373" si="3">H372</f>
        <v>1440</v>
      </c>
      <c r="J372" s="314">
        <f t="shared" ref="J372" si="4">I372-D372</f>
        <v>-300</v>
      </c>
      <c r="N372" s="49"/>
    </row>
    <row r="373" spans="1:14" ht="33">
      <c r="A373" s="12" t="s">
        <v>638</v>
      </c>
      <c r="B373" s="10" t="s">
        <v>222</v>
      </c>
      <c r="C373" s="8" t="s">
        <v>13</v>
      </c>
      <c r="D373" s="44">
        <v>783</v>
      </c>
      <c r="E373" s="44"/>
      <c r="F373" s="45" t="s">
        <v>1468</v>
      </c>
      <c r="G373" s="45" t="s">
        <v>2177</v>
      </c>
      <c r="H373" s="44">
        <f>(1.8*1*120)+(1.8*3*6)+(1.8*2*150)</f>
        <v>788.4</v>
      </c>
      <c r="I373" s="224">
        <f t="shared" si="3"/>
        <v>788.4</v>
      </c>
      <c r="J373" s="314"/>
      <c r="M373" s="202">
        <f>1.8*300+2.7*280</f>
        <v>1296</v>
      </c>
      <c r="N373" s="49"/>
    </row>
    <row r="374" spans="1:14" ht="42.75">
      <c r="A374" s="12" t="s">
        <v>639</v>
      </c>
      <c r="B374" s="10" t="s">
        <v>640</v>
      </c>
      <c r="C374" s="8" t="s">
        <v>15</v>
      </c>
      <c r="D374" s="44">
        <v>1</v>
      </c>
      <c r="E374" s="44"/>
      <c r="F374" s="50" t="s">
        <v>2008</v>
      </c>
      <c r="G374" s="45">
        <v>1</v>
      </c>
      <c r="H374" s="44">
        <v>1</v>
      </c>
      <c r="I374" s="44">
        <v>1</v>
      </c>
      <c r="J374" s="232"/>
      <c r="N374" s="49"/>
    </row>
    <row r="375" spans="1:14" ht="33">
      <c r="A375" s="12" t="s">
        <v>642</v>
      </c>
      <c r="B375" s="7" t="s">
        <v>643</v>
      </c>
      <c r="C375" s="8" t="s">
        <v>5</v>
      </c>
      <c r="D375" s="44">
        <v>44</v>
      </c>
      <c r="E375" s="44"/>
      <c r="F375" s="45"/>
      <c r="G375" s="45"/>
      <c r="H375" s="44"/>
      <c r="I375" s="223" t="s">
        <v>243</v>
      </c>
      <c r="J375" s="232"/>
      <c r="N375" s="49"/>
    </row>
    <row r="376" spans="1:14" ht="33">
      <c r="A376" s="6" t="s">
        <v>172</v>
      </c>
      <c r="B376" s="7" t="s">
        <v>645</v>
      </c>
      <c r="C376" s="8" t="s">
        <v>4</v>
      </c>
      <c r="D376" s="44">
        <v>1</v>
      </c>
      <c r="E376" s="44"/>
      <c r="F376" s="45"/>
      <c r="G376" s="45"/>
      <c r="H376" s="44"/>
      <c r="I376" s="223" t="s">
        <v>243</v>
      </c>
      <c r="J376" s="232"/>
      <c r="N376" s="49"/>
    </row>
    <row r="377" spans="1:14" ht="28.5">
      <c r="A377" s="12" t="s">
        <v>171</v>
      </c>
      <c r="B377" s="10" t="s">
        <v>646</v>
      </c>
      <c r="C377" s="8" t="s">
        <v>6</v>
      </c>
      <c r="D377" s="44">
        <v>230</v>
      </c>
      <c r="E377" s="44"/>
      <c r="F377" s="45" t="s">
        <v>1499</v>
      </c>
      <c r="G377" s="45" t="s">
        <v>1500</v>
      </c>
      <c r="H377" s="44">
        <f>(22.5*4.5*0.05)</f>
        <v>5.0625</v>
      </c>
      <c r="I377" s="224">
        <f>SUM(H377:H378)</f>
        <v>5.0625</v>
      </c>
      <c r="J377" s="122" t="s">
        <v>2169</v>
      </c>
      <c r="N377" s="49"/>
    </row>
    <row r="378" spans="1:14">
      <c r="A378" s="12"/>
      <c r="B378" s="10"/>
      <c r="C378" s="8"/>
      <c r="D378" s="44"/>
      <c r="E378" s="44"/>
      <c r="F378" s="45"/>
      <c r="G378" s="45"/>
      <c r="H378" s="44"/>
      <c r="I378" s="223"/>
      <c r="J378" s="232"/>
      <c r="N378" s="49"/>
    </row>
    <row r="379" spans="1:14" ht="42.75">
      <c r="A379" s="12" t="s">
        <v>170</v>
      </c>
      <c r="B379" s="10" t="s">
        <v>648</v>
      </c>
      <c r="C379" s="8" t="s">
        <v>6</v>
      </c>
      <c r="D379" s="44">
        <v>689</v>
      </c>
      <c r="E379" s="44"/>
      <c r="F379" s="45" t="s">
        <v>1499</v>
      </c>
      <c r="G379" s="45" t="s">
        <v>1500</v>
      </c>
      <c r="H379" s="44">
        <f>(22.5*4.5*0.05)</f>
        <v>5.0625</v>
      </c>
      <c r="I379" s="224">
        <f>SUM(H379:H380)</f>
        <v>5.0625</v>
      </c>
      <c r="J379" s="122" t="s">
        <v>2169</v>
      </c>
      <c r="N379" s="49"/>
    </row>
    <row r="380" spans="1:14">
      <c r="A380" s="12"/>
      <c r="B380" s="10"/>
      <c r="C380" s="8"/>
      <c r="D380" s="44"/>
      <c r="E380" s="44"/>
      <c r="F380" s="45"/>
      <c r="G380" s="45"/>
      <c r="H380" s="44"/>
      <c r="I380" s="224"/>
      <c r="J380" s="232"/>
      <c r="N380" s="49"/>
    </row>
    <row r="381" spans="1:14">
      <c r="A381" s="12" t="s">
        <v>169</v>
      </c>
      <c r="B381" s="7" t="s">
        <v>650</v>
      </c>
      <c r="C381" s="8" t="s">
        <v>13</v>
      </c>
      <c r="D381" s="44">
        <v>4589</v>
      </c>
      <c r="E381" s="44"/>
      <c r="F381" s="45" t="s">
        <v>2179</v>
      </c>
      <c r="G381" s="45" t="s">
        <v>2178</v>
      </c>
      <c r="H381" s="44">
        <f>6136.89-747.47</f>
        <v>5389.42</v>
      </c>
      <c r="I381" s="224">
        <f>H381</f>
        <v>5389.42</v>
      </c>
      <c r="J381" s="314">
        <f>I381-D381</f>
        <v>800.42000000000007</v>
      </c>
      <c r="N381" s="49"/>
    </row>
    <row r="382" spans="1:14" ht="31.5">
      <c r="A382" s="12" t="s">
        <v>168</v>
      </c>
      <c r="B382" s="7" t="s">
        <v>652</v>
      </c>
      <c r="C382" s="8" t="s">
        <v>13</v>
      </c>
      <c r="D382" s="44">
        <v>4589</v>
      </c>
      <c r="E382" s="44"/>
      <c r="F382" s="45" t="s">
        <v>1499</v>
      </c>
      <c r="G382" s="45" t="s">
        <v>1501</v>
      </c>
      <c r="H382" s="44">
        <f>22.5*4.5</f>
        <v>101.25</v>
      </c>
      <c r="I382" s="224">
        <f>SUM(H382:H383)</f>
        <v>101.25</v>
      </c>
      <c r="J382" s="122" t="s">
        <v>2169</v>
      </c>
      <c r="N382" s="49"/>
    </row>
    <row r="383" spans="1:14">
      <c r="A383" s="12"/>
      <c r="B383" s="7"/>
      <c r="C383" s="8"/>
      <c r="D383" s="44"/>
      <c r="E383" s="44"/>
      <c r="F383" s="45"/>
      <c r="G383" s="45"/>
      <c r="H383" s="44"/>
      <c r="I383" s="224"/>
      <c r="J383" s="232"/>
      <c r="N383" s="49"/>
    </row>
    <row r="384" spans="1:14" ht="31.5">
      <c r="A384" s="12" t="s">
        <v>167</v>
      </c>
      <c r="B384" s="7" t="s">
        <v>204</v>
      </c>
      <c r="C384" s="8" t="s">
        <v>13</v>
      </c>
      <c r="D384" s="44">
        <v>13765</v>
      </c>
      <c r="E384" s="44"/>
      <c r="F384" s="45" t="s">
        <v>1499</v>
      </c>
      <c r="G384" s="45" t="s">
        <v>1501</v>
      </c>
      <c r="H384" s="44">
        <f>22.5*4.5</f>
        <v>101.25</v>
      </c>
      <c r="I384" s="224">
        <f>SUM(H384:H385)</f>
        <v>101.25</v>
      </c>
      <c r="J384" s="122" t="s">
        <v>2169</v>
      </c>
      <c r="N384" s="49"/>
    </row>
    <row r="385" spans="1:14">
      <c r="A385" s="12"/>
      <c r="B385" s="7"/>
      <c r="C385" s="8"/>
      <c r="D385" s="44"/>
      <c r="E385" s="44"/>
      <c r="F385" s="45"/>
      <c r="G385" s="45"/>
      <c r="H385" s="44"/>
      <c r="I385" s="223"/>
      <c r="J385" s="232"/>
      <c r="N385" s="49"/>
    </row>
    <row r="386" spans="1:14" ht="28.5">
      <c r="A386" s="12" t="s">
        <v>166</v>
      </c>
      <c r="B386" s="10" t="s">
        <v>315</v>
      </c>
      <c r="C386" s="8" t="s">
        <v>6</v>
      </c>
      <c r="D386" s="44">
        <v>49</v>
      </c>
      <c r="E386" s="44"/>
      <c r="F386" s="45" t="s">
        <v>2139</v>
      </c>
      <c r="G386" s="45" t="s">
        <v>2156</v>
      </c>
      <c r="H386" s="44">
        <f>(0.8*731.4*0.05)+(0.9*1.1*0.05*57)</f>
        <v>32.077500000000001</v>
      </c>
      <c r="I386" s="224">
        <f>H386</f>
        <v>32.077500000000001</v>
      </c>
      <c r="J386" s="122" t="s">
        <v>2169</v>
      </c>
      <c r="N386" s="49"/>
    </row>
    <row r="387" spans="1:14" ht="28.5">
      <c r="A387" s="12" t="s">
        <v>165</v>
      </c>
      <c r="B387" s="10" t="s">
        <v>24</v>
      </c>
      <c r="C387" s="8" t="s">
        <v>6</v>
      </c>
      <c r="D387" s="44">
        <v>328</v>
      </c>
      <c r="E387" s="44"/>
      <c r="F387" s="45" t="s">
        <v>2140</v>
      </c>
      <c r="G387" s="45" t="s">
        <v>2142</v>
      </c>
      <c r="H387" s="44">
        <f>水溝集水井!I90</f>
        <v>467.51</v>
      </c>
      <c r="I387" s="224">
        <f>H387+H388</f>
        <v>494.41999999999996</v>
      </c>
      <c r="J387" s="314">
        <f>I387-D387</f>
        <v>166.41999999999996</v>
      </c>
      <c r="N387" s="49"/>
    </row>
    <row r="388" spans="1:14" ht="24.75" customHeight="1">
      <c r="A388" s="259"/>
      <c r="B388" s="264"/>
      <c r="C388" s="261"/>
      <c r="D388" s="262"/>
      <c r="E388" s="262"/>
      <c r="F388" s="263" t="s">
        <v>2141</v>
      </c>
      <c r="G388" s="45" t="s">
        <v>2142</v>
      </c>
      <c r="H388" s="262">
        <f>水溝集水井!K83</f>
        <v>26.909999999999986</v>
      </c>
      <c r="I388" s="274"/>
      <c r="J388" s="315"/>
      <c r="N388" s="49"/>
    </row>
    <row r="389" spans="1:14" ht="31.5">
      <c r="A389" s="12" t="s">
        <v>164</v>
      </c>
      <c r="B389" s="7" t="s">
        <v>595</v>
      </c>
      <c r="C389" s="8" t="s">
        <v>6</v>
      </c>
      <c r="D389" s="44">
        <v>377</v>
      </c>
      <c r="E389" s="44"/>
      <c r="F389" s="45" t="s">
        <v>2157</v>
      </c>
      <c r="G389" s="45" t="s">
        <v>2869</v>
      </c>
      <c r="H389" s="44">
        <f>D386+I387</f>
        <v>543.41999999999996</v>
      </c>
      <c r="I389" s="224">
        <f>H389</f>
        <v>543.41999999999996</v>
      </c>
      <c r="J389" s="314">
        <f>I389-D389</f>
        <v>166.41999999999996</v>
      </c>
      <c r="N389" s="49"/>
    </row>
    <row r="390" spans="1:14">
      <c r="A390" s="12" t="s">
        <v>163</v>
      </c>
      <c r="B390" s="7" t="s">
        <v>626</v>
      </c>
      <c r="C390" s="8" t="s">
        <v>13</v>
      </c>
      <c r="D390" s="44">
        <v>867</v>
      </c>
      <c r="E390" s="44"/>
      <c r="F390" s="45" t="s">
        <v>2159</v>
      </c>
      <c r="G390" s="45" t="s">
        <v>2142</v>
      </c>
      <c r="H390" s="44">
        <f>水溝集水井!F90</f>
        <v>819.75</v>
      </c>
      <c r="I390" s="224">
        <f>H390+H391</f>
        <v>889.83</v>
      </c>
      <c r="J390" s="314">
        <f>I390-D390</f>
        <v>22.830000000000041</v>
      </c>
      <c r="N390" s="49"/>
    </row>
    <row r="391" spans="1:14">
      <c r="A391" s="259"/>
      <c r="B391" s="260"/>
      <c r="C391" s="261"/>
      <c r="D391" s="262"/>
      <c r="E391" s="262"/>
      <c r="F391" s="263" t="s">
        <v>2161</v>
      </c>
      <c r="G391" s="45" t="s">
        <v>2142</v>
      </c>
      <c r="H391" s="262">
        <f>水溝集水井!F91</f>
        <v>70.080000000000027</v>
      </c>
      <c r="I391" s="274"/>
      <c r="J391" s="315"/>
      <c r="N391" s="49"/>
    </row>
    <row r="392" spans="1:14">
      <c r="A392" s="12" t="s">
        <v>162</v>
      </c>
      <c r="B392" s="7" t="s">
        <v>193</v>
      </c>
      <c r="C392" s="8" t="s">
        <v>13</v>
      </c>
      <c r="D392" s="44">
        <v>1257</v>
      </c>
      <c r="E392" s="44"/>
      <c r="F392" s="45" t="s">
        <v>2163</v>
      </c>
      <c r="G392" s="45" t="s">
        <v>2142</v>
      </c>
      <c r="H392" s="44">
        <f>水溝集水井!G90</f>
        <v>1046.3800000000001</v>
      </c>
      <c r="I392" s="224">
        <f>H392+H393</f>
        <v>1208.78</v>
      </c>
      <c r="J392" s="314"/>
      <c r="N392" s="49"/>
    </row>
    <row r="393" spans="1:14">
      <c r="A393" s="259"/>
      <c r="B393" s="260"/>
      <c r="C393" s="261"/>
      <c r="D393" s="262"/>
      <c r="E393" s="262"/>
      <c r="F393" s="263" t="s">
        <v>2165</v>
      </c>
      <c r="G393" s="45" t="s">
        <v>2142</v>
      </c>
      <c r="H393" s="262">
        <f>水溝集水井!G91</f>
        <v>162.39999999999995</v>
      </c>
      <c r="I393" s="274"/>
      <c r="J393" s="315"/>
      <c r="N393" s="49"/>
    </row>
    <row r="394" spans="1:14">
      <c r="A394" s="12" t="s">
        <v>161</v>
      </c>
      <c r="B394" s="7" t="s">
        <v>192</v>
      </c>
      <c r="C394" s="8" t="s">
        <v>17</v>
      </c>
      <c r="D394" s="44">
        <v>12810</v>
      </c>
      <c r="E394" s="44"/>
      <c r="F394" s="45" t="s">
        <v>2140</v>
      </c>
      <c r="G394" s="45" t="s">
        <v>2142</v>
      </c>
      <c r="H394" s="44">
        <f>水溝集水井!D90+水溝集水井!E90</f>
        <v>41616.69</v>
      </c>
      <c r="I394" s="224">
        <f>H394+H395</f>
        <v>46866.82</v>
      </c>
      <c r="J394" s="314">
        <f>I394-D394</f>
        <v>34056.82</v>
      </c>
      <c r="N394" s="49"/>
    </row>
    <row r="395" spans="1:14">
      <c r="A395" s="303"/>
      <c r="B395" s="304"/>
      <c r="C395" s="305"/>
      <c r="D395" s="306"/>
      <c r="E395" s="306"/>
      <c r="F395" s="263" t="s">
        <v>2048</v>
      </c>
      <c r="G395" s="45" t="s">
        <v>2142</v>
      </c>
      <c r="H395" s="306">
        <f>水溝集水井!D91</f>
        <v>5250.1299999999992</v>
      </c>
      <c r="I395" s="308"/>
      <c r="J395" s="122"/>
      <c r="N395" s="49"/>
    </row>
    <row r="396" spans="1:14" ht="42.75">
      <c r="A396" s="12" t="s">
        <v>160</v>
      </c>
      <c r="B396" s="10" t="s">
        <v>655</v>
      </c>
      <c r="C396" s="8" t="s">
        <v>15</v>
      </c>
      <c r="D396" s="44">
        <v>158</v>
      </c>
      <c r="E396" s="44"/>
      <c r="F396" s="45"/>
      <c r="G396" s="45"/>
      <c r="H396" s="44"/>
      <c r="I396" s="223" t="s">
        <v>243</v>
      </c>
      <c r="J396" s="122" t="s">
        <v>2169</v>
      </c>
      <c r="N396" s="49"/>
    </row>
    <row r="397" spans="1:14" ht="42.75">
      <c r="A397" s="12" t="s">
        <v>159</v>
      </c>
      <c r="B397" s="10" t="s">
        <v>657</v>
      </c>
      <c r="C397" s="8" t="s">
        <v>17</v>
      </c>
      <c r="D397" s="44">
        <v>3713</v>
      </c>
      <c r="E397" s="44"/>
      <c r="F397" s="45"/>
      <c r="G397" s="45"/>
      <c r="H397" s="44"/>
      <c r="I397" s="223" t="s">
        <v>243</v>
      </c>
      <c r="J397" s="122" t="s">
        <v>2169</v>
      </c>
      <c r="N397" s="49"/>
    </row>
    <row r="398" spans="1:14" ht="33">
      <c r="A398" s="12" t="s">
        <v>158</v>
      </c>
      <c r="B398" s="7" t="s">
        <v>357</v>
      </c>
      <c r="C398" s="8" t="s">
        <v>8</v>
      </c>
      <c r="D398" s="44">
        <v>155</v>
      </c>
      <c r="E398" s="44"/>
      <c r="F398" s="45"/>
      <c r="G398" s="45"/>
      <c r="H398" s="44"/>
      <c r="I398" s="223" t="s">
        <v>243</v>
      </c>
      <c r="J398" s="232"/>
      <c r="N398" s="49"/>
    </row>
    <row r="399" spans="1:14" ht="31.5">
      <c r="A399" s="12" t="s">
        <v>157</v>
      </c>
      <c r="B399" s="7" t="s">
        <v>1497</v>
      </c>
      <c r="C399" s="8" t="s">
        <v>223</v>
      </c>
      <c r="D399" s="44"/>
      <c r="E399" s="44">
        <v>1376.7</v>
      </c>
      <c r="F399" s="45"/>
      <c r="G399" s="45" t="s">
        <v>2180</v>
      </c>
      <c r="H399" s="44">
        <f>H381*0.3</f>
        <v>1616.826</v>
      </c>
      <c r="I399" s="223"/>
      <c r="J399" s="232"/>
      <c r="M399" s="202">
        <f>H381</f>
        <v>5389.42</v>
      </c>
      <c r="N399" s="49"/>
    </row>
    <row r="400" spans="1:14" ht="31.5">
      <c r="A400" s="12" t="s">
        <v>214</v>
      </c>
      <c r="B400" s="7" t="s">
        <v>1498</v>
      </c>
      <c r="C400" s="8" t="s">
        <v>13</v>
      </c>
      <c r="D400" s="44"/>
      <c r="E400" s="44">
        <v>512.1</v>
      </c>
      <c r="F400" s="45"/>
      <c r="G400" s="45" t="s">
        <v>2142</v>
      </c>
      <c r="H400" s="44">
        <f>水溝集水井!H90</f>
        <v>438.84000000000003</v>
      </c>
      <c r="I400" s="224">
        <f>H400</f>
        <v>438.84000000000003</v>
      </c>
      <c r="J400" s="314">
        <v>0</v>
      </c>
      <c r="N400" s="49"/>
    </row>
    <row r="401" spans="1:14" ht="33">
      <c r="A401" s="6" t="s">
        <v>659</v>
      </c>
      <c r="B401" s="71" t="s">
        <v>660</v>
      </c>
      <c r="C401" s="67" t="s">
        <v>4</v>
      </c>
      <c r="D401" s="55">
        <v>1</v>
      </c>
      <c r="E401" s="44"/>
      <c r="F401" s="45"/>
      <c r="G401" s="45"/>
      <c r="H401" s="44"/>
      <c r="I401" s="223" t="s">
        <v>243</v>
      </c>
      <c r="J401" s="232"/>
      <c r="N401" s="49"/>
    </row>
    <row r="402" spans="1:14" ht="31.5">
      <c r="A402" s="12" t="s">
        <v>661</v>
      </c>
      <c r="B402" s="71" t="s">
        <v>662</v>
      </c>
      <c r="C402" s="67" t="s">
        <v>223</v>
      </c>
      <c r="D402" s="55">
        <v>1</v>
      </c>
      <c r="E402" s="44"/>
      <c r="F402" s="45" t="s">
        <v>1770</v>
      </c>
      <c r="G402" s="50" t="s">
        <v>1771</v>
      </c>
      <c r="H402" s="55">
        <f>0.32*0.25*(280-25)</f>
        <v>20.400000000000002</v>
      </c>
      <c r="I402" s="224">
        <f>H402+H403+H404</f>
        <v>2408.8100000000004</v>
      </c>
      <c r="J402" s="314">
        <v>0</v>
      </c>
      <c r="N402" s="49"/>
    </row>
    <row r="403" spans="1:14">
      <c r="A403" s="259"/>
      <c r="B403" s="490"/>
      <c r="C403" s="491"/>
      <c r="D403" s="492"/>
      <c r="E403" s="262"/>
      <c r="F403" s="263" t="s">
        <v>2682</v>
      </c>
      <c r="G403" s="268">
        <v>109.59</v>
      </c>
      <c r="H403" s="492">
        <f>G403</f>
        <v>109.59</v>
      </c>
      <c r="I403" s="308"/>
      <c r="J403" s="122"/>
      <c r="N403" s="49"/>
    </row>
    <row r="404" spans="1:14">
      <c r="A404" s="259"/>
      <c r="B404" s="490"/>
      <c r="C404" s="491"/>
      <c r="D404" s="492"/>
      <c r="E404" s="262"/>
      <c r="F404" s="263" t="s">
        <v>2683</v>
      </c>
      <c r="G404" s="268">
        <v>2278.8200000000002</v>
      </c>
      <c r="H404" s="492">
        <f>G404</f>
        <v>2278.8200000000002</v>
      </c>
      <c r="I404" s="308"/>
      <c r="J404" s="122"/>
      <c r="N404" s="49"/>
    </row>
    <row r="405" spans="1:14" ht="33">
      <c r="A405" s="12" t="s">
        <v>664</v>
      </c>
      <c r="B405" s="71" t="s">
        <v>665</v>
      </c>
      <c r="C405" s="67" t="s">
        <v>5</v>
      </c>
      <c r="D405" s="55">
        <v>1</v>
      </c>
      <c r="E405" s="44"/>
      <c r="F405" s="45"/>
      <c r="G405" s="45"/>
      <c r="H405" s="44"/>
      <c r="I405" s="223" t="s">
        <v>243</v>
      </c>
      <c r="J405" s="232"/>
      <c r="N405" s="49"/>
    </row>
    <row r="406" spans="1:14" ht="28.5">
      <c r="A406" s="12" t="s">
        <v>667</v>
      </c>
      <c r="B406" s="66" t="s">
        <v>668</v>
      </c>
      <c r="C406" s="67" t="s">
        <v>669</v>
      </c>
      <c r="D406" s="55">
        <v>1</v>
      </c>
      <c r="E406" s="44">
        <v>14</v>
      </c>
      <c r="F406" s="45" t="s">
        <v>1504</v>
      </c>
      <c r="G406" s="45"/>
      <c r="H406" s="44">
        <v>14</v>
      </c>
      <c r="I406" s="224">
        <f>H406</f>
        <v>14</v>
      </c>
      <c r="J406" s="232"/>
      <c r="N406" s="49"/>
    </row>
    <row r="407" spans="1:14" ht="28.5">
      <c r="A407" s="12" t="s">
        <v>671</v>
      </c>
      <c r="B407" s="66" t="s">
        <v>1503</v>
      </c>
      <c r="C407" s="67" t="s">
        <v>669</v>
      </c>
      <c r="D407" s="55">
        <v>1</v>
      </c>
      <c r="E407" s="44">
        <v>2</v>
      </c>
      <c r="F407" s="45" t="s">
        <v>1504</v>
      </c>
      <c r="G407" s="45"/>
      <c r="H407" s="44">
        <v>2</v>
      </c>
      <c r="I407" s="224">
        <f t="shared" ref="I407:I425" si="5">H407</f>
        <v>2</v>
      </c>
      <c r="J407" s="232"/>
      <c r="N407" s="49"/>
    </row>
    <row r="408" spans="1:14" ht="28.5">
      <c r="A408" s="12" t="s">
        <v>674</v>
      </c>
      <c r="B408" s="10" t="s">
        <v>675</v>
      </c>
      <c r="C408" s="8" t="s">
        <v>669</v>
      </c>
      <c r="D408" s="44">
        <v>1</v>
      </c>
      <c r="E408" s="44">
        <v>6</v>
      </c>
      <c r="F408" s="45" t="s">
        <v>1504</v>
      </c>
      <c r="G408" s="45"/>
      <c r="H408" s="44">
        <v>6</v>
      </c>
      <c r="I408" s="224">
        <f t="shared" si="5"/>
        <v>6</v>
      </c>
      <c r="J408" s="232"/>
      <c r="N408" s="49"/>
    </row>
    <row r="409" spans="1:14" ht="28.5">
      <c r="A409" s="12" t="s">
        <v>677</v>
      </c>
      <c r="B409" s="10" t="s">
        <v>678</v>
      </c>
      <c r="C409" s="8" t="s">
        <v>669</v>
      </c>
      <c r="D409" s="44">
        <v>1</v>
      </c>
      <c r="E409" s="44">
        <v>8</v>
      </c>
      <c r="F409" s="45" t="s">
        <v>1504</v>
      </c>
      <c r="G409" s="45"/>
      <c r="H409" s="44">
        <v>8</v>
      </c>
      <c r="I409" s="224">
        <f t="shared" si="5"/>
        <v>8</v>
      </c>
      <c r="J409" s="232"/>
      <c r="N409" s="49"/>
    </row>
    <row r="410" spans="1:14" ht="28.5">
      <c r="A410" s="12" t="s">
        <v>680</v>
      </c>
      <c r="B410" s="10" t="s">
        <v>681</v>
      </c>
      <c r="C410" s="8" t="s">
        <v>669</v>
      </c>
      <c r="D410" s="44">
        <v>1</v>
      </c>
      <c r="E410" s="44">
        <v>5</v>
      </c>
      <c r="F410" s="45" t="s">
        <v>1504</v>
      </c>
      <c r="G410" s="45"/>
      <c r="H410" s="44">
        <v>5</v>
      </c>
      <c r="I410" s="224">
        <f t="shared" si="5"/>
        <v>5</v>
      </c>
      <c r="J410" s="232"/>
      <c r="N410" s="49"/>
    </row>
    <row r="411" spans="1:14" ht="28.5">
      <c r="A411" s="12" t="s">
        <v>683</v>
      </c>
      <c r="B411" s="10" t="s">
        <v>684</v>
      </c>
      <c r="C411" s="8" t="s">
        <v>669</v>
      </c>
      <c r="D411" s="44">
        <v>1</v>
      </c>
      <c r="E411" s="44">
        <v>3</v>
      </c>
      <c r="F411" s="45" t="s">
        <v>1504</v>
      </c>
      <c r="G411" s="45"/>
      <c r="H411" s="44">
        <v>3</v>
      </c>
      <c r="I411" s="224">
        <f t="shared" si="5"/>
        <v>3</v>
      </c>
      <c r="J411" s="232"/>
      <c r="N411" s="49"/>
    </row>
    <row r="412" spans="1:14" ht="28.5">
      <c r="A412" s="12" t="s">
        <v>686</v>
      </c>
      <c r="B412" s="10" t="s">
        <v>687</v>
      </c>
      <c r="C412" s="8" t="s">
        <v>669</v>
      </c>
      <c r="D412" s="44">
        <v>1</v>
      </c>
      <c r="E412" s="44">
        <v>2</v>
      </c>
      <c r="F412" s="45" t="s">
        <v>1504</v>
      </c>
      <c r="G412" s="45"/>
      <c r="H412" s="44">
        <v>2</v>
      </c>
      <c r="I412" s="224">
        <f t="shared" si="5"/>
        <v>2</v>
      </c>
      <c r="J412" s="232"/>
      <c r="N412" s="49"/>
    </row>
    <row r="413" spans="1:14" ht="28.5">
      <c r="A413" s="12" t="s">
        <v>689</v>
      </c>
      <c r="B413" s="10" t="s">
        <v>690</v>
      </c>
      <c r="C413" s="8" t="s">
        <v>669</v>
      </c>
      <c r="D413" s="44">
        <v>1</v>
      </c>
      <c r="E413" s="44">
        <v>1</v>
      </c>
      <c r="F413" s="45"/>
      <c r="G413" s="45"/>
      <c r="H413" s="44">
        <v>1</v>
      </c>
      <c r="I413" s="224">
        <f t="shared" si="5"/>
        <v>1</v>
      </c>
      <c r="J413" s="232"/>
      <c r="N413" s="49"/>
    </row>
    <row r="414" spans="1:14" ht="28.5">
      <c r="A414" s="12" t="s">
        <v>692</v>
      </c>
      <c r="B414" s="10" t="s">
        <v>693</v>
      </c>
      <c r="C414" s="8" t="s">
        <v>669</v>
      </c>
      <c r="D414" s="44">
        <v>1</v>
      </c>
      <c r="E414" s="44">
        <v>1</v>
      </c>
      <c r="F414" s="45"/>
      <c r="G414" s="45"/>
      <c r="H414" s="44">
        <v>1</v>
      </c>
      <c r="I414" s="224">
        <f t="shared" si="5"/>
        <v>1</v>
      </c>
      <c r="J414" s="232"/>
      <c r="N414" s="49"/>
    </row>
    <row r="415" spans="1:14" ht="33">
      <c r="A415" s="12" t="s">
        <v>695</v>
      </c>
      <c r="B415" s="10" t="s">
        <v>696</v>
      </c>
      <c r="C415" s="8" t="s">
        <v>669</v>
      </c>
      <c r="D415" s="44">
        <v>1</v>
      </c>
      <c r="E415" s="44">
        <v>4</v>
      </c>
      <c r="F415" s="72" t="s">
        <v>1216</v>
      </c>
      <c r="G415" s="72"/>
      <c r="H415" s="44">
        <v>1</v>
      </c>
      <c r="I415" s="224">
        <f t="shared" si="5"/>
        <v>1</v>
      </c>
      <c r="J415" s="232"/>
      <c r="N415" s="49"/>
    </row>
    <row r="416" spans="1:14" ht="42.75">
      <c r="A416" s="12" t="s">
        <v>698</v>
      </c>
      <c r="B416" s="10" t="s">
        <v>699</v>
      </c>
      <c r="C416" s="8" t="s">
        <v>669</v>
      </c>
      <c r="D416" s="44">
        <v>1</v>
      </c>
      <c r="E416" s="44">
        <v>1</v>
      </c>
      <c r="F416" s="45"/>
      <c r="G416" s="45"/>
      <c r="H416" s="44">
        <v>1</v>
      </c>
      <c r="I416" s="224">
        <f t="shared" si="5"/>
        <v>1</v>
      </c>
      <c r="J416" s="232"/>
      <c r="N416" s="49"/>
    </row>
    <row r="417" spans="1:14" ht="49.5">
      <c r="A417" s="12" t="s">
        <v>701</v>
      </c>
      <c r="B417" s="10" t="s">
        <v>702</v>
      </c>
      <c r="C417" s="8" t="s">
        <v>669</v>
      </c>
      <c r="D417" s="44">
        <v>1</v>
      </c>
      <c r="E417" s="44">
        <v>4</v>
      </c>
      <c r="F417" s="45" t="s">
        <v>2685</v>
      </c>
      <c r="G417" s="45">
        <v>4</v>
      </c>
      <c r="H417" s="44">
        <v>4</v>
      </c>
      <c r="I417" s="224">
        <f t="shared" si="5"/>
        <v>4</v>
      </c>
      <c r="J417" s="314">
        <f>I417-D417</f>
        <v>3</v>
      </c>
      <c r="N417" s="49"/>
    </row>
    <row r="418" spans="1:14" ht="42.75">
      <c r="A418" s="12" t="s">
        <v>704</v>
      </c>
      <c r="B418" s="10" t="s">
        <v>705</v>
      </c>
      <c r="C418" s="8" t="s">
        <v>669</v>
      </c>
      <c r="D418" s="44">
        <v>1</v>
      </c>
      <c r="E418" s="44">
        <v>1</v>
      </c>
      <c r="F418" s="45"/>
      <c r="G418" s="45"/>
      <c r="H418" s="44">
        <v>1</v>
      </c>
      <c r="I418" s="224">
        <f t="shared" si="5"/>
        <v>1</v>
      </c>
      <c r="J418" s="232"/>
      <c r="N418" s="49"/>
    </row>
    <row r="419" spans="1:14" ht="49.5">
      <c r="A419" s="12" t="s">
        <v>707</v>
      </c>
      <c r="B419" s="10" t="s">
        <v>708</v>
      </c>
      <c r="C419" s="8" t="s">
        <v>669</v>
      </c>
      <c r="D419" s="44">
        <v>1</v>
      </c>
      <c r="E419" s="44">
        <v>1</v>
      </c>
      <c r="F419" s="45" t="s">
        <v>2687</v>
      </c>
      <c r="G419" s="45">
        <v>1</v>
      </c>
      <c r="H419" s="44">
        <v>1</v>
      </c>
      <c r="I419" s="224">
        <f t="shared" si="5"/>
        <v>1</v>
      </c>
      <c r="J419" s="232"/>
      <c r="N419" s="49"/>
    </row>
    <row r="420" spans="1:14" ht="33">
      <c r="A420" s="12" t="s">
        <v>710</v>
      </c>
      <c r="B420" s="10" t="s">
        <v>147</v>
      </c>
      <c r="C420" s="8" t="s">
        <v>8</v>
      </c>
      <c r="D420" s="44">
        <v>1</v>
      </c>
      <c r="E420" s="44">
        <v>162</v>
      </c>
      <c r="F420" s="72" t="s">
        <v>1216</v>
      </c>
      <c r="G420" s="45"/>
      <c r="H420" s="44">
        <v>90</v>
      </c>
      <c r="I420" s="224">
        <f t="shared" si="5"/>
        <v>90</v>
      </c>
      <c r="J420" s="232"/>
      <c r="N420" s="49"/>
    </row>
    <row r="421" spans="1:14" ht="42.75">
      <c r="A421" s="12" t="s">
        <v>712</v>
      </c>
      <c r="B421" s="10" t="s">
        <v>713</v>
      </c>
      <c r="C421" s="8" t="s">
        <v>15</v>
      </c>
      <c r="D421" s="44">
        <v>1</v>
      </c>
      <c r="E421" s="44">
        <v>1</v>
      </c>
      <c r="F421" s="45"/>
      <c r="G421" s="45"/>
      <c r="H421" s="44"/>
      <c r="I421" s="224">
        <f t="shared" si="5"/>
        <v>0</v>
      </c>
      <c r="J421" s="232"/>
      <c r="N421" s="49"/>
    </row>
    <row r="422" spans="1:14" ht="42.75">
      <c r="A422" s="12" t="s">
        <v>715</v>
      </c>
      <c r="B422" s="10" t="s">
        <v>716</v>
      </c>
      <c r="C422" s="8" t="s">
        <v>15</v>
      </c>
      <c r="D422" s="44">
        <v>1</v>
      </c>
      <c r="E422" s="44">
        <v>268</v>
      </c>
      <c r="F422" s="45"/>
      <c r="G422" s="45"/>
      <c r="H422" s="44"/>
      <c r="I422" s="224">
        <f t="shared" si="5"/>
        <v>0</v>
      </c>
      <c r="J422" s="232"/>
      <c r="N422" s="49"/>
    </row>
    <row r="423" spans="1:14" ht="42.75">
      <c r="A423" s="12" t="s">
        <v>718</v>
      </c>
      <c r="B423" s="10" t="s">
        <v>719</v>
      </c>
      <c r="C423" s="8" t="s">
        <v>7</v>
      </c>
      <c r="D423" s="44">
        <v>1</v>
      </c>
      <c r="E423" s="44">
        <v>1340</v>
      </c>
      <c r="F423" s="72" t="s">
        <v>1216</v>
      </c>
      <c r="G423" s="45"/>
      <c r="H423" s="44">
        <v>520</v>
      </c>
      <c r="I423" s="224">
        <f t="shared" si="5"/>
        <v>520</v>
      </c>
      <c r="J423" s="232"/>
      <c r="N423" s="49"/>
    </row>
    <row r="424" spans="1:14" ht="42.75">
      <c r="A424" s="12" t="s">
        <v>721</v>
      </c>
      <c r="B424" s="10" t="s">
        <v>722</v>
      </c>
      <c r="C424" s="8" t="s">
        <v>8</v>
      </c>
      <c r="D424" s="44">
        <v>1</v>
      </c>
      <c r="E424" s="44">
        <v>1</v>
      </c>
      <c r="F424" s="45"/>
      <c r="G424" s="45"/>
      <c r="H424" s="44"/>
      <c r="I424" s="224">
        <f t="shared" si="5"/>
        <v>0</v>
      </c>
      <c r="J424" s="232"/>
      <c r="N424" s="49"/>
    </row>
    <row r="425" spans="1:14" ht="20.100000000000001" customHeight="1">
      <c r="A425" s="12" t="s">
        <v>724</v>
      </c>
      <c r="B425" s="7" t="s">
        <v>725</v>
      </c>
      <c r="C425" s="8" t="s">
        <v>13</v>
      </c>
      <c r="D425" s="44">
        <v>1</v>
      </c>
      <c r="E425" s="44">
        <v>1</v>
      </c>
      <c r="F425" s="45"/>
      <c r="G425" s="45"/>
      <c r="H425" s="44"/>
      <c r="I425" s="224">
        <f t="shared" si="5"/>
        <v>0</v>
      </c>
      <c r="J425" s="232"/>
      <c r="N425" s="49"/>
    </row>
    <row r="426" spans="1:14" ht="20.100000000000001" customHeight="1">
      <c r="A426" s="12" t="s">
        <v>727</v>
      </c>
      <c r="B426" s="7" t="s">
        <v>728</v>
      </c>
      <c r="C426" s="8" t="s">
        <v>6</v>
      </c>
      <c r="D426" s="44">
        <v>1</v>
      </c>
      <c r="E426" s="44">
        <v>11.31</v>
      </c>
      <c r="F426" s="72" t="s">
        <v>1502</v>
      </c>
      <c r="G426" s="45"/>
      <c r="H426" s="44">
        <v>5.2</v>
      </c>
      <c r="I426" s="224">
        <f>H426</f>
        <v>5.2</v>
      </c>
      <c r="J426" s="232"/>
      <c r="N426" s="49"/>
    </row>
    <row r="427" spans="1:14" ht="20.100000000000001" customHeight="1">
      <c r="A427" s="12" t="s">
        <v>730</v>
      </c>
      <c r="B427" s="7" t="s">
        <v>731</v>
      </c>
      <c r="C427" s="8" t="s">
        <v>4</v>
      </c>
      <c r="D427" s="44">
        <v>1</v>
      </c>
      <c r="E427" s="44">
        <v>1</v>
      </c>
      <c r="F427" s="45"/>
      <c r="G427" s="45"/>
      <c r="H427" s="44">
        <v>0.2</v>
      </c>
      <c r="I427" s="224">
        <f>H427</f>
        <v>0.2</v>
      </c>
      <c r="J427" s="232"/>
      <c r="N427" s="49"/>
    </row>
    <row r="428" spans="1:14" ht="33">
      <c r="A428" s="12" t="s">
        <v>733</v>
      </c>
      <c r="B428" s="10" t="s">
        <v>734</v>
      </c>
      <c r="C428" s="8" t="s">
        <v>13</v>
      </c>
      <c r="D428" s="44">
        <v>1</v>
      </c>
      <c r="E428" s="44">
        <v>1</v>
      </c>
      <c r="F428" s="45"/>
      <c r="G428" s="45"/>
      <c r="H428" s="44"/>
      <c r="I428" s="223" t="s">
        <v>243</v>
      </c>
      <c r="J428" s="232"/>
      <c r="N428" s="49"/>
    </row>
    <row r="429" spans="1:14" ht="33.75">
      <c r="A429" s="12" t="s">
        <v>736</v>
      </c>
      <c r="B429" s="53" t="s">
        <v>737</v>
      </c>
      <c r="C429" s="8" t="s">
        <v>669</v>
      </c>
      <c r="D429" s="44">
        <v>1</v>
      </c>
      <c r="E429" s="44">
        <v>35</v>
      </c>
      <c r="F429" s="45"/>
      <c r="G429" s="45"/>
      <c r="H429" s="44"/>
      <c r="I429" s="224">
        <f>E429</f>
        <v>35</v>
      </c>
      <c r="J429" s="314">
        <f>E429-D429</f>
        <v>34</v>
      </c>
      <c r="N429" s="49"/>
    </row>
    <row r="430" spans="1:14" ht="33.75">
      <c r="A430" s="12" t="s">
        <v>739</v>
      </c>
      <c r="B430" s="53" t="s">
        <v>740</v>
      </c>
      <c r="C430" s="8" t="s">
        <v>669</v>
      </c>
      <c r="D430" s="44">
        <v>1</v>
      </c>
      <c r="E430" s="44">
        <v>27</v>
      </c>
      <c r="F430" s="45"/>
      <c r="G430" s="45"/>
      <c r="H430" s="44"/>
      <c r="I430" s="224">
        <f t="shared" ref="I430:I478" si="6">E430</f>
        <v>27</v>
      </c>
      <c r="J430" s="314">
        <f t="shared" ref="J430:J478" si="7">E430-D430</f>
        <v>26</v>
      </c>
      <c r="N430" s="49"/>
    </row>
    <row r="431" spans="1:14" ht="33.75">
      <c r="A431" s="12" t="s">
        <v>742</v>
      </c>
      <c r="B431" s="53" t="s">
        <v>743</v>
      </c>
      <c r="C431" s="8" t="s">
        <v>669</v>
      </c>
      <c r="D431" s="44">
        <v>1</v>
      </c>
      <c r="E431" s="44">
        <v>29</v>
      </c>
      <c r="F431" s="45"/>
      <c r="G431" s="45"/>
      <c r="H431" s="44"/>
      <c r="I431" s="224">
        <f t="shared" si="6"/>
        <v>29</v>
      </c>
      <c r="J431" s="314">
        <f t="shared" si="7"/>
        <v>28</v>
      </c>
      <c r="N431" s="49"/>
    </row>
    <row r="432" spans="1:14" ht="33.75">
      <c r="A432" s="12" t="s">
        <v>745</v>
      </c>
      <c r="B432" s="53" t="s">
        <v>746</v>
      </c>
      <c r="C432" s="8" t="s">
        <v>669</v>
      </c>
      <c r="D432" s="44">
        <v>1</v>
      </c>
      <c r="E432" s="44">
        <v>12</v>
      </c>
      <c r="F432" s="45"/>
      <c r="G432" s="45"/>
      <c r="H432" s="44"/>
      <c r="I432" s="224">
        <f t="shared" si="6"/>
        <v>12</v>
      </c>
      <c r="J432" s="314">
        <f t="shared" si="7"/>
        <v>11</v>
      </c>
      <c r="N432" s="49"/>
    </row>
    <row r="433" spans="1:14" ht="33.75">
      <c r="A433" s="12" t="s">
        <v>748</v>
      </c>
      <c r="B433" s="53" t="s">
        <v>749</v>
      </c>
      <c r="C433" s="8" t="s">
        <v>669</v>
      </c>
      <c r="D433" s="44">
        <v>1</v>
      </c>
      <c r="E433" s="44">
        <v>3</v>
      </c>
      <c r="F433" s="45"/>
      <c r="G433" s="45"/>
      <c r="H433" s="44"/>
      <c r="I433" s="224">
        <f t="shared" si="6"/>
        <v>3</v>
      </c>
      <c r="J433" s="314">
        <f t="shared" si="7"/>
        <v>2</v>
      </c>
      <c r="N433" s="49"/>
    </row>
    <row r="434" spans="1:14" ht="33.75">
      <c r="A434" s="12" t="s">
        <v>751</v>
      </c>
      <c r="B434" s="53" t="s">
        <v>752</v>
      </c>
      <c r="C434" s="8" t="s">
        <v>669</v>
      </c>
      <c r="D434" s="44">
        <v>1</v>
      </c>
      <c r="E434" s="44">
        <v>17</v>
      </c>
      <c r="F434" s="45"/>
      <c r="G434" s="45"/>
      <c r="H434" s="44"/>
      <c r="I434" s="224">
        <f t="shared" si="6"/>
        <v>17</v>
      </c>
      <c r="J434" s="314">
        <f t="shared" si="7"/>
        <v>16</v>
      </c>
      <c r="N434" s="49"/>
    </row>
    <row r="435" spans="1:14" ht="33.75">
      <c r="A435" s="12" t="s">
        <v>754</v>
      </c>
      <c r="B435" s="53" t="s">
        <v>755</v>
      </c>
      <c r="C435" s="8" t="s">
        <v>669</v>
      </c>
      <c r="D435" s="44">
        <v>1</v>
      </c>
      <c r="E435" s="44">
        <v>3</v>
      </c>
      <c r="F435" s="45"/>
      <c r="G435" s="45"/>
      <c r="H435" s="44"/>
      <c r="I435" s="224">
        <f t="shared" si="6"/>
        <v>3</v>
      </c>
      <c r="J435" s="314">
        <f t="shared" si="7"/>
        <v>2</v>
      </c>
      <c r="N435" s="49"/>
    </row>
    <row r="436" spans="1:14" ht="33.75">
      <c r="A436" s="12" t="s">
        <v>757</v>
      </c>
      <c r="B436" s="53" t="s">
        <v>758</v>
      </c>
      <c r="C436" s="8" t="s">
        <v>669</v>
      </c>
      <c r="D436" s="44">
        <v>1</v>
      </c>
      <c r="E436" s="44">
        <v>6</v>
      </c>
      <c r="F436" s="45"/>
      <c r="G436" s="45"/>
      <c r="H436" s="44"/>
      <c r="I436" s="224">
        <f t="shared" si="6"/>
        <v>6</v>
      </c>
      <c r="J436" s="314">
        <f t="shared" si="7"/>
        <v>5</v>
      </c>
      <c r="N436" s="49"/>
    </row>
    <row r="437" spans="1:14" ht="33.75">
      <c r="A437" s="12" t="s">
        <v>760</v>
      </c>
      <c r="B437" s="53" t="s">
        <v>761</v>
      </c>
      <c r="C437" s="8" t="s">
        <v>669</v>
      </c>
      <c r="D437" s="44">
        <v>1</v>
      </c>
      <c r="E437" s="44">
        <v>25</v>
      </c>
      <c r="F437" s="45"/>
      <c r="G437" s="45"/>
      <c r="H437" s="44"/>
      <c r="I437" s="224">
        <f t="shared" si="6"/>
        <v>25</v>
      </c>
      <c r="J437" s="314">
        <f t="shared" si="7"/>
        <v>24</v>
      </c>
      <c r="N437" s="49"/>
    </row>
    <row r="438" spans="1:14" ht="33.75">
      <c r="A438" s="12" t="s">
        <v>763</v>
      </c>
      <c r="B438" s="53" t="s">
        <v>764</v>
      </c>
      <c r="C438" s="8" t="s">
        <v>669</v>
      </c>
      <c r="D438" s="44">
        <v>1</v>
      </c>
      <c r="E438" s="44">
        <v>2</v>
      </c>
      <c r="F438" s="45"/>
      <c r="G438" s="45"/>
      <c r="H438" s="44"/>
      <c r="I438" s="224">
        <f t="shared" si="6"/>
        <v>2</v>
      </c>
      <c r="J438" s="314">
        <f t="shared" si="7"/>
        <v>1</v>
      </c>
      <c r="N438" s="49"/>
    </row>
    <row r="439" spans="1:14" ht="22.5">
      <c r="A439" s="12" t="s">
        <v>766</v>
      </c>
      <c r="B439" s="53" t="s">
        <v>767</v>
      </c>
      <c r="C439" s="8" t="s">
        <v>669</v>
      </c>
      <c r="D439" s="44">
        <v>1</v>
      </c>
      <c r="E439" s="44">
        <v>215</v>
      </c>
      <c r="F439" s="45"/>
      <c r="G439" s="45"/>
      <c r="H439" s="44"/>
      <c r="I439" s="224">
        <f t="shared" si="6"/>
        <v>215</v>
      </c>
      <c r="J439" s="314">
        <f t="shared" si="7"/>
        <v>214</v>
      </c>
      <c r="N439" s="49"/>
    </row>
    <row r="440" spans="1:14" ht="22.5">
      <c r="A440" s="12" t="s">
        <v>769</v>
      </c>
      <c r="B440" s="53" t="s">
        <v>770</v>
      </c>
      <c r="C440" s="8" t="s">
        <v>669</v>
      </c>
      <c r="D440" s="44">
        <v>1</v>
      </c>
      <c r="E440" s="44">
        <v>501</v>
      </c>
      <c r="F440" s="45"/>
      <c r="G440" s="45"/>
      <c r="H440" s="44"/>
      <c r="I440" s="224">
        <f t="shared" si="6"/>
        <v>501</v>
      </c>
      <c r="J440" s="314">
        <f t="shared" si="7"/>
        <v>500</v>
      </c>
      <c r="N440" s="49"/>
    </row>
    <row r="441" spans="1:14" ht="22.5">
      <c r="A441" s="12" t="s">
        <v>772</v>
      </c>
      <c r="B441" s="53" t="s">
        <v>773</v>
      </c>
      <c r="C441" s="8" t="s">
        <v>669</v>
      </c>
      <c r="D441" s="44">
        <v>1</v>
      </c>
      <c r="E441" s="44">
        <v>770</v>
      </c>
      <c r="F441" s="45"/>
      <c r="G441" s="45"/>
      <c r="H441" s="44"/>
      <c r="I441" s="224">
        <f t="shared" si="6"/>
        <v>770</v>
      </c>
      <c r="J441" s="314">
        <f t="shared" si="7"/>
        <v>769</v>
      </c>
      <c r="N441" s="49"/>
    </row>
    <row r="442" spans="1:14" ht="22.5">
      <c r="A442" s="12" t="s">
        <v>775</v>
      </c>
      <c r="B442" s="53" t="s">
        <v>776</v>
      </c>
      <c r="C442" s="8" t="s">
        <v>669</v>
      </c>
      <c r="D442" s="44">
        <v>1</v>
      </c>
      <c r="E442" s="44">
        <v>563</v>
      </c>
      <c r="F442" s="45"/>
      <c r="G442" s="45"/>
      <c r="H442" s="44"/>
      <c r="I442" s="224">
        <f t="shared" si="6"/>
        <v>563</v>
      </c>
      <c r="J442" s="314">
        <f t="shared" si="7"/>
        <v>562</v>
      </c>
      <c r="N442" s="49"/>
    </row>
    <row r="443" spans="1:14" ht="22.5">
      <c r="A443" s="12" t="s">
        <v>778</v>
      </c>
      <c r="B443" s="53" t="s">
        <v>779</v>
      </c>
      <c r="C443" s="8" t="s">
        <v>669</v>
      </c>
      <c r="D443" s="44">
        <v>1</v>
      </c>
      <c r="E443" s="44">
        <v>3032</v>
      </c>
      <c r="F443" s="45"/>
      <c r="G443" s="45"/>
      <c r="H443" s="44"/>
      <c r="I443" s="224">
        <f t="shared" si="6"/>
        <v>3032</v>
      </c>
      <c r="J443" s="314">
        <f t="shared" si="7"/>
        <v>3031</v>
      </c>
      <c r="N443" s="49"/>
    </row>
    <row r="444" spans="1:14" ht="22.5">
      <c r="A444" s="12" t="s">
        <v>781</v>
      </c>
      <c r="B444" s="53" t="s">
        <v>782</v>
      </c>
      <c r="C444" s="8" t="s">
        <v>669</v>
      </c>
      <c r="D444" s="44">
        <v>1</v>
      </c>
      <c r="E444" s="44">
        <v>578</v>
      </c>
      <c r="F444" s="45"/>
      <c r="G444" s="45"/>
      <c r="H444" s="44"/>
      <c r="I444" s="224">
        <f t="shared" si="6"/>
        <v>578</v>
      </c>
      <c r="J444" s="314">
        <f t="shared" si="7"/>
        <v>577</v>
      </c>
      <c r="N444" s="49"/>
    </row>
    <row r="445" spans="1:14" ht="22.5">
      <c r="A445" s="12" t="s">
        <v>784</v>
      </c>
      <c r="B445" s="53" t="s">
        <v>785</v>
      </c>
      <c r="C445" s="8" t="s">
        <v>669</v>
      </c>
      <c r="D445" s="44">
        <v>1</v>
      </c>
      <c r="E445" s="44">
        <v>2540</v>
      </c>
      <c r="F445" s="45"/>
      <c r="G445" s="45"/>
      <c r="H445" s="44"/>
      <c r="I445" s="224">
        <f t="shared" si="6"/>
        <v>2540</v>
      </c>
      <c r="J445" s="314">
        <f t="shared" si="7"/>
        <v>2539</v>
      </c>
      <c r="N445" s="49"/>
    </row>
    <row r="446" spans="1:14" ht="22.5">
      <c r="A446" s="12" t="s">
        <v>787</v>
      </c>
      <c r="B446" s="53" t="s">
        <v>788</v>
      </c>
      <c r="C446" s="8" t="s">
        <v>669</v>
      </c>
      <c r="D446" s="44">
        <v>1</v>
      </c>
      <c r="E446" s="44">
        <v>6995</v>
      </c>
      <c r="F446" s="45"/>
      <c r="G446" s="45"/>
      <c r="H446" s="44"/>
      <c r="I446" s="224">
        <f t="shared" si="6"/>
        <v>6995</v>
      </c>
      <c r="J446" s="314">
        <f t="shared" si="7"/>
        <v>6994</v>
      </c>
      <c r="N446" s="49"/>
    </row>
    <row r="447" spans="1:14" ht="22.5">
      <c r="A447" s="12" t="s">
        <v>790</v>
      </c>
      <c r="B447" s="53" t="s">
        <v>791</v>
      </c>
      <c r="C447" s="8" t="s">
        <v>669</v>
      </c>
      <c r="D447" s="44">
        <v>1</v>
      </c>
      <c r="E447" s="44">
        <v>7875</v>
      </c>
      <c r="F447" s="45"/>
      <c r="G447" s="45"/>
      <c r="H447" s="44"/>
      <c r="I447" s="224">
        <f t="shared" si="6"/>
        <v>7875</v>
      </c>
      <c r="J447" s="314">
        <f t="shared" si="7"/>
        <v>7874</v>
      </c>
      <c r="N447" s="49"/>
    </row>
    <row r="448" spans="1:14" ht="22.5">
      <c r="A448" s="12" t="s">
        <v>793</v>
      </c>
      <c r="B448" s="53" t="s">
        <v>794</v>
      </c>
      <c r="C448" s="8" t="s">
        <v>669</v>
      </c>
      <c r="D448" s="44">
        <v>1</v>
      </c>
      <c r="E448" s="44">
        <v>2013</v>
      </c>
      <c r="F448" s="45"/>
      <c r="G448" s="45"/>
      <c r="H448" s="44"/>
      <c r="I448" s="224">
        <f t="shared" si="6"/>
        <v>2013</v>
      </c>
      <c r="J448" s="314">
        <f t="shared" si="7"/>
        <v>2012</v>
      </c>
      <c r="N448" s="49"/>
    </row>
    <row r="449" spans="1:14" ht="22.5">
      <c r="A449" s="12" t="s">
        <v>796</v>
      </c>
      <c r="B449" s="53" t="s">
        <v>797</v>
      </c>
      <c r="C449" s="8" t="s">
        <v>669</v>
      </c>
      <c r="D449" s="44">
        <v>1</v>
      </c>
      <c r="E449" s="44">
        <v>1643</v>
      </c>
      <c r="F449" s="45"/>
      <c r="G449" s="45"/>
      <c r="H449" s="44"/>
      <c r="I449" s="224">
        <f t="shared" si="6"/>
        <v>1643</v>
      </c>
      <c r="J449" s="314">
        <f t="shared" si="7"/>
        <v>1642</v>
      </c>
      <c r="N449" s="49"/>
    </row>
    <row r="450" spans="1:14" ht="22.5">
      <c r="A450" s="12" t="s">
        <v>799</v>
      </c>
      <c r="B450" s="53" t="s">
        <v>800</v>
      </c>
      <c r="C450" s="8" t="s">
        <v>669</v>
      </c>
      <c r="D450" s="44">
        <v>1</v>
      </c>
      <c r="E450" s="44">
        <v>985</v>
      </c>
      <c r="F450" s="45"/>
      <c r="G450" s="45"/>
      <c r="H450" s="44"/>
      <c r="I450" s="224">
        <f t="shared" si="6"/>
        <v>985</v>
      </c>
      <c r="J450" s="314">
        <f t="shared" si="7"/>
        <v>984</v>
      </c>
      <c r="N450" s="49"/>
    </row>
    <row r="451" spans="1:14" ht="22.5">
      <c r="A451" s="12" t="s">
        <v>802</v>
      </c>
      <c r="B451" s="53" t="s">
        <v>803</v>
      </c>
      <c r="C451" s="8" t="s">
        <v>669</v>
      </c>
      <c r="D451" s="44">
        <v>1</v>
      </c>
      <c r="E451" s="44">
        <v>1100</v>
      </c>
      <c r="F451" s="45"/>
      <c r="G451" s="45"/>
      <c r="H451" s="44"/>
      <c r="I451" s="224">
        <f t="shared" si="6"/>
        <v>1100</v>
      </c>
      <c r="J451" s="314">
        <f t="shared" si="7"/>
        <v>1099</v>
      </c>
      <c r="N451" s="49"/>
    </row>
    <row r="452" spans="1:14" ht="22.5">
      <c r="A452" s="12" t="s">
        <v>805</v>
      </c>
      <c r="B452" s="53" t="s">
        <v>806</v>
      </c>
      <c r="C452" s="8" t="s">
        <v>669</v>
      </c>
      <c r="D452" s="44">
        <v>1</v>
      </c>
      <c r="E452" s="44">
        <v>733</v>
      </c>
      <c r="F452" s="45"/>
      <c r="G452" s="45"/>
      <c r="H452" s="44"/>
      <c r="I452" s="224">
        <f t="shared" si="6"/>
        <v>733</v>
      </c>
      <c r="J452" s="314">
        <f t="shared" si="7"/>
        <v>732</v>
      </c>
      <c r="N452" s="49"/>
    </row>
    <row r="453" spans="1:14" ht="22.5">
      <c r="A453" s="12" t="s">
        <v>808</v>
      </c>
      <c r="B453" s="53" t="s">
        <v>809</v>
      </c>
      <c r="C453" s="8" t="s">
        <v>669</v>
      </c>
      <c r="D453" s="44">
        <v>1</v>
      </c>
      <c r="E453" s="44">
        <v>16048</v>
      </c>
      <c r="F453" s="45"/>
      <c r="G453" s="45"/>
      <c r="H453" s="44"/>
      <c r="I453" s="224">
        <f t="shared" si="6"/>
        <v>16048</v>
      </c>
      <c r="J453" s="314">
        <f t="shared" si="7"/>
        <v>16047</v>
      </c>
      <c r="N453" s="49"/>
    </row>
    <row r="454" spans="1:14" ht="22.5">
      <c r="A454" s="12" t="s">
        <v>811</v>
      </c>
      <c r="B454" s="53" t="s">
        <v>812</v>
      </c>
      <c r="C454" s="8" t="s">
        <v>669</v>
      </c>
      <c r="D454" s="44">
        <v>1</v>
      </c>
      <c r="E454" s="44">
        <v>1238</v>
      </c>
      <c r="F454" s="45"/>
      <c r="G454" s="45"/>
      <c r="H454" s="44"/>
      <c r="I454" s="224">
        <f t="shared" si="6"/>
        <v>1238</v>
      </c>
      <c r="J454" s="314">
        <f t="shared" si="7"/>
        <v>1237</v>
      </c>
      <c r="N454" s="49"/>
    </row>
    <row r="455" spans="1:14" ht="22.5">
      <c r="A455" s="12" t="s">
        <v>814</v>
      </c>
      <c r="B455" s="53" t="s">
        <v>815</v>
      </c>
      <c r="C455" s="8" t="s">
        <v>669</v>
      </c>
      <c r="D455" s="44">
        <v>1</v>
      </c>
      <c r="E455" s="44">
        <v>410</v>
      </c>
      <c r="F455" s="45"/>
      <c r="G455" s="45"/>
      <c r="H455" s="44"/>
      <c r="I455" s="224">
        <f t="shared" si="6"/>
        <v>410</v>
      </c>
      <c r="J455" s="314">
        <f t="shared" si="7"/>
        <v>409</v>
      </c>
      <c r="N455" s="49"/>
    </row>
    <row r="456" spans="1:14" ht="22.5">
      <c r="A456" s="12" t="s">
        <v>817</v>
      </c>
      <c r="B456" s="53" t="s">
        <v>818</v>
      </c>
      <c r="C456" s="8" t="s">
        <v>669</v>
      </c>
      <c r="D456" s="44">
        <v>1</v>
      </c>
      <c r="E456" s="44">
        <v>2058</v>
      </c>
      <c r="F456" s="45"/>
      <c r="G456" s="45"/>
      <c r="H456" s="44"/>
      <c r="I456" s="224">
        <f t="shared" si="6"/>
        <v>2058</v>
      </c>
      <c r="J456" s="314">
        <f t="shared" si="7"/>
        <v>2057</v>
      </c>
      <c r="N456" s="49"/>
    </row>
    <row r="457" spans="1:14" ht="22.5">
      <c r="A457" s="12" t="s">
        <v>820</v>
      </c>
      <c r="B457" s="53" t="s">
        <v>821</v>
      </c>
      <c r="C457" s="8" t="s">
        <v>669</v>
      </c>
      <c r="D457" s="44">
        <v>1</v>
      </c>
      <c r="E457" s="44">
        <v>735</v>
      </c>
      <c r="F457" s="45"/>
      <c r="G457" s="45"/>
      <c r="H457" s="44"/>
      <c r="I457" s="224">
        <f t="shared" si="6"/>
        <v>735</v>
      </c>
      <c r="J457" s="314">
        <f t="shared" si="7"/>
        <v>734</v>
      </c>
      <c r="N457" s="49"/>
    </row>
    <row r="458" spans="1:14" ht="22.5">
      <c r="A458" s="12" t="s">
        <v>823</v>
      </c>
      <c r="B458" s="53" t="s">
        <v>824</v>
      </c>
      <c r="C458" s="8" t="s">
        <v>669</v>
      </c>
      <c r="D458" s="44">
        <v>1</v>
      </c>
      <c r="E458" s="44">
        <v>248</v>
      </c>
      <c r="F458" s="45"/>
      <c r="G458" s="45"/>
      <c r="H458" s="44"/>
      <c r="I458" s="224">
        <f t="shared" si="6"/>
        <v>248</v>
      </c>
      <c r="J458" s="314">
        <f t="shared" si="7"/>
        <v>247</v>
      </c>
      <c r="N458" s="49"/>
    </row>
    <row r="459" spans="1:14" ht="22.5">
      <c r="A459" s="12" t="s">
        <v>826</v>
      </c>
      <c r="B459" s="53" t="s">
        <v>827</v>
      </c>
      <c r="C459" s="8" t="s">
        <v>669</v>
      </c>
      <c r="D459" s="44">
        <v>1</v>
      </c>
      <c r="E459" s="44">
        <v>1673</v>
      </c>
      <c r="F459" s="45"/>
      <c r="G459" s="45"/>
      <c r="H459" s="44"/>
      <c r="I459" s="224">
        <f t="shared" si="6"/>
        <v>1673</v>
      </c>
      <c r="J459" s="314">
        <f t="shared" si="7"/>
        <v>1672</v>
      </c>
      <c r="N459" s="49"/>
    </row>
    <row r="460" spans="1:14" ht="22.5">
      <c r="A460" s="12" t="s">
        <v>829</v>
      </c>
      <c r="B460" s="53" t="s">
        <v>830</v>
      </c>
      <c r="C460" s="8" t="s">
        <v>669</v>
      </c>
      <c r="D460" s="44">
        <v>1</v>
      </c>
      <c r="E460" s="44">
        <v>530</v>
      </c>
      <c r="F460" s="45"/>
      <c r="G460" s="45"/>
      <c r="H460" s="44"/>
      <c r="I460" s="224">
        <f t="shared" si="6"/>
        <v>530</v>
      </c>
      <c r="J460" s="314">
        <f t="shared" si="7"/>
        <v>529</v>
      </c>
      <c r="N460" s="49"/>
    </row>
    <row r="461" spans="1:14" ht="22.5">
      <c r="A461" s="12" t="s">
        <v>832</v>
      </c>
      <c r="B461" s="53" t="s">
        <v>833</v>
      </c>
      <c r="C461" s="8" t="s">
        <v>669</v>
      </c>
      <c r="D461" s="44">
        <v>1</v>
      </c>
      <c r="E461" s="44">
        <v>343</v>
      </c>
      <c r="F461" s="45"/>
      <c r="G461" s="45"/>
      <c r="H461" s="44"/>
      <c r="I461" s="224">
        <f t="shared" si="6"/>
        <v>343</v>
      </c>
      <c r="J461" s="314">
        <f t="shared" si="7"/>
        <v>342</v>
      </c>
      <c r="N461" s="49"/>
    </row>
    <row r="462" spans="1:14" ht="22.5">
      <c r="A462" s="12" t="s">
        <v>835</v>
      </c>
      <c r="B462" s="53" t="s">
        <v>836</v>
      </c>
      <c r="C462" s="8" t="s">
        <v>669</v>
      </c>
      <c r="D462" s="44">
        <v>1</v>
      </c>
      <c r="E462" s="44">
        <v>1060</v>
      </c>
      <c r="F462" s="45"/>
      <c r="G462" s="45"/>
      <c r="H462" s="44"/>
      <c r="I462" s="224">
        <f t="shared" si="6"/>
        <v>1060</v>
      </c>
      <c r="J462" s="314">
        <f t="shared" si="7"/>
        <v>1059</v>
      </c>
      <c r="N462" s="49"/>
    </row>
    <row r="463" spans="1:14" ht="22.5">
      <c r="A463" s="12" t="s">
        <v>838</v>
      </c>
      <c r="B463" s="53" t="s">
        <v>839</v>
      </c>
      <c r="C463" s="8" t="s">
        <v>669</v>
      </c>
      <c r="D463" s="44">
        <v>1</v>
      </c>
      <c r="E463" s="44">
        <v>1607</v>
      </c>
      <c r="F463" s="45"/>
      <c r="G463" s="45"/>
      <c r="H463" s="44"/>
      <c r="I463" s="224">
        <f t="shared" si="6"/>
        <v>1607</v>
      </c>
      <c r="J463" s="314">
        <f t="shared" si="7"/>
        <v>1606</v>
      </c>
      <c r="N463" s="49"/>
    </row>
    <row r="464" spans="1:14" ht="22.5">
      <c r="A464" s="12" t="s">
        <v>841</v>
      </c>
      <c r="B464" s="53" t="s">
        <v>842</v>
      </c>
      <c r="C464" s="8" t="s">
        <v>669</v>
      </c>
      <c r="D464" s="44">
        <v>1</v>
      </c>
      <c r="E464" s="44">
        <v>815</v>
      </c>
      <c r="F464" s="45"/>
      <c r="G464" s="45"/>
      <c r="H464" s="44"/>
      <c r="I464" s="224">
        <f t="shared" si="6"/>
        <v>815</v>
      </c>
      <c r="J464" s="314">
        <f t="shared" si="7"/>
        <v>814</v>
      </c>
      <c r="N464" s="49"/>
    </row>
    <row r="465" spans="1:14" ht="22.5">
      <c r="A465" s="12" t="s">
        <v>844</v>
      </c>
      <c r="B465" s="53" t="s">
        <v>845</v>
      </c>
      <c r="C465" s="8" t="s">
        <v>669</v>
      </c>
      <c r="D465" s="44">
        <v>1</v>
      </c>
      <c r="E465" s="44">
        <v>833</v>
      </c>
      <c r="F465" s="45"/>
      <c r="G465" s="45"/>
      <c r="H465" s="44"/>
      <c r="I465" s="224">
        <f t="shared" si="6"/>
        <v>833</v>
      </c>
      <c r="J465" s="314">
        <f t="shared" si="7"/>
        <v>832</v>
      </c>
      <c r="N465" s="49"/>
    </row>
    <row r="466" spans="1:14" ht="22.5">
      <c r="A466" s="12" t="s">
        <v>847</v>
      </c>
      <c r="B466" s="53" t="s">
        <v>848</v>
      </c>
      <c r="C466" s="8" t="s">
        <v>669</v>
      </c>
      <c r="D466" s="44">
        <v>1</v>
      </c>
      <c r="E466" s="44">
        <v>510</v>
      </c>
      <c r="F466" s="45"/>
      <c r="G466" s="45"/>
      <c r="H466" s="44"/>
      <c r="I466" s="224">
        <f t="shared" si="6"/>
        <v>510</v>
      </c>
      <c r="J466" s="314">
        <f t="shared" si="7"/>
        <v>509</v>
      </c>
      <c r="N466" s="49"/>
    </row>
    <row r="467" spans="1:14" ht="22.5">
      <c r="A467" s="12" t="s">
        <v>850</v>
      </c>
      <c r="B467" s="53" t="s">
        <v>851</v>
      </c>
      <c r="C467" s="8" t="s">
        <v>669</v>
      </c>
      <c r="D467" s="44">
        <v>1</v>
      </c>
      <c r="E467" s="44">
        <v>501</v>
      </c>
      <c r="F467" s="45"/>
      <c r="G467" s="45"/>
      <c r="H467" s="44"/>
      <c r="I467" s="224">
        <f t="shared" si="6"/>
        <v>501</v>
      </c>
      <c r="J467" s="314">
        <f t="shared" si="7"/>
        <v>500</v>
      </c>
      <c r="N467" s="49"/>
    </row>
    <row r="468" spans="1:14" ht="22.5">
      <c r="A468" s="12" t="s">
        <v>853</v>
      </c>
      <c r="B468" s="53" t="s">
        <v>854</v>
      </c>
      <c r="C468" s="8" t="s">
        <v>669</v>
      </c>
      <c r="D468" s="44">
        <v>1</v>
      </c>
      <c r="E468" s="44">
        <v>933</v>
      </c>
      <c r="F468" s="45"/>
      <c r="G468" s="45"/>
      <c r="H468" s="44"/>
      <c r="I468" s="224">
        <f t="shared" si="6"/>
        <v>933</v>
      </c>
      <c r="J468" s="314">
        <f t="shared" si="7"/>
        <v>932</v>
      </c>
      <c r="N468" s="49"/>
    </row>
    <row r="469" spans="1:14" ht="22.5">
      <c r="A469" s="12" t="s">
        <v>856</v>
      </c>
      <c r="B469" s="53" t="s">
        <v>857</v>
      </c>
      <c r="C469" s="8" t="s">
        <v>669</v>
      </c>
      <c r="D469" s="44">
        <v>1</v>
      </c>
      <c r="E469" s="44">
        <v>1010</v>
      </c>
      <c r="F469" s="45"/>
      <c r="G469" s="45"/>
      <c r="H469" s="44"/>
      <c r="I469" s="224">
        <f t="shared" si="6"/>
        <v>1010</v>
      </c>
      <c r="J469" s="314">
        <f t="shared" si="7"/>
        <v>1009</v>
      </c>
      <c r="N469" s="49"/>
    </row>
    <row r="470" spans="1:14" ht="22.5">
      <c r="A470" s="12" t="s">
        <v>859</v>
      </c>
      <c r="B470" s="53" t="s">
        <v>860</v>
      </c>
      <c r="C470" s="8" t="s">
        <v>669</v>
      </c>
      <c r="D470" s="44">
        <v>1</v>
      </c>
      <c r="E470" s="44">
        <v>1142</v>
      </c>
      <c r="F470" s="45"/>
      <c r="G470" s="45"/>
      <c r="H470" s="44"/>
      <c r="I470" s="224">
        <f t="shared" si="6"/>
        <v>1142</v>
      </c>
      <c r="J470" s="314">
        <f t="shared" si="7"/>
        <v>1141</v>
      </c>
      <c r="N470" s="49"/>
    </row>
    <row r="471" spans="1:14" ht="22.5">
      <c r="A471" s="12" t="s">
        <v>862</v>
      </c>
      <c r="B471" s="53" t="s">
        <v>863</v>
      </c>
      <c r="C471" s="8" t="s">
        <v>669</v>
      </c>
      <c r="D471" s="44">
        <v>1</v>
      </c>
      <c r="E471" s="44">
        <v>5132</v>
      </c>
      <c r="F471" s="45"/>
      <c r="G471" s="45"/>
      <c r="H471" s="44"/>
      <c r="I471" s="224">
        <f t="shared" si="6"/>
        <v>5132</v>
      </c>
      <c r="J471" s="314">
        <f t="shared" si="7"/>
        <v>5131</v>
      </c>
      <c r="N471" s="49"/>
    </row>
    <row r="472" spans="1:14" ht="22.5">
      <c r="A472" s="12" t="s">
        <v>865</v>
      </c>
      <c r="B472" s="53" t="s">
        <v>866</v>
      </c>
      <c r="C472" s="8" t="s">
        <v>669</v>
      </c>
      <c r="D472" s="44">
        <v>1</v>
      </c>
      <c r="E472" s="44">
        <v>194</v>
      </c>
      <c r="F472" s="45"/>
      <c r="G472" s="45"/>
      <c r="H472" s="44"/>
      <c r="I472" s="224">
        <f t="shared" si="6"/>
        <v>194</v>
      </c>
      <c r="J472" s="314">
        <f t="shared" si="7"/>
        <v>193</v>
      </c>
      <c r="N472" s="49"/>
    </row>
    <row r="473" spans="1:14" ht="22.5">
      <c r="A473" s="12" t="s">
        <v>868</v>
      </c>
      <c r="B473" s="53" t="s">
        <v>869</v>
      </c>
      <c r="C473" s="8" t="s">
        <v>669</v>
      </c>
      <c r="D473" s="44">
        <v>1</v>
      </c>
      <c r="E473" s="44">
        <v>755</v>
      </c>
      <c r="F473" s="45"/>
      <c r="G473" s="45"/>
      <c r="H473" s="44"/>
      <c r="I473" s="224">
        <f t="shared" si="6"/>
        <v>755</v>
      </c>
      <c r="J473" s="314">
        <f t="shared" si="7"/>
        <v>754</v>
      </c>
      <c r="N473" s="49"/>
    </row>
    <row r="474" spans="1:14" ht="22.5">
      <c r="A474" s="12" t="s">
        <v>871</v>
      </c>
      <c r="B474" s="53" t="s">
        <v>872</v>
      </c>
      <c r="C474" s="8" t="s">
        <v>669</v>
      </c>
      <c r="D474" s="44">
        <v>1</v>
      </c>
      <c r="E474" s="44">
        <v>640</v>
      </c>
      <c r="F474" s="45"/>
      <c r="G474" s="45"/>
      <c r="H474" s="44"/>
      <c r="I474" s="224">
        <f t="shared" si="6"/>
        <v>640</v>
      </c>
      <c r="J474" s="314">
        <f t="shared" si="7"/>
        <v>639</v>
      </c>
      <c r="N474" s="49"/>
    </row>
    <row r="475" spans="1:14" ht="22.5">
      <c r="A475" s="12" t="s">
        <v>874</v>
      </c>
      <c r="B475" s="53" t="s">
        <v>875</v>
      </c>
      <c r="C475" s="8" t="s">
        <v>669</v>
      </c>
      <c r="D475" s="44">
        <v>1</v>
      </c>
      <c r="E475" s="44">
        <v>202</v>
      </c>
      <c r="F475" s="45"/>
      <c r="G475" s="45"/>
      <c r="H475" s="44"/>
      <c r="I475" s="224">
        <f t="shared" si="6"/>
        <v>202</v>
      </c>
      <c r="J475" s="314">
        <f t="shared" si="7"/>
        <v>201</v>
      </c>
      <c r="N475" s="49"/>
    </row>
    <row r="476" spans="1:14" ht="28.5">
      <c r="A476" s="12" t="s">
        <v>877</v>
      </c>
      <c r="B476" s="10" t="s">
        <v>878</v>
      </c>
      <c r="C476" s="8" t="s">
        <v>13</v>
      </c>
      <c r="D476" s="44">
        <v>1</v>
      </c>
      <c r="E476" s="44">
        <v>1435.1</v>
      </c>
      <c r="F476" s="45"/>
      <c r="G476" s="45"/>
      <c r="H476" s="44"/>
      <c r="I476" s="224">
        <f t="shared" si="6"/>
        <v>1435.1</v>
      </c>
      <c r="J476" s="314">
        <f t="shared" si="7"/>
        <v>1434.1</v>
      </c>
      <c r="N476" s="49"/>
    </row>
    <row r="477" spans="1:14" ht="28.5">
      <c r="A477" s="12" t="s">
        <v>880</v>
      </c>
      <c r="B477" s="10" t="s">
        <v>881</v>
      </c>
      <c r="C477" s="8" t="s">
        <v>882</v>
      </c>
      <c r="D477" s="44">
        <v>1</v>
      </c>
      <c r="E477" s="44">
        <v>34800</v>
      </c>
      <c r="F477" s="45"/>
      <c r="G477" s="45"/>
      <c r="H477" s="44"/>
      <c r="I477" s="224">
        <f t="shared" si="6"/>
        <v>34800</v>
      </c>
      <c r="J477" s="314">
        <f t="shared" si="7"/>
        <v>34799</v>
      </c>
      <c r="N477" s="49"/>
    </row>
    <row r="478" spans="1:14">
      <c r="A478" s="12" t="s">
        <v>884</v>
      </c>
      <c r="B478" s="7" t="s">
        <v>885</v>
      </c>
      <c r="C478" s="8" t="s">
        <v>13</v>
      </c>
      <c r="D478" s="44">
        <v>1</v>
      </c>
      <c r="E478" s="44">
        <v>6496.5</v>
      </c>
      <c r="F478" s="45"/>
      <c r="G478" s="45"/>
      <c r="H478" s="44"/>
      <c r="I478" s="224">
        <f t="shared" si="6"/>
        <v>6496.5</v>
      </c>
      <c r="J478" s="314">
        <f t="shared" si="7"/>
        <v>6495.5</v>
      </c>
      <c r="N478" s="49"/>
    </row>
    <row r="479" spans="1:14" ht="42.75">
      <c r="A479" s="12" t="s">
        <v>1505</v>
      </c>
      <c r="B479" s="10" t="s">
        <v>1506</v>
      </c>
      <c r="C479" s="8" t="s">
        <v>8</v>
      </c>
      <c r="D479" s="44"/>
      <c r="E479" s="44">
        <v>1305</v>
      </c>
      <c r="F479" s="45" t="s">
        <v>1502</v>
      </c>
      <c r="G479" s="45" t="s">
        <v>1510</v>
      </c>
      <c r="H479" s="44">
        <f>43.6/0.2*6</f>
        <v>1308</v>
      </c>
      <c r="I479" s="224">
        <f>H479</f>
        <v>1308</v>
      </c>
      <c r="J479" s="232"/>
      <c r="N479" s="49"/>
    </row>
    <row r="480" spans="1:14" ht="33">
      <c r="A480" s="12" t="s">
        <v>1507</v>
      </c>
      <c r="B480" s="7" t="s">
        <v>1508</v>
      </c>
      <c r="C480" s="8" t="s">
        <v>1509</v>
      </c>
      <c r="D480" s="44"/>
      <c r="E480" s="44">
        <v>15318</v>
      </c>
      <c r="F480" s="80" t="s">
        <v>1828</v>
      </c>
      <c r="G480" s="80" t="s">
        <v>1827</v>
      </c>
      <c r="H480" s="44">
        <f>(246*(4+18+4)+20*4)+(35*5)+(24*2)+(85*7+6)+(240*5)</f>
        <v>8500</v>
      </c>
      <c r="I480" s="224">
        <f>H480</f>
        <v>8500</v>
      </c>
      <c r="J480" s="232" t="s">
        <v>2720</v>
      </c>
      <c r="N480" s="49"/>
    </row>
    <row r="481" spans="1:14" ht="23.25" customHeight="1">
      <c r="A481" s="6" t="s">
        <v>887</v>
      </c>
      <c r="B481" s="7" t="s">
        <v>888</v>
      </c>
      <c r="C481" s="8" t="s">
        <v>4</v>
      </c>
      <c r="D481" s="44">
        <v>1</v>
      </c>
      <c r="E481" s="44"/>
      <c r="F481" s="45"/>
      <c r="G481" s="45"/>
      <c r="H481" s="44"/>
      <c r="I481" s="223" t="s">
        <v>243</v>
      </c>
      <c r="J481" s="232"/>
      <c r="M481" s="30"/>
      <c r="N481" s="49"/>
    </row>
    <row r="482" spans="1:14" ht="33">
      <c r="A482" s="12" t="s">
        <v>889</v>
      </c>
      <c r="B482" s="10" t="s">
        <v>890</v>
      </c>
      <c r="C482" s="8" t="s">
        <v>4</v>
      </c>
      <c r="D482" s="44">
        <v>1</v>
      </c>
      <c r="E482" s="44"/>
      <c r="F482" s="45"/>
      <c r="G482" s="45"/>
      <c r="H482" s="44"/>
      <c r="I482" s="223" t="s">
        <v>243</v>
      </c>
      <c r="J482" s="232"/>
      <c r="M482" s="30"/>
      <c r="N482" s="49"/>
    </row>
    <row r="483" spans="1:14" ht="33">
      <c r="A483" s="12" t="s">
        <v>892</v>
      </c>
      <c r="B483" s="10" t="s">
        <v>893</v>
      </c>
      <c r="C483" s="8" t="s">
        <v>4</v>
      </c>
      <c r="D483" s="44">
        <v>1</v>
      </c>
      <c r="E483" s="44"/>
      <c r="F483" s="45"/>
      <c r="G483" s="45"/>
      <c r="H483" s="44"/>
      <c r="I483" s="223" t="s">
        <v>243</v>
      </c>
      <c r="J483" s="232"/>
      <c r="N483" s="49"/>
    </row>
    <row r="484" spans="1:14" ht="33">
      <c r="A484" s="12" t="s">
        <v>895</v>
      </c>
      <c r="B484" s="10" t="s">
        <v>896</v>
      </c>
      <c r="C484" s="8" t="s">
        <v>4</v>
      </c>
      <c r="D484" s="44">
        <v>1</v>
      </c>
      <c r="E484" s="44"/>
      <c r="F484" s="45"/>
      <c r="G484" s="45"/>
      <c r="H484" s="44"/>
      <c r="I484" s="223" t="s">
        <v>243</v>
      </c>
      <c r="J484" s="232"/>
      <c r="N484" s="49"/>
    </row>
    <row r="485" spans="1:14" ht="33">
      <c r="A485" s="12" t="s">
        <v>898</v>
      </c>
      <c r="B485" s="10" t="s">
        <v>899</v>
      </c>
      <c r="C485" s="8" t="s">
        <v>4</v>
      </c>
      <c r="D485" s="44">
        <v>1</v>
      </c>
      <c r="E485" s="44"/>
      <c r="F485" s="45"/>
      <c r="G485" s="45"/>
      <c r="H485" s="44"/>
      <c r="I485" s="223" t="s">
        <v>243</v>
      </c>
      <c r="J485" s="232"/>
      <c r="N485" s="49"/>
    </row>
    <row r="486" spans="1:14" ht="33.75">
      <c r="A486" s="12" t="s">
        <v>901</v>
      </c>
      <c r="B486" s="53" t="s">
        <v>902</v>
      </c>
      <c r="C486" s="8" t="s">
        <v>0</v>
      </c>
      <c r="D486" s="44">
        <v>11</v>
      </c>
      <c r="E486" s="44"/>
      <c r="F486" s="45"/>
      <c r="G486" s="45"/>
      <c r="H486" s="44"/>
      <c r="I486" s="223" t="s">
        <v>243</v>
      </c>
      <c r="J486" s="232"/>
      <c r="N486" s="49"/>
    </row>
    <row r="487" spans="1:14" ht="33.75">
      <c r="A487" s="12" t="s">
        <v>904</v>
      </c>
      <c r="B487" s="53" t="s">
        <v>905</v>
      </c>
      <c r="C487" s="8" t="s">
        <v>0</v>
      </c>
      <c r="D487" s="44">
        <v>9</v>
      </c>
      <c r="E487" s="44"/>
      <c r="F487" s="45"/>
      <c r="G487" s="45"/>
      <c r="H487" s="44"/>
      <c r="I487" s="223" t="s">
        <v>243</v>
      </c>
      <c r="J487" s="232"/>
      <c r="N487" s="49"/>
    </row>
    <row r="488" spans="1:14" ht="33.75">
      <c r="A488" s="12" t="s">
        <v>907</v>
      </c>
      <c r="B488" s="53" t="s">
        <v>908</v>
      </c>
      <c r="C488" s="8" t="s">
        <v>0</v>
      </c>
      <c r="D488" s="44">
        <v>10</v>
      </c>
      <c r="E488" s="44"/>
      <c r="F488" s="45"/>
      <c r="G488" s="45"/>
      <c r="H488" s="44"/>
      <c r="I488" s="223" t="s">
        <v>243</v>
      </c>
      <c r="J488" s="232"/>
      <c r="N488" s="49"/>
    </row>
    <row r="489" spans="1:14" ht="33">
      <c r="A489" s="12" t="s">
        <v>910</v>
      </c>
      <c r="B489" s="53" t="s">
        <v>911</v>
      </c>
      <c r="C489" s="8" t="s">
        <v>0</v>
      </c>
      <c r="D489" s="44">
        <v>8</v>
      </c>
      <c r="E489" s="44"/>
      <c r="F489" s="45"/>
      <c r="G489" s="45"/>
      <c r="H489" s="44"/>
      <c r="I489" s="223" t="s">
        <v>243</v>
      </c>
      <c r="J489" s="232"/>
      <c r="N489" s="49"/>
    </row>
    <row r="490" spans="1:14" ht="21.95" customHeight="1">
      <c r="A490" s="12" t="s">
        <v>913</v>
      </c>
      <c r="B490" s="10" t="s">
        <v>914</v>
      </c>
      <c r="C490" s="8" t="s">
        <v>15</v>
      </c>
      <c r="D490" s="44">
        <v>2</v>
      </c>
      <c r="E490" s="44"/>
      <c r="F490" s="45"/>
      <c r="G490" s="45"/>
      <c r="H490" s="44"/>
      <c r="I490" s="223" t="s">
        <v>243</v>
      </c>
      <c r="J490" s="232"/>
      <c r="N490" s="49"/>
    </row>
    <row r="491" spans="1:14" ht="21.95" customHeight="1">
      <c r="A491" s="12" t="s">
        <v>916</v>
      </c>
      <c r="B491" s="10" t="s">
        <v>917</v>
      </c>
      <c r="C491" s="8" t="s">
        <v>15</v>
      </c>
      <c r="D491" s="44">
        <v>2</v>
      </c>
      <c r="E491" s="44"/>
      <c r="F491" s="45"/>
      <c r="G491" s="45"/>
      <c r="H491" s="44"/>
      <c r="I491" s="223" t="s">
        <v>243</v>
      </c>
      <c r="J491" s="232"/>
      <c r="N491" s="49"/>
    </row>
    <row r="492" spans="1:14" ht="21.95" customHeight="1">
      <c r="A492" s="12" t="s">
        <v>919</v>
      </c>
      <c r="B492" s="7" t="s">
        <v>920</v>
      </c>
      <c r="C492" s="8" t="s">
        <v>8</v>
      </c>
      <c r="D492" s="44">
        <v>44.6</v>
      </c>
      <c r="E492" s="44"/>
      <c r="F492" s="45"/>
      <c r="G492" s="45"/>
      <c r="H492" s="44"/>
      <c r="I492" s="223" t="s">
        <v>243</v>
      </c>
      <c r="J492" s="232"/>
      <c r="N492" s="49"/>
    </row>
    <row r="493" spans="1:14" ht="33">
      <c r="A493" s="12" t="s">
        <v>922</v>
      </c>
      <c r="B493" s="10" t="s">
        <v>923</v>
      </c>
      <c r="C493" s="8" t="s">
        <v>15</v>
      </c>
      <c r="D493" s="44">
        <v>10</v>
      </c>
      <c r="E493" s="44"/>
      <c r="F493" s="45"/>
      <c r="G493" s="45"/>
      <c r="H493" s="44"/>
      <c r="I493" s="223" t="s">
        <v>243</v>
      </c>
      <c r="J493" s="232"/>
      <c r="N493" s="49"/>
    </row>
    <row r="494" spans="1:14" ht="33">
      <c r="A494" s="12" t="s">
        <v>925</v>
      </c>
      <c r="B494" s="10" t="s">
        <v>926</v>
      </c>
      <c r="C494" s="8" t="s">
        <v>15</v>
      </c>
      <c r="D494" s="44">
        <v>5</v>
      </c>
      <c r="E494" s="44"/>
      <c r="F494" s="45"/>
      <c r="G494" s="45"/>
      <c r="H494" s="44"/>
      <c r="I494" s="223" t="s">
        <v>243</v>
      </c>
      <c r="J494" s="232"/>
      <c r="N494" s="49"/>
    </row>
    <row r="495" spans="1:14" ht="20.100000000000001" customHeight="1">
      <c r="A495" s="12" t="s">
        <v>928</v>
      </c>
      <c r="B495" s="7" t="s">
        <v>929</v>
      </c>
      <c r="C495" s="8" t="s">
        <v>15</v>
      </c>
      <c r="D495" s="44">
        <v>17</v>
      </c>
      <c r="E495" s="44"/>
      <c r="F495" s="45"/>
      <c r="G495" s="45"/>
      <c r="H495" s="44"/>
      <c r="I495" s="223" t="s">
        <v>243</v>
      </c>
      <c r="J495" s="232"/>
      <c r="N495" s="49"/>
    </row>
    <row r="496" spans="1:14" ht="20.100000000000001" customHeight="1">
      <c r="A496" s="12" t="s">
        <v>931</v>
      </c>
      <c r="B496" s="7" t="s">
        <v>932</v>
      </c>
      <c r="C496" s="8" t="s">
        <v>290</v>
      </c>
      <c r="D496" s="44">
        <v>1</v>
      </c>
      <c r="E496" s="44"/>
      <c r="F496" s="45"/>
      <c r="G496" s="45"/>
      <c r="H496" s="44"/>
      <c r="I496" s="223" t="s">
        <v>243</v>
      </c>
      <c r="J496" s="232"/>
      <c r="N496" s="49"/>
    </row>
    <row r="497" spans="1:14" ht="20.100000000000001" customHeight="1">
      <c r="A497" s="12" t="s">
        <v>934</v>
      </c>
      <c r="B497" s="7" t="s">
        <v>935</v>
      </c>
      <c r="C497" s="8" t="s">
        <v>4</v>
      </c>
      <c r="D497" s="44">
        <v>1</v>
      </c>
      <c r="E497" s="44"/>
      <c r="F497" s="45"/>
      <c r="G497" s="45"/>
      <c r="H497" s="44"/>
      <c r="I497" s="223" t="s">
        <v>243</v>
      </c>
      <c r="J497" s="232"/>
      <c r="N497" s="49"/>
    </row>
    <row r="498" spans="1:14" ht="20.100000000000001" customHeight="1">
      <c r="A498" s="12" t="s">
        <v>937</v>
      </c>
      <c r="B498" s="7" t="s">
        <v>938</v>
      </c>
      <c r="C498" s="8" t="s">
        <v>15</v>
      </c>
      <c r="D498" s="44">
        <v>17</v>
      </c>
      <c r="E498" s="44"/>
      <c r="F498" s="45"/>
      <c r="G498" s="45"/>
      <c r="H498" s="44"/>
      <c r="I498" s="223" t="s">
        <v>243</v>
      </c>
      <c r="J498" s="232"/>
      <c r="N498" s="49"/>
    </row>
    <row r="499" spans="1:14" ht="33">
      <c r="A499" s="12" t="s">
        <v>940</v>
      </c>
      <c r="B499" s="7" t="s">
        <v>941</v>
      </c>
      <c r="C499" s="8" t="s">
        <v>583</v>
      </c>
      <c r="D499" s="44">
        <v>2</v>
      </c>
      <c r="E499" s="44"/>
      <c r="F499" s="45"/>
      <c r="G499" s="45"/>
      <c r="H499" s="44"/>
      <c r="I499" s="223" t="s">
        <v>243</v>
      </c>
      <c r="J499" s="232"/>
      <c r="N499" s="49"/>
    </row>
    <row r="500" spans="1:14" ht="21.95" customHeight="1">
      <c r="A500" s="12" t="s">
        <v>943</v>
      </c>
      <c r="B500" s="7" t="s">
        <v>944</v>
      </c>
      <c r="C500" s="8" t="s">
        <v>15</v>
      </c>
      <c r="D500" s="44">
        <v>1</v>
      </c>
      <c r="E500" s="44"/>
      <c r="F500" s="45"/>
      <c r="G500" s="45"/>
      <c r="H500" s="44"/>
      <c r="I500" s="223" t="s">
        <v>243</v>
      </c>
      <c r="J500" s="232"/>
      <c r="N500" s="49"/>
    </row>
    <row r="501" spans="1:14" ht="33">
      <c r="A501" s="12" t="s">
        <v>946</v>
      </c>
      <c r="B501" s="53" t="s">
        <v>947</v>
      </c>
      <c r="C501" s="8" t="s">
        <v>19</v>
      </c>
      <c r="D501" s="44">
        <v>2</v>
      </c>
      <c r="E501" s="44"/>
      <c r="F501" s="45"/>
      <c r="G501" s="45"/>
      <c r="H501" s="44"/>
      <c r="I501" s="223" t="s">
        <v>243</v>
      </c>
      <c r="J501" s="232"/>
      <c r="N501" s="49"/>
    </row>
    <row r="502" spans="1:14" ht="33">
      <c r="A502" s="12" t="s">
        <v>949</v>
      </c>
      <c r="B502" s="53" t="s">
        <v>950</v>
      </c>
      <c r="C502" s="8" t="s">
        <v>19</v>
      </c>
      <c r="D502" s="44">
        <v>9</v>
      </c>
      <c r="E502" s="44"/>
      <c r="F502" s="45"/>
      <c r="G502" s="45"/>
      <c r="H502" s="44"/>
      <c r="I502" s="223" t="s">
        <v>243</v>
      </c>
      <c r="J502" s="232"/>
      <c r="N502" s="49"/>
    </row>
    <row r="503" spans="1:14" ht="33">
      <c r="A503" s="12" t="s">
        <v>952</v>
      </c>
      <c r="B503" s="53" t="s">
        <v>953</v>
      </c>
      <c r="C503" s="8" t="s">
        <v>8</v>
      </c>
      <c r="D503" s="44">
        <v>180</v>
      </c>
      <c r="E503" s="44"/>
      <c r="F503" s="45"/>
      <c r="G503" s="45"/>
      <c r="H503" s="44"/>
      <c r="I503" s="223" t="s">
        <v>243</v>
      </c>
      <c r="J503" s="232"/>
      <c r="N503" s="49"/>
    </row>
    <row r="504" spans="1:14" ht="33">
      <c r="A504" s="12" t="s">
        <v>955</v>
      </c>
      <c r="B504" s="53" t="s">
        <v>956</v>
      </c>
      <c r="C504" s="8" t="s">
        <v>8</v>
      </c>
      <c r="D504" s="44">
        <v>60</v>
      </c>
      <c r="E504" s="44"/>
      <c r="F504" s="45"/>
      <c r="G504" s="45"/>
      <c r="H504" s="44"/>
      <c r="I504" s="223" t="s">
        <v>243</v>
      </c>
      <c r="J504" s="232"/>
      <c r="N504" s="49"/>
    </row>
    <row r="505" spans="1:14" ht="33">
      <c r="A505" s="12" t="s">
        <v>958</v>
      </c>
      <c r="B505" s="53" t="s">
        <v>959</v>
      </c>
      <c r="C505" s="8" t="s">
        <v>8</v>
      </c>
      <c r="D505" s="44">
        <v>1032</v>
      </c>
      <c r="E505" s="44"/>
      <c r="F505" s="45"/>
      <c r="G505" s="45"/>
      <c r="H505" s="44"/>
      <c r="I505" s="223" t="s">
        <v>243</v>
      </c>
      <c r="J505" s="232"/>
      <c r="N505" s="49"/>
    </row>
    <row r="506" spans="1:14" ht="33">
      <c r="A506" s="12" t="s">
        <v>961</v>
      </c>
      <c r="B506" s="53" t="s">
        <v>962</v>
      </c>
      <c r="C506" s="8" t="s">
        <v>8</v>
      </c>
      <c r="D506" s="44">
        <v>1103</v>
      </c>
      <c r="E506" s="44"/>
      <c r="F506" s="45"/>
      <c r="G506" s="45"/>
      <c r="H506" s="44"/>
      <c r="I506" s="223" t="s">
        <v>243</v>
      </c>
      <c r="J506" s="232"/>
      <c r="N506" s="49"/>
    </row>
    <row r="507" spans="1:14" ht="33.75">
      <c r="A507" s="12" t="s">
        <v>964</v>
      </c>
      <c r="B507" s="53" t="s">
        <v>219</v>
      </c>
      <c r="C507" s="8" t="s">
        <v>8</v>
      </c>
      <c r="D507" s="44">
        <v>2064</v>
      </c>
      <c r="E507" s="44"/>
      <c r="F507" s="45"/>
      <c r="G507" s="45"/>
      <c r="H507" s="44"/>
      <c r="I507" s="223" t="s">
        <v>243</v>
      </c>
      <c r="J507" s="232"/>
      <c r="N507" s="49"/>
    </row>
    <row r="508" spans="1:14" ht="33">
      <c r="A508" s="12" t="s">
        <v>966</v>
      </c>
      <c r="B508" s="10" t="s">
        <v>967</v>
      </c>
      <c r="C508" s="8" t="s">
        <v>4</v>
      </c>
      <c r="D508" s="44">
        <v>1</v>
      </c>
      <c r="E508" s="44"/>
      <c r="F508" s="45"/>
      <c r="G508" s="45"/>
      <c r="H508" s="44"/>
      <c r="I508" s="223" t="s">
        <v>243</v>
      </c>
      <c r="J508" s="232"/>
      <c r="N508" s="49"/>
    </row>
    <row r="509" spans="1:14" ht="33">
      <c r="A509" s="12" t="s">
        <v>969</v>
      </c>
      <c r="B509" s="10" t="s">
        <v>970</v>
      </c>
      <c r="C509" s="8" t="s">
        <v>8</v>
      </c>
      <c r="D509" s="44">
        <v>1011</v>
      </c>
      <c r="E509" s="44"/>
      <c r="F509" s="45"/>
      <c r="G509" s="45"/>
      <c r="H509" s="44"/>
      <c r="I509" s="223" t="s">
        <v>243</v>
      </c>
      <c r="J509" s="232"/>
      <c r="N509" s="49"/>
    </row>
    <row r="510" spans="1:14" ht="33">
      <c r="A510" s="12" t="s">
        <v>972</v>
      </c>
      <c r="B510" s="10" t="s">
        <v>220</v>
      </c>
      <c r="C510" s="8" t="s">
        <v>8</v>
      </c>
      <c r="D510" s="44">
        <v>946</v>
      </c>
      <c r="E510" s="44"/>
      <c r="F510" s="45"/>
      <c r="G510" s="45"/>
      <c r="H510" s="44"/>
      <c r="I510" s="223" t="s">
        <v>243</v>
      </c>
      <c r="J510" s="232"/>
      <c r="N510" s="49"/>
    </row>
    <row r="511" spans="1:14" ht="33">
      <c r="A511" s="12" t="s">
        <v>974</v>
      </c>
      <c r="B511" s="10" t="s">
        <v>975</v>
      </c>
      <c r="C511" s="8" t="s">
        <v>8</v>
      </c>
      <c r="D511" s="44">
        <v>55</v>
      </c>
      <c r="E511" s="44"/>
      <c r="F511" s="45"/>
      <c r="G511" s="45"/>
      <c r="H511" s="44"/>
      <c r="I511" s="223" t="s">
        <v>243</v>
      </c>
      <c r="J511" s="232"/>
      <c r="N511" s="49"/>
    </row>
    <row r="512" spans="1:14" ht="33">
      <c r="A512" s="12" t="s">
        <v>977</v>
      </c>
      <c r="B512" s="10" t="s">
        <v>978</v>
      </c>
      <c r="C512" s="8" t="s">
        <v>8</v>
      </c>
      <c r="D512" s="44">
        <v>22</v>
      </c>
      <c r="E512" s="44"/>
      <c r="F512" s="45"/>
      <c r="G512" s="45"/>
      <c r="H512" s="44"/>
      <c r="I512" s="223" t="s">
        <v>243</v>
      </c>
      <c r="J512" s="232"/>
      <c r="N512" s="49"/>
    </row>
    <row r="513" spans="1:15" ht="33">
      <c r="A513" s="12" t="s">
        <v>980</v>
      </c>
      <c r="B513" s="10" t="s">
        <v>981</v>
      </c>
      <c r="C513" s="8" t="s">
        <v>4</v>
      </c>
      <c r="D513" s="44">
        <v>1</v>
      </c>
      <c r="E513" s="44"/>
      <c r="F513" s="45"/>
      <c r="G513" s="45"/>
      <c r="H513" s="44"/>
      <c r="I513" s="223" t="s">
        <v>243</v>
      </c>
      <c r="J513" s="232"/>
      <c r="N513" s="49"/>
    </row>
    <row r="514" spans="1:15" ht="20.100000000000001" customHeight="1">
      <c r="A514" s="12" t="s">
        <v>983</v>
      </c>
      <c r="B514" s="7" t="s">
        <v>984</v>
      </c>
      <c r="C514" s="8" t="s">
        <v>4</v>
      </c>
      <c r="D514" s="44">
        <v>1</v>
      </c>
      <c r="E514" s="44"/>
      <c r="F514" s="45"/>
      <c r="G514" s="45"/>
      <c r="H514" s="44"/>
      <c r="I514" s="223" t="s">
        <v>243</v>
      </c>
      <c r="J514" s="232"/>
      <c r="N514" s="49"/>
    </row>
    <row r="515" spans="1:15" ht="33">
      <c r="A515" s="6" t="s">
        <v>986</v>
      </c>
      <c r="B515" s="7" t="s">
        <v>987</v>
      </c>
      <c r="C515" s="8" t="s">
        <v>4</v>
      </c>
      <c r="D515" s="44">
        <v>1</v>
      </c>
      <c r="E515" s="44"/>
      <c r="F515" s="45"/>
      <c r="G515" s="45"/>
      <c r="H515" s="44"/>
      <c r="I515" s="223" t="s">
        <v>243</v>
      </c>
      <c r="J515" s="232"/>
      <c r="N515" s="49"/>
    </row>
    <row r="516" spans="1:15" ht="33">
      <c r="A516" s="12" t="s">
        <v>988</v>
      </c>
      <c r="B516" s="7" t="s">
        <v>1530</v>
      </c>
      <c r="C516" s="8" t="s">
        <v>8</v>
      </c>
      <c r="D516" s="44">
        <v>1132</v>
      </c>
      <c r="E516" s="44">
        <v>2576.8000000000002</v>
      </c>
      <c r="F516" s="45" t="s">
        <v>1529</v>
      </c>
      <c r="G516" s="45" t="s">
        <v>1527</v>
      </c>
      <c r="H516" s="44">
        <f>(51.5/0.5*6*2)+(16*0.5*6)+(92/0.5*6)</f>
        <v>2388</v>
      </c>
      <c r="I516" s="224">
        <f>H516</f>
        <v>2388</v>
      </c>
      <c r="J516" s="232"/>
      <c r="N516" s="49"/>
    </row>
    <row r="517" spans="1:15" ht="33">
      <c r="A517" s="12" t="s">
        <v>991</v>
      </c>
      <c r="B517" s="53" t="s">
        <v>992</v>
      </c>
      <c r="C517" s="8" t="s">
        <v>8</v>
      </c>
      <c r="D517" s="44">
        <v>1132</v>
      </c>
      <c r="E517" s="44">
        <v>2576.8000000000002</v>
      </c>
      <c r="F517" s="45" t="s">
        <v>1529</v>
      </c>
      <c r="G517" s="45"/>
      <c r="H517" s="44">
        <f>H516</f>
        <v>2388</v>
      </c>
      <c r="I517" s="224">
        <f>H517</f>
        <v>2388</v>
      </c>
      <c r="J517" s="232"/>
      <c r="N517" s="49"/>
    </row>
    <row r="518" spans="1:15" ht="33">
      <c r="A518" s="12" t="s">
        <v>994</v>
      </c>
      <c r="B518" s="7" t="s">
        <v>1528</v>
      </c>
      <c r="C518" s="8" t="s">
        <v>13</v>
      </c>
      <c r="D518" s="44">
        <v>6198</v>
      </c>
      <c r="E518" s="44">
        <v>9215</v>
      </c>
      <c r="F518" s="45" t="s">
        <v>1531</v>
      </c>
      <c r="G518" s="45" t="s">
        <v>1532</v>
      </c>
      <c r="H518" s="44">
        <f>(5*2.5*38)+(5*2.5*12)+(5*2.5*20*8)+((51.5*2+92+16)*2.5)+(5*2.5*20*24)</f>
        <v>9152.5</v>
      </c>
      <c r="I518" s="224">
        <f t="shared" ref="I518:I527" si="8">H518</f>
        <v>9152.5</v>
      </c>
      <c r="J518" s="232"/>
      <c r="N518" s="49"/>
    </row>
    <row r="519" spans="1:15" ht="33.75">
      <c r="A519" s="12" t="s">
        <v>997</v>
      </c>
      <c r="B519" s="53" t="s">
        <v>998</v>
      </c>
      <c r="C519" s="8" t="s">
        <v>4</v>
      </c>
      <c r="D519" s="44">
        <v>1</v>
      </c>
      <c r="E519" s="44"/>
      <c r="F519" s="45"/>
      <c r="G519" s="45"/>
      <c r="H519" s="44"/>
      <c r="I519" s="224"/>
      <c r="J519" s="232"/>
      <c r="N519" s="49"/>
    </row>
    <row r="520" spans="1:15" ht="33">
      <c r="A520" s="12" t="s">
        <v>1000</v>
      </c>
      <c r="B520" s="53" t="s">
        <v>1001</v>
      </c>
      <c r="C520" s="8" t="s">
        <v>16</v>
      </c>
      <c r="D520" s="44">
        <v>2052</v>
      </c>
      <c r="E520" s="44"/>
      <c r="F520" s="45" t="s">
        <v>2783</v>
      </c>
      <c r="G520" s="45" t="s">
        <v>2784</v>
      </c>
      <c r="H520" s="44">
        <f>8*30*8</f>
        <v>1920</v>
      </c>
      <c r="I520" s="224">
        <f>SUM(H520:H523)</f>
        <v>2752</v>
      </c>
      <c r="J520" s="314">
        <f>I520-D520</f>
        <v>700</v>
      </c>
      <c r="N520" s="49"/>
      <c r="O520" s="30">
        <v>320</v>
      </c>
    </row>
    <row r="521" spans="1:15">
      <c r="A521" s="303"/>
      <c r="B521" s="586"/>
      <c r="C521" s="305"/>
      <c r="D521" s="306"/>
      <c r="E521" s="306"/>
      <c r="F521" s="307" t="s">
        <v>2778</v>
      </c>
      <c r="G521" s="307" t="s">
        <v>2779</v>
      </c>
      <c r="H521" s="306">
        <f>40*8</f>
        <v>320</v>
      </c>
      <c r="I521" s="354"/>
      <c r="J521" s="122"/>
      <c r="N521" s="49"/>
    </row>
    <row r="522" spans="1:15">
      <c r="A522" s="303"/>
      <c r="B522" s="586"/>
      <c r="C522" s="305"/>
      <c r="D522" s="306"/>
      <c r="E522" s="306"/>
      <c r="F522" s="307" t="s">
        <v>2780</v>
      </c>
      <c r="G522" s="307" t="s">
        <v>2781</v>
      </c>
      <c r="H522" s="306">
        <f>4*8*8</f>
        <v>256</v>
      </c>
      <c r="I522" s="354"/>
      <c r="J522" s="122"/>
      <c r="N522" s="49"/>
    </row>
    <row r="523" spans="1:15">
      <c r="A523" s="303"/>
      <c r="B523" s="586"/>
      <c r="C523" s="305"/>
      <c r="D523" s="306"/>
      <c r="E523" s="306"/>
      <c r="F523" s="307" t="s">
        <v>2782</v>
      </c>
      <c r="G523" s="307" t="s">
        <v>2781</v>
      </c>
      <c r="H523" s="306">
        <f>4*8*8</f>
        <v>256</v>
      </c>
      <c r="I523" s="354"/>
      <c r="J523" s="122"/>
      <c r="N523" s="49"/>
    </row>
    <row r="524" spans="1:15" ht="49.5">
      <c r="A524" s="12" t="s">
        <v>1003</v>
      </c>
      <c r="B524" s="7" t="s">
        <v>728</v>
      </c>
      <c r="C524" s="8" t="s">
        <v>6</v>
      </c>
      <c r="D524" s="44">
        <v>300</v>
      </c>
      <c r="E524" s="44">
        <v>720</v>
      </c>
      <c r="F524" s="45" t="s">
        <v>1526</v>
      </c>
      <c r="G524" s="45" t="s">
        <v>2785</v>
      </c>
      <c r="H524" s="44">
        <f>(10*3)+(62*3)+(25*3)+(57*3)+(6*3)+(19*3)+(5*3)+(45*3)*3</f>
        <v>957</v>
      </c>
      <c r="I524" s="224">
        <f t="shared" si="8"/>
        <v>957</v>
      </c>
      <c r="J524" s="314">
        <f>I524-E524</f>
        <v>237</v>
      </c>
      <c r="K524" s="587" t="s">
        <v>2786</v>
      </c>
      <c r="N524" s="49"/>
      <c r="O524" s="30">
        <v>256</v>
      </c>
    </row>
    <row r="525" spans="1:15" ht="33.75">
      <c r="A525" s="12" t="s">
        <v>1514</v>
      </c>
      <c r="B525" s="53" t="s">
        <v>1515</v>
      </c>
      <c r="C525" s="8" t="s">
        <v>8</v>
      </c>
      <c r="D525" s="44"/>
      <c r="E525" s="44">
        <v>132</v>
      </c>
      <c r="F525" s="45" t="s">
        <v>1525</v>
      </c>
      <c r="G525" s="45" t="s">
        <v>1524</v>
      </c>
      <c r="H525" s="44">
        <v>132</v>
      </c>
      <c r="I525" s="224">
        <f t="shared" si="8"/>
        <v>132</v>
      </c>
      <c r="J525" s="232"/>
      <c r="N525" s="49"/>
      <c r="O525" s="30">
        <v>256</v>
      </c>
    </row>
    <row r="526" spans="1:15" ht="33.75">
      <c r="A526" s="12" t="s">
        <v>1516</v>
      </c>
      <c r="B526" s="53" t="s">
        <v>1517</v>
      </c>
      <c r="C526" s="8" t="s">
        <v>8</v>
      </c>
      <c r="D526" s="44"/>
      <c r="E526" s="44">
        <v>106</v>
      </c>
      <c r="F526" s="45" t="s">
        <v>1520</v>
      </c>
      <c r="G526" s="45" t="s">
        <v>1523</v>
      </c>
      <c r="H526" s="44">
        <v>106</v>
      </c>
      <c r="I526" s="224">
        <f t="shared" si="8"/>
        <v>106</v>
      </c>
      <c r="J526" s="232"/>
      <c r="N526" s="49"/>
    </row>
    <row r="527" spans="1:15" ht="33.75">
      <c r="A527" s="12" t="s">
        <v>1518</v>
      </c>
      <c r="B527" s="53" t="s">
        <v>1519</v>
      </c>
      <c r="C527" s="8" t="s">
        <v>8</v>
      </c>
      <c r="D527" s="44"/>
      <c r="E527" s="44">
        <v>156</v>
      </c>
      <c r="F527" s="45" t="s">
        <v>1522</v>
      </c>
      <c r="G527" s="45" t="s">
        <v>1521</v>
      </c>
      <c r="H527" s="44">
        <v>156</v>
      </c>
      <c r="I527" s="224">
        <f t="shared" si="8"/>
        <v>156</v>
      </c>
      <c r="J527" s="232"/>
      <c r="N527" s="49"/>
    </row>
    <row r="528" spans="1:15" ht="23.25" customHeight="1">
      <c r="A528" s="6" t="s">
        <v>103</v>
      </c>
      <c r="B528" s="7" t="s">
        <v>11</v>
      </c>
      <c r="C528" s="8" t="s">
        <v>4</v>
      </c>
      <c r="D528" s="44">
        <v>1</v>
      </c>
      <c r="E528" s="44"/>
      <c r="F528" s="45"/>
      <c r="G528" s="45"/>
      <c r="H528" s="44"/>
      <c r="I528" s="223" t="s">
        <v>243</v>
      </c>
      <c r="J528" s="232"/>
      <c r="N528" s="49"/>
    </row>
    <row r="529" spans="1:14" ht="33">
      <c r="A529" s="12" t="s">
        <v>104</v>
      </c>
      <c r="B529" s="7" t="s">
        <v>1004</v>
      </c>
      <c r="C529" s="8" t="s">
        <v>4</v>
      </c>
      <c r="D529" s="44">
        <v>1</v>
      </c>
      <c r="E529" s="44"/>
      <c r="F529" s="45"/>
      <c r="G529" s="45"/>
      <c r="H529" s="44"/>
      <c r="I529" s="223" t="s">
        <v>243</v>
      </c>
      <c r="J529" s="232"/>
      <c r="N529" s="49"/>
    </row>
    <row r="530" spans="1:14" ht="33">
      <c r="A530" s="12" t="s">
        <v>105</v>
      </c>
      <c r="B530" s="7" t="s">
        <v>1006</v>
      </c>
      <c r="C530" s="8" t="s">
        <v>1007</v>
      </c>
      <c r="D530" s="44">
        <v>7</v>
      </c>
      <c r="E530" s="44"/>
      <c r="F530" s="45"/>
      <c r="G530" s="45">
        <f>2230-2160</f>
        <v>70</v>
      </c>
      <c r="H530" s="44"/>
      <c r="I530" s="223" t="s">
        <v>243</v>
      </c>
      <c r="J530" s="232"/>
      <c r="N530" s="49"/>
    </row>
    <row r="531" spans="1:14" ht="33.75">
      <c r="A531" s="12" t="s">
        <v>106</v>
      </c>
      <c r="B531" s="53" t="s">
        <v>1009</v>
      </c>
      <c r="C531" s="8" t="s">
        <v>1010</v>
      </c>
      <c r="D531" s="44">
        <v>730</v>
      </c>
      <c r="E531" s="44">
        <v>2230</v>
      </c>
      <c r="F531" s="45" t="s">
        <v>1848</v>
      </c>
      <c r="G531" s="45" t="s">
        <v>1849</v>
      </c>
      <c r="H531" s="44">
        <f>2*730+1*700+1*70</f>
        <v>2230</v>
      </c>
      <c r="I531" s="224">
        <f>H531</f>
        <v>2230</v>
      </c>
      <c r="J531" s="232"/>
      <c r="N531" s="49"/>
    </row>
    <row r="532" spans="1:14" ht="31.5">
      <c r="A532" s="12" t="s">
        <v>107</v>
      </c>
      <c r="B532" s="7" t="s">
        <v>1012</v>
      </c>
      <c r="C532" s="8" t="s">
        <v>1007</v>
      </c>
      <c r="D532" s="44">
        <v>2</v>
      </c>
      <c r="E532" s="44">
        <v>4</v>
      </c>
      <c r="F532" s="45" t="s">
        <v>1850</v>
      </c>
      <c r="G532" s="45" t="s">
        <v>1851</v>
      </c>
      <c r="H532" s="44">
        <v>4</v>
      </c>
      <c r="I532" s="224">
        <f t="shared" ref="I532:I538" si="9">H532</f>
        <v>4</v>
      </c>
      <c r="J532" s="232"/>
      <c r="N532" s="49"/>
    </row>
    <row r="533" spans="1:14" ht="28.5">
      <c r="A533" s="12" t="s">
        <v>108</v>
      </c>
      <c r="B533" s="10" t="s">
        <v>1014</v>
      </c>
      <c r="C533" s="8" t="s">
        <v>1015</v>
      </c>
      <c r="D533" s="44">
        <v>19</v>
      </c>
      <c r="E533" s="44"/>
      <c r="F533" s="45"/>
      <c r="G533" s="47" t="s">
        <v>1852</v>
      </c>
      <c r="H533" s="44">
        <f>730/30</f>
        <v>24.333333333333332</v>
      </c>
      <c r="I533" s="224">
        <f t="shared" si="9"/>
        <v>24.333333333333332</v>
      </c>
      <c r="J533" s="314">
        <f>I533-D533</f>
        <v>5.3333333333333321</v>
      </c>
      <c r="N533" s="49"/>
    </row>
    <row r="534" spans="1:14" ht="31.5">
      <c r="A534" s="12" t="s">
        <v>109</v>
      </c>
      <c r="B534" s="7" t="s">
        <v>1017</v>
      </c>
      <c r="C534" s="8" t="s">
        <v>4</v>
      </c>
      <c r="D534" s="44">
        <v>1</v>
      </c>
      <c r="E534" s="44"/>
      <c r="F534" s="45"/>
      <c r="G534" s="45">
        <v>1</v>
      </c>
      <c r="H534" s="44"/>
      <c r="I534" s="224">
        <f t="shared" si="9"/>
        <v>0</v>
      </c>
      <c r="J534" s="232"/>
      <c r="N534" s="49"/>
    </row>
    <row r="535" spans="1:14" ht="31.5">
      <c r="A535" s="12" t="s">
        <v>156</v>
      </c>
      <c r="B535" s="7" t="s">
        <v>1019</v>
      </c>
      <c r="C535" s="8" t="s">
        <v>4</v>
      </c>
      <c r="D535" s="44">
        <v>1</v>
      </c>
      <c r="E535" s="44"/>
      <c r="F535" s="45" t="s">
        <v>1217</v>
      </c>
      <c r="G535" s="45">
        <v>1</v>
      </c>
      <c r="H535" s="44">
        <v>1</v>
      </c>
      <c r="I535" s="224">
        <f t="shared" si="9"/>
        <v>1</v>
      </c>
      <c r="J535" s="232"/>
      <c r="N535" s="49"/>
    </row>
    <row r="536" spans="1:14">
      <c r="A536" s="12" t="s">
        <v>155</v>
      </c>
      <c r="B536" s="7" t="s">
        <v>1021</v>
      </c>
      <c r="C536" s="8" t="s">
        <v>4</v>
      </c>
      <c r="D536" s="44">
        <v>1</v>
      </c>
      <c r="E536" s="44"/>
      <c r="F536" s="45"/>
      <c r="G536" s="45"/>
      <c r="H536" s="44">
        <v>0.3</v>
      </c>
      <c r="I536" s="224">
        <f t="shared" si="9"/>
        <v>0.3</v>
      </c>
      <c r="J536" s="232"/>
      <c r="N536" s="49"/>
    </row>
    <row r="537" spans="1:14">
      <c r="A537" s="12" t="s">
        <v>154</v>
      </c>
      <c r="B537" s="7" t="s">
        <v>1534</v>
      </c>
      <c r="C537" s="8" t="s">
        <v>13</v>
      </c>
      <c r="D537" s="44"/>
      <c r="E537" s="44">
        <v>464</v>
      </c>
      <c r="F537" s="45" t="s">
        <v>1343</v>
      </c>
      <c r="G537" s="45" t="s">
        <v>1539</v>
      </c>
      <c r="H537" s="44">
        <f>275+189</f>
        <v>464</v>
      </c>
      <c r="I537" s="224">
        <f t="shared" si="9"/>
        <v>464</v>
      </c>
      <c r="J537" s="232"/>
      <c r="N537" s="49"/>
    </row>
    <row r="538" spans="1:14">
      <c r="A538" s="12" t="s">
        <v>153</v>
      </c>
      <c r="B538" s="7" t="s">
        <v>1536</v>
      </c>
      <c r="C538" s="8" t="s">
        <v>15</v>
      </c>
      <c r="D538" s="44"/>
      <c r="E538" s="44">
        <v>2</v>
      </c>
      <c r="F538" s="45" t="s">
        <v>1537</v>
      </c>
      <c r="G538" s="45">
        <v>2</v>
      </c>
      <c r="H538" s="44">
        <v>2</v>
      </c>
      <c r="I538" s="224">
        <f t="shared" si="9"/>
        <v>2</v>
      </c>
      <c r="J538" s="232"/>
      <c r="N538" s="49"/>
    </row>
    <row r="539" spans="1:14" ht="31.5">
      <c r="A539" s="12" t="s">
        <v>2787</v>
      </c>
      <c r="B539" s="304" t="s">
        <v>2802</v>
      </c>
      <c r="C539" s="305" t="s">
        <v>16</v>
      </c>
      <c r="D539" s="306"/>
      <c r="E539" s="306">
        <v>129</v>
      </c>
      <c r="F539" s="307" t="s">
        <v>2822</v>
      </c>
      <c r="G539" s="307" t="s">
        <v>2823</v>
      </c>
      <c r="H539" s="306">
        <f>12+12+11+11+22+33+28</f>
        <v>129</v>
      </c>
      <c r="I539" s="224">
        <f>H539</f>
        <v>129</v>
      </c>
      <c r="J539" s="122"/>
      <c r="N539" s="49"/>
    </row>
    <row r="540" spans="1:14" ht="31.5">
      <c r="A540" s="12" t="s">
        <v>2788</v>
      </c>
      <c r="B540" s="304" t="s">
        <v>2803</v>
      </c>
      <c r="C540" s="305" t="s">
        <v>16</v>
      </c>
      <c r="D540" s="306"/>
      <c r="E540" s="306">
        <v>282</v>
      </c>
      <c r="F540" s="307" t="s">
        <v>2822</v>
      </c>
      <c r="G540" s="307" t="s">
        <v>2824</v>
      </c>
      <c r="H540" s="306">
        <f>10+26+73+33+31+21+31+57</f>
        <v>282</v>
      </c>
      <c r="I540" s="224">
        <f t="shared" ref="I540:I553" si="10">H540</f>
        <v>282</v>
      </c>
      <c r="J540" s="122"/>
      <c r="N540" s="49"/>
    </row>
    <row r="541" spans="1:14" ht="47.25">
      <c r="A541" s="12" t="s">
        <v>2789</v>
      </c>
      <c r="B541" s="304" t="s">
        <v>2804</v>
      </c>
      <c r="C541" s="305" t="s">
        <v>16</v>
      </c>
      <c r="D541" s="306"/>
      <c r="E541" s="306">
        <v>214.5</v>
      </c>
      <c r="F541" s="307" t="s">
        <v>2822</v>
      </c>
      <c r="G541" s="307" t="s">
        <v>2825</v>
      </c>
      <c r="H541" s="306">
        <f>12+52.5+20+30+32+30+38</f>
        <v>214.5</v>
      </c>
      <c r="I541" s="224">
        <f t="shared" si="10"/>
        <v>214.5</v>
      </c>
      <c r="J541" s="122"/>
      <c r="N541" s="49"/>
    </row>
    <row r="542" spans="1:14" ht="31.5">
      <c r="A542" s="12" t="s">
        <v>2790</v>
      </c>
      <c r="B542" s="304" t="s">
        <v>2805</v>
      </c>
      <c r="C542" s="305" t="s">
        <v>16</v>
      </c>
      <c r="D542" s="306"/>
      <c r="E542" s="306">
        <v>47</v>
      </c>
      <c r="F542" s="307" t="s">
        <v>2822</v>
      </c>
      <c r="G542" s="307" t="s">
        <v>2826</v>
      </c>
      <c r="H542" s="306">
        <f>2*19+9</f>
        <v>47</v>
      </c>
      <c r="I542" s="224">
        <f t="shared" si="10"/>
        <v>47</v>
      </c>
      <c r="J542" s="122"/>
      <c r="N542" s="49"/>
    </row>
    <row r="543" spans="1:14" ht="31.5">
      <c r="A543" s="12" t="s">
        <v>2791</v>
      </c>
      <c r="B543" s="304" t="s">
        <v>2806</v>
      </c>
      <c r="C543" s="305" t="s">
        <v>16</v>
      </c>
      <c r="D543" s="306"/>
      <c r="E543" s="306">
        <v>73</v>
      </c>
      <c r="F543" s="307" t="s">
        <v>2822</v>
      </c>
      <c r="G543" s="307" t="s">
        <v>2827</v>
      </c>
      <c r="H543" s="306">
        <f>12+11+21+11+18</f>
        <v>73</v>
      </c>
      <c r="I543" s="224">
        <f t="shared" si="10"/>
        <v>73</v>
      </c>
      <c r="J543" s="122"/>
      <c r="N543" s="49"/>
    </row>
    <row r="544" spans="1:14" ht="31.5">
      <c r="A544" s="12" t="s">
        <v>2792</v>
      </c>
      <c r="B544" s="304" t="s">
        <v>2807</v>
      </c>
      <c r="C544" s="305" t="s">
        <v>16</v>
      </c>
      <c r="D544" s="306"/>
      <c r="E544" s="306">
        <v>174</v>
      </c>
      <c r="F544" s="307" t="s">
        <v>2822</v>
      </c>
      <c r="G544" s="307" t="s">
        <v>2828</v>
      </c>
      <c r="H544" s="306">
        <f>18+12+18+22+22+22+22+38</f>
        <v>174</v>
      </c>
      <c r="I544" s="224">
        <f t="shared" si="10"/>
        <v>174</v>
      </c>
      <c r="J544" s="122"/>
      <c r="N544" s="49"/>
    </row>
    <row r="545" spans="1:14" ht="31.5">
      <c r="A545" s="12" t="s">
        <v>2793</v>
      </c>
      <c r="B545" s="304" t="s">
        <v>2808</v>
      </c>
      <c r="C545" s="305" t="s">
        <v>16</v>
      </c>
      <c r="D545" s="306"/>
      <c r="E545" s="306">
        <v>1695</v>
      </c>
      <c r="F545" s="307" t="s">
        <v>2822</v>
      </c>
      <c r="G545" s="307" t="s">
        <v>2829</v>
      </c>
      <c r="H545" s="306">
        <f>290+239+280+310+326+250</f>
        <v>1695</v>
      </c>
      <c r="I545" s="224">
        <f t="shared" si="10"/>
        <v>1695</v>
      </c>
      <c r="J545" s="122"/>
      <c r="N545" s="49"/>
    </row>
    <row r="546" spans="1:14">
      <c r="A546" s="12" t="s">
        <v>2794</v>
      </c>
      <c r="B546" s="304" t="s">
        <v>2809</v>
      </c>
      <c r="C546" s="305" t="s">
        <v>16</v>
      </c>
      <c r="D546" s="306"/>
      <c r="E546" s="306">
        <v>310</v>
      </c>
      <c r="F546" s="307" t="s">
        <v>2822</v>
      </c>
      <c r="G546" s="307" t="s">
        <v>2830</v>
      </c>
      <c r="H546" s="306">
        <f>50+60+60+50+70+20</f>
        <v>310</v>
      </c>
      <c r="I546" s="224">
        <f t="shared" si="10"/>
        <v>310</v>
      </c>
      <c r="J546" s="122"/>
      <c r="N546" s="49"/>
    </row>
    <row r="547" spans="1:14" ht="47.25">
      <c r="A547" s="12" t="s">
        <v>2795</v>
      </c>
      <c r="B547" s="304" t="s">
        <v>2810</v>
      </c>
      <c r="C547" s="305" t="s">
        <v>16</v>
      </c>
      <c r="D547" s="306"/>
      <c r="E547" s="306">
        <v>723.5</v>
      </c>
      <c r="F547" s="307" t="s">
        <v>2822</v>
      </c>
      <c r="G547" s="307" t="s">
        <v>2831</v>
      </c>
      <c r="H547" s="306">
        <f>168+242+142.5+171</f>
        <v>723.5</v>
      </c>
      <c r="I547" s="224">
        <f t="shared" si="10"/>
        <v>723.5</v>
      </c>
      <c r="J547" s="122"/>
      <c r="N547" s="49"/>
    </row>
    <row r="548" spans="1:14">
      <c r="A548" s="12" t="s">
        <v>2796</v>
      </c>
      <c r="B548" s="304" t="s">
        <v>2811</v>
      </c>
      <c r="C548" s="305" t="s">
        <v>16</v>
      </c>
      <c r="D548" s="306"/>
      <c r="E548" s="306">
        <v>122</v>
      </c>
      <c r="F548" s="307" t="s">
        <v>2822</v>
      </c>
      <c r="G548" s="307" t="s">
        <v>2832</v>
      </c>
      <c r="H548" s="306">
        <f>50+24+30+18</f>
        <v>122</v>
      </c>
      <c r="I548" s="224">
        <f t="shared" si="10"/>
        <v>122</v>
      </c>
      <c r="J548" s="122"/>
      <c r="N548" s="49"/>
    </row>
    <row r="549" spans="1:14" ht="31.5">
      <c r="A549" s="12" t="s">
        <v>2797</v>
      </c>
      <c r="B549" s="304" t="s">
        <v>2812</v>
      </c>
      <c r="C549" s="305" t="s">
        <v>16</v>
      </c>
      <c r="D549" s="306"/>
      <c r="E549" s="306">
        <v>421</v>
      </c>
      <c r="F549" s="307" t="s">
        <v>2822</v>
      </c>
      <c r="G549" s="307" t="s">
        <v>2833</v>
      </c>
      <c r="H549" s="306">
        <f>40+48+75+32+55+62+52+57</f>
        <v>421</v>
      </c>
      <c r="I549" s="224">
        <f t="shared" si="10"/>
        <v>421</v>
      </c>
      <c r="J549" s="122"/>
      <c r="N549" s="49"/>
    </row>
    <row r="550" spans="1:14" ht="31.5">
      <c r="A550" s="12" t="s">
        <v>2798</v>
      </c>
      <c r="B550" s="304" t="s">
        <v>2813</v>
      </c>
      <c r="C550" s="305" t="s">
        <v>16</v>
      </c>
      <c r="D550" s="306"/>
      <c r="E550" s="306">
        <v>28</v>
      </c>
      <c r="F550" s="307" t="s">
        <v>2822</v>
      </c>
      <c r="G550" s="307" t="s">
        <v>2834</v>
      </c>
      <c r="H550" s="306">
        <f>2*14</f>
        <v>28</v>
      </c>
      <c r="I550" s="224">
        <f t="shared" si="10"/>
        <v>28</v>
      </c>
      <c r="J550" s="122"/>
      <c r="N550" s="49"/>
    </row>
    <row r="551" spans="1:14" ht="31.5">
      <c r="A551" s="12" t="s">
        <v>2799</v>
      </c>
      <c r="B551" s="304" t="s">
        <v>2814</v>
      </c>
      <c r="C551" s="305" t="s">
        <v>16</v>
      </c>
      <c r="D551" s="306"/>
      <c r="E551" s="306">
        <v>442.5</v>
      </c>
      <c r="F551" s="307" t="s">
        <v>2822</v>
      </c>
      <c r="G551" s="307" t="s">
        <v>2835</v>
      </c>
      <c r="H551" s="306">
        <f>57.5+57.5+32.5+50+50+50+50+95</f>
        <v>442.5</v>
      </c>
      <c r="I551" s="224">
        <f t="shared" si="10"/>
        <v>442.5</v>
      </c>
      <c r="J551" s="122"/>
      <c r="N551" s="49"/>
    </row>
    <row r="552" spans="1:14" ht="63">
      <c r="A552" s="12" t="s">
        <v>2800</v>
      </c>
      <c r="B552" s="304" t="s">
        <v>2815</v>
      </c>
      <c r="C552" s="305" t="s">
        <v>14</v>
      </c>
      <c r="D552" s="306"/>
      <c r="E552" s="306">
        <v>2</v>
      </c>
      <c r="F552" s="307" t="s">
        <v>2822</v>
      </c>
      <c r="G552" s="307">
        <v>2</v>
      </c>
      <c r="H552" s="306">
        <f>2</f>
        <v>2</v>
      </c>
      <c r="I552" s="224">
        <f t="shared" si="10"/>
        <v>2</v>
      </c>
      <c r="J552" s="122"/>
      <c r="N552" s="49"/>
    </row>
    <row r="553" spans="1:14" ht="63">
      <c r="A553" s="12" t="s">
        <v>2801</v>
      </c>
      <c r="B553" s="304" t="s">
        <v>2816</v>
      </c>
      <c r="C553" s="305" t="s">
        <v>14</v>
      </c>
      <c r="D553" s="306"/>
      <c r="E553" s="306">
        <v>12</v>
      </c>
      <c r="F553" s="307" t="s">
        <v>2822</v>
      </c>
      <c r="G553" s="307" t="s">
        <v>2836</v>
      </c>
      <c r="H553" s="306">
        <f>1+2+1+2+2+2+2</f>
        <v>12</v>
      </c>
      <c r="I553" s="224">
        <f t="shared" si="10"/>
        <v>12</v>
      </c>
      <c r="J553" s="122"/>
      <c r="N553" s="49"/>
    </row>
    <row r="554" spans="1:14" ht="24.75" customHeight="1">
      <c r="A554" s="6" t="s">
        <v>110</v>
      </c>
      <c r="B554" s="7" t="s">
        <v>25</v>
      </c>
      <c r="C554" s="8" t="s">
        <v>4</v>
      </c>
      <c r="D554" s="44">
        <v>1</v>
      </c>
      <c r="E554" s="44"/>
      <c r="F554" s="307"/>
      <c r="G554" s="45"/>
      <c r="H554" s="44"/>
      <c r="I554" s="223" t="s">
        <v>243</v>
      </c>
      <c r="J554" s="232"/>
      <c r="N554" s="49"/>
    </row>
    <row r="555" spans="1:14" s="75" customFormat="1" ht="45">
      <c r="A555" s="12" t="s">
        <v>111</v>
      </c>
      <c r="B555" s="53" t="s">
        <v>1023</v>
      </c>
      <c r="C555" s="73" t="s">
        <v>7</v>
      </c>
      <c r="D555" s="44">
        <v>295</v>
      </c>
      <c r="E555" s="44"/>
      <c r="F555" s="68" t="s">
        <v>1551</v>
      </c>
      <c r="G555" s="45"/>
      <c r="H555" s="44">
        <v>55</v>
      </c>
      <c r="I555" s="224">
        <f>H555</f>
        <v>55</v>
      </c>
      <c r="J555" s="317"/>
      <c r="K555" s="521"/>
      <c r="L555" s="74"/>
      <c r="M555" s="202"/>
      <c r="N555" s="49"/>
    </row>
    <row r="556" spans="1:14" s="75" customFormat="1" ht="33.75">
      <c r="A556" s="12" t="s">
        <v>112</v>
      </c>
      <c r="B556" s="53" t="s">
        <v>1025</v>
      </c>
      <c r="C556" s="73" t="s">
        <v>15</v>
      </c>
      <c r="D556" s="44">
        <v>59</v>
      </c>
      <c r="E556" s="44"/>
      <c r="F556" s="45"/>
      <c r="G556" s="45"/>
      <c r="H556" s="44">
        <v>11</v>
      </c>
      <c r="I556" s="224">
        <f t="shared" ref="I556:I593" si="11">H556</f>
        <v>11</v>
      </c>
      <c r="J556" s="317"/>
      <c r="K556" s="521"/>
      <c r="L556" s="74"/>
      <c r="M556" s="202"/>
      <c r="N556" s="49"/>
    </row>
    <row r="557" spans="1:14" s="75" customFormat="1" ht="22.5">
      <c r="A557" s="12" t="s">
        <v>113</v>
      </c>
      <c r="B557" s="53" t="s">
        <v>1027</v>
      </c>
      <c r="C557" s="73" t="s">
        <v>15</v>
      </c>
      <c r="D557" s="44">
        <v>59</v>
      </c>
      <c r="E557" s="44"/>
      <c r="F557" s="45"/>
      <c r="G557" s="45"/>
      <c r="H557" s="44">
        <v>11</v>
      </c>
      <c r="I557" s="224">
        <f t="shared" si="11"/>
        <v>11</v>
      </c>
      <c r="J557" s="317"/>
      <c r="K557" s="521"/>
      <c r="L557" s="74"/>
      <c r="M557" s="202"/>
      <c r="N557" s="49"/>
    </row>
    <row r="558" spans="1:14" s="75" customFormat="1" ht="33.75">
      <c r="A558" s="12" t="s">
        <v>114</v>
      </c>
      <c r="B558" s="53" t="s">
        <v>1029</v>
      </c>
      <c r="C558" s="73" t="s">
        <v>1030</v>
      </c>
      <c r="D558" s="44">
        <v>9</v>
      </c>
      <c r="E558" s="44"/>
      <c r="F558" s="45"/>
      <c r="G558" s="45"/>
      <c r="H558" s="44">
        <v>0</v>
      </c>
      <c r="I558" s="224">
        <f t="shared" si="11"/>
        <v>0</v>
      </c>
      <c r="J558" s="317"/>
      <c r="K558" s="521"/>
      <c r="L558" s="74"/>
      <c r="M558" s="202"/>
      <c r="N558" s="49"/>
    </row>
    <row r="559" spans="1:14" s="75" customFormat="1" ht="45">
      <c r="A559" s="12" t="s">
        <v>152</v>
      </c>
      <c r="B559" s="53" t="s">
        <v>1032</v>
      </c>
      <c r="C559" s="73" t="s">
        <v>15</v>
      </c>
      <c r="D559" s="44">
        <v>22</v>
      </c>
      <c r="E559" s="44"/>
      <c r="F559" s="45"/>
      <c r="G559" s="45"/>
      <c r="H559" s="44">
        <v>8</v>
      </c>
      <c r="I559" s="224">
        <f t="shared" si="11"/>
        <v>8</v>
      </c>
      <c r="J559" s="317"/>
      <c r="K559" s="521"/>
      <c r="L559" s="74"/>
      <c r="M559" s="202"/>
      <c r="N559" s="49"/>
    </row>
    <row r="560" spans="1:14" s="75" customFormat="1" ht="45">
      <c r="A560" s="12" t="s">
        <v>151</v>
      </c>
      <c r="B560" s="53" t="s">
        <v>1034</v>
      </c>
      <c r="C560" s="73" t="s">
        <v>15</v>
      </c>
      <c r="D560" s="44">
        <v>22</v>
      </c>
      <c r="E560" s="44"/>
      <c r="F560" s="45"/>
      <c r="G560" s="45"/>
      <c r="H560" s="44">
        <v>8</v>
      </c>
      <c r="I560" s="224">
        <f t="shared" si="11"/>
        <v>8</v>
      </c>
      <c r="J560" s="317"/>
      <c r="K560" s="521"/>
      <c r="L560" s="74"/>
      <c r="M560" s="202"/>
      <c r="N560" s="49"/>
    </row>
    <row r="561" spans="1:14" s="75" customFormat="1" ht="45">
      <c r="A561" s="12" t="s">
        <v>150</v>
      </c>
      <c r="B561" s="53" t="s">
        <v>1036</v>
      </c>
      <c r="C561" s="73" t="s">
        <v>15</v>
      </c>
      <c r="D561" s="44">
        <v>5</v>
      </c>
      <c r="E561" s="44"/>
      <c r="F561" s="45"/>
      <c r="G561" s="45"/>
      <c r="H561" s="44">
        <v>0</v>
      </c>
      <c r="I561" s="224">
        <f t="shared" si="11"/>
        <v>0</v>
      </c>
      <c r="J561" s="317"/>
      <c r="K561" s="521"/>
      <c r="L561" s="74"/>
      <c r="M561" s="202"/>
      <c r="N561" s="49"/>
    </row>
    <row r="562" spans="1:14" s="75" customFormat="1" ht="45">
      <c r="A562" s="12" t="s">
        <v>149</v>
      </c>
      <c r="B562" s="53" t="s">
        <v>1038</v>
      </c>
      <c r="C562" s="73" t="s">
        <v>15</v>
      </c>
      <c r="D562" s="44">
        <v>5</v>
      </c>
      <c r="E562" s="44"/>
      <c r="F562" s="45"/>
      <c r="G562" s="45"/>
      <c r="H562" s="44">
        <v>0</v>
      </c>
      <c r="I562" s="224">
        <f t="shared" si="11"/>
        <v>0</v>
      </c>
      <c r="J562" s="317"/>
      <c r="K562" s="521"/>
      <c r="L562" s="74"/>
      <c r="M562" s="202"/>
      <c r="N562" s="49"/>
    </row>
    <row r="563" spans="1:14" s="75" customFormat="1" ht="33.75">
      <c r="A563" s="12" t="s">
        <v>148</v>
      </c>
      <c r="B563" s="53" t="s">
        <v>1040</v>
      </c>
      <c r="C563" s="73" t="s">
        <v>14</v>
      </c>
      <c r="D563" s="44">
        <v>1</v>
      </c>
      <c r="E563" s="44"/>
      <c r="F563" s="45"/>
      <c r="G563" s="45"/>
      <c r="H563" s="44">
        <v>0</v>
      </c>
      <c r="I563" s="224">
        <f t="shared" si="11"/>
        <v>0</v>
      </c>
      <c r="J563" s="317"/>
      <c r="K563" s="521"/>
      <c r="L563" s="74"/>
      <c r="M563" s="202"/>
      <c r="N563" s="49"/>
    </row>
    <row r="564" spans="1:14" s="75" customFormat="1" ht="33.75">
      <c r="A564" s="12" t="s">
        <v>1042</v>
      </c>
      <c r="B564" s="53" t="s">
        <v>1043</v>
      </c>
      <c r="C564" s="73" t="s">
        <v>15</v>
      </c>
      <c r="D564" s="44">
        <v>1</v>
      </c>
      <c r="E564" s="44"/>
      <c r="F564" s="45"/>
      <c r="G564" s="45"/>
      <c r="H564" s="44">
        <v>0</v>
      </c>
      <c r="I564" s="224">
        <f t="shared" si="11"/>
        <v>0</v>
      </c>
      <c r="J564" s="317"/>
      <c r="K564" s="521"/>
      <c r="L564" s="74"/>
      <c r="M564" s="202"/>
      <c r="N564" s="49"/>
    </row>
    <row r="565" spans="1:14" s="75" customFormat="1" ht="67.5">
      <c r="A565" s="12" t="s">
        <v>1045</v>
      </c>
      <c r="B565" s="53" t="s">
        <v>1046</v>
      </c>
      <c r="C565" s="73" t="s">
        <v>15</v>
      </c>
      <c r="D565" s="44">
        <v>1</v>
      </c>
      <c r="E565" s="44"/>
      <c r="F565" s="45"/>
      <c r="G565" s="45"/>
      <c r="H565" s="44">
        <v>0</v>
      </c>
      <c r="I565" s="224">
        <f t="shared" si="11"/>
        <v>0</v>
      </c>
      <c r="J565" s="317"/>
      <c r="K565" s="521"/>
      <c r="L565" s="74"/>
      <c r="M565" s="202"/>
      <c r="N565" s="49"/>
    </row>
    <row r="566" spans="1:14" s="75" customFormat="1" ht="45">
      <c r="A566" s="12" t="s">
        <v>1048</v>
      </c>
      <c r="B566" s="53" t="s">
        <v>1049</v>
      </c>
      <c r="C566" s="73" t="s">
        <v>15</v>
      </c>
      <c r="D566" s="44">
        <v>6</v>
      </c>
      <c r="E566" s="44"/>
      <c r="F566" s="45"/>
      <c r="G566" s="45"/>
      <c r="H566" s="44">
        <v>0</v>
      </c>
      <c r="I566" s="224">
        <f t="shared" si="11"/>
        <v>0</v>
      </c>
      <c r="J566" s="317"/>
      <c r="K566" s="521"/>
      <c r="L566" s="74"/>
      <c r="M566" s="202"/>
      <c r="N566" s="49"/>
    </row>
    <row r="567" spans="1:14" s="75" customFormat="1" ht="22.5">
      <c r="A567" s="12" t="s">
        <v>1051</v>
      </c>
      <c r="B567" s="53" t="s">
        <v>1052</v>
      </c>
      <c r="C567" s="73" t="s">
        <v>14</v>
      </c>
      <c r="D567" s="44">
        <v>75</v>
      </c>
      <c r="E567" s="44"/>
      <c r="F567" s="45" t="s">
        <v>1234</v>
      </c>
      <c r="G567" s="45"/>
      <c r="H567" s="44">
        <v>27</v>
      </c>
      <c r="I567" s="224">
        <f t="shared" si="11"/>
        <v>27</v>
      </c>
      <c r="J567" s="317"/>
      <c r="K567" s="521"/>
      <c r="L567" s="74"/>
      <c r="M567" s="202"/>
      <c r="N567" s="49"/>
    </row>
    <row r="568" spans="1:14" s="75" customFormat="1" ht="22.5">
      <c r="A568" s="12" t="s">
        <v>1054</v>
      </c>
      <c r="B568" s="53" t="s">
        <v>1055</v>
      </c>
      <c r="C568" s="73" t="s">
        <v>1007</v>
      </c>
      <c r="D568" s="44">
        <v>75</v>
      </c>
      <c r="E568" s="44"/>
      <c r="F568" s="45"/>
      <c r="G568" s="45"/>
      <c r="H568" s="44">
        <v>0</v>
      </c>
      <c r="I568" s="224">
        <f t="shared" si="11"/>
        <v>0</v>
      </c>
      <c r="J568" s="317"/>
      <c r="K568" s="521"/>
      <c r="L568" s="74"/>
      <c r="M568" s="202"/>
      <c r="N568" s="49"/>
    </row>
    <row r="569" spans="1:14" s="75" customFormat="1" ht="45">
      <c r="A569" s="12" t="s">
        <v>1057</v>
      </c>
      <c r="B569" s="53" t="s">
        <v>1058</v>
      </c>
      <c r="C569" s="73" t="s">
        <v>15</v>
      </c>
      <c r="D569" s="44">
        <v>1</v>
      </c>
      <c r="E569" s="44"/>
      <c r="F569" s="45"/>
      <c r="G569" s="45"/>
      <c r="H569" s="44">
        <v>0</v>
      </c>
      <c r="I569" s="224">
        <f t="shared" si="11"/>
        <v>0</v>
      </c>
      <c r="J569" s="317"/>
      <c r="K569" s="521"/>
      <c r="L569" s="74"/>
      <c r="M569" s="202"/>
      <c r="N569" s="49"/>
    </row>
    <row r="570" spans="1:14" s="75" customFormat="1" ht="33.75">
      <c r="A570" s="12" t="s">
        <v>1060</v>
      </c>
      <c r="B570" s="53" t="s">
        <v>1061</v>
      </c>
      <c r="C570" s="73" t="s">
        <v>15</v>
      </c>
      <c r="D570" s="44">
        <v>1</v>
      </c>
      <c r="E570" s="44"/>
      <c r="F570" s="45"/>
      <c r="G570" s="45"/>
      <c r="H570" s="44">
        <v>0</v>
      </c>
      <c r="I570" s="224">
        <f t="shared" si="11"/>
        <v>0</v>
      </c>
      <c r="J570" s="317"/>
      <c r="K570" s="521"/>
      <c r="L570" s="74"/>
      <c r="M570" s="202"/>
      <c r="N570" s="49"/>
    </row>
    <row r="571" spans="1:14" s="75" customFormat="1" ht="45">
      <c r="A571" s="12" t="s">
        <v>1063</v>
      </c>
      <c r="B571" s="53" t="s">
        <v>1064</v>
      </c>
      <c r="C571" s="73" t="s">
        <v>15</v>
      </c>
      <c r="D571" s="44">
        <v>11</v>
      </c>
      <c r="E571" s="44"/>
      <c r="F571" s="45"/>
      <c r="G571" s="45"/>
      <c r="H571" s="44">
        <v>0</v>
      </c>
      <c r="I571" s="224">
        <f t="shared" si="11"/>
        <v>0</v>
      </c>
      <c r="J571" s="317"/>
      <c r="K571" s="521"/>
      <c r="L571" s="74"/>
      <c r="M571" s="202"/>
      <c r="N571" s="49"/>
    </row>
    <row r="572" spans="1:14" s="75" customFormat="1" ht="33.75">
      <c r="A572" s="12" t="s">
        <v>1066</v>
      </c>
      <c r="B572" s="53" t="s">
        <v>1067</v>
      </c>
      <c r="C572" s="73" t="s">
        <v>15</v>
      </c>
      <c r="D572" s="44">
        <v>3</v>
      </c>
      <c r="E572" s="44"/>
      <c r="F572" s="45"/>
      <c r="G572" s="45"/>
      <c r="H572" s="44">
        <v>0</v>
      </c>
      <c r="I572" s="224">
        <f t="shared" si="11"/>
        <v>0</v>
      </c>
      <c r="J572" s="317"/>
      <c r="K572" s="521"/>
      <c r="L572" s="74"/>
      <c r="M572" s="202"/>
      <c r="N572" s="49"/>
    </row>
    <row r="573" spans="1:14" s="75" customFormat="1" ht="45">
      <c r="A573" s="12" t="s">
        <v>1069</v>
      </c>
      <c r="B573" s="53" t="s">
        <v>1070</v>
      </c>
      <c r="C573" s="73" t="s">
        <v>14</v>
      </c>
      <c r="D573" s="44">
        <v>5</v>
      </c>
      <c r="E573" s="44"/>
      <c r="F573" s="45"/>
      <c r="G573" s="45"/>
      <c r="H573" s="44">
        <v>0</v>
      </c>
      <c r="I573" s="224">
        <f t="shared" si="11"/>
        <v>0</v>
      </c>
      <c r="J573" s="317"/>
      <c r="K573" s="521"/>
      <c r="L573" s="74"/>
      <c r="M573" s="202"/>
      <c r="N573" s="49"/>
    </row>
    <row r="574" spans="1:14" s="75" customFormat="1" ht="33.75">
      <c r="A574" s="12" t="s">
        <v>1072</v>
      </c>
      <c r="B574" s="53" t="s">
        <v>1073</v>
      </c>
      <c r="C574" s="73" t="s">
        <v>14</v>
      </c>
      <c r="D574" s="44">
        <v>1</v>
      </c>
      <c r="E574" s="44"/>
      <c r="F574" s="45"/>
      <c r="G574" s="45"/>
      <c r="H574" s="44">
        <v>0</v>
      </c>
      <c r="I574" s="224">
        <f t="shared" si="11"/>
        <v>0</v>
      </c>
      <c r="J574" s="317"/>
      <c r="K574" s="521"/>
      <c r="L574" s="74"/>
      <c r="M574" s="202"/>
      <c r="N574" s="49"/>
    </row>
    <row r="575" spans="1:14" s="75" customFormat="1" ht="33.75">
      <c r="A575" s="12" t="s">
        <v>1075</v>
      </c>
      <c r="B575" s="53" t="s">
        <v>1076</v>
      </c>
      <c r="C575" s="73" t="s">
        <v>15</v>
      </c>
      <c r="D575" s="44">
        <v>2</v>
      </c>
      <c r="E575" s="44"/>
      <c r="F575" s="45"/>
      <c r="G575" s="45"/>
      <c r="H575" s="44">
        <v>0</v>
      </c>
      <c r="I575" s="224">
        <f t="shared" si="11"/>
        <v>0</v>
      </c>
      <c r="J575" s="317"/>
      <c r="K575" s="521"/>
      <c r="L575" s="74"/>
      <c r="M575" s="202"/>
      <c r="N575" s="49"/>
    </row>
    <row r="576" spans="1:14" s="75" customFormat="1" ht="33.75">
      <c r="A576" s="12" t="s">
        <v>1078</v>
      </c>
      <c r="B576" s="53" t="s">
        <v>1079</v>
      </c>
      <c r="C576" s="73" t="s">
        <v>14</v>
      </c>
      <c r="D576" s="44">
        <v>1</v>
      </c>
      <c r="E576" s="44"/>
      <c r="F576" s="45"/>
      <c r="G576" s="45"/>
      <c r="H576" s="44">
        <v>0</v>
      </c>
      <c r="I576" s="224">
        <f t="shared" si="11"/>
        <v>0</v>
      </c>
      <c r="J576" s="317"/>
      <c r="K576" s="521"/>
      <c r="L576" s="74"/>
      <c r="M576" s="202"/>
      <c r="N576" s="49"/>
    </row>
    <row r="577" spans="1:14" s="75" customFormat="1" ht="33.75">
      <c r="A577" s="12" t="s">
        <v>1081</v>
      </c>
      <c r="B577" s="53" t="s">
        <v>1082</v>
      </c>
      <c r="C577" s="73" t="s">
        <v>14</v>
      </c>
      <c r="D577" s="44">
        <v>1</v>
      </c>
      <c r="E577" s="44"/>
      <c r="F577" s="45"/>
      <c r="G577" s="45"/>
      <c r="H577" s="44">
        <v>0</v>
      </c>
      <c r="I577" s="224">
        <f t="shared" si="11"/>
        <v>0</v>
      </c>
      <c r="J577" s="317"/>
      <c r="K577" s="521"/>
      <c r="L577" s="74"/>
      <c r="M577" s="202"/>
      <c r="N577" s="49"/>
    </row>
    <row r="578" spans="1:14" s="75" customFormat="1" ht="33.75">
      <c r="A578" s="12" t="s">
        <v>1084</v>
      </c>
      <c r="B578" s="53" t="s">
        <v>1085</v>
      </c>
      <c r="C578" s="73" t="s">
        <v>15</v>
      </c>
      <c r="D578" s="44">
        <v>4</v>
      </c>
      <c r="E578" s="44"/>
      <c r="F578" s="45"/>
      <c r="G578" s="45"/>
      <c r="H578" s="44">
        <v>0</v>
      </c>
      <c r="I578" s="224">
        <f t="shared" si="11"/>
        <v>0</v>
      </c>
      <c r="J578" s="317"/>
      <c r="K578" s="521"/>
      <c r="L578" s="74"/>
      <c r="M578" s="202"/>
      <c r="N578" s="49"/>
    </row>
    <row r="579" spans="1:14" s="75" customFormat="1" ht="45">
      <c r="A579" s="12" t="s">
        <v>1087</v>
      </c>
      <c r="B579" s="53" t="s">
        <v>1088</v>
      </c>
      <c r="C579" s="73" t="s">
        <v>15</v>
      </c>
      <c r="D579" s="44">
        <v>2</v>
      </c>
      <c r="E579" s="44"/>
      <c r="F579" s="45"/>
      <c r="G579" s="45"/>
      <c r="H579" s="44">
        <v>0</v>
      </c>
      <c r="I579" s="224">
        <f t="shared" si="11"/>
        <v>0</v>
      </c>
      <c r="J579" s="317"/>
      <c r="K579" s="521"/>
      <c r="L579" s="74"/>
      <c r="M579" s="202"/>
      <c r="N579" s="49"/>
    </row>
    <row r="580" spans="1:14" s="75" customFormat="1" ht="33.75">
      <c r="A580" s="12" t="s">
        <v>1090</v>
      </c>
      <c r="B580" s="53" t="s">
        <v>1091</v>
      </c>
      <c r="C580" s="73" t="s">
        <v>14</v>
      </c>
      <c r="D580" s="44">
        <v>1</v>
      </c>
      <c r="E580" s="44"/>
      <c r="F580" s="45"/>
      <c r="G580" s="45"/>
      <c r="H580" s="44">
        <v>0</v>
      </c>
      <c r="I580" s="224">
        <f t="shared" si="11"/>
        <v>0</v>
      </c>
      <c r="J580" s="317"/>
      <c r="K580" s="521"/>
      <c r="L580" s="74"/>
      <c r="M580" s="202"/>
      <c r="N580" s="49"/>
    </row>
    <row r="581" spans="1:14" s="75" customFormat="1" ht="33.75">
      <c r="A581" s="12" t="s">
        <v>1093</v>
      </c>
      <c r="B581" s="53" t="s">
        <v>1094</v>
      </c>
      <c r="C581" s="73" t="s">
        <v>1095</v>
      </c>
      <c r="D581" s="44">
        <v>3</v>
      </c>
      <c r="E581" s="44"/>
      <c r="F581" s="45"/>
      <c r="G581" s="45"/>
      <c r="H581" s="44">
        <v>0</v>
      </c>
      <c r="I581" s="224">
        <f t="shared" si="11"/>
        <v>0</v>
      </c>
      <c r="J581" s="317"/>
      <c r="K581" s="521"/>
      <c r="L581" s="74"/>
      <c r="M581" s="202"/>
      <c r="N581" s="49"/>
    </row>
    <row r="582" spans="1:14" s="75" customFormat="1" ht="22.5">
      <c r="A582" s="12" t="s">
        <v>1097</v>
      </c>
      <c r="B582" s="53" t="s">
        <v>1098</v>
      </c>
      <c r="C582" s="73" t="s">
        <v>1095</v>
      </c>
      <c r="D582" s="44">
        <v>4</v>
      </c>
      <c r="E582" s="44"/>
      <c r="F582" s="45"/>
      <c r="G582" s="45"/>
      <c r="H582" s="44">
        <v>0</v>
      </c>
      <c r="I582" s="224">
        <f t="shared" si="11"/>
        <v>0</v>
      </c>
      <c r="J582" s="317"/>
      <c r="K582" s="521"/>
      <c r="L582" s="74"/>
      <c r="M582" s="202"/>
      <c r="N582" s="49"/>
    </row>
    <row r="583" spans="1:14" s="75" customFormat="1" ht="23.25" customHeight="1">
      <c r="A583" s="12" t="s">
        <v>1100</v>
      </c>
      <c r="B583" s="53" t="s">
        <v>1101</v>
      </c>
      <c r="C583" s="73" t="s">
        <v>15</v>
      </c>
      <c r="D583" s="44">
        <v>2</v>
      </c>
      <c r="E583" s="44"/>
      <c r="F583" s="45"/>
      <c r="G583" s="45"/>
      <c r="H583" s="44">
        <v>0</v>
      </c>
      <c r="I583" s="224">
        <f t="shared" si="11"/>
        <v>0</v>
      </c>
      <c r="J583" s="317"/>
      <c r="K583" s="521"/>
      <c r="L583" s="74"/>
      <c r="M583" s="202"/>
      <c r="N583" s="49"/>
    </row>
    <row r="584" spans="1:14" s="75" customFormat="1" ht="33.75">
      <c r="A584" s="12" t="s">
        <v>1103</v>
      </c>
      <c r="B584" s="53" t="s">
        <v>1104</v>
      </c>
      <c r="C584" s="73" t="s">
        <v>15</v>
      </c>
      <c r="D584" s="44">
        <v>4</v>
      </c>
      <c r="E584" s="44"/>
      <c r="F584" s="45"/>
      <c r="G584" s="45"/>
      <c r="H584" s="44">
        <v>0</v>
      </c>
      <c r="I584" s="224">
        <f t="shared" si="11"/>
        <v>0</v>
      </c>
      <c r="J584" s="317"/>
      <c r="K584" s="521"/>
      <c r="L584" s="74"/>
      <c r="M584" s="202"/>
      <c r="N584" s="49"/>
    </row>
    <row r="585" spans="1:14" s="75" customFormat="1" ht="33.75">
      <c r="A585" s="12" t="s">
        <v>1106</v>
      </c>
      <c r="B585" s="53" t="s">
        <v>1107</v>
      </c>
      <c r="C585" s="73" t="s">
        <v>14</v>
      </c>
      <c r="D585" s="44">
        <v>2</v>
      </c>
      <c r="E585" s="44"/>
      <c r="F585" s="45"/>
      <c r="G585" s="45"/>
      <c r="H585" s="44">
        <v>0</v>
      </c>
      <c r="I585" s="224">
        <f t="shared" si="11"/>
        <v>0</v>
      </c>
      <c r="J585" s="317"/>
      <c r="K585" s="521"/>
      <c r="L585" s="74"/>
      <c r="M585" s="202"/>
      <c r="N585" s="49"/>
    </row>
    <row r="586" spans="1:14" s="75" customFormat="1" ht="33.75">
      <c r="A586" s="12" t="s">
        <v>1109</v>
      </c>
      <c r="B586" s="53" t="s">
        <v>224</v>
      </c>
      <c r="C586" s="73" t="s">
        <v>15</v>
      </c>
      <c r="D586" s="44">
        <v>12</v>
      </c>
      <c r="E586" s="44"/>
      <c r="F586" s="45"/>
      <c r="G586" s="45"/>
      <c r="H586" s="44">
        <v>0</v>
      </c>
      <c r="I586" s="224">
        <f t="shared" si="11"/>
        <v>0</v>
      </c>
      <c r="J586" s="317"/>
      <c r="K586" s="521"/>
      <c r="L586" s="74"/>
      <c r="M586" s="202"/>
      <c r="N586" s="49"/>
    </row>
    <row r="587" spans="1:14" s="75" customFormat="1" ht="22.5">
      <c r="A587" s="12" t="s">
        <v>1111</v>
      </c>
      <c r="B587" s="53" t="s">
        <v>1112</v>
      </c>
      <c r="C587" s="73" t="s">
        <v>15</v>
      </c>
      <c r="D587" s="44">
        <v>2</v>
      </c>
      <c r="E587" s="44"/>
      <c r="F587" s="45"/>
      <c r="G587" s="45"/>
      <c r="H587" s="44">
        <v>2</v>
      </c>
      <c r="I587" s="224">
        <f t="shared" si="11"/>
        <v>2</v>
      </c>
      <c r="J587" s="317"/>
      <c r="K587" s="521"/>
      <c r="L587" s="74"/>
      <c r="M587" s="202"/>
      <c r="N587" s="49"/>
    </row>
    <row r="588" spans="1:14" s="75" customFormat="1" ht="33.75">
      <c r="A588" s="12" t="s">
        <v>1114</v>
      </c>
      <c r="B588" s="53" t="s">
        <v>1115</v>
      </c>
      <c r="C588" s="73" t="s">
        <v>1116</v>
      </c>
      <c r="D588" s="44">
        <v>4</v>
      </c>
      <c r="E588" s="44"/>
      <c r="F588" s="45"/>
      <c r="G588" s="45"/>
      <c r="H588" s="44">
        <v>0</v>
      </c>
      <c r="I588" s="224">
        <f t="shared" si="11"/>
        <v>0</v>
      </c>
      <c r="J588" s="317"/>
      <c r="K588" s="521"/>
      <c r="L588" s="74"/>
      <c r="M588" s="202"/>
      <c r="N588" s="49"/>
    </row>
    <row r="589" spans="1:14" s="75" customFormat="1">
      <c r="A589" s="12" t="s">
        <v>1541</v>
      </c>
      <c r="B589" s="53" t="s">
        <v>1542</v>
      </c>
      <c r="C589" s="73" t="s">
        <v>15</v>
      </c>
      <c r="D589" s="44"/>
      <c r="E589" s="44">
        <v>1</v>
      </c>
      <c r="F589" s="45"/>
      <c r="G589" s="45"/>
      <c r="H589" s="44">
        <v>1</v>
      </c>
      <c r="I589" s="224">
        <f t="shared" si="11"/>
        <v>1</v>
      </c>
      <c r="J589" s="317"/>
      <c r="K589" s="521"/>
      <c r="L589" s="74"/>
      <c r="M589" s="202"/>
      <c r="N589" s="49"/>
    </row>
    <row r="590" spans="1:14" s="75" customFormat="1" ht="22.5">
      <c r="A590" s="12" t="s">
        <v>1543</v>
      </c>
      <c r="B590" s="53" t="s">
        <v>1544</v>
      </c>
      <c r="C590" s="73" t="s">
        <v>15</v>
      </c>
      <c r="D590" s="44"/>
      <c r="E590" s="44">
        <v>1</v>
      </c>
      <c r="F590" s="45"/>
      <c r="G590" s="45"/>
      <c r="H590" s="44">
        <v>1</v>
      </c>
      <c r="I590" s="224">
        <f t="shared" si="11"/>
        <v>1</v>
      </c>
      <c r="J590" s="317"/>
      <c r="K590" s="521"/>
      <c r="L590" s="74"/>
      <c r="M590" s="202"/>
      <c r="N590" s="49"/>
    </row>
    <row r="591" spans="1:14" s="75" customFormat="1" ht="45">
      <c r="A591" s="12" t="s">
        <v>1545</v>
      </c>
      <c r="B591" s="53" t="s">
        <v>1546</v>
      </c>
      <c r="C591" s="73" t="s">
        <v>15</v>
      </c>
      <c r="D591" s="44"/>
      <c r="E591" s="44">
        <v>2</v>
      </c>
      <c r="F591" s="45"/>
      <c r="G591" s="45"/>
      <c r="H591" s="44">
        <v>2</v>
      </c>
      <c r="I591" s="224">
        <f t="shared" si="11"/>
        <v>2</v>
      </c>
      <c r="J591" s="317"/>
      <c r="K591" s="521"/>
      <c r="L591" s="74"/>
      <c r="M591" s="202"/>
      <c r="N591" s="49"/>
    </row>
    <row r="592" spans="1:14" s="75" customFormat="1" ht="33.75">
      <c r="A592" s="12" t="s">
        <v>1547</v>
      </c>
      <c r="B592" s="53" t="s">
        <v>1548</v>
      </c>
      <c r="C592" s="73" t="s">
        <v>15</v>
      </c>
      <c r="D592" s="44"/>
      <c r="E592" s="44">
        <v>1</v>
      </c>
      <c r="F592" s="45"/>
      <c r="G592" s="45"/>
      <c r="H592" s="44">
        <v>1</v>
      </c>
      <c r="I592" s="224">
        <f t="shared" si="11"/>
        <v>1</v>
      </c>
      <c r="J592" s="317"/>
      <c r="K592" s="521"/>
      <c r="L592" s="74"/>
      <c r="M592" s="202"/>
      <c r="N592" s="49"/>
    </row>
    <row r="593" spans="1:14" s="75" customFormat="1" ht="33.75">
      <c r="A593" s="12" t="s">
        <v>1549</v>
      </c>
      <c r="B593" s="53" t="s">
        <v>1550</v>
      </c>
      <c r="C593" s="73" t="s">
        <v>15</v>
      </c>
      <c r="D593" s="44"/>
      <c r="E593" s="44">
        <v>2</v>
      </c>
      <c r="F593" s="45"/>
      <c r="G593" s="45"/>
      <c r="H593" s="44">
        <v>2</v>
      </c>
      <c r="I593" s="224">
        <f t="shared" si="11"/>
        <v>2</v>
      </c>
      <c r="J593" s="317"/>
      <c r="K593" s="521"/>
      <c r="L593" s="74"/>
      <c r="M593" s="202"/>
      <c r="N593" s="49"/>
    </row>
    <row r="594" spans="1:14" ht="25.5" customHeight="1">
      <c r="A594" s="6" t="s">
        <v>115</v>
      </c>
      <c r="B594" s="7" t="s">
        <v>1118</v>
      </c>
      <c r="C594" s="8" t="s">
        <v>4</v>
      </c>
      <c r="D594" s="44">
        <v>1</v>
      </c>
      <c r="E594" s="44"/>
      <c r="F594" s="45"/>
      <c r="G594" s="45"/>
      <c r="H594" s="44"/>
      <c r="I594" s="223" t="s">
        <v>243</v>
      </c>
      <c r="J594" s="232"/>
      <c r="N594" s="49"/>
    </row>
    <row r="595" spans="1:14" ht="28.5">
      <c r="A595" s="12" t="s">
        <v>116</v>
      </c>
      <c r="B595" s="10" t="s">
        <v>26</v>
      </c>
      <c r="C595" s="8" t="s">
        <v>20</v>
      </c>
      <c r="D595" s="44">
        <v>48</v>
      </c>
      <c r="E595" s="44"/>
      <c r="F595" s="45"/>
      <c r="G595" s="45"/>
      <c r="H595" s="44">
        <v>20</v>
      </c>
      <c r="I595" s="224">
        <f>H595</f>
        <v>20</v>
      </c>
      <c r="J595" s="232"/>
      <c r="N595" s="49"/>
    </row>
    <row r="596" spans="1:14" ht="31.5">
      <c r="A596" s="12" t="s">
        <v>117</v>
      </c>
      <c r="B596" s="7" t="s">
        <v>27</v>
      </c>
      <c r="C596" s="8" t="s">
        <v>21</v>
      </c>
      <c r="D596" s="44">
        <v>6720</v>
      </c>
      <c r="E596" s="44">
        <v>28448</v>
      </c>
      <c r="F596" s="45"/>
      <c r="G596" s="45"/>
      <c r="H596" s="44">
        <v>8120</v>
      </c>
      <c r="I596" s="224">
        <f t="shared" ref="I596:I597" si="12">H596</f>
        <v>8120</v>
      </c>
      <c r="J596" s="232"/>
      <c r="N596" s="49"/>
    </row>
    <row r="597" spans="1:14" ht="31.5">
      <c r="A597" s="12" t="s">
        <v>1552</v>
      </c>
      <c r="B597" s="7" t="s">
        <v>1553</v>
      </c>
      <c r="C597" s="8" t="s">
        <v>1554</v>
      </c>
      <c r="D597" s="44"/>
      <c r="E597" s="44">
        <v>1570</v>
      </c>
      <c r="F597" s="45"/>
      <c r="G597" s="45"/>
      <c r="H597" s="44">
        <v>228</v>
      </c>
      <c r="I597" s="224">
        <f t="shared" si="12"/>
        <v>228</v>
      </c>
      <c r="J597" s="232"/>
      <c r="N597" s="49"/>
    </row>
    <row r="598" spans="1:14" ht="33">
      <c r="A598" s="6" t="s">
        <v>118</v>
      </c>
      <c r="B598" s="7" t="s">
        <v>1121</v>
      </c>
      <c r="C598" s="8" t="s">
        <v>4</v>
      </c>
      <c r="D598" s="44">
        <v>1</v>
      </c>
      <c r="E598" s="44"/>
      <c r="F598" s="45"/>
      <c r="G598" s="45"/>
      <c r="H598" s="44"/>
      <c r="I598" s="223" t="s">
        <v>243</v>
      </c>
      <c r="J598" s="232"/>
      <c r="N598" s="49"/>
    </row>
    <row r="599" spans="1:14" ht="33">
      <c r="A599" s="12" t="s">
        <v>119</v>
      </c>
      <c r="B599" s="10" t="s">
        <v>1122</v>
      </c>
      <c r="C599" s="8" t="s">
        <v>8</v>
      </c>
      <c r="D599" s="44">
        <v>1294.97</v>
      </c>
      <c r="E599" s="44"/>
      <c r="F599" s="45" t="s">
        <v>1560</v>
      </c>
      <c r="G599" s="45" t="s">
        <v>1562</v>
      </c>
      <c r="H599" s="44">
        <f>(26.7+162+38.2+16.7+58+10+12+85.8+30+66.5+104.5+88+175+82.8)+(85.9+69.2+36)+(31.5+29.1+37.6+28)</f>
        <v>1273.5</v>
      </c>
      <c r="I599" s="224">
        <f>H599</f>
        <v>1273.5</v>
      </c>
      <c r="J599" s="232"/>
      <c r="N599" s="49"/>
    </row>
    <row r="600" spans="1:14" ht="42.75">
      <c r="A600" s="12" t="s">
        <v>120</v>
      </c>
      <c r="B600" s="10" t="s">
        <v>1124</v>
      </c>
      <c r="C600" s="8" t="s">
        <v>13</v>
      </c>
      <c r="D600" s="44">
        <v>1840.93</v>
      </c>
      <c r="E600" s="44"/>
      <c r="F600" s="45" t="s">
        <v>1563</v>
      </c>
      <c r="G600" s="45" t="s">
        <v>1564</v>
      </c>
      <c r="H600" s="44">
        <f>((26.7+162+38.2+16.7+58+10+12+85.8+30+66.5+175)*2.4)+220</f>
        <v>1854.1599999999999</v>
      </c>
      <c r="I600" s="224">
        <f t="shared" ref="I600:I615" si="13">H600</f>
        <v>1854.1599999999999</v>
      </c>
      <c r="J600" s="232"/>
      <c r="N600" s="49"/>
    </row>
    <row r="601" spans="1:14" ht="42.75">
      <c r="A601" s="12" t="s">
        <v>121</v>
      </c>
      <c r="B601" s="10" t="s">
        <v>32</v>
      </c>
      <c r="C601" s="8" t="s">
        <v>7</v>
      </c>
      <c r="D601" s="44">
        <v>59</v>
      </c>
      <c r="E601" s="44"/>
      <c r="F601" s="45" t="s">
        <v>1218</v>
      </c>
      <c r="G601" s="45"/>
      <c r="H601" s="44">
        <v>59</v>
      </c>
      <c r="I601" s="224">
        <f t="shared" si="13"/>
        <v>59</v>
      </c>
      <c r="J601" s="232"/>
      <c r="N601" s="49"/>
    </row>
    <row r="602" spans="1:14">
      <c r="A602" s="12" t="s">
        <v>122</v>
      </c>
      <c r="B602" s="7" t="s">
        <v>33</v>
      </c>
      <c r="C602" s="8" t="s">
        <v>5</v>
      </c>
      <c r="D602" s="44">
        <v>30</v>
      </c>
      <c r="E602" s="44"/>
      <c r="F602" s="45" t="s">
        <v>1219</v>
      </c>
      <c r="G602" s="45"/>
      <c r="H602" s="44">
        <v>30</v>
      </c>
      <c r="I602" s="224">
        <f t="shared" si="13"/>
        <v>30</v>
      </c>
      <c r="J602" s="232"/>
      <c r="N602" s="49"/>
    </row>
    <row r="603" spans="1:14">
      <c r="A603" s="12" t="s">
        <v>123</v>
      </c>
      <c r="B603" s="7" t="s">
        <v>1128</v>
      </c>
      <c r="C603" s="8" t="s">
        <v>0</v>
      </c>
      <c r="D603" s="44">
        <v>19</v>
      </c>
      <c r="E603" s="44"/>
      <c r="F603" s="45" t="s">
        <v>1220</v>
      </c>
      <c r="G603" s="45"/>
      <c r="H603" s="44">
        <v>19</v>
      </c>
      <c r="I603" s="224">
        <f t="shared" si="13"/>
        <v>19</v>
      </c>
      <c r="J603" s="232"/>
      <c r="N603" s="49"/>
    </row>
    <row r="604" spans="1:14">
      <c r="A604" s="12" t="s">
        <v>124</v>
      </c>
      <c r="B604" s="7" t="s">
        <v>1130</v>
      </c>
      <c r="C604" s="8" t="s">
        <v>0</v>
      </c>
      <c r="D604" s="44">
        <v>10</v>
      </c>
      <c r="E604" s="44"/>
      <c r="F604" s="45" t="s">
        <v>1221</v>
      </c>
      <c r="G604" s="45"/>
      <c r="H604" s="44">
        <v>10</v>
      </c>
      <c r="I604" s="224">
        <f t="shared" si="13"/>
        <v>10</v>
      </c>
      <c r="J604" s="232"/>
      <c r="N604" s="49"/>
    </row>
    <row r="605" spans="1:14">
      <c r="A605" s="12" t="s">
        <v>125</v>
      </c>
      <c r="B605" s="7" t="s">
        <v>30</v>
      </c>
      <c r="C605" s="8" t="s">
        <v>0</v>
      </c>
      <c r="D605" s="44">
        <v>577</v>
      </c>
      <c r="E605" s="44"/>
      <c r="F605" s="45"/>
      <c r="G605" s="45"/>
      <c r="H605" s="44">
        <v>387</v>
      </c>
      <c r="I605" s="224">
        <f t="shared" si="13"/>
        <v>387</v>
      </c>
      <c r="J605" s="232"/>
      <c r="N605" s="49"/>
    </row>
    <row r="606" spans="1:14" ht="33.75">
      <c r="A606" s="12" t="s">
        <v>126</v>
      </c>
      <c r="B606" s="53" t="s">
        <v>1133</v>
      </c>
      <c r="C606" s="8" t="s">
        <v>0</v>
      </c>
      <c r="D606" s="44">
        <v>2</v>
      </c>
      <c r="E606" s="44"/>
      <c r="F606" s="45"/>
      <c r="G606" s="45"/>
      <c r="H606" s="44">
        <v>2</v>
      </c>
      <c r="I606" s="224">
        <f t="shared" si="13"/>
        <v>2</v>
      </c>
      <c r="J606" s="232"/>
      <c r="N606" s="49"/>
    </row>
    <row r="607" spans="1:14" ht="33">
      <c r="A607" s="12" t="s">
        <v>127</v>
      </c>
      <c r="B607" s="10" t="s">
        <v>28</v>
      </c>
      <c r="C607" s="8" t="s">
        <v>22</v>
      </c>
      <c r="D607" s="44">
        <v>19</v>
      </c>
      <c r="E607" s="44"/>
      <c r="F607" s="45" t="s">
        <v>1222</v>
      </c>
      <c r="G607" s="45"/>
      <c r="H607" s="44">
        <v>19</v>
      </c>
      <c r="I607" s="224">
        <f t="shared" si="13"/>
        <v>19</v>
      </c>
      <c r="J607" s="232"/>
      <c r="N607" s="49"/>
    </row>
    <row r="608" spans="1:14">
      <c r="A608" s="12" t="s">
        <v>128</v>
      </c>
      <c r="B608" s="7" t="s">
        <v>1136</v>
      </c>
      <c r="C608" s="8" t="s">
        <v>7</v>
      </c>
      <c r="D608" s="44">
        <v>19</v>
      </c>
      <c r="E608" s="44"/>
      <c r="F608" s="45" t="s">
        <v>1223</v>
      </c>
      <c r="G608" s="45"/>
      <c r="H608" s="44">
        <v>19</v>
      </c>
      <c r="I608" s="224">
        <f t="shared" si="13"/>
        <v>19</v>
      </c>
      <c r="J608" s="232"/>
      <c r="N608" s="49"/>
    </row>
    <row r="609" spans="1:14" ht="31.5">
      <c r="A609" s="12" t="s">
        <v>129</v>
      </c>
      <c r="B609" s="7" t="s">
        <v>1138</v>
      </c>
      <c r="C609" s="8" t="s">
        <v>1139</v>
      </c>
      <c r="D609" s="44">
        <v>2</v>
      </c>
      <c r="E609" s="44"/>
      <c r="F609" s="45" t="s">
        <v>1226</v>
      </c>
      <c r="G609" s="45"/>
      <c r="H609" s="44">
        <v>2</v>
      </c>
      <c r="I609" s="224">
        <f t="shared" si="13"/>
        <v>2</v>
      </c>
      <c r="J609" s="232"/>
      <c r="N609" s="49"/>
    </row>
    <row r="610" spans="1:14" ht="33">
      <c r="A610" s="12" t="s">
        <v>1141</v>
      </c>
      <c r="B610" s="7" t="s">
        <v>1142</v>
      </c>
      <c r="C610" s="8" t="s">
        <v>8</v>
      </c>
      <c r="D610" s="44">
        <v>698.15</v>
      </c>
      <c r="E610" s="44"/>
      <c r="F610" s="45" t="s">
        <v>1572</v>
      </c>
      <c r="G610" s="45" t="s">
        <v>1565</v>
      </c>
      <c r="H610" s="44">
        <f>((76.3+33.2+23)+39.2+(71*2)+(246.5+21))</f>
        <v>581.20000000000005</v>
      </c>
      <c r="I610" s="224">
        <f t="shared" si="13"/>
        <v>581.20000000000005</v>
      </c>
      <c r="J610" s="232"/>
      <c r="N610" s="49"/>
    </row>
    <row r="611" spans="1:14" ht="47.25">
      <c r="A611" s="12" t="s">
        <v>1144</v>
      </c>
      <c r="B611" s="7" t="s">
        <v>1145</v>
      </c>
      <c r="C611" s="8" t="s">
        <v>8</v>
      </c>
      <c r="D611" s="44">
        <v>2498.77</v>
      </c>
      <c r="E611" s="44"/>
      <c r="F611" s="76" t="s">
        <v>1570</v>
      </c>
      <c r="G611" s="45" t="s">
        <v>1571</v>
      </c>
      <c r="H611" s="44">
        <f>(22.5+31.5*2+13.6*2)+(156.2+233.5+72+31.5)+(51.7+18.9)+86.2+(95.2+45+22.5)+(62.3+38.5+22.5)</f>
        <v>1048.7</v>
      </c>
      <c r="I611" s="224">
        <f t="shared" si="13"/>
        <v>1048.7</v>
      </c>
      <c r="J611" s="232"/>
      <c r="N611" s="49"/>
    </row>
    <row r="612" spans="1:14" ht="31.5">
      <c r="A612" s="12" t="s">
        <v>1147</v>
      </c>
      <c r="B612" s="7" t="s">
        <v>1148</v>
      </c>
      <c r="C612" s="8" t="s">
        <v>8</v>
      </c>
      <c r="D612" s="44">
        <v>1396.3</v>
      </c>
      <c r="E612" s="44"/>
      <c r="F612" s="76" t="s">
        <v>1573</v>
      </c>
      <c r="G612" s="45"/>
      <c r="H612" s="44">
        <f>(32.3*2+41.5+16+30.5*2)+(53.5+25.2)+(18.5*2+21)+(65.2*2)+(246.5+36+27.6)</f>
        <v>760.30000000000007</v>
      </c>
      <c r="I612" s="224">
        <f t="shared" si="13"/>
        <v>760.30000000000007</v>
      </c>
      <c r="J612" s="232"/>
      <c r="N612" s="49"/>
    </row>
    <row r="613" spans="1:14">
      <c r="A613" s="12" t="s">
        <v>1150</v>
      </c>
      <c r="B613" s="7" t="s">
        <v>1151</v>
      </c>
      <c r="C613" s="8" t="s">
        <v>4</v>
      </c>
      <c r="D613" s="44">
        <v>1</v>
      </c>
      <c r="E613" s="44"/>
      <c r="F613" s="45"/>
      <c r="G613" s="45"/>
      <c r="H613" s="44"/>
      <c r="I613" s="224">
        <f t="shared" si="13"/>
        <v>0</v>
      </c>
      <c r="J613" s="232"/>
      <c r="N613" s="49"/>
    </row>
    <row r="614" spans="1:14" ht="28.5">
      <c r="A614" s="12" t="s">
        <v>1555</v>
      </c>
      <c r="B614" s="10" t="s">
        <v>1556</v>
      </c>
      <c r="C614" s="8" t="s">
        <v>8</v>
      </c>
      <c r="D614" s="44"/>
      <c r="E614" s="44">
        <v>355</v>
      </c>
      <c r="F614" s="45" t="s">
        <v>1566</v>
      </c>
      <c r="G614" s="45" t="s">
        <v>1567</v>
      </c>
      <c r="H614" s="44">
        <f>255+20*2</f>
        <v>295</v>
      </c>
      <c r="I614" s="224">
        <f t="shared" si="13"/>
        <v>295</v>
      </c>
      <c r="J614" s="232"/>
      <c r="N614" s="49"/>
    </row>
    <row r="615" spans="1:14">
      <c r="A615" s="12" t="s">
        <v>1557</v>
      </c>
      <c r="B615" s="7" t="s">
        <v>29</v>
      </c>
      <c r="C615" s="8" t="s">
        <v>8</v>
      </c>
      <c r="D615" s="44"/>
      <c r="E615" s="44">
        <v>465</v>
      </c>
      <c r="F615" s="45" t="s">
        <v>1568</v>
      </c>
      <c r="G615" s="45" t="s">
        <v>1569</v>
      </c>
      <c r="H615" s="44">
        <f>28*2</f>
        <v>56</v>
      </c>
      <c r="I615" s="224">
        <f t="shared" si="13"/>
        <v>56</v>
      </c>
      <c r="J615" s="232"/>
      <c r="N615" s="49"/>
    </row>
    <row r="616" spans="1:14" ht="49.5">
      <c r="A616" s="12" t="s">
        <v>1558</v>
      </c>
      <c r="B616" s="7" t="s">
        <v>1559</v>
      </c>
      <c r="C616" s="8" t="s">
        <v>16</v>
      </c>
      <c r="D616" s="44"/>
      <c r="E616" s="44">
        <v>4920</v>
      </c>
      <c r="F616" s="45" t="s">
        <v>2746</v>
      </c>
      <c r="G616" s="45" t="s">
        <v>2747</v>
      </c>
      <c r="H616" s="44">
        <f>415*5*3+720+8*3*8</f>
        <v>7137</v>
      </c>
      <c r="I616" s="224">
        <f>H616</f>
        <v>7137</v>
      </c>
      <c r="J616" s="314">
        <f>I616-E616</f>
        <v>2217</v>
      </c>
      <c r="M616" s="202" t="s">
        <v>2166</v>
      </c>
      <c r="N616" s="49"/>
    </row>
    <row r="617" spans="1:14" ht="31.5">
      <c r="A617" s="12" t="s">
        <v>2821</v>
      </c>
      <c r="B617" s="7" t="s">
        <v>2820</v>
      </c>
      <c r="C617" s="8" t="s">
        <v>4</v>
      </c>
      <c r="D617" s="44"/>
      <c r="E617" s="44">
        <v>1</v>
      </c>
      <c r="F617" s="45"/>
      <c r="G617" s="50">
        <v>1</v>
      </c>
      <c r="H617" s="79">
        <v>1</v>
      </c>
      <c r="I617" s="224">
        <v>1</v>
      </c>
      <c r="J617" s="232"/>
      <c r="M617" s="202" t="s">
        <v>2167</v>
      </c>
      <c r="N617" s="49"/>
    </row>
    <row r="618" spans="1:14" ht="24" customHeight="1">
      <c r="A618" s="6" t="s">
        <v>130</v>
      </c>
      <c r="B618" s="7" t="s">
        <v>34</v>
      </c>
      <c r="C618" s="8" t="s">
        <v>4</v>
      </c>
      <c r="D618" s="44">
        <v>1</v>
      </c>
      <c r="E618" s="44"/>
      <c r="F618" s="45"/>
      <c r="G618" s="45"/>
      <c r="H618" s="44"/>
      <c r="I618" s="223" t="s">
        <v>243</v>
      </c>
      <c r="J618" s="232"/>
      <c r="N618" s="49"/>
    </row>
    <row r="619" spans="1:14" ht="22.5">
      <c r="A619" s="12" t="s">
        <v>131</v>
      </c>
      <c r="B619" s="53" t="s">
        <v>146</v>
      </c>
      <c r="C619" s="8" t="s">
        <v>1007</v>
      </c>
      <c r="D619" s="44">
        <v>10</v>
      </c>
      <c r="E619" s="44"/>
      <c r="F619" s="45"/>
      <c r="G619" s="45"/>
      <c r="H619" s="44">
        <v>5</v>
      </c>
      <c r="I619" s="224">
        <f>H619</f>
        <v>5</v>
      </c>
      <c r="J619" s="232"/>
      <c r="N619" s="49"/>
    </row>
    <row r="620" spans="1:14" ht="22.5">
      <c r="A620" s="12" t="s">
        <v>132</v>
      </c>
      <c r="B620" s="53" t="s">
        <v>145</v>
      </c>
      <c r="C620" s="8" t="s">
        <v>1</v>
      </c>
      <c r="D620" s="44">
        <v>100</v>
      </c>
      <c r="E620" s="44"/>
      <c r="F620" s="45"/>
      <c r="G620" s="45"/>
      <c r="H620" s="44">
        <v>40</v>
      </c>
      <c r="I620" s="224">
        <f>H620</f>
        <v>40</v>
      </c>
      <c r="J620" s="232"/>
      <c r="N620" s="49"/>
    </row>
    <row r="621" spans="1:14" ht="22.5">
      <c r="A621" s="12" t="s">
        <v>133</v>
      </c>
      <c r="B621" s="53" t="s">
        <v>144</v>
      </c>
      <c r="C621" s="8" t="s">
        <v>9</v>
      </c>
      <c r="D621" s="44">
        <v>50</v>
      </c>
      <c r="E621" s="44"/>
      <c r="F621" s="45"/>
      <c r="G621" s="45"/>
      <c r="H621" s="44">
        <v>30</v>
      </c>
      <c r="I621" s="224">
        <f t="shared" ref="I621:I637" si="14">H621</f>
        <v>30</v>
      </c>
      <c r="J621" s="232"/>
      <c r="N621" s="49"/>
    </row>
    <row r="622" spans="1:14" ht="22.5">
      <c r="A622" s="12" t="s">
        <v>134</v>
      </c>
      <c r="B622" s="53" t="s">
        <v>35</v>
      </c>
      <c r="C622" s="8" t="s">
        <v>15</v>
      </c>
      <c r="D622" s="44">
        <v>75</v>
      </c>
      <c r="E622" s="44"/>
      <c r="F622" s="45"/>
      <c r="G622" s="45"/>
      <c r="H622" s="44">
        <v>40</v>
      </c>
      <c r="I622" s="224">
        <f t="shared" si="14"/>
        <v>40</v>
      </c>
      <c r="J622" s="232"/>
      <c r="N622" s="49"/>
    </row>
    <row r="623" spans="1:14" ht="22.5">
      <c r="A623" s="12" t="s">
        <v>135</v>
      </c>
      <c r="B623" s="53" t="s">
        <v>143</v>
      </c>
      <c r="C623" s="8" t="s">
        <v>3</v>
      </c>
      <c r="D623" s="44">
        <v>200</v>
      </c>
      <c r="E623" s="44"/>
      <c r="F623" s="45"/>
      <c r="G623" s="45"/>
      <c r="H623" s="44">
        <v>70</v>
      </c>
      <c r="I623" s="224">
        <f t="shared" si="14"/>
        <v>70</v>
      </c>
      <c r="J623" s="232"/>
      <c r="N623" s="49"/>
    </row>
    <row r="624" spans="1:14" ht="22.5">
      <c r="A624" s="12" t="s">
        <v>136</v>
      </c>
      <c r="B624" s="53" t="s">
        <v>36</v>
      </c>
      <c r="C624" s="8" t="s">
        <v>3</v>
      </c>
      <c r="D624" s="44">
        <v>100</v>
      </c>
      <c r="E624" s="44"/>
      <c r="F624" s="45"/>
      <c r="G624" s="45"/>
      <c r="H624" s="44">
        <v>40</v>
      </c>
      <c r="I624" s="224">
        <f t="shared" si="14"/>
        <v>40</v>
      </c>
      <c r="J624" s="232"/>
      <c r="N624" s="49"/>
    </row>
    <row r="625" spans="1:14" ht="22.5">
      <c r="A625" s="12" t="s">
        <v>137</v>
      </c>
      <c r="B625" s="53" t="s">
        <v>1159</v>
      </c>
      <c r="C625" s="8" t="s">
        <v>18</v>
      </c>
      <c r="D625" s="44">
        <v>75</v>
      </c>
      <c r="E625" s="44"/>
      <c r="F625" s="45"/>
      <c r="G625" s="45"/>
      <c r="H625" s="44">
        <v>0</v>
      </c>
      <c r="I625" s="224">
        <f t="shared" si="14"/>
        <v>0</v>
      </c>
      <c r="J625" s="232"/>
      <c r="N625" s="49"/>
    </row>
    <row r="626" spans="1:14" ht="33.75">
      <c r="A626" s="12" t="s">
        <v>138</v>
      </c>
      <c r="B626" s="53" t="s">
        <v>37</v>
      </c>
      <c r="C626" s="8" t="s">
        <v>18</v>
      </c>
      <c r="D626" s="44">
        <v>50</v>
      </c>
      <c r="E626" s="44"/>
      <c r="F626" s="45"/>
      <c r="G626" s="45"/>
      <c r="H626" s="44">
        <v>50</v>
      </c>
      <c r="I626" s="224">
        <f t="shared" si="14"/>
        <v>50</v>
      </c>
      <c r="J626" s="232"/>
      <c r="N626" s="49"/>
    </row>
    <row r="627" spans="1:14" ht="22.5">
      <c r="A627" s="12" t="s">
        <v>139</v>
      </c>
      <c r="B627" s="53" t="s">
        <v>1162</v>
      </c>
      <c r="C627" s="8" t="s">
        <v>15</v>
      </c>
      <c r="D627" s="44">
        <v>10</v>
      </c>
      <c r="E627" s="44"/>
      <c r="F627" s="45"/>
      <c r="G627" s="45"/>
      <c r="H627" s="44">
        <v>10</v>
      </c>
      <c r="I627" s="224">
        <f t="shared" si="14"/>
        <v>10</v>
      </c>
      <c r="J627" s="232"/>
      <c r="N627" s="49"/>
    </row>
    <row r="628" spans="1:14" ht="22.5">
      <c r="A628" s="12" t="s">
        <v>140</v>
      </c>
      <c r="B628" s="53" t="s">
        <v>38</v>
      </c>
      <c r="C628" s="8" t="s">
        <v>7</v>
      </c>
      <c r="D628" s="44">
        <v>4</v>
      </c>
      <c r="E628" s="44"/>
      <c r="F628" s="45" t="s">
        <v>1225</v>
      </c>
      <c r="G628" s="45"/>
      <c r="H628" s="44">
        <v>4</v>
      </c>
      <c r="I628" s="224">
        <f t="shared" si="14"/>
        <v>4</v>
      </c>
      <c r="J628" s="232"/>
      <c r="N628" s="49"/>
    </row>
    <row r="629" spans="1:14" ht="33.75">
      <c r="A629" s="12" t="s">
        <v>141</v>
      </c>
      <c r="B629" s="53" t="s">
        <v>1165</v>
      </c>
      <c r="C629" s="8" t="s">
        <v>15</v>
      </c>
      <c r="D629" s="44">
        <v>5</v>
      </c>
      <c r="E629" s="44"/>
      <c r="F629" s="45" t="s">
        <v>1228</v>
      </c>
      <c r="G629" s="45"/>
      <c r="H629" s="44">
        <v>5</v>
      </c>
      <c r="I629" s="224">
        <f t="shared" si="14"/>
        <v>5</v>
      </c>
      <c r="J629" s="232"/>
      <c r="N629" s="49"/>
    </row>
    <row r="630" spans="1:14" ht="22.5">
      <c r="A630" s="12" t="s">
        <v>1167</v>
      </c>
      <c r="B630" s="53" t="s">
        <v>1168</v>
      </c>
      <c r="C630" s="8" t="s">
        <v>15</v>
      </c>
      <c r="D630" s="44">
        <v>5</v>
      </c>
      <c r="E630" s="44"/>
      <c r="F630" s="45" t="s">
        <v>1229</v>
      </c>
      <c r="G630" s="45"/>
      <c r="H630" s="44">
        <v>5</v>
      </c>
      <c r="I630" s="224">
        <f t="shared" si="14"/>
        <v>5</v>
      </c>
      <c r="J630" s="232"/>
      <c r="N630" s="49"/>
    </row>
    <row r="631" spans="1:14" ht="33.75">
      <c r="A631" s="12" t="s">
        <v>1170</v>
      </c>
      <c r="B631" s="53" t="s">
        <v>1171</v>
      </c>
      <c r="C631" s="8" t="s">
        <v>15</v>
      </c>
      <c r="D631" s="44">
        <v>5</v>
      </c>
      <c r="E631" s="44"/>
      <c r="F631" s="45" t="s">
        <v>1227</v>
      </c>
      <c r="G631" s="45"/>
      <c r="H631" s="44">
        <v>5</v>
      </c>
      <c r="I631" s="224">
        <f t="shared" si="14"/>
        <v>5</v>
      </c>
      <c r="J631" s="232"/>
      <c r="N631" s="49"/>
    </row>
    <row r="632" spans="1:14" ht="33.75">
      <c r="A632" s="12" t="s">
        <v>1173</v>
      </c>
      <c r="B632" s="53" t="s">
        <v>1174</v>
      </c>
      <c r="C632" s="8" t="s">
        <v>15</v>
      </c>
      <c r="D632" s="44">
        <v>5</v>
      </c>
      <c r="E632" s="44"/>
      <c r="F632" s="45"/>
      <c r="G632" s="45"/>
      <c r="H632" s="44">
        <v>3</v>
      </c>
      <c r="I632" s="224">
        <f t="shared" si="14"/>
        <v>3</v>
      </c>
      <c r="J632" s="232"/>
      <c r="N632" s="49"/>
    </row>
    <row r="633" spans="1:14" ht="22.5">
      <c r="A633" s="12" t="s">
        <v>1176</v>
      </c>
      <c r="B633" s="53" t="s">
        <v>1177</v>
      </c>
      <c r="C633" s="8" t="s">
        <v>15</v>
      </c>
      <c r="D633" s="44">
        <v>80</v>
      </c>
      <c r="E633" s="44"/>
      <c r="F633" s="45"/>
      <c r="G633" s="45"/>
      <c r="H633" s="44">
        <v>20</v>
      </c>
      <c r="I633" s="224">
        <f t="shared" si="14"/>
        <v>20</v>
      </c>
      <c r="J633" s="232"/>
      <c r="N633" s="49"/>
    </row>
    <row r="634" spans="1:14" ht="28.5" customHeight="1">
      <c r="A634" s="12" t="s">
        <v>1179</v>
      </c>
      <c r="B634" s="53" t="s">
        <v>39</v>
      </c>
      <c r="C634" s="8" t="s">
        <v>4</v>
      </c>
      <c r="D634" s="44">
        <v>1</v>
      </c>
      <c r="E634" s="44"/>
      <c r="F634" s="45" t="s">
        <v>1224</v>
      </c>
      <c r="G634" s="45"/>
      <c r="H634" s="44">
        <v>0.4</v>
      </c>
      <c r="I634" s="224">
        <f t="shared" si="14"/>
        <v>0.4</v>
      </c>
      <c r="J634" s="232"/>
      <c r="N634" s="49"/>
    </row>
    <row r="635" spans="1:14">
      <c r="A635" s="12" t="s">
        <v>1181</v>
      </c>
      <c r="B635" s="53" t="s">
        <v>1182</v>
      </c>
      <c r="C635" s="8" t="s">
        <v>8</v>
      </c>
      <c r="D635" s="44">
        <v>5000</v>
      </c>
      <c r="E635" s="44"/>
      <c r="F635" s="45"/>
      <c r="G635" s="45"/>
      <c r="H635" s="44">
        <v>1060</v>
      </c>
      <c r="I635" s="224">
        <f t="shared" si="14"/>
        <v>1060</v>
      </c>
      <c r="J635" s="232"/>
      <c r="N635" s="49"/>
    </row>
    <row r="636" spans="1:14">
      <c r="A636" s="12" t="s">
        <v>1184</v>
      </c>
      <c r="B636" s="53" t="s">
        <v>225</v>
      </c>
      <c r="C636" s="8" t="s">
        <v>226</v>
      </c>
      <c r="D636" s="44">
        <v>48</v>
      </c>
      <c r="E636" s="44"/>
      <c r="F636" s="45"/>
      <c r="G636" s="45"/>
      <c r="H636" s="44">
        <v>20</v>
      </c>
      <c r="I636" s="224">
        <f t="shared" si="14"/>
        <v>20</v>
      </c>
      <c r="J636" s="232"/>
      <c r="N636" s="49"/>
    </row>
    <row r="637" spans="1:14" ht="22.5">
      <c r="A637" s="12" t="s">
        <v>1186</v>
      </c>
      <c r="B637" s="53" t="s">
        <v>1187</v>
      </c>
      <c r="C637" s="8" t="s">
        <v>4</v>
      </c>
      <c r="D637" s="44">
        <v>1</v>
      </c>
      <c r="E637" s="44"/>
      <c r="F637" s="45"/>
      <c r="G637" s="45"/>
      <c r="H637" s="44">
        <v>0.4</v>
      </c>
      <c r="I637" s="224">
        <f t="shared" si="14"/>
        <v>0.4</v>
      </c>
      <c r="J637" s="232"/>
      <c r="N637" s="49"/>
    </row>
    <row r="638" spans="1:14" ht="21.95" customHeight="1">
      <c r="A638" s="6" t="s">
        <v>1189</v>
      </c>
      <c r="B638" s="7" t="s">
        <v>227</v>
      </c>
      <c r="C638" s="8" t="s">
        <v>4</v>
      </c>
      <c r="D638" s="44">
        <v>1</v>
      </c>
      <c r="E638" s="44"/>
      <c r="F638" s="45"/>
      <c r="G638" s="45"/>
      <c r="H638" s="44"/>
      <c r="I638" s="223" t="s">
        <v>243</v>
      </c>
      <c r="J638" s="232"/>
      <c r="N638" s="49"/>
    </row>
    <row r="639" spans="1:14">
      <c r="A639" s="12" t="s">
        <v>1190</v>
      </c>
      <c r="B639" s="7" t="s">
        <v>228</v>
      </c>
      <c r="C639" s="8" t="s">
        <v>226</v>
      </c>
      <c r="D639" s="44">
        <v>48</v>
      </c>
      <c r="E639" s="44"/>
      <c r="F639" s="45"/>
      <c r="G639" s="45"/>
      <c r="H639" s="44">
        <v>20</v>
      </c>
      <c r="I639" s="224">
        <f>H639</f>
        <v>20</v>
      </c>
      <c r="J639" s="232"/>
      <c r="N639" s="49"/>
    </row>
    <row r="640" spans="1:14">
      <c r="A640" s="12" t="s">
        <v>1192</v>
      </c>
      <c r="B640" s="7" t="s">
        <v>1193</v>
      </c>
      <c r="C640" s="8" t="s">
        <v>4</v>
      </c>
      <c r="D640" s="44">
        <v>1</v>
      </c>
      <c r="E640" s="44"/>
      <c r="F640" s="45"/>
      <c r="G640" s="45"/>
      <c r="H640" s="44">
        <v>0.40980000000000005</v>
      </c>
      <c r="I640" s="224">
        <f>H640</f>
        <v>0.40980000000000005</v>
      </c>
      <c r="J640" s="232"/>
      <c r="N640" s="49"/>
    </row>
    <row r="641" spans="1:14" ht="27.75" customHeight="1">
      <c r="A641" s="6" t="s">
        <v>1195</v>
      </c>
      <c r="B641" s="10" t="s">
        <v>1196</v>
      </c>
      <c r="C641" s="8" t="s">
        <v>4</v>
      </c>
      <c r="D641" s="44">
        <v>1</v>
      </c>
      <c r="E641" s="44"/>
      <c r="F641" s="45"/>
      <c r="G641" s="45"/>
      <c r="H641" s="44"/>
      <c r="I641" s="223" t="s">
        <v>243</v>
      </c>
      <c r="J641" s="232"/>
      <c r="N641" s="49"/>
    </row>
    <row r="642" spans="1:14" ht="19.5" customHeight="1">
      <c r="A642" s="6" t="s">
        <v>1198</v>
      </c>
      <c r="B642" s="10" t="s">
        <v>1199</v>
      </c>
      <c r="C642" s="8" t="s">
        <v>4</v>
      </c>
      <c r="D642" s="44">
        <v>1</v>
      </c>
      <c r="E642" s="44"/>
      <c r="F642" s="45"/>
      <c r="G642" s="45"/>
      <c r="H642" s="44"/>
      <c r="I642" s="223" t="s">
        <v>243</v>
      </c>
      <c r="J642" s="232"/>
      <c r="N642" s="49"/>
    </row>
    <row r="643" spans="1:14">
      <c r="A643" s="12" t="s">
        <v>1201</v>
      </c>
      <c r="B643" s="10" t="s">
        <v>1199</v>
      </c>
      <c r="C643" s="8" t="s">
        <v>6</v>
      </c>
      <c r="D643" s="44">
        <v>13251</v>
      </c>
      <c r="E643" s="44"/>
      <c r="F643" s="45" t="s">
        <v>1576</v>
      </c>
      <c r="G643" s="45"/>
      <c r="H643" s="44">
        <f>H54</f>
        <v>10404</v>
      </c>
      <c r="I643" s="224">
        <f>H643</f>
        <v>10404</v>
      </c>
      <c r="J643" s="232"/>
      <c r="N643" s="49"/>
    </row>
    <row r="644" spans="1:14" ht="33">
      <c r="A644" s="6" t="s">
        <v>1203</v>
      </c>
      <c r="B644" s="10" t="s">
        <v>1204</v>
      </c>
      <c r="C644" s="8" t="s">
        <v>4</v>
      </c>
      <c r="D644" s="44">
        <v>1</v>
      </c>
      <c r="E644" s="44"/>
      <c r="F644" s="45"/>
      <c r="G644" s="45"/>
      <c r="H644" s="44"/>
      <c r="I644" s="223" t="s">
        <v>243</v>
      </c>
      <c r="J644" s="232"/>
      <c r="N644" s="49"/>
    </row>
    <row r="645" spans="1:14">
      <c r="A645" s="12" t="s">
        <v>1206</v>
      </c>
      <c r="B645" s="10" t="s">
        <v>1207</v>
      </c>
      <c r="C645" s="8" t="s">
        <v>13</v>
      </c>
      <c r="D645" s="44">
        <v>1000</v>
      </c>
      <c r="E645" s="44">
        <v>3208.78</v>
      </c>
      <c r="F645" s="45"/>
      <c r="G645" s="45"/>
      <c r="H645" s="44">
        <v>3208.78</v>
      </c>
      <c r="I645" s="224">
        <f>H645</f>
        <v>3208.78</v>
      </c>
      <c r="J645" s="232"/>
      <c r="N645" s="49"/>
    </row>
    <row r="646" spans="1:14" ht="24.75" customHeight="1">
      <c r="A646" s="6"/>
      <c r="B646" s="10" t="s">
        <v>1209</v>
      </c>
      <c r="C646" s="8"/>
      <c r="D646" s="44"/>
      <c r="E646" s="44"/>
      <c r="F646" s="45"/>
      <c r="G646" s="45"/>
      <c r="H646" s="46"/>
      <c r="I646" s="223" t="s">
        <v>243</v>
      </c>
      <c r="J646" s="232"/>
    </row>
    <row r="647" spans="1:14" ht="21.95" customHeight="1">
      <c r="A647" s="6"/>
      <c r="B647" s="7" t="s">
        <v>1210</v>
      </c>
      <c r="C647" s="8"/>
      <c r="D647" s="44"/>
      <c r="E647" s="44"/>
      <c r="F647" s="45"/>
      <c r="G647" s="45"/>
      <c r="H647" s="46"/>
      <c r="I647" s="223" t="s">
        <v>243</v>
      </c>
      <c r="J647" s="232"/>
    </row>
    <row r="648" spans="1:14" ht="10.5" customHeight="1">
      <c r="A648" s="684"/>
      <c r="B648" s="685"/>
      <c r="C648" s="685"/>
      <c r="D648" s="685"/>
      <c r="E648" s="685"/>
      <c r="F648" s="685"/>
      <c r="G648" s="685"/>
      <c r="H648" s="686"/>
      <c r="I648" s="231"/>
      <c r="J648" s="232"/>
    </row>
  </sheetData>
  <autoFilter ref="A5:L647" xr:uid="{E21CD539-3EB1-4D8C-9974-633841A871FF}"/>
  <mergeCells count="2">
    <mergeCell ref="A3:F3"/>
    <mergeCell ref="A648:H648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72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0A91-C958-41AC-9677-501FD2802CA1}">
  <sheetPr>
    <tabColor theme="5" tint="0.39997558519241921"/>
  </sheetPr>
  <dimension ref="A1:U471"/>
  <sheetViews>
    <sheetView tabSelected="1" view="pageBreakPreview" zoomScaleNormal="100" zoomScaleSheetLayoutView="100" workbookViewId="0">
      <pane ySplit="8" topLeftCell="A354" activePane="bottomLeft" state="frozen"/>
      <selection pane="bottomLeft" activeCell="M468" sqref="M468:M470"/>
    </sheetView>
  </sheetViews>
  <sheetFormatPr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663" customWidth="1"/>
    <col min="12" max="12" width="14.7109375" style="124" customWidth="1"/>
    <col min="13" max="13" width="14.28515625" style="82" customWidth="1"/>
    <col min="14" max="14" width="2.28515625" style="82" customWidth="1"/>
    <col min="15" max="15" width="24.140625" style="413" customWidth="1"/>
    <col min="16" max="16" width="26.42578125" style="413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411"/>
      <c r="B1" s="411"/>
      <c r="C1" s="710" t="s">
        <v>230</v>
      </c>
      <c r="D1" s="710"/>
      <c r="E1" s="710"/>
      <c r="F1" s="710"/>
      <c r="G1" s="710"/>
      <c r="H1" s="710"/>
      <c r="I1" s="710"/>
      <c r="J1" s="710"/>
      <c r="K1" s="710"/>
      <c r="L1" s="647"/>
      <c r="M1" s="412"/>
      <c r="N1" s="1"/>
      <c r="O1" s="646"/>
    </row>
    <row r="2" spans="1:17" ht="19.5">
      <c r="A2" s="711" t="s">
        <v>242</v>
      </c>
      <c r="B2" s="711"/>
      <c r="C2" s="712" t="s">
        <v>2838</v>
      </c>
      <c r="D2" s="712"/>
      <c r="E2" s="712"/>
      <c r="F2" s="712"/>
      <c r="G2" s="712"/>
      <c r="H2" s="712"/>
      <c r="I2" s="712"/>
      <c r="J2" s="712"/>
      <c r="K2" s="712"/>
      <c r="L2" s="648"/>
      <c r="M2" s="29"/>
      <c r="N2" s="1"/>
    </row>
    <row r="3" spans="1:17" ht="16.5">
      <c r="A3" s="713" t="s">
        <v>2274</v>
      </c>
      <c r="B3" s="713"/>
      <c r="C3" s="713"/>
      <c r="D3" s="713"/>
      <c r="E3" s="713"/>
      <c r="F3" s="713"/>
      <c r="G3" s="713"/>
      <c r="H3" s="713"/>
      <c r="I3" s="713"/>
      <c r="J3" s="713"/>
      <c r="K3" s="655" t="s">
        <v>2508</v>
      </c>
      <c r="L3" s="714">
        <v>45652</v>
      </c>
      <c r="M3" s="714"/>
      <c r="N3" s="415"/>
      <c r="P3" s="416"/>
    </row>
    <row r="4" spans="1:17" ht="16.5">
      <c r="A4" s="701" t="s">
        <v>2696</v>
      </c>
      <c r="B4" s="702"/>
      <c r="C4" s="702"/>
      <c r="D4" s="702"/>
      <c r="E4" s="702"/>
      <c r="F4" s="702"/>
      <c r="G4" s="702"/>
      <c r="H4" s="702"/>
      <c r="I4" s="703"/>
      <c r="J4" s="417" t="s">
        <v>2509</v>
      </c>
      <c r="K4" s="656"/>
      <c r="L4" s="708">
        <v>257600000</v>
      </c>
      <c r="M4" s="709"/>
      <c r="N4" s="415"/>
      <c r="O4" s="416"/>
    </row>
    <row r="5" spans="1:17" ht="16.5">
      <c r="A5" s="698" t="s">
        <v>2839</v>
      </c>
      <c r="B5" s="699"/>
      <c r="C5" s="699"/>
      <c r="D5" s="699"/>
      <c r="E5" s="699"/>
      <c r="F5" s="699"/>
      <c r="G5" s="699"/>
      <c r="H5" s="699"/>
      <c r="I5" s="700"/>
      <c r="J5" s="475" t="s">
        <v>2510</v>
      </c>
      <c r="K5" s="657"/>
      <c r="L5" s="708">
        <v>308240521</v>
      </c>
      <c r="M5" s="709"/>
      <c r="N5" s="415"/>
    </row>
    <row r="6" spans="1:17" ht="16.5">
      <c r="A6" s="701" t="s">
        <v>2882</v>
      </c>
      <c r="B6" s="702"/>
      <c r="C6" s="702"/>
      <c r="D6" s="702"/>
      <c r="E6" s="702"/>
      <c r="F6" s="702"/>
      <c r="G6" s="702"/>
      <c r="H6" s="702"/>
      <c r="I6" s="703"/>
      <c r="J6" s="417" t="s">
        <v>2511</v>
      </c>
      <c r="K6" s="656"/>
      <c r="L6" s="704">
        <f>J9</f>
        <v>326683483.33000004</v>
      </c>
      <c r="M6" s="705"/>
      <c r="N6" s="415"/>
      <c r="O6" s="419"/>
      <c r="P6" s="419"/>
    </row>
    <row r="7" spans="1:17" ht="14.25" customHeight="1">
      <c r="A7" s="688" t="s">
        <v>235</v>
      </c>
      <c r="B7" s="692" t="s">
        <v>2512</v>
      </c>
      <c r="C7" s="692" t="s">
        <v>237</v>
      </c>
      <c r="D7" s="688" t="s">
        <v>2840</v>
      </c>
      <c r="E7" s="688" t="s">
        <v>2837</v>
      </c>
      <c r="F7" s="706" t="s">
        <v>2514</v>
      </c>
      <c r="G7" s="688" t="s">
        <v>2515</v>
      </c>
      <c r="H7" s="688" t="s">
        <v>2516</v>
      </c>
      <c r="I7" s="688" t="s">
        <v>2517</v>
      </c>
      <c r="J7" s="688" t="s">
        <v>2847</v>
      </c>
      <c r="K7" s="696" t="s">
        <v>2518</v>
      </c>
      <c r="L7" s="690" t="s">
        <v>2519</v>
      </c>
      <c r="M7" s="692" t="s">
        <v>2520</v>
      </c>
      <c r="N7" s="420"/>
      <c r="O7" s="694" t="s">
        <v>2521</v>
      </c>
      <c r="P7" s="695" t="s">
        <v>2522</v>
      </c>
      <c r="Q7" s="687" t="s">
        <v>2523</v>
      </c>
    </row>
    <row r="8" spans="1:17" ht="14.25">
      <c r="A8" s="689"/>
      <c r="B8" s="693"/>
      <c r="C8" s="693"/>
      <c r="D8" s="689"/>
      <c r="E8" s="689"/>
      <c r="F8" s="707"/>
      <c r="G8" s="689"/>
      <c r="H8" s="689"/>
      <c r="I8" s="689"/>
      <c r="J8" s="689"/>
      <c r="K8" s="697"/>
      <c r="L8" s="691"/>
      <c r="M8" s="693"/>
      <c r="N8" s="420"/>
      <c r="O8" s="694"/>
      <c r="P8" s="695"/>
      <c r="Q8" s="687"/>
    </row>
    <row r="9" spans="1:17" ht="33">
      <c r="A9" s="421" t="s">
        <v>10</v>
      </c>
      <c r="B9" s="422" t="s">
        <v>12</v>
      </c>
      <c r="C9" s="423" t="s">
        <v>4</v>
      </c>
      <c r="D9" s="424"/>
      <c r="E9" s="424"/>
      <c r="F9" s="424"/>
      <c r="G9" s="424">
        <f>I9</f>
        <v>308240521.00000006</v>
      </c>
      <c r="H9" s="424"/>
      <c r="I9" s="507">
        <f>I10+I354+I380+I420+I424+I444+I464+I467+I468+I470</f>
        <v>308240521.00000006</v>
      </c>
      <c r="J9" s="507">
        <f>J10+J354+J380+J420+J424+J444+J464+J467+J468+J470</f>
        <v>326683483.33000004</v>
      </c>
      <c r="K9" s="658">
        <f t="shared" ref="J9:L9" si="0">K10+K354+K380+K420+K424+K444+K464+K467+K468+K470</f>
        <v>22094339.960000001</v>
      </c>
      <c r="L9" s="548">
        <f t="shared" si="0"/>
        <v>-3651377.63</v>
      </c>
      <c r="M9" s="507"/>
      <c r="N9" s="11" t="s">
        <v>243</v>
      </c>
      <c r="O9" s="426">
        <f>K9+L9</f>
        <v>18442962.330000002</v>
      </c>
      <c r="P9" s="427"/>
    </row>
    <row r="10" spans="1:17" ht="33">
      <c r="A10" s="421" t="s">
        <v>2286</v>
      </c>
      <c r="B10" s="422" t="s">
        <v>2</v>
      </c>
      <c r="C10" s="423" t="s">
        <v>4</v>
      </c>
      <c r="D10" s="424"/>
      <c r="E10" s="424"/>
      <c r="F10" s="424"/>
      <c r="G10" s="424">
        <f>I10</f>
        <v>232868088.52999997</v>
      </c>
      <c r="H10" s="424"/>
      <c r="I10" s="507">
        <f>I11+I37+I126+I166+I195+I215+I232+I310+I344</f>
        <v>232868088.52999997</v>
      </c>
      <c r="J10" s="507">
        <f>J11+J37+J126+J166+J195+J215+J232+J310+J344</f>
        <v>247921764.68000001</v>
      </c>
      <c r="K10" s="658">
        <f>K11+K37+K126+K166+K195+K215+K232+K310+K344</f>
        <v>18705053.780000001</v>
      </c>
      <c r="L10" s="548">
        <f>L11+L37+L126+L166+L195+L215+L232+L310+L344</f>
        <v>-3651377.63</v>
      </c>
      <c r="M10" s="264" t="s">
        <v>242</v>
      </c>
      <c r="N10" s="11" t="s">
        <v>243</v>
      </c>
      <c r="O10" s="645"/>
      <c r="P10" s="427"/>
    </row>
    <row r="11" spans="1:17" ht="33">
      <c r="A11" s="494" t="s">
        <v>2287</v>
      </c>
      <c r="B11" s="495" t="s">
        <v>244</v>
      </c>
      <c r="C11" s="496" t="s">
        <v>4</v>
      </c>
      <c r="D11" s="497"/>
      <c r="E11" s="497"/>
      <c r="F11" s="497"/>
      <c r="G11" s="497">
        <v>61233815.539999999</v>
      </c>
      <c r="H11" s="497"/>
      <c r="I11" s="499">
        <f t="shared" ref="I11:J11" si="1">SUM(I12:I36)</f>
        <v>61233815.539999984</v>
      </c>
      <c r="J11" s="499">
        <f t="shared" si="1"/>
        <v>61250848.129999988</v>
      </c>
      <c r="K11" s="659">
        <f t="shared" ref="K11:L11" si="2">SUM(K12:K36)</f>
        <v>17032.589999999997</v>
      </c>
      <c r="L11" s="549">
        <f t="shared" si="2"/>
        <v>0</v>
      </c>
      <c r="M11" s="356" t="s">
        <v>242</v>
      </c>
      <c r="N11" s="11" t="s">
        <v>243</v>
      </c>
      <c r="O11" s="426"/>
      <c r="P11" s="427"/>
    </row>
    <row r="12" spans="1:17" ht="33" hidden="1">
      <c r="A12" s="421" t="s">
        <v>2288</v>
      </c>
      <c r="B12" s="422" t="s">
        <v>245</v>
      </c>
      <c r="C12" s="423" t="s">
        <v>6</v>
      </c>
      <c r="D12" s="424">
        <v>720.24</v>
      </c>
      <c r="E12" s="424">
        <f>估驗單!F8</f>
        <v>720.24</v>
      </c>
      <c r="F12" s="478"/>
      <c r="G12" s="424">
        <v>193.11</v>
      </c>
      <c r="H12" s="424"/>
      <c r="I12" s="424">
        <f t="shared" ref="I12:I36" si="3">ROUND(D12*G12,2)</f>
        <v>139085.54999999999</v>
      </c>
      <c r="J12" s="424">
        <f t="shared" ref="J12:J36" si="4">ROUND(E12*G12,2)</f>
        <v>139085.54999999999</v>
      </c>
      <c r="K12" s="664">
        <f>J12-I12</f>
        <v>0</v>
      </c>
      <c r="L12" s="664">
        <f>I12-J12</f>
        <v>0</v>
      </c>
      <c r="M12" s="264" t="s">
        <v>242</v>
      </c>
      <c r="N12" s="11" t="s">
        <v>243</v>
      </c>
      <c r="O12" s="429"/>
      <c r="P12" s="427"/>
    </row>
    <row r="13" spans="1:17" ht="33" hidden="1">
      <c r="A13" s="421" t="s">
        <v>2289</v>
      </c>
      <c r="B13" s="422" t="s">
        <v>247</v>
      </c>
      <c r="C13" s="423" t="s">
        <v>6</v>
      </c>
      <c r="D13" s="424">
        <v>4813.4399999999996</v>
      </c>
      <c r="E13" s="424">
        <f>估驗單!F9</f>
        <v>4813.4399999999996</v>
      </c>
      <c r="F13" s="478"/>
      <c r="G13" s="424">
        <v>1046.1600000000001</v>
      </c>
      <c r="H13" s="424"/>
      <c r="I13" s="424">
        <f t="shared" si="3"/>
        <v>5035628.3899999997</v>
      </c>
      <c r="J13" s="424">
        <f t="shared" si="4"/>
        <v>5035628.3899999997</v>
      </c>
      <c r="K13" s="664">
        <f t="shared" ref="K13:K76" si="5">J13-I13</f>
        <v>0</v>
      </c>
      <c r="L13" s="664">
        <f t="shared" ref="L13:L36" si="6">I13-J13</f>
        <v>0</v>
      </c>
      <c r="M13" s="264" t="s">
        <v>242</v>
      </c>
      <c r="N13" s="11" t="s">
        <v>243</v>
      </c>
      <c r="O13" s="429"/>
      <c r="P13" s="427"/>
    </row>
    <row r="14" spans="1:17" ht="57" hidden="1">
      <c r="A14" s="421" t="s">
        <v>2290</v>
      </c>
      <c r="B14" s="422" t="s">
        <v>249</v>
      </c>
      <c r="C14" s="423" t="s">
        <v>8</v>
      </c>
      <c r="D14" s="424">
        <v>1743</v>
      </c>
      <c r="E14" s="424">
        <f>估驗單!F10</f>
        <v>1743</v>
      </c>
      <c r="F14" s="478"/>
      <c r="G14" s="424">
        <v>6199.66</v>
      </c>
      <c r="H14" s="424"/>
      <c r="I14" s="424">
        <f t="shared" si="3"/>
        <v>10806007.380000001</v>
      </c>
      <c r="J14" s="424">
        <f t="shared" si="4"/>
        <v>10806007.380000001</v>
      </c>
      <c r="K14" s="664">
        <f t="shared" si="5"/>
        <v>0</v>
      </c>
      <c r="L14" s="664">
        <f t="shared" si="6"/>
        <v>0</v>
      </c>
      <c r="M14" s="264" t="s">
        <v>2524</v>
      </c>
      <c r="N14" s="11" t="s">
        <v>243</v>
      </c>
      <c r="O14" s="429"/>
      <c r="P14" s="427"/>
    </row>
    <row r="15" spans="1:17" ht="56.25" hidden="1">
      <c r="A15" s="421" t="s">
        <v>2291</v>
      </c>
      <c r="B15" s="422" t="s">
        <v>194</v>
      </c>
      <c r="C15" s="423" t="s">
        <v>23</v>
      </c>
      <c r="D15" s="424">
        <v>28009.56</v>
      </c>
      <c r="E15" s="424">
        <f>估驗單!F11</f>
        <v>28009.56</v>
      </c>
      <c r="F15" s="478"/>
      <c r="G15" s="424">
        <v>48.28</v>
      </c>
      <c r="H15" s="424"/>
      <c r="I15" s="424">
        <f t="shared" si="3"/>
        <v>1352301.56</v>
      </c>
      <c r="J15" s="424">
        <f t="shared" si="4"/>
        <v>1352301.56</v>
      </c>
      <c r="K15" s="664">
        <f t="shared" si="5"/>
        <v>0</v>
      </c>
      <c r="L15" s="664">
        <f t="shared" si="6"/>
        <v>0</v>
      </c>
      <c r="M15" s="264" t="s">
        <v>242</v>
      </c>
      <c r="N15" s="11" t="s">
        <v>243</v>
      </c>
      <c r="O15" s="429" t="s">
        <v>2525</v>
      </c>
      <c r="P15" s="427" t="s">
        <v>2526</v>
      </c>
      <c r="Q15" s="430" t="s">
        <v>2527</v>
      </c>
    </row>
    <row r="16" spans="1:17" ht="33" hidden="1">
      <c r="A16" s="421" t="s">
        <v>2292</v>
      </c>
      <c r="B16" s="422" t="s">
        <v>252</v>
      </c>
      <c r="C16" s="423" t="s">
        <v>6</v>
      </c>
      <c r="D16" s="424">
        <v>4726.67</v>
      </c>
      <c r="E16" s="424">
        <f>估驗單!F12</f>
        <v>4726.67</v>
      </c>
      <c r="F16" s="478"/>
      <c r="G16" s="424">
        <v>599.71</v>
      </c>
      <c r="H16" s="424"/>
      <c r="I16" s="424">
        <f t="shared" si="3"/>
        <v>2834631.27</v>
      </c>
      <c r="J16" s="424">
        <f t="shared" si="4"/>
        <v>2834631.27</v>
      </c>
      <c r="K16" s="664">
        <f t="shared" si="5"/>
        <v>0</v>
      </c>
      <c r="L16" s="664">
        <f t="shared" si="6"/>
        <v>0</v>
      </c>
      <c r="M16" s="264" t="s">
        <v>242</v>
      </c>
      <c r="N16" s="11" t="s">
        <v>243</v>
      </c>
      <c r="O16" s="429"/>
      <c r="P16" s="427"/>
    </row>
    <row r="17" spans="1:16" ht="33" hidden="1">
      <c r="A17" s="421" t="s">
        <v>2293</v>
      </c>
      <c r="B17" s="422" t="s">
        <v>255</v>
      </c>
      <c r="C17" s="423" t="s">
        <v>6</v>
      </c>
      <c r="D17" s="424">
        <v>13120</v>
      </c>
      <c r="E17" s="424">
        <f>估驗單!F13</f>
        <v>13120</v>
      </c>
      <c r="F17" s="478"/>
      <c r="G17" s="424">
        <v>104.64</v>
      </c>
      <c r="H17" s="424"/>
      <c r="I17" s="424">
        <f t="shared" si="3"/>
        <v>1372876.8</v>
      </c>
      <c r="J17" s="424">
        <f t="shared" si="4"/>
        <v>1372876.8</v>
      </c>
      <c r="K17" s="664">
        <f t="shared" si="5"/>
        <v>0</v>
      </c>
      <c r="L17" s="664">
        <f t="shared" si="6"/>
        <v>0</v>
      </c>
      <c r="M17" s="264" t="s">
        <v>242</v>
      </c>
      <c r="N17" s="11" t="s">
        <v>243</v>
      </c>
      <c r="O17" s="429"/>
      <c r="P17" s="427"/>
    </row>
    <row r="18" spans="1:16" ht="57" hidden="1">
      <c r="A18" s="421" t="s">
        <v>2294</v>
      </c>
      <c r="B18" s="422" t="s">
        <v>258</v>
      </c>
      <c r="C18" s="423" t="s">
        <v>23</v>
      </c>
      <c r="D18" s="424">
        <v>13251</v>
      </c>
      <c r="E18" s="424">
        <f>估驗單!F14</f>
        <v>13251</v>
      </c>
      <c r="F18" s="478"/>
      <c r="G18" s="424">
        <v>1027.3699999999999</v>
      </c>
      <c r="H18" s="424"/>
      <c r="I18" s="424">
        <f t="shared" si="3"/>
        <v>13613679.869999999</v>
      </c>
      <c r="J18" s="424">
        <f t="shared" si="4"/>
        <v>13613679.869999999</v>
      </c>
      <c r="K18" s="664">
        <f t="shared" si="5"/>
        <v>0</v>
      </c>
      <c r="L18" s="664">
        <f t="shared" si="6"/>
        <v>0</v>
      </c>
      <c r="M18" s="264" t="s">
        <v>2528</v>
      </c>
      <c r="N18" s="11" t="s">
        <v>243</v>
      </c>
      <c r="O18" s="429"/>
      <c r="P18" s="427"/>
    </row>
    <row r="19" spans="1:16" ht="33" hidden="1">
      <c r="A19" s="421" t="s">
        <v>2295</v>
      </c>
      <c r="B19" s="422" t="s">
        <v>261</v>
      </c>
      <c r="C19" s="423" t="s">
        <v>6</v>
      </c>
      <c r="D19" s="424">
        <v>4601.4399999999996</v>
      </c>
      <c r="E19" s="424">
        <f>估驗單!F15</f>
        <v>4601.4399999999996</v>
      </c>
      <c r="F19" s="478"/>
      <c r="G19" s="424">
        <v>1084.98</v>
      </c>
      <c r="H19" s="424"/>
      <c r="I19" s="424">
        <f t="shared" si="3"/>
        <v>4992470.37</v>
      </c>
      <c r="J19" s="424">
        <f t="shared" si="4"/>
        <v>4992470.37</v>
      </c>
      <c r="K19" s="664">
        <f t="shared" si="5"/>
        <v>0</v>
      </c>
      <c r="L19" s="664">
        <f t="shared" si="6"/>
        <v>0</v>
      </c>
      <c r="M19" s="264" t="s">
        <v>242</v>
      </c>
      <c r="N19" s="11" t="s">
        <v>243</v>
      </c>
      <c r="O19" s="429"/>
      <c r="P19" s="427"/>
    </row>
    <row r="20" spans="1:16" ht="42.75" hidden="1">
      <c r="A20" s="421" t="s">
        <v>2296</v>
      </c>
      <c r="B20" s="422" t="s">
        <v>264</v>
      </c>
      <c r="C20" s="423" t="s">
        <v>13</v>
      </c>
      <c r="D20" s="424">
        <v>2588.5</v>
      </c>
      <c r="E20" s="424">
        <f>估驗單!F16</f>
        <v>2588.5</v>
      </c>
      <c r="F20" s="478"/>
      <c r="G20" s="424">
        <v>30.45</v>
      </c>
      <c r="H20" s="424"/>
      <c r="I20" s="424">
        <f t="shared" si="3"/>
        <v>78819.83</v>
      </c>
      <c r="J20" s="424">
        <f t="shared" si="4"/>
        <v>78819.83</v>
      </c>
      <c r="K20" s="664">
        <f t="shared" si="5"/>
        <v>0</v>
      </c>
      <c r="L20" s="664">
        <f t="shared" si="6"/>
        <v>0</v>
      </c>
      <c r="M20" s="264" t="s">
        <v>2529</v>
      </c>
      <c r="N20" s="11" t="s">
        <v>243</v>
      </c>
      <c r="O20" s="429"/>
      <c r="P20" s="427"/>
    </row>
    <row r="21" spans="1:16" ht="33" hidden="1">
      <c r="A21" s="421" t="s">
        <v>2297</v>
      </c>
      <c r="B21" s="422" t="s">
        <v>267</v>
      </c>
      <c r="C21" s="423" t="s">
        <v>13</v>
      </c>
      <c r="D21" s="424">
        <v>9177</v>
      </c>
      <c r="E21" s="424">
        <f>估驗單!F17</f>
        <v>9177</v>
      </c>
      <c r="F21" s="478"/>
      <c r="G21" s="424">
        <v>28.48</v>
      </c>
      <c r="H21" s="424"/>
      <c r="I21" s="424">
        <f t="shared" si="3"/>
        <v>261360.96</v>
      </c>
      <c r="J21" s="424">
        <f t="shared" si="4"/>
        <v>261360.96</v>
      </c>
      <c r="K21" s="664">
        <f t="shared" si="5"/>
        <v>0</v>
      </c>
      <c r="L21" s="664">
        <f t="shared" si="6"/>
        <v>0</v>
      </c>
      <c r="M21" s="264" t="s">
        <v>242</v>
      </c>
      <c r="N21" s="11" t="s">
        <v>243</v>
      </c>
      <c r="O21" s="429"/>
      <c r="P21" s="427"/>
    </row>
    <row r="22" spans="1:16" ht="33" hidden="1">
      <c r="A22" s="421" t="s">
        <v>2298</v>
      </c>
      <c r="B22" s="422" t="s">
        <v>270</v>
      </c>
      <c r="C22" s="423" t="s">
        <v>8</v>
      </c>
      <c r="D22" s="424">
        <v>162.5</v>
      </c>
      <c r="E22" s="424">
        <f>估驗單!F18</f>
        <v>162.5</v>
      </c>
      <c r="F22" s="478"/>
      <c r="G22" s="424">
        <v>65.400000000000006</v>
      </c>
      <c r="H22" s="424"/>
      <c r="I22" s="424">
        <f t="shared" si="3"/>
        <v>10627.5</v>
      </c>
      <c r="J22" s="424">
        <f t="shared" si="4"/>
        <v>10627.5</v>
      </c>
      <c r="K22" s="664">
        <f t="shared" si="5"/>
        <v>0</v>
      </c>
      <c r="L22" s="664">
        <f t="shared" si="6"/>
        <v>0</v>
      </c>
      <c r="M22" s="264" t="s">
        <v>242</v>
      </c>
      <c r="N22" s="11" t="s">
        <v>243</v>
      </c>
      <c r="O22" s="429"/>
      <c r="P22" s="427"/>
    </row>
    <row r="23" spans="1:16" ht="33" hidden="1">
      <c r="A23" s="421" t="s">
        <v>2299</v>
      </c>
      <c r="B23" s="422" t="s">
        <v>273</v>
      </c>
      <c r="C23" s="423" t="s">
        <v>13</v>
      </c>
      <c r="D23" s="424">
        <v>5217.7</v>
      </c>
      <c r="E23" s="424">
        <f>估驗單!F19</f>
        <v>5217.7</v>
      </c>
      <c r="F23" s="478"/>
      <c r="G23" s="424">
        <v>20.190000000000001</v>
      </c>
      <c r="H23" s="424"/>
      <c r="I23" s="424">
        <f t="shared" si="3"/>
        <v>105345.36</v>
      </c>
      <c r="J23" s="424">
        <f t="shared" si="4"/>
        <v>105345.36</v>
      </c>
      <c r="K23" s="664">
        <f t="shared" si="5"/>
        <v>0</v>
      </c>
      <c r="L23" s="664">
        <f t="shared" si="6"/>
        <v>0</v>
      </c>
      <c r="M23" s="264" t="s">
        <v>242</v>
      </c>
      <c r="N23" s="11" t="s">
        <v>243</v>
      </c>
      <c r="O23" s="429"/>
      <c r="P23" s="427"/>
    </row>
    <row r="24" spans="1:16" ht="33" hidden="1">
      <c r="A24" s="431" t="s">
        <v>2300</v>
      </c>
      <c r="B24" s="432" t="s">
        <v>276</v>
      </c>
      <c r="C24" s="433" t="s">
        <v>6</v>
      </c>
      <c r="D24" s="428">
        <v>782.66</v>
      </c>
      <c r="E24" s="424">
        <f>估驗單!F20</f>
        <v>782.66</v>
      </c>
      <c r="F24" s="478"/>
      <c r="G24" s="428">
        <v>2286.6799999999998</v>
      </c>
      <c r="H24" s="428"/>
      <c r="I24" s="424">
        <f t="shared" si="3"/>
        <v>1789692.97</v>
      </c>
      <c r="J24" s="424">
        <f t="shared" si="4"/>
        <v>1789692.97</v>
      </c>
      <c r="K24" s="664">
        <f t="shared" si="5"/>
        <v>0</v>
      </c>
      <c r="L24" s="664">
        <f t="shared" si="6"/>
        <v>0</v>
      </c>
      <c r="M24" s="434" t="s">
        <v>2530</v>
      </c>
      <c r="N24" s="435" t="s">
        <v>243</v>
      </c>
      <c r="O24" s="436"/>
      <c r="P24" s="437"/>
    </row>
    <row r="25" spans="1:16" ht="33" hidden="1">
      <c r="A25" s="421" t="s">
        <v>2301</v>
      </c>
      <c r="B25" s="422" t="s">
        <v>279</v>
      </c>
      <c r="C25" s="423" t="s">
        <v>14</v>
      </c>
      <c r="D25" s="424">
        <v>425</v>
      </c>
      <c r="E25" s="424">
        <f>估驗單!F21</f>
        <v>425</v>
      </c>
      <c r="F25" s="478"/>
      <c r="G25" s="424">
        <v>521.15</v>
      </c>
      <c r="H25" s="424"/>
      <c r="I25" s="424">
        <f t="shared" si="3"/>
        <v>221488.75</v>
      </c>
      <c r="J25" s="424">
        <f t="shared" si="4"/>
        <v>221488.75</v>
      </c>
      <c r="K25" s="664">
        <f t="shared" si="5"/>
        <v>0</v>
      </c>
      <c r="L25" s="664">
        <f t="shared" si="6"/>
        <v>0</v>
      </c>
      <c r="M25" s="264" t="s">
        <v>2531</v>
      </c>
      <c r="N25" s="11" t="s">
        <v>243</v>
      </c>
      <c r="O25" s="429"/>
      <c r="P25" s="427"/>
    </row>
    <row r="26" spans="1:16" ht="33">
      <c r="A26" s="610" t="s">
        <v>2302</v>
      </c>
      <c r="B26" s="611" t="s">
        <v>282</v>
      </c>
      <c r="C26" s="612" t="s">
        <v>8</v>
      </c>
      <c r="D26" s="613">
        <v>255.5</v>
      </c>
      <c r="E26" s="613">
        <f>估驗單!F22</f>
        <v>314.3</v>
      </c>
      <c r="F26" s="614">
        <f t="shared" ref="F26:F76" si="7">E26-D26</f>
        <v>58.800000000000011</v>
      </c>
      <c r="G26" s="613">
        <v>289.67</v>
      </c>
      <c r="H26" s="613"/>
      <c r="I26" s="613">
        <f t="shared" si="3"/>
        <v>74010.69</v>
      </c>
      <c r="J26" s="613">
        <f t="shared" si="4"/>
        <v>91043.28</v>
      </c>
      <c r="K26" s="665">
        <f t="shared" si="5"/>
        <v>17032.589999999997</v>
      </c>
      <c r="L26" s="665"/>
      <c r="M26" s="615" t="s">
        <v>242</v>
      </c>
      <c r="N26" s="11" t="s">
        <v>243</v>
      </c>
      <c r="O26" s="429"/>
      <c r="P26" s="427"/>
    </row>
    <row r="27" spans="1:16" ht="33" hidden="1">
      <c r="A27" s="421" t="s">
        <v>2303</v>
      </c>
      <c r="B27" s="422" t="s">
        <v>285</v>
      </c>
      <c r="C27" s="423" t="s">
        <v>286</v>
      </c>
      <c r="D27" s="424">
        <v>2204</v>
      </c>
      <c r="E27" s="424">
        <f>估驗單!F23</f>
        <v>2204</v>
      </c>
      <c r="F27" s="478"/>
      <c r="G27" s="424">
        <v>3082.11</v>
      </c>
      <c r="H27" s="424"/>
      <c r="I27" s="424">
        <f t="shared" si="3"/>
        <v>6792970.4400000004</v>
      </c>
      <c r="J27" s="424">
        <f t="shared" si="4"/>
        <v>6792970.4400000004</v>
      </c>
      <c r="K27" s="664">
        <f t="shared" si="5"/>
        <v>0</v>
      </c>
      <c r="L27" s="664">
        <f t="shared" si="6"/>
        <v>0</v>
      </c>
      <c r="M27" s="264" t="s">
        <v>242</v>
      </c>
      <c r="N27" s="11" t="s">
        <v>243</v>
      </c>
      <c r="O27" s="429"/>
      <c r="P27" s="427"/>
    </row>
    <row r="28" spans="1:16" ht="33" hidden="1">
      <c r="A28" s="421" t="s">
        <v>2304</v>
      </c>
      <c r="B28" s="422" t="s">
        <v>289</v>
      </c>
      <c r="C28" s="423" t="s">
        <v>290</v>
      </c>
      <c r="D28" s="424">
        <v>66</v>
      </c>
      <c r="E28" s="424">
        <f>估驗單!F24</f>
        <v>66</v>
      </c>
      <c r="F28" s="478"/>
      <c r="G28" s="424">
        <v>3311.26</v>
      </c>
      <c r="H28" s="424"/>
      <c r="I28" s="424">
        <f t="shared" si="3"/>
        <v>218543.16</v>
      </c>
      <c r="J28" s="424">
        <f t="shared" si="4"/>
        <v>218543.16</v>
      </c>
      <c r="K28" s="664">
        <f t="shared" si="5"/>
        <v>0</v>
      </c>
      <c r="L28" s="664">
        <f t="shared" si="6"/>
        <v>0</v>
      </c>
      <c r="M28" s="264" t="s">
        <v>2532</v>
      </c>
      <c r="N28" s="11" t="s">
        <v>243</v>
      </c>
      <c r="O28" s="429"/>
      <c r="P28" s="427"/>
    </row>
    <row r="29" spans="1:16" ht="33" hidden="1">
      <c r="A29" s="421" t="s">
        <v>2305</v>
      </c>
      <c r="B29" s="422" t="s">
        <v>293</v>
      </c>
      <c r="C29" s="423" t="s">
        <v>0</v>
      </c>
      <c r="D29" s="424">
        <v>18</v>
      </c>
      <c r="E29" s="424">
        <f>估驗單!F25</f>
        <v>18</v>
      </c>
      <c r="F29" s="478"/>
      <c r="G29" s="424">
        <v>1199.93</v>
      </c>
      <c r="H29" s="424"/>
      <c r="I29" s="424">
        <f t="shared" si="3"/>
        <v>21598.74</v>
      </c>
      <c r="J29" s="424">
        <f t="shared" si="4"/>
        <v>21598.74</v>
      </c>
      <c r="K29" s="664">
        <f t="shared" si="5"/>
        <v>0</v>
      </c>
      <c r="L29" s="664">
        <f t="shared" si="6"/>
        <v>0</v>
      </c>
      <c r="M29" s="264" t="s">
        <v>2532</v>
      </c>
      <c r="N29" s="11" t="s">
        <v>243</v>
      </c>
      <c r="O29" s="429"/>
      <c r="P29" s="427"/>
    </row>
    <row r="30" spans="1:16" ht="33" hidden="1">
      <c r="A30" s="421" t="s">
        <v>2306</v>
      </c>
      <c r="B30" s="422" t="s">
        <v>296</v>
      </c>
      <c r="C30" s="423" t="s">
        <v>0</v>
      </c>
      <c r="D30" s="424">
        <v>4</v>
      </c>
      <c r="E30" s="424">
        <f>估驗單!F26</f>
        <v>4</v>
      </c>
      <c r="F30" s="478"/>
      <c r="G30" s="424">
        <v>2999.84</v>
      </c>
      <c r="H30" s="424"/>
      <c r="I30" s="424">
        <f t="shared" si="3"/>
        <v>11999.36</v>
      </c>
      <c r="J30" s="424">
        <f t="shared" si="4"/>
        <v>11999.36</v>
      </c>
      <c r="K30" s="664">
        <f t="shared" si="5"/>
        <v>0</v>
      </c>
      <c r="L30" s="664">
        <f t="shared" si="6"/>
        <v>0</v>
      </c>
      <c r="M30" s="264" t="s">
        <v>2532</v>
      </c>
      <c r="N30" s="11" t="s">
        <v>243</v>
      </c>
      <c r="O30" s="429"/>
      <c r="P30" s="427"/>
    </row>
    <row r="31" spans="1:16" ht="33" hidden="1">
      <c r="A31" s="421" t="s">
        <v>2307</v>
      </c>
      <c r="B31" s="422" t="s">
        <v>299</v>
      </c>
      <c r="C31" s="423" t="s">
        <v>0</v>
      </c>
      <c r="D31" s="424">
        <v>20</v>
      </c>
      <c r="E31" s="424">
        <f>估驗單!F27</f>
        <v>20</v>
      </c>
      <c r="F31" s="478"/>
      <c r="G31" s="424">
        <v>2999.84</v>
      </c>
      <c r="H31" s="424"/>
      <c r="I31" s="424">
        <f t="shared" si="3"/>
        <v>59996.800000000003</v>
      </c>
      <c r="J31" s="424">
        <f t="shared" si="4"/>
        <v>59996.800000000003</v>
      </c>
      <c r="K31" s="664">
        <f t="shared" si="5"/>
        <v>0</v>
      </c>
      <c r="L31" s="664">
        <f t="shared" si="6"/>
        <v>0</v>
      </c>
      <c r="M31" s="264" t="s">
        <v>2532</v>
      </c>
      <c r="N31" s="11" t="s">
        <v>243</v>
      </c>
      <c r="O31" s="429"/>
      <c r="P31" s="427"/>
    </row>
    <row r="32" spans="1:16" ht="33" hidden="1">
      <c r="A32" s="421" t="s">
        <v>2308</v>
      </c>
      <c r="B32" s="422" t="s">
        <v>302</v>
      </c>
      <c r="C32" s="423" t="s">
        <v>0</v>
      </c>
      <c r="D32" s="424">
        <v>15</v>
      </c>
      <c r="E32" s="424">
        <f>估驗單!F28</f>
        <v>15</v>
      </c>
      <c r="F32" s="478"/>
      <c r="G32" s="424">
        <v>2999.84</v>
      </c>
      <c r="H32" s="424"/>
      <c r="I32" s="424">
        <f t="shared" si="3"/>
        <v>44997.599999999999</v>
      </c>
      <c r="J32" s="424">
        <f t="shared" si="4"/>
        <v>44997.599999999999</v>
      </c>
      <c r="K32" s="664">
        <f t="shared" si="5"/>
        <v>0</v>
      </c>
      <c r="L32" s="664">
        <f t="shared" si="6"/>
        <v>0</v>
      </c>
      <c r="M32" s="264" t="s">
        <v>2532</v>
      </c>
      <c r="N32" s="11" t="s">
        <v>243</v>
      </c>
      <c r="O32" s="429"/>
      <c r="P32" s="427"/>
    </row>
    <row r="33" spans="1:19" ht="33" hidden="1">
      <c r="A33" s="421" t="s">
        <v>2309</v>
      </c>
      <c r="B33" s="422" t="s">
        <v>305</v>
      </c>
      <c r="C33" s="423" t="s">
        <v>4</v>
      </c>
      <c r="D33" s="424">
        <v>1</v>
      </c>
      <c r="E33" s="424">
        <f>估驗單!F29</f>
        <v>1</v>
      </c>
      <c r="F33" s="478"/>
      <c r="G33" s="424">
        <v>399978.19</v>
      </c>
      <c r="H33" s="424"/>
      <c r="I33" s="424">
        <f t="shared" si="3"/>
        <v>399978.19</v>
      </c>
      <c r="J33" s="424">
        <f t="shared" si="4"/>
        <v>399978.19</v>
      </c>
      <c r="K33" s="664">
        <f t="shared" si="5"/>
        <v>0</v>
      </c>
      <c r="L33" s="664">
        <f t="shared" si="6"/>
        <v>0</v>
      </c>
      <c r="M33" s="264" t="s">
        <v>2533</v>
      </c>
      <c r="N33" s="11" t="s">
        <v>243</v>
      </c>
      <c r="O33" s="429"/>
      <c r="P33" s="427"/>
    </row>
    <row r="34" spans="1:19" ht="33" hidden="1">
      <c r="A34" s="421" t="s">
        <v>2311</v>
      </c>
      <c r="B34" s="422" t="s">
        <v>31</v>
      </c>
      <c r="C34" s="423" t="s">
        <v>16</v>
      </c>
      <c r="D34" s="424">
        <v>30800</v>
      </c>
      <c r="E34" s="424">
        <f>估驗單!F30</f>
        <v>30800</v>
      </c>
      <c r="F34" s="478">
        <f t="shared" si="7"/>
        <v>0</v>
      </c>
      <c r="G34" s="424">
        <v>280</v>
      </c>
      <c r="H34" s="424"/>
      <c r="I34" s="424">
        <f t="shared" si="3"/>
        <v>8624000</v>
      </c>
      <c r="J34" s="424">
        <f t="shared" si="4"/>
        <v>8624000</v>
      </c>
      <c r="K34" s="664">
        <f t="shared" si="5"/>
        <v>0</v>
      </c>
      <c r="L34" s="664">
        <f t="shared" si="6"/>
        <v>0</v>
      </c>
      <c r="M34" s="264" t="s">
        <v>2534</v>
      </c>
      <c r="N34" s="11" t="s">
        <v>243</v>
      </c>
      <c r="O34" s="429"/>
      <c r="P34" s="427"/>
    </row>
    <row r="35" spans="1:19" ht="33" hidden="1">
      <c r="A35" s="421" t="s">
        <v>2312</v>
      </c>
      <c r="B35" s="422" t="s">
        <v>1312</v>
      </c>
      <c r="C35" s="423" t="s">
        <v>13</v>
      </c>
      <c r="D35" s="424">
        <v>2150</v>
      </c>
      <c r="E35" s="424">
        <f>估驗單!F31</f>
        <v>2150</v>
      </c>
      <c r="F35" s="478">
        <f t="shared" si="7"/>
        <v>0</v>
      </c>
      <c r="G35" s="424">
        <v>70.56</v>
      </c>
      <c r="H35" s="424"/>
      <c r="I35" s="424">
        <f t="shared" si="3"/>
        <v>151704</v>
      </c>
      <c r="J35" s="424">
        <f t="shared" si="4"/>
        <v>151704</v>
      </c>
      <c r="K35" s="664">
        <f t="shared" si="5"/>
        <v>0</v>
      </c>
      <c r="L35" s="664">
        <f t="shared" si="6"/>
        <v>0</v>
      </c>
      <c r="M35" s="264" t="s">
        <v>2535</v>
      </c>
      <c r="N35" s="11" t="s">
        <v>243</v>
      </c>
      <c r="O35" s="429"/>
      <c r="P35" s="427"/>
    </row>
    <row r="36" spans="1:19" s="440" customFormat="1" ht="33.75" hidden="1">
      <c r="A36" s="431">
        <v>25</v>
      </c>
      <c r="B36" s="432" t="s">
        <v>2536</v>
      </c>
      <c r="C36" s="423" t="s">
        <v>2537</v>
      </c>
      <c r="D36" s="428">
        <v>111</v>
      </c>
      <c r="E36" s="424">
        <f>估驗單!F32</f>
        <v>111</v>
      </c>
      <c r="F36" s="478">
        <f t="shared" si="7"/>
        <v>0</v>
      </c>
      <c r="G36" s="428">
        <v>20000</v>
      </c>
      <c r="H36" s="428"/>
      <c r="I36" s="424">
        <f t="shared" si="3"/>
        <v>2220000</v>
      </c>
      <c r="J36" s="424">
        <f t="shared" si="4"/>
        <v>2220000</v>
      </c>
      <c r="K36" s="664">
        <f t="shared" si="5"/>
        <v>0</v>
      </c>
      <c r="L36" s="664">
        <f t="shared" si="6"/>
        <v>0</v>
      </c>
      <c r="M36" s="438" t="s">
        <v>2538</v>
      </c>
      <c r="N36" s="435" t="s">
        <v>243</v>
      </c>
      <c r="O36" s="436" t="s">
        <v>2539</v>
      </c>
      <c r="P36" s="439" t="s">
        <v>2540</v>
      </c>
      <c r="Q36" s="413" t="s">
        <v>2541</v>
      </c>
      <c r="S36" s="441" t="s">
        <v>2542</v>
      </c>
    </row>
    <row r="37" spans="1:19" ht="33">
      <c r="A37" s="494" t="s">
        <v>2314</v>
      </c>
      <c r="B37" s="495" t="s">
        <v>309</v>
      </c>
      <c r="C37" s="496" t="s">
        <v>4</v>
      </c>
      <c r="D37" s="497"/>
      <c r="E37" s="497">
        <f>估驗單!F33</f>
        <v>0</v>
      </c>
      <c r="F37" s="498">
        <f t="shared" si="7"/>
        <v>0</v>
      </c>
      <c r="G37" s="497">
        <v>30807124.300000001</v>
      </c>
      <c r="H37" s="497"/>
      <c r="I37" s="497">
        <f>SUM(I38:I125)</f>
        <v>30807124.299999997</v>
      </c>
      <c r="J37" s="497">
        <f>SUM(J38:J125)</f>
        <v>34151511.93999999</v>
      </c>
      <c r="K37" s="660">
        <f t="shared" ref="K37:L37" si="8">SUM(K38:K125)</f>
        <v>5171000</v>
      </c>
      <c r="L37" s="547">
        <f t="shared" si="8"/>
        <v>-1826612.36</v>
      </c>
      <c r="M37" s="356" t="s">
        <v>242</v>
      </c>
      <c r="N37" s="11" t="s">
        <v>243</v>
      </c>
      <c r="O37" s="426"/>
      <c r="P37" s="427"/>
    </row>
    <row r="38" spans="1:19" ht="33" hidden="1">
      <c r="A38" s="421" t="s">
        <v>2288</v>
      </c>
      <c r="B38" s="422" t="s">
        <v>310</v>
      </c>
      <c r="C38" s="423" t="s">
        <v>223</v>
      </c>
      <c r="D38" s="424">
        <v>1887.64</v>
      </c>
      <c r="E38" s="424">
        <f>估驗單!F34</f>
        <v>1887.64</v>
      </c>
      <c r="F38" s="478">
        <f t="shared" si="7"/>
        <v>0</v>
      </c>
      <c r="G38" s="424">
        <v>320.72000000000003</v>
      </c>
      <c r="H38" s="424"/>
      <c r="I38" s="424">
        <f t="shared" ref="I38:I69" si="9">ROUND(D38*G38,2)</f>
        <v>605403.9</v>
      </c>
      <c r="J38" s="424">
        <f t="shared" ref="J38:J69" si="10">ROUND(E38*G38,2)</f>
        <v>605403.9</v>
      </c>
      <c r="K38" s="664">
        <f t="shared" si="5"/>
        <v>0</v>
      </c>
      <c r="L38" s="609"/>
      <c r="M38" s="264" t="s">
        <v>242</v>
      </c>
      <c r="N38" s="11" t="s">
        <v>243</v>
      </c>
      <c r="O38" s="429"/>
      <c r="P38" s="427"/>
    </row>
    <row r="39" spans="1:19" ht="33" hidden="1">
      <c r="A39" s="421" t="s">
        <v>2289</v>
      </c>
      <c r="B39" s="422" t="s">
        <v>312</v>
      </c>
      <c r="C39" s="423" t="s">
        <v>223</v>
      </c>
      <c r="D39" s="424">
        <v>402.21</v>
      </c>
      <c r="E39" s="424">
        <f>估驗單!F35</f>
        <v>402.21</v>
      </c>
      <c r="F39" s="478">
        <f t="shared" si="7"/>
        <v>0</v>
      </c>
      <c r="G39" s="424">
        <v>346.06</v>
      </c>
      <c r="H39" s="424"/>
      <c r="I39" s="424">
        <f t="shared" si="9"/>
        <v>139188.79</v>
      </c>
      <c r="J39" s="424">
        <f t="shared" si="10"/>
        <v>139188.79</v>
      </c>
      <c r="K39" s="664">
        <f t="shared" si="5"/>
        <v>0</v>
      </c>
      <c r="L39" s="609"/>
      <c r="M39" s="264" t="s">
        <v>242</v>
      </c>
      <c r="N39" s="11" t="s">
        <v>243</v>
      </c>
      <c r="O39" s="429"/>
      <c r="P39" s="427"/>
    </row>
    <row r="40" spans="1:19" ht="42.75" hidden="1">
      <c r="A40" s="421" t="s">
        <v>2290</v>
      </c>
      <c r="B40" s="422" t="s">
        <v>192</v>
      </c>
      <c r="C40" s="423" t="s">
        <v>17</v>
      </c>
      <c r="D40" s="424">
        <v>18865.759999999998</v>
      </c>
      <c r="E40" s="424">
        <f>估驗單!F36</f>
        <v>18865.759999999998</v>
      </c>
      <c r="F40" s="478">
        <f t="shared" si="7"/>
        <v>0</v>
      </c>
      <c r="G40" s="424">
        <v>36.4</v>
      </c>
      <c r="H40" s="424"/>
      <c r="I40" s="424">
        <f t="shared" si="9"/>
        <v>686713.66</v>
      </c>
      <c r="J40" s="424">
        <f t="shared" si="10"/>
        <v>686713.66</v>
      </c>
      <c r="K40" s="664">
        <f t="shared" si="5"/>
        <v>0</v>
      </c>
      <c r="L40" s="609"/>
      <c r="M40" s="264" t="s">
        <v>2543</v>
      </c>
      <c r="N40" s="11" t="s">
        <v>243</v>
      </c>
      <c r="O40" s="429"/>
      <c r="P40" s="427"/>
    </row>
    <row r="41" spans="1:19" ht="33" hidden="1">
      <c r="A41" s="421" t="s">
        <v>2291</v>
      </c>
      <c r="B41" s="422" t="s">
        <v>315</v>
      </c>
      <c r="C41" s="423" t="s">
        <v>6</v>
      </c>
      <c r="D41" s="424">
        <v>107.91</v>
      </c>
      <c r="E41" s="424">
        <f>估驗單!F37</f>
        <v>107.91</v>
      </c>
      <c r="F41" s="478">
        <f t="shared" si="7"/>
        <v>0</v>
      </c>
      <c r="G41" s="424">
        <v>3114.97</v>
      </c>
      <c r="H41" s="424"/>
      <c r="I41" s="424">
        <f t="shared" si="9"/>
        <v>336136.41</v>
      </c>
      <c r="J41" s="424">
        <f t="shared" si="10"/>
        <v>336136.41</v>
      </c>
      <c r="K41" s="664">
        <f t="shared" si="5"/>
        <v>0</v>
      </c>
      <c r="L41" s="609"/>
      <c r="M41" s="264" t="s">
        <v>242</v>
      </c>
      <c r="N41" s="11" t="s">
        <v>243</v>
      </c>
      <c r="O41" s="429"/>
      <c r="P41" s="427"/>
    </row>
    <row r="42" spans="1:19" ht="33" hidden="1">
      <c r="A42" s="421" t="s">
        <v>2292</v>
      </c>
      <c r="B42" s="422" t="s">
        <v>24</v>
      </c>
      <c r="C42" s="423" t="s">
        <v>6</v>
      </c>
      <c r="D42" s="424">
        <v>564.01</v>
      </c>
      <c r="E42" s="424">
        <f>估驗單!F38</f>
        <v>564.01</v>
      </c>
      <c r="F42" s="478">
        <f t="shared" si="7"/>
        <v>0</v>
      </c>
      <c r="G42" s="424">
        <v>3320.96</v>
      </c>
      <c r="H42" s="424"/>
      <c r="I42" s="424">
        <f t="shared" si="9"/>
        <v>1873054.65</v>
      </c>
      <c r="J42" s="424">
        <f t="shared" si="10"/>
        <v>1873054.65</v>
      </c>
      <c r="K42" s="664">
        <f t="shared" si="5"/>
        <v>0</v>
      </c>
      <c r="L42" s="609"/>
      <c r="M42" s="264" t="s">
        <v>242</v>
      </c>
      <c r="N42" s="11" t="s">
        <v>243</v>
      </c>
      <c r="O42" s="429"/>
      <c r="P42" s="427"/>
    </row>
    <row r="43" spans="1:19" ht="71.25" hidden="1">
      <c r="A43" s="421" t="s">
        <v>2293</v>
      </c>
      <c r="B43" s="422" t="s">
        <v>193</v>
      </c>
      <c r="C43" s="423" t="s">
        <v>13</v>
      </c>
      <c r="D43" s="424">
        <v>1926.87</v>
      </c>
      <c r="E43" s="424">
        <f>估驗單!F39</f>
        <v>1926.87</v>
      </c>
      <c r="F43" s="478">
        <f t="shared" si="7"/>
        <v>0</v>
      </c>
      <c r="G43" s="424">
        <v>533.61</v>
      </c>
      <c r="H43" s="424"/>
      <c r="I43" s="424">
        <f t="shared" si="9"/>
        <v>1028197.1</v>
      </c>
      <c r="J43" s="424">
        <f t="shared" si="10"/>
        <v>1028197.1</v>
      </c>
      <c r="K43" s="664">
        <f t="shared" si="5"/>
        <v>0</v>
      </c>
      <c r="L43" s="609"/>
      <c r="M43" s="264" t="s">
        <v>2544</v>
      </c>
      <c r="N43" s="11" t="s">
        <v>243</v>
      </c>
      <c r="O43" s="429"/>
      <c r="P43" s="427"/>
    </row>
    <row r="44" spans="1:19" ht="42.75" hidden="1">
      <c r="A44" s="421" t="s">
        <v>2294</v>
      </c>
      <c r="B44" s="422" t="s">
        <v>319</v>
      </c>
      <c r="C44" s="423" t="s">
        <v>13</v>
      </c>
      <c r="D44" s="424">
        <v>301.33</v>
      </c>
      <c r="E44" s="424">
        <f>估驗單!F40</f>
        <v>301.33</v>
      </c>
      <c r="F44" s="478">
        <f t="shared" si="7"/>
        <v>0</v>
      </c>
      <c r="G44" s="424">
        <v>1299.82</v>
      </c>
      <c r="H44" s="424"/>
      <c r="I44" s="424">
        <f t="shared" si="9"/>
        <v>391674.76</v>
      </c>
      <c r="J44" s="424">
        <f t="shared" si="10"/>
        <v>391674.76</v>
      </c>
      <c r="K44" s="664">
        <f t="shared" si="5"/>
        <v>0</v>
      </c>
      <c r="L44" s="609"/>
      <c r="M44" s="264" t="s">
        <v>2545</v>
      </c>
      <c r="N44" s="11" t="s">
        <v>243</v>
      </c>
      <c r="O44" s="429"/>
      <c r="P44" s="427"/>
    </row>
    <row r="45" spans="1:19" ht="42.75">
      <c r="A45" s="610" t="s">
        <v>2295</v>
      </c>
      <c r="B45" s="611" t="s">
        <v>321</v>
      </c>
      <c r="C45" s="612" t="s">
        <v>17</v>
      </c>
      <c r="D45" s="613">
        <v>5991.34</v>
      </c>
      <c r="E45" s="613">
        <f>估驗單!F41</f>
        <v>14260.384600000001</v>
      </c>
      <c r="F45" s="614">
        <f t="shared" si="7"/>
        <v>8269.0446000000011</v>
      </c>
      <c r="G45" s="613">
        <v>60</v>
      </c>
      <c r="H45" s="613"/>
      <c r="I45" s="613">
        <f t="shared" si="9"/>
        <v>359480.4</v>
      </c>
      <c r="J45" s="613">
        <f t="shared" si="10"/>
        <v>855623.08</v>
      </c>
      <c r="K45" s="665">
        <f t="shared" si="5"/>
        <v>496142.67999999993</v>
      </c>
      <c r="L45" s="617"/>
      <c r="M45" s="615" t="s">
        <v>2546</v>
      </c>
      <c r="N45" s="11" t="s">
        <v>243</v>
      </c>
      <c r="O45" s="429"/>
      <c r="P45" s="427"/>
    </row>
    <row r="46" spans="1:19" ht="33">
      <c r="A46" s="610" t="s">
        <v>2296</v>
      </c>
      <c r="B46" s="611" t="s">
        <v>323</v>
      </c>
      <c r="C46" s="612" t="s">
        <v>17</v>
      </c>
      <c r="D46" s="613">
        <v>5991.34</v>
      </c>
      <c r="E46" s="613">
        <f>估驗單!F42</f>
        <v>14260.384600000001</v>
      </c>
      <c r="F46" s="614">
        <f t="shared" si="7"/>
        <v>8269.0446000000011</v>
      </c>
      <c r="G46" s="613">
        <v>31.9</v>
      </c>
      <c r="H46" s="613"/>
      <c r="I46" s="613">
        <f t="shared" si="9"/>
        <v>191123.75</v>
      </c>
      <c r="J46" s="613">
        <f t="shared" si="10"/>
        <v>454906.27</v>
      </c>
      <c r="K46" s="665">
        <f t="shared" si="5"/>
        <v>263782.52</v>
      </c>
      <c r="L46" s="617"/>
      <c r="M46" s="615" t="s">
        <v>242</v>
      </c>
      <c r="N46" s="11" t="s">
        <v>243</v>
      </c>
      <c r="O46" s="429"/>
      <c r="P46" s="427"/>
    </row>
    <row r="47" spans="1:19" ht="57" hidden="1">
      <c r="A47" s="421" t="s">
        <v>2297</v>
      </c>
      <c r="B47" s="422" t="s">
        <v>325</v>
      </c>
      <c r="C47" s="423" t="s">
        <v>17</v>
      </c>
      <c r="D47" s="424">
        <v>1180.03</v>
      </c>
      <c r="E47" s="424">
        <f>估驗單!F43</f>
        <v>1180.03</v>
      </c>
      <c r="F47" s="478">
        <f t="shared" si="7"/>
        <v>0</v>
      </c>
      <c r="G47" s="424">
        <v>107.3</v>
      </c>
      <c r="H47" s="424"/>
      <c r="I47" s="424">
        <f t="shared" si="9"/>
        <v>126617.22</v>
      </c>
      <c r="J47" s="424">
        <f t="shared" si="10"/>
        <v>126617.22</v>
      </c>
      <c r="K47" s="664">
        <f t="shared" si="5"/>
        <v>0</v>
      </c>
      <c r="L47" s="609"/>
      <c r="M47" s="264" t="s">
        <v>2546</v>
      </c>
      <c r="N47" s="11" t="s">
        <v>243</v>
      </c>
      <c r="O47" s="429"/>
      <c r="P47" s="427"/>
    </row>
    <row r="48" spans="1:19" ht="33" hidden="1">
      <c r="A48" s="421" t="s">
        <v>2298</v>
      </c>
      <c r="B48" s="422" t="s">
        <v>327</v>
      </c>
      <c r="C48" s="423" t="s">
        <v>13</v>
      </c>
      <c r="D48" s="424">
        <v>3879.21</v>
      </c>
      <c r="E48" s="424">
        <f>估驗單!F44</f>
        <v>3879.21</v>
      </c>
      <c r="F48" s="478">
        <f t="shared" si="7"/>
        <v>0</v>
      </c>
      <c r="G48" s="424">
        <v>3092.69</v>
      </c>
      <c r="H48" s="424"/>
      <c r="I48" s="424">
        <f t="shared" si="9"/>
        <v>11997193.970000001</v>
      </c>
      <c r="J48" s="424">
        <f t="shared" si="10"/>
        <v>11997193.970000001</v>
      </c>
      <c r="K48" s="664">
        <f t="shared" si="5"/>
        <v>0</v>
      </c>
      <c r="L48" s="609"/>
      <c r="M48" s="264" t="s">
        <v>242</v>
      </c>
      <c r="N48" s="11" t="s">
        <v>243</v>
      </c>
      <c r="O48" s="429"/>
      <c r="P48" s="427"/>
    </row>
    <row r="49" spans="1:16" ht="33" hidden="1">
      <c r="A49" s="421" t="s">
        <v>2299</v>
      </c>
      <c r="B49" s="422" t="s">
        <v>329</v>
      </c>
      <c r="C49" s="423" t="s">
        <v>13</v>
      </c>
      <c r="D49" s="424">
        <v>462.9</v>
      </c>
      <c r="E49" s="424">
        <f>估驗單!F45</f>
        <v>462.9</v>
      </c>
      <c r="F49" s="478">
        <f t="shared" si="7"/>
        <v>0</v>
      </c>
      <c r="G49" s="424">
        <v>3961.37</v>
      </c>
      <c r="H49" s="424"/>
      <c r="I49" s="424">
        <f t="shared" si="9"/>
        <v>1833718.17</v>
      </c>
      <c r="J49" s="424">
        <f t="shared" si="10"/>
        <v>1833718.17</v>
      </c>
      <c r="K49" s="664">
        <f t="shared" si="5"/>
        <v>0</v>
      </c>
      <c r="L49" s="609"/>
      <c r="M49" s="264" t="s">
        <v>242</v>
      </c>
      <c r="N49" s="11" t="s">
        <v>243</v>
      </c>
      <c r="O49" s="429"/>
      <c r="P49" s="427"/>
    </row>
    <row r="50" spans="1:16" ht="33">
      <c r="A50" s="610" t="s">
        <v>2300</v>
      </c>
      <c r="B50" s="611" t="s">
        <v>331</v>
      </c>
      <c r="C50" s="612" t="s">
        <v>13</v>
      </c>
      <c r="D50" s="613">
        <v>5.09</v>
      </c>
      <c r="E50" s="613">
        <f>估驗單!F46</f>
        <v>280.3</v>
      </c>
      <c r="F50" s="614">
        <f t="shared" si="7"/>
        <v>275.21000000000004</v>
      </c>
      <c r="G50" s="613">
        <v>3965.59</v>
      </c>
      <c r="H50" s="613"/>
      <c r="I50" s="613">
        <f t="shared" si="9"/>
        <v>20184.849999999999</v>
      </c>
      <c r="J50" s="613">
        <f t="shared" si="10"/>
        <v>1111554.8799999999</v>
      </c>
      <c r="K50" s="665">
        <f t="shared" si="5"/>
        <v>1091370.0299999998</v>
      </c>
      <c r="L50" s="617"/>
      <c r="M50" s="615" t="s">
        <v>242</v>
      </c>
      <c r="N50" s="11" t="s">
        <v>243</v>
      </c>
      <c r="O50" s="429" t="s">
        <v>2855</v>
      </c>
      <c r="P50" s="427"/>
    </row>
    <row r="51" spans="1:16" ht="33" hidden="1">
      <c r="A51" s="421" t="s">
        <v>2301</v>
      </c>
      <c r="B51" s="422" t="s">
        <v>333</v>
      </c>
      <c r="C51" s="423" t="s">
        <v>13</v>
      </c>
      <c r="D51" s="424">
        <v>18.760000000000002</v>
      </c>
      <c r="E51" s="424">
        <f>估驗單!F47</f>
        <v>18.760000000000002</v>
      </c>
      <c r="F51" s="478">
        <f t="shared" si="7"/>
        <v>0</v>
      </c>
      <c r="G51" s="424">
        <v>3391.22</v>
      </c>
      <c r="H51" s="424"/>
      <c r="I51" s="424">
        <f t="shared" si="9"/>
        <v>63619.29</v>
      </c>
      <c r="J51" s="424">
        <f t="shared" si="10"/>
        <v>63619.29</v>
      </c>
      <c r="K51" s="664">
        <f t="shared" si="5"/>
        <v>0</v>
      </c>
      <c r="L51" s="609"/>
      <c r="M51" s="264" t="s">
        <v>242</v>
      </c>
      <c r="N51" s="11" t="s">
        <v>243</v>
      </c>
      <c r="O51" s="429"/>
      <c r="P51" s="427"/>
    </row>
    <row r="52" spans="1:16" ht="33" hidden="1">
      <c r="A52" s="421" t="s">
        <v>2302</v>
      </c>
      <c r="B52" s="422" t="s">
        <v>335</v>
      </c>
      <c r="C52" s="423" t="s">
        <v>13</v>
      </c>
      <c r="D52" s="424">
        <v>118.92</v>
      </c>
      <c r="E52" s="424">
        <f>估驗單!F48</f>
        <v>118.92</v>
      </c>
      <c r="F52" s="478">
        <f t="shared" si="7"/>
        <v>0</v>
      </c>
      <c r="G52" s="424">
        <v>773.85</v>
      </c>
      <c r="H52" s="424"/>
      <c r="I52" s="424">
        <f t="shared" si="9"/>
        <v>92026.240000000005</v>
      </c>
      <c r="J52" s="424">
        <f t="shared" si="10"/>
        <v>92026.240000000005</v>
      </c>
      <c r="K52" s="664">
        <f t="shared" si="5"/>
        <v>0</v>
      </c>
      <c r="L52" s="609"/>
      <c r="M52" s="264" t="s">
        <v>242</v>
      </c>
      <c r="N52" s="11" t="s">
        <v>243</v>
      </c>
      <c r="O52" s="429"/>
      <c r="P52" s="427"/>
    </row>
    <row r="53" spans="1:16" ht="33" hidden="1">
      <c r="A53" s="421" t="s">
        <v>2303</v>
      </c>
      <c r="B53" s="422" t="s">
        <v>337</v>
      </c>
      <c r="C53" s="423" t="s">
        <v>13</v>
      </c>
      <c r="D53" s="424">
        <v>173.3</v>
      </c>
      <c r="E53" s="424">
        <f>估驗單!F49</f>
        <v>173.3</v>
      </c>
      <c r="F53" s="478">
        <f t="shared" si="7"/>
        <v>0</v>
      </c>
      <c r="G53" s="424">
        <v>948.34</v>
      </c>
      <c r="H53" s="424"/>
      <c r="I53" s="424">
        <f t="shared" si="9"/>
        <v>164347.32</v>
      </c>
      <c r="J53" s="424">
        <f t="shared" si="10"/>
        <v>164347.32</v>
      </c>
      <c r="K53" s="664">
        <f t="shared" si="5"/>
        <v>0</v>
      </c>
      <c r="L53" s="609"/>
      <c r="M53" s="264" t="s">
        <v>242</v>
      </c>
      <c r="N53" s="11" t="s">
        <v>243</v>
      </c>
      <c r="O53" s="429"/>
      <c r="P53" s="427"/>
    </row>
    <row r="54" spans="1:16" ht="33" hidden="1">
      <c r="A54" s="421" t="s">
        <v>2304</v>
      </c>
      <c r="B54" s="422" t="s">
        <v>339</v>
      </c>
      <c r="C54" s="423" t="s">
        <v>0</v>
      </c>
      <c r="D54" s="424">
        <v>1</v>
      </c>
      <c r="E54" s="424">
        <f>估驗單!F50</f>
        <v>1</v>
      </c>
      <c r="F54" s="478">
        <f t="shared" si="7"/>
        <v>0</v>
      </c>
      <c r="G54" s="424">
        <v>144378.63</v>
      </c>
      <c r="H54" s="424"/>
      <c r="I54" s="424">
        <f t="shared" si="9"/>
        <v>144378.63</v>
      </c>
      <c r="J54" s="424">
        <f t="shared" si="10"/>
        <v>144378.63</v>
      </c>
      <c r="K54" s="664">
        <f t="shared" si="5"/>
        <v>0</v>
      </c>
      <c r="L54" s="609"/>
      <c r="M54" s="264" t="s">
        <v>242</v>
      </c>
      <c r="N54" s="11" t="s">
        <v>243</v>
      </c>
      <c r="O54" s="429"/>
      <c r="P54" s="427"/>
    </row>
    <row r="55" spans="1:16" ht="33" hidden="1">
      <c r="A55" s="421" t="s">
        <v>2305</v>
      </c>
      <c r="B55" s="422" t="s">
        <v>341</v>
      </c>
      <c r="C55" s="423" t="s">
        <v>223</v>
      </c>
      <c r="D55" s="424">
        <v>156.68</v>
      </c>
      <c r="E55" s="424">
        <f>估驗單!F51</f>
        <v>156.68</v>
      </c>
      <c r="F55" s="478">
        <f t="shared" si="7"/>
        <v>0</v>
      </c>
      <c r="G55" s="424">
        <v>145.21</v>
      </c>
      <c r="H55" s="424"/>
      <c r="I55" s="424">
        <f t="shared" si="9"/>
        <v>22751.5</v>
      </c>
      <c r="J55" s="424">
        <f t="shared" si="10"/>
        <v>22751.5</v>
      </c>
      <c r="K55" s="664">
        <f t="shared" si="5"/>
        <v>0</v>
      </c>
      <c r="L55" s="609"/>
      <c r="M55" s="264" t="s">
        <v>242</v>
      </c>
      <c r="N55" s="11" t="s">
        <v>243</v>
      </c>
      <c r="O55" s="429"/>
      <c r="P55" s="427"/>
    </row>
    <row r="56" spans="1:16" ht="33" hidden="1">
      <c r="A56" s="421" t="s">
        <v>2306</v>
      </c>
      <c r="B56" s="422" t="s">
        <v>343</v>
      </c>
      <c r="C56" s="423" t="s">
        <v>8</v>
      </c>
      <c r="D56" s="424">
        <v>689.86</v>
      </c>
      <c r="E56" s="424">
        <f>估驗單!F52</f>
        <v>689.86</v>
      </c>
      <c r="F56" s="478">
        <f t="shared" si="7"/>
        <v>0</v>
      </c>
      <c r="G56" s="424">
        <v>2755.78</v>
      </c>
      <c r="H56" s="424"/>
      <c r="I56" s="424">
        <f t="shared" si="9"/>
        <v>1901102.39</v>
      </c>
      <c r="J56" s="424">
        <f t="shared" si="10"/>
        <v>1901102.39</v>
      </c>
      <c r="K56" s="664">
        <f t="shared" si="5"/>
        <v>0</v>
      </c>
      <c r="L56" s="609"/>
      <c r="M56" s="264" t="s">
        <v>2530</v>
      </c>
      <c r="N56" s="11" t="s">
        <v>243</v>
      </c>
      <c r="O56" s="429"/>
      <c r="P56" s="427"/>
    </row>
    <row r="57" spans="1:16" ht="33" hidden="1">
      <c r="A57" s="421" t="s">
        <v>2307</v>
      </c>
      <c r="B57" s="422" t="s">
        <v>345</v>
      </c>
      <c r="C57" s="423" t="s">
        <v>8</v>
      </c>
      <c r="D57" s="424">
        <v>12.91</v>
      </c>
      <c r="E57" s="424">
        <f>估驗單!F53</f>
        <v>12.91</v>
      </c>
      <c r="F57" s="478">
        <f t="shared" si="7"/>
        <v>0</v>
      </c>
      <c r="G57" s="424">
        <v>576.77</v>
      </c>
      <c r="H57" s="424"/>
      <c r="I57" s="424">
        <f t="shared" si="9"/>
        <v>7446.1</v>
      </c>
      <c r="J57" s="424">
        <f t="shared" si="10"/>
        <v>7446.1</v>
      </c>
      <c r="K57" s="664">
        <f t="shared" si="5"/>
        <v>0</v>
      </c>
      <c r="L57" s="609"/>
      <c r="M57" s="264" t="s">
        <v>2530</v>
      </c>
      <c r="N57" s="11" t="s">
        <v>243</v>
      </c>
      <c r="O57" s="429"/>
      <c r="P57" s="427"/>
    </row>
    <row r="58" spans="1:16" ht="33" hidden="1">
      <c r="A58" s="421" t="s">
        <v>2308</v>
      </c>
      <c r="B58" s="422" t="s">
        <v>347</v>
      </c>
      <c r="C58" s="423" t="s">
        <v>8</v>
      </c>
      <c r="D58" s="424">
        <v>56.09</v>
      </c>
      <c r="E58" s="424">
        <f>估驗單!F54</f>
        <v>56.09</v>
      </c>
      <c r="F58" s="478">
        <f t="shared" si="7"/>
        <v>0</v>
      </c>
      <c r="G58" s="424">
        <v>615.30999999999995</v>
      </c>
      <c r="H58" s="424"/>
      <c r="I58" s="424">
        <f t="shared" si="9"/>
        <v>34512.74</v>
      </c>
      <c r="J58" s="424">
        <f t="shared" si="10"/>
        <v>34512.74</v>
      </c>
      <c r="K58" s="664">
        <f t="shared" si="5"/>
        <v>0</v>
      </c>
      <c r="L58" s="609"/>
      <c r="M58" s="264" t="s">
        <v>242</v>
      </c>
      <c r="N58" s="11" t="s">
        <v>243</v>
      </c>
      <c r="O58" s="429"/>
      <c r="P58" s="427"/>
    </row>
    <row r="59" spans="1:16" ht="33" hidden="1">
      <c r="A59" s="421" t="s">
        <v>2309</v>
      </c>
      <c r="B59" s="422" t="s">
        <v>349</v>
      </c>
      <c r="C59" s="423" t="s">
        <v>8</v>
      </c>
      <c r="D59" s="424">
        <v>656.91</v>
      </c>
      <c r="E59" s="424">
        <f>估驗單!F55</f>
        <v>656.91</v>
      </c>
      <c r="F59" s="478">
        <f t="shared" si="7"/>
        <v>0</v>
      </c>
      <c r="G59" s="424">
        <v>685.27</v>
      </c>
      <c r="H59" s="424"/>
      <c r="I59" s="424">
        <f t="shared" si="9"/>
        <v>450160.72</v>
      </c>
      <c r="J59" s="424">
        <f t="shared" si="10"/>
        <v>450160.72</v>
      </c>
      <c r="K59" s="664">
        <f t="shared" si="5"/>
        <v>0</v>
      </c>
      <c r="L59" s="609"/>
      <c r="M59" s="264" t="s">
        <v>2530</v>
      </c>
      <c r="N59" s="11" t="s">
        <v>243</v>
      </c>
      <c r="O59" s="429"/>
      <c r="P59" s="427"/>
    </row>
    <row r="60" spans="1:16" ht="33" hidden="1">
      <c r="A60" s="421" t="s">
        <v>2311</v>
      </c>
      <c r="B60" s="422" t="s">
        <v>351</v>
      </c>
      <c r="C60" s="423" t="s">
        <v>8</v>
      </c>
      <c r="D60" s="424">
        <v>1254.1300000000001</v>
      </c>
      <c r="E60" s="424">
        <f>估驗單!F56</f>
        <v>1254.1300000000001</v>
      </c>
      <c r="F60" s="478">
        <f t="shared" si="7"/>
        <v>0</v>
      </c>
      <c r="G60" s="424">
        <v>699.69</v>
      </c>
      <c r="H60" s="424"/>
      <c r="I60" s="424">
        <f t="shared" si="9"/>
        <v>877502.22</v>
      </c>
      <c r="J60" s="424">
        <f t="shared" si="10"/>
        <v>877502.22</v>
      </c>
      <c r="K60" s="664">
        <f t="shared" si="5"/>
        <v>0</v>
      </c>
      <c r="L60" s="609"/>
      <c r="M60" s="264" t="s">
        <v>2530</v>
      </c>
      <c r="N60" s="11" t="s">
        <v>243</v>
      </c>
      <c r="O60" s="429"/>
      <c r="P60" s="427"/>
    </row>
    <row r="61" spans="1:16" ht="33" hidden="1">
      <c r="A61" s="421" t="s">
        <v>2312</v>
      </c>
      <c r="B61" s="422" t="s">
        <v>353</v>
      </c>
      <c r="C61" s="423" t="s">
        <v>8</v>
      </c>
      <c r="D61" s="424">
        <v>44.64</v>
      </c>
      <c r="E61" s="424">
        <f>估驗單!F57</f>
        <v>44.64</v>
      </c>
      <c r="F61" s="478">
        <f t="shared" si="7"/>
        <v>0</v>
      </c>
      <c r="G61" s="424">
        <v>1199.27</v>
      </c>
      <c r="H61" s="424"/>
      <c r="I61" s="424">
        <f t="shared" si="9"/>
        <v>53535.41</v>
      </c>
      <c r="J61" s="424">
        <f t="shared" si="10"/>
        <v>53535.41</v>
      </c>
      <c r="K61" s="664">
        <f t="shared" si="5"/>
        <v>0</v>
      </c>
      <c r="L61" s="609"/>
      <c r="M61" s="264" t="s">
        <v>2530</v>
      </c>
      <c r="N61" s="11" t="s">
        <v>243</v>
      </c>
      <c r="O61" s="429"/>
      <c r="P61" s="427"/>
    </row>
    <row r="62" spans="1:16" ht="33" hidden="1">
      <c r="A62" s="421" t="s">
        <v>2313</v>
      </c>
      <c r="B62" s="422" t="s">
        <v>355</v>
      </c>
      <c r="C62" s="423" t="s">
        <v>8</v>
      </c>
      <c r="D62" s="424">
        <v>142.26</v>
      </c>
      <c r="E62" s="424">
        <f>估驗單!F58</f>
        <v>142.26</v>
      </c>
      <c r="F62" s="478">
        <f t="shared" si="7"/>
        <v>0</v>
      </c>
      <c r="G62" s="424">
        <v>57.68</v>
      </c>
      <c r="H62" s="424"/>
      <c r="I62" s="424">
        <f t="shared" si="9"/>
        <v>8205.56</v>
      </c>
      <c r="J62" s="424">
        <f t="shared" si="10"/>
        <v>8205.56</v>
      </c>
      <c r="K62" s="664">
        <f t="shared" si="5"/>
        <v>0</v>
      </c>
      <c r="L62" s="609"/>
      <c r="M62" s="264" t="s">
        <v>2530</v>
      </c>
      <c r="N62" s="11" t="s">
        <v>243</v>
      </c>
      <c r="O62" s="429"/>
      <c r="P62" s="427"/>
    </row>
    <row r="63" spans="1:16" ht="33" hidden="1">
      <c r="A63" s="421" t="s">
        <v>2315</v>
      </c>
      <c r="B63" s="422" t="s">
        <v>357</v>
      </c>
      <c r="C63" s="423" t="s">
        <v>8</v>
      </c>
      <c r="D63" s="424">
        <v>8.5</v>
      </c>
      <c r="E63" s="424">
        <f>估驗單!F59</f>
        <v>8.5</v>
      </c>
      <c r="F63" s="478">
        <f t="shared" si="7"/>
        <v>0</v>
      </c>
      <c r="G63" s="424">
        <v>138.84</v>
      </c>
      <c r="H63" s="424"/>
      <c r="I63" s="424">
        <f t="shared" si="9"/>
        <v>1180.1400000000001</v>
      </c>
      <c r="J63" s="424">
        <f t="shared" si="10"/>
        <v>1180.1400000000001</v>
      </c>
      <c r="K63" s="664">
        <f t="shared" si="5"/>
        <v>0</v>
      </c>
      <c r="L63" s="609"/>
      <c r="M63" s="264" t="s">
        <v>242</v>
      </c>
      <c r="N63" s="11" t="s">
        <v>243</v>
      </c>
      <c r="O63" s="429"/>
      <c r="P63" s="427"/>
    </row>
    <row r="64" spans="1:16" ht="33" hidden="1">
      <c r="A64" s="421" t="s">
        <v>2316</v>
      </c>
      <c r="B64" s="422" t="s">
        <v>359</v>
      </c>
      <c r="C64" s="423" t="s">
        <v>13</v>
      </c>
      <c r="D64" s="424">
        <v>20.48</v>
      </c>
      <c r="E64" s="424">
        <f>估驗單!F60</f>
        <v>20.48</v>
      </c>
      <c r="F64" s="478">
        <f t="shared" si="7"/>
        <v>0</v>
      </c>
      <c r="G64" s="424">
        <v>2145.31</v>
      </c>
      <c r="H64" s="424"/>
      <c r="I64" s="424">
        <f t="shared" si="9"/>
        <v>43935.95</v>
      </c>
      <c r="J64" s="424">
        <f t="shared" si="10"/>
        <v>43935.95</v>
      </c>
      <c r="K64" s="664">
        <f t="shared" si="5"/>
        <v>0</v>
      </c>
      <c r="L64" s="609"/>
      <c r="M64" s="264" t="s">
        <v>2530</v>
      </c>
      <c r="N64" s="11" t="s">
        <v>243</v>
      </c>
      <c r="O64" s="429"/>
      <c r="P64" s="427"/>
    </row>
    <row r="65" spans="1:16" ht="33" hidden="1">
      <c r="A65" s="421" t="s">
        <v>2317</v>
      </c>
      <c r="B65" s="422" t="s">
        <v>361</v>
      </c>
      <c r="C65" s="423" t="s">
        <v>8</v>
      </c>
      <c r="D65" s="424">
        <v>56.1</v>
      </c>
      <c r="E65" s="424">
        <f>估驗單!F61</f>
        <v>56.1</v>
      </c>
      <c r="F65" s="478">
        <f t="shared" si="7"/>
        <v>0</v>
      </c>
      <c r="G65" s="424">
        <v>511.36</v>
      </c>
      <c r="H65" s="424"/>
      <c r="I65" s="424">
        <f t="shared" si="9"/>
        <v>28687.3</v>
      </c>
      <c r="J65" s="424">
        <f t="shared" si="10"/>
        <v>28687.3</v>
      </c>
      <c r="K65" s="664">
        <f t="shared" si="5"/>
        <v>0</v>
      </c>
      <c r="L65" s="609"/>
      <c r="M65" s="264" t="s">
        <v>242</v>
      </c>
      <c r="N65" s="11" t="s">
        <v>243</v>
      </c>
      <c r="O65" s="429"/>
      <c r="P65" s="427"/>
    </row>
    <row r="66" spans="1:16" ht="33" hidden="1">
      <c r="A66" s="421" t="s">
        <v>2318</v>
      </c>
      <c r="B66" s="422" t="s">
        <v>363</v>
      </c>
      <c r="C66" s="423" t="s">
        <v>8</v>
      </c>
      <c r="D66" s="424">
        <v>16.600000000000001</v>
      </c>
      <c r="E66" s="424">
        <f>估驗單!F62</f>
        <v>16.600000000000001</v>
      </c>
      <c r="F66" s="478">
        <f t="shared" si="7"/>
        <v>0</v>
      </c>
      <c r="G66" s="424">
        <v>829.1</v>
      </c>
      <c r="H66" s="424"/>
      <c r="I66" s="424">
        <f t="shared" si="9"/>
        <v>13763.06</v>
      </c>
      <c r="J66" s="424">
        <f t="shared" si="10"/>
        <v>13763.06</v>
      </c>
      <c r="K66" s="664">
        <f t="shared" si="5"/>
        <v>0</v>
      </c>
      <c r="L66" s="609"/>
      <c r="M66" s="264" t="s">
        <v>242</v>
      </c>
      <c r="N66" s="11" t="s">
        <v>243</v>
      </c>
      <c r="O66" s="429"/>
      <c r="P66" s="427"/>
    </row>
    <row r="67" spans="1:16" ht="33" hidden="1">
      <c r="A67" s="421" t="s">
        <v>2319</v>
      </c>
      <c r="B67" s="422" t="s">
        <v>365</v>
      </c>
      <c r="C67" s="423" t="s">
        <v>8</v>
      </c>
      <c r="D67" s="424">
        <v>2</v>
      </c>
      <c r="E67" s="424">
        <f>估驗單!F63</f>
        <v>2</v>
      </c>
      <c r="F67" s="478">
        <f t="shared" si="7"/>
        <v>0</v>
      </c>
      <c r="G67" s="424">
        <v>443.91</v>
      </c>
      <c r="H67" s="424"/>
      <c r="I67" s="424">
        <f t="shared" si="9"/>
        <v>887.82</v>
      </c>
      <c r="J67" s="424">
        <f t="shared" si="10"/>
        <v>887.82</v>
      </c>
      <c r="K67" s="664">
        <f t="shared" si="5"/>
        <v>0</v>
      </c>
      <c r="L67" s="609"/>
      <c r="M67" s="264" t="s">
        <v>242</v>
      </c>
      <c r="N67" s="11" t="s">
        <v>243</v>
      </c>
      <c r="O67" s="429"/>
      <c r="P67" s="427"/>
    </row>
    <row r="68" spans="1:16" ht="33" hidden="1">
      <c r="A68" s="421" t="s">
        <v>2320</v>
      </c>
      <c r="B68" s="422" t="s">
        <v>367</v>
      </c>
      <c r="C68" s="423" t="s">
        <v>0</v>
      </c>
      <c r="D68" s="424">
        <v>7</v>
      </c>
      <c r="E68" s="424">
        <f>估驗單!F64</f>
        <v>7</v>
      </c>
      <c r="F68" s="478">
        <f t="shared" si="7"/>
        <v>0</v>
      </c>
      <c r="G68" s="424">
        <v>26450.3</v>
      </c>
      <c r="H68" s="424"/>
      <c r="I68" s="424">
        <f t="shared" si="9"/>
        <v>185152.1</v>
      </c>
      <c r="J68" s="424">
        <f t="shared" si="10"/>
        <v>185152.1</v>
      </c>
      <c r="K68" s="664">
        <f t="shared" si="5"/>
        <v>0</v>
      </c>
      <c r="L68" s="609"/>
      <c r="M68" s="264" t="s">
        <v>242</v>
      </c>
      <c r="N68" s="11" t="s">
        <v>243</v>
      </c>
      <c r="O68" s="429"/>
      <c r="P68" s="427"/>
    </row>
    <row r="69" spans="1:16" ht="33" hidden="1">
      <c r="A69" s="421" t="s">
        <v>2321</v>
      </c>
      <c r="B69" s="422" t="s">
        <v>369</v>
      </c>
      <c r="C69" s="423" t="s">
        <v>8</v>
      </c>
      <c r="D69" s="424">
        <v>19.2</v>
      </c>
      <c r="E69" s="424">
        <f>估驗單!F65</f>
        <v>19.2</v>
      </c>
      <c r="F69" s="478">
        <f t="shared" si="7"/>
        <v>0</v>
      </c>
      <c r="G69" s="424">
        <v>443.91</v>
      </c>
      <c r="H69" s="424"/>
      <c r="I69" s="424">
        <f t="shared" si="9"/>
        <v>8523.07</v>
      </c>
      <c r="J69" s="424">
        <f t="shared" si="10"/>
        <v>8523.07</v>
      </c>
      <c r="K69" s="664">
        <f t="shared" si="5"/>
        <v>0</v>
      </c>
      <c r="L69" s="609"/>
      <c r="M69" s="264" t="s">
        <v>2530</v>
      </c>
      <c r="N69" s="11" t="s">
        <v>243</v>
      </c>
      <c r="O69" s="429"/>
      <c r="P69" s="427"/>
    </row>
    <row r="70" spans="1:16" ht="33" hidden="1">
      <c r="A70" s="421" t="s">
        <v>2322</v>
      </c>
      <c r="B70" s="422" t="s">
        <v>372</v>
      </c>
      <c r="C70" s="423" t="s">
        <v>0</v>
      </c>
      <c r="D70" s="424">
        <v>2</v>
      </c>
      <c r="E70" s="424">
        <f>估驗單!F66</f>
        <v>2</v>
      </c>
      <c r="F70" s="478">
        <f t="shared" si="7"/>
        <v>0</v>
      </c>
      <c r="G70" s="424">
        <v>23899.56</v>
      </c>
      <c r="H70" s="424"/>
      <c r="I70" s="424">
        <f t="shared" ref="I70:I101" si="11">ROUND(D70*G70,2)</f>
        <v>47799.12</v>
      </c>
      <c r="J70" s="424">
        <f t="shared" ref="J70:J101" si="12">ROUND(E70*G70,2)</f>
        <v>47799.12</v>
      </c>
      <c r="K70" s="664">
        <f t="shared" si="5"/>
        <v>0</v>
      </c>
      <c r="L70" s="609"/>
      <c r="M70" s="264" t="s">
        <v>242</v>
      </c>
      <c r="N70" s="11" t="s">
        <v>243</v>
      </c>
      <c r="O70" s="429"/>
      <c r="P70" s="427"/>
    </row>
    <row r="71" spans="1:16" ht="33" hidden="1">
      <c r="A71" s="421" t="s">
        <v>2323</v>
      </c>
      <c r="B71" s="422" t="s">
        <v>374</v>
      </c>
      <c r="C71" s="423" t="s">
        <v>0</v>
      </c>
      <c r="D71" s="424">
        <v>8</v>
      </c>
      <c r="E71" s="424">
        <f>估驗單!F67</f>
        <v>8</v>
      </c>
      <c r="F71" s="478">
        <f t="shared" si="7"/>
        <v>0</v>
      </c>
      <c r="G71" s="424">
        <v>25125.57</v>
      </c>
      <c r="H71" s="424"/>
      <c r="I71" s="424">
        <f t="shared" si="11"/>
        <v>201004.56</v>
      </c>
      <c r="J71" s="424">
        <f t="shared" si="12"/>
        <v>201004.56</v>
      </c>
      <c r="K71" s="664">
        <f t="shared" si="5"/>
        <v>0</v>
      </c>
      <c r="L71" s="609"/>
      <c r="M71" s="264" t="s">
        <v>2530</v>
      </c>
      <c r="N71" s="11" t="s">
        <v>243</v>
      </c>
      <c r="O71" s="429"/>
      <c r="P71" s="427"/>
    </row>
    <row r="72" spans="1:16" ht="33" hidden="1">
      <c r="A72" s="421" t="s">
        <v>2324</v>
      </c>
      <c r="B72" s="422" t="s">
        <v>376</v>
      </c>
      <c r="C72" s="423" t="s">
        <v>0</v>
      </c>
      <c r="D72" s="424">
        <v>3</v>
      </c>
      <c r="E72" s="424">
        <f>估驗單!F68</f>
        <v>3</v>
      </c>
      <c r="F72" s="478">
        <f t="shared" si="7"/>
        <v>0</v>
      </c>
      <c r="G72" s="424">
        <v>24022.04</v>
      </c>
      <c r="H72" s="424"/>
      <c r="I72" s="424">
        <f t="shared" si="11"/>
        <v>72066.12</v>
      </c>
      <c r="J72" s="424">
        <f t="shared" si="12"/>
        <v>72066.12</v>
      </c>
      <c r="K72" s="664">
        <f t="shared" si="5"/>
        <v>0</v>
      </c>
      <c r="L72" s="609"/>
      <c r="M72" s="264" t="s">
        <v>242</v>
      </c>
      <c r="N72" s="11" t="s">
        <v>243</v>
      </c>
      <c r="O72" s="429"/>
      <c r="P72" s="427"/>
    </row>
    <row r="73" spans="1:16" ht="33" hidden="1">
      <c r="A73" s="421" t="s">
        <v>2325</v>
      </c>
      <c r="B73" s="422" t="s">
        <v>378</v>
      </c>
      <c r="C73" s="423" t="s">
        <v>8</v>
      </c>
      <c r="D73" s="424">
        <v>30.1</v>
      </c>
      <c r="E73" s="424">
        <f>估驗單!F69</f>
        <v>30.1</v>
      </c>
      <c r="F73" s="478">
        <f t="shared" si="7"/>
        <v>0</v>
      </c>
      <c r="G73" s="424">
        <v>545.1</v>
      </c>
      <c r="H73" s="424"/>
      <c r="I73" s="424">
        <f t="shared" si="11"/>
        <v>16407.509999999998</v>
      </c>
      <c r="J73" s="424">
        <f t="shared" si="12"/>
        <v>16407.509999999998</v>
      </c>
      <c r="K73" s="664">
        <f t="shared" si="5"/>
        <v>0</v>
      </c>
      <c r="L73" s="609"/>
      <c r="M73" s="264" t="s">
        <v>2530</v>
      </c>
      <c r="N73" s="11" t="s">
        <v>243</v>
      </c>
      <c r="O73" s="429"/>
      <c r="P73" s="427"/>
    </row>
    <row r="74" spans="1:16" ht="33">
      <c r="A74" s="610" t="s">
        <v>2326</v>
      </c>
      <c r="B74" s="611" t="s">
        <v>380</v>
      </c>
      <c r="C74" s="612" t="s">
        <v>8</v>
      </c>
      <c r="D74" s="613">
        <v>31.2</v>
      </c>
      <c r="E74" s="613">
        <f>估驗單!F70</f>
        <v>35.200000000000003</v>
      </c>
      <c r="F74" s="614">
        <f t="shared" si="7"/>
        <v>4.0000000000000036</v>
      </c>
      <c r="G74" s="613">
        <v>8355.11</v>
      </c>
      <c r="H74" s="613"/>
      <c r="I74" s="613">
        <f t="shared" si="11"/>
        <v>260679.43</v>
      </c>
      <c r="J74" s="613">
        <f t="shared" si="12"/>
        <v>294099.87</v>
      </c>
      <c r="K74" s="665">
        <f t="shared" si="5"/>
        <v>33420.44</v>
      </c>
      <c r="L74" s="617"/>
      <c r="M74" s="615" t="s">
        <v>242</v>
      </c>
      <c r="N74" s="11" t="s">
        <v>243</v>
      </c>
      <c r="O74" s="429" t="s">
        <v>2851</v>
      </c>
      <c r="P74" s="427"/>
    </row>
    <row r="75" spans="1:16" ht="33">
      <c r="A75" s="610" t="s">
        <v>2327</v>
      </c>
      <c r="B75" s="611" t="s">
        <v>383</v>
      </c>
      <c r="C75" s="612" t="s">
        <v>8</v>
      </c>
      <c r="D75" s="613">
        <v>17.899999999999999</v>
      </c>
      <c r="E75" s="613">
        <f>估驗單!F71</f>
        <v>24.3</v>
      </c>
      <c r="F75" s="614">
        <f t="shared" si="7"/>
        <v>6.4000000000000021</v>
      </c>
      <c r="G75" s="613">
        <v>5394.64</v>
      </c>
      <c r="H75" s="613"/>
      <c r="I75" s="613">
        <f t="shared" si="11"/>
        <v>96564.06</v>
      </c>
      <c r="J75" s="613">
        <f t="shared" si="12"/>
        <v>131089.75</v>
      </c>
      <c r="K75" s="665">
        <f t="shared" si="5"/>
        <v>34525.69</v>
      </c>
      <c r="L75" s="617"/>
      <c r="M75" s="615" t="s">
        <v>242</v>
      </c>
      <c r="N75" s="11" t="s">
        <v>243</v>
      </c>
      <c r="O75" s="429" t="s">
        <v>2851</v>
      </c>
      <c r="P75" s="427"/>
    </row>
    <row r="76" spans="1:16" ht="33" hidden="1">
      <c r="A76" s="421" t="s">
        <v>2328</v>
      </c>
      <c r="B76" s="422" t="s">
        <v>386</v>
      </c>
      <c r="C76" s="423" t="s">
        <v>8</v>
      </c>
      <c r="D76" s="424">
        <v>19.600000000000001</v>
      </c>
      <c r="E76" s="424">
        <f>估驗單!F72</f>
        <v>19.600000000000001</v>
      </c>
      <c r="F76" s="478">
        <f t="shared" si="7"/>
        <v>0</v>
      </c>
      <c r="G76" s="424">
        <v>432.57</v>
      </c>
      <c r="H76" s="424"/>
      <c r="I76" s="424">
        <f t="shared" si="11"/>
        <v>8478.3700000000008</v>
      </c>
      <c r="J76" s="424">
        <f t="shared" si="12"/>
        <v>8478.3700000000008</v>
      </c>
      <c r="K76" s="664">
        <f t="shared" si="5"/>
        <v>0</v>
      </c>
      <c r="L76" s="609"/>
      <c r="M76" s="264" t="s">
        <v>242</v>
      </c>
      <c r="N76" s="11" t="s">
        <v>243</v>
      </c>
      <c r="O76" s="429"/>
      <c r="P76" s="427"/>
    </row>
    <row r="77" spans="1:16" ht="33" hidden="1">
      <c r="A77" s="421" t="s">
        <v>2329</v>
      </c>
      <c r="B77" s="422" t="s">
        <v>389</v>
      </c>
      <c r="C77" s="423" t="s">
        <v>8</v>
      </c>
      <c r="D77" s="424">
        <v>24.9</v>
      </c>
      <c r="E77" s="424">
        <f>估驗單!F73</f>
        <v>24.9</v>
      </c>
      <c r="F77" s="478">
        <f t="shared" ref="F77:F143" si="13">E77-D77</f>
        <v>0</v>
      </c>
      <c r="G77" s="424">
        <v>1224.22</v>
      </c>
      <c r="H77" s="424"/>
      <c r="I77" s="424">
        <f t="shared" si="11"/>
        <v>30483.08</v>
      </c>
      <c r="J77" s="424">
        <f t="shared" si="12"/>
        <v>30483.08</v>
      </c>
      <c r="K77" s="664">
        <f t="shared" ref="K77:K140" si="14">J77-I77</f>
        <v>0</v>
      </c>
      <c r="L77" s="609"/>
      <c r="M77" s="264" t="s">
        <v>242</v>
      </c>
      <c r="N77" s="11" t="s">
        <v>243</v>
      </c>
      <c r="O77" s="429"/>
      <c r="P77" s="427"/>
    </row>
    <row r="78" spans="1:16" ht="33" hidden="1">
      <c r="A78" s="421" t="s">
        <v>2330</v>
      </c>
      <c r="B78" s="422" t="s">
        <v>392</v>
      </c>
      <c r="C78" s="423" t="s">
        <v>8</v>
      </c>
      <c r="D78" s="424">
        <v>3.5</v>
      </c>
      <c r="E78" s="424">
        <f>估驗單!F74</f>
        <v>3.5</v>
      </c>
      <c r="F78" s="478">
        <f t="shared" si="13"/>
        <v>0</v>
      </c>
      <c r="G78" s="424">
        <v>1148.6300000000001</v>
      </c>
      <c r="H78" s="424"/>
      <c r="I78" s="424">
        <f t="shared" si="11"/>
        <v>4020.21</v>
      </c>
      <c r="J78" s="424">
        <f t="shared" si="12"/>
        <v>4020.21</v>
      </c>
      <c r="K78" s="664">
        <f t="shared" si="14"/>
        <v>0</v>
      </c>
      <c r="L78" s="609"/>
      <c r="M78" s="264" t="s">
        <v>242</v>
      </c>
      <c r="N78" s="11" t="s">
        <v>243</v>
      </c>
      <c r="O78" s="429"/>
      <c r="P78" s="427"/>
    </row>
    <row r="79" spans="1:16" ht="33" hidden="1">
      <c r="A79" s="421" t="s">
        <v>2331</v>
      </c>
      <c r="B79" s="422" t="s">
        <v>395</v>
      </c>
      <c r="C79" s="423" t="s">
        <v>0</v>
      </c>
      <c r="D79" s="424">
        <v>1</v>
      </c>
      <c r="E79" s="424">
        <f>估驗單!F75</f>
        <v>1</v>
      </c>
      <c r="F79" s="478">
        <f t="shared" si="13"/>
        <v>0</v>
      </c>
      <c r="G79" s="424">
        <v>5698.63</v>
      </c>
      <c r="H79" s="424"/>
      <c r="I79" s="424">
        <f t="shared" si="11"/>
        <v>5698.63</v>
      </c>
      <c r="J79" s="424">
        <f t="shared" si="12"/>
        <v>5698.63</v>
      </c>
      <c r="K79" s="664">
        <f t="shared" si="14"/>
        <v>0</v>
      </c>
      <c r="L79" s="609"/>
      <c r="M79" s="264" t="s">
        <v>242</v>
      </c>
      <c r="N79" s="11" t="s">
        <v>243</v>
      </c>
      <c r="O79" s="429"/>
      <c r="P79" s="427"/>
    </row>
    <row r="80" spans="1:16" ht="33" hidden="1">
      <c r="A80" s="421" t="s">
        <v>2332</v>
      </c>
      <c r="B80" s="422" t="s">
        <v>398</v>
      </c>
      <c r="C80" s="423" t="s">
        <v>0</v>
      </c>
      <c r="D80" s="424">
        <v>1</v>
      </c>
      <c r="E80" s="424">
        <f>估驗單!F76</f>
        <v>1</v>
      </c>
      <c r="F80" s="478">
        <f t="shared" si="13"/>
        <v>0</v>
      </c>
      <c r="G80" s="424">
        <v>5963.22</v>
      </c>
      <c r="H80" s="424"/>
      <c r="I80" s="424">
        <f t="shared" si="11"/>
        <v>5963.22</v>
      </c>
      <c r="J80" s="424">
        <f t="shared" si="12"/>
        <v>5963.22</v>
      </c>
      <c r="K80" s="664">
        <f t="shared" si="14"/>
        <v>0</v>
      </c>
      <c r="L80" s="609"/>
      <c r="M80" s="264" t="s">
        <v>242</v>
      </c>
      <c r="N80" s="11" t="s">
        <v>243</v>
      </c>
      <c r="O80" s="429"/>
      <c r="P80" s="427"/>
    </row>
    <row r="81" spans="1:16" ht="33" hidden="1">
      <c r="A81" s="421" t="s">
        <v>2333</v>
      </c>
      <c r="B81" s="422" t="s">
        <v>401</v>
      </c>
      <c r="C81" s="423" t="s">
        <v>0</v>
      </c>
      <c r="D81" s="424">
        <v>1</v>
      </c>
      <c r="E81" s="424">
        <f>估驗單!F77</f>
        <v>1</v>
      </c>
      <c r="F81" s="478">
        <f t="shared" si="13"/>
        <v>0</v>
      </c>
      <c r="G81" s="424">
        <v>1421.11</v>
      </c>
      <c r="H81" s="424"/>
      <c r="I81" s="424">
        <f t="shared" si="11"/>
        <v>1421.11</v>
      </c>
      <c r="J81" s="424">
        <f t="shared" si="12"/>
        <v>1421.11</v>
      </c>
      <c r="K81" s="664">
        <f t="shared" si="14"/>
        <v>0</v>
      </c>
      <c r="L81" s="609"/>
      <c r="M81" s="264" t="s">
        <v>242</v>
      </c>
      <c r="N81" s="11" t="s">
        <v>243</v>
      </c>
      <c r="O81" s="429"/>
      <c r="P81" s="427"/>
    </row>
    <row r="82" spans="1:16" ht="33" hidden="1">
      <c r="A82" s="421" t="s">
        <v>2334</v>
      </c>
      <c r="B82" s="422" t="s">
        <v>404</v>
      </c>
      <c r="C82" s="423" t="s">
        <v>0</v>
      </c>
      <c r="D82" s="424">
        <v>1</v>
      </c>
      <c r="E82" s="424">
        <f>估驗單!F78</f>
        <v>1</v>
      </c>
      <c r="F82" s="478">
        <f t="shared" si="13"/>
        <v>0</v>
      </c>
      <c r="G82" s="424">
        <v>4031.83</v>
      </c>
      <c r="H82" s="424"/>
      <c r="I82" s="424">
        <f t="shared" si="11"/>
        <v>4031.83</v>
      </c>
      <c r="J82" s="424">
        <f t="shared" si="12"/>
        <v>4031.83</v>
      </c>
      <c r="K82" s="664">
        <f t="shared" si="14"/>
        <v>0</v>
      </c>
      <c r="L82" s="609"/>
      <c r="M82" s="264" t="s">
        <v>242</v>
      </c>
      <c r="N82" s="11" t="s">
        <v>243</v>
      </c>
      <c r="O82" s="429"/>
      <c r="P82" s="427"/>
    </row>
    <row r="83" spans="1:16" ht="33" hidden="1">
      <c r="A83" s="421" t="s">
        <v>2335</v>
      </c>
      <c r="B83" s="422" t="s">
        <v>407</v>
      </c>
      <c r="C83" s="423" t="s">
        <v>0</v>
      </c>
      <c r="D83" s="424">
        <v>1</v>
      </c>
      <c r="E83" s="424">
        <f>估驗單!F79</f>
        <v>1</v>
      </c>
      <c r="F83" s="478">
        <f t="shared" si="13"/>
        <v>0</v>
      </c>
      <c r="G83" s="424">
        <v>3313.67</v>
      </c>
      <c r="H83" s="424"/>
      <c r="I83" s="424">
        <f t="shared" si="11"/>
        <v>3313.67</v>
      </c>
      <c r="J83" s="424">
        <f t="shared" si="12"/>
        <v>3313.67</v>
      </c>
      <c r="K83" s="664">
        <f t="shared" si="14"/>
        <v>0</v>
      </c>
      <c r="L83" s="609"/>
      <c r="M83" s="264" t="s">
        <v>242</v>
      </c>
      <c r="N83" s="11" t="s">
        <v>243</v>
      </c>
      <c r="O83" s="429"/>
      <c r="P83" s="427"/>
    </row>
    <row r="84" spans="1:16" ht="33" hidden="1">
      <c r="A84" s="421" t="s">
        <v>2336</v>
      </c>
      <c r="B84" s="422" t="s">
        <v>410</v>
      </c>
      <c r="C84" s="423" t="s">
        <v>8</v>
      </c>
      <c r="D84" s="424">
        <v>149.5</v>
      </c>
      <c r="E84" s="424">
        <f>估驗單!F80</f>
        <v>149.5</v>
      </c>
      <c r="F84" s="478">
        <f t="shared" si="13"/>
        <v>0</v>
      </c>
      <c r="G84" s="424">
        <v>1975.94</v>
      </c>
      <c r="H84" s="424"/>
      <c r="I84" s="424">
        <f t="shared" si="11"/>
        <v>295403.03000000003</v>
      </c>
      <c r="J84" s="424">
        <f t="shared" si="12"/>
        <v>295403.03000000003</v>
      </c>
      <c r="K84" s="664">
        <f t="shared" si="14"/>
        <v>0</v>
      </c>
      <c r="L84" s="609"/>
      <c r="M84" s="264" t="s">
        <v>242</v>
      </c>
      <c r="N84" s="11" t="s">
        <v>243</v>
      </c>
      <c r="O84" s="429"/>
      <c r="P84" s="427"/>
    </row>
    <row r="85" spans="1:16" ht="33" hidden="1">
      <c r="A85" s="421" t="s">
        <v>2337</v>
      </c>
      <c r="B85" s="422" t="s">
        <v>413</v>
      </c>
      <c r="C85" s="423" t="s">
        <v>8</v>
      </c>
      <c r="D85" s="424">
        <v>39.299999999999997</v>
      </c>
      <c r="E85" s="424">
        <f>估驗單!F81</f>
        <v>39.299999999999997</v>
      </c>
      <c r="F85" s="478">
        <f t="shared" si="13"/>
        <v>0</v>
      </c>
      <c r="G85" s="424">
        <v>4874.2299999999996</v>
      </c>
      <c r="H85" s="424"/>
      <c r="I85" s="424">
        <f t="shared" si="11"/>
        <v>191557.24</v>
      </c>
      <c r="J85" s="424">
        <f t="shared" si="12"/>
        <v>191557.24</v>
      </c>
      <c r="K85" s="664">
        <f t="shared" si="14"/>
        <v>0</v>
      </c>
      <c r="L85" s="609"/>
      <c r="M85" s="264" t="s">
        <v>242</v>
      </c>
      <c r="N85" s="11" t="s">
        <v>243</v>
      </c>
      <c r="O85" s="429"/>
      <c r="P85" s="427"/>
    </row>
    <row r="86" spans="1:16" ht="33" hidden="1">
      <c r="A86" s="421" t="s">
        <v>2338</v>
      </c>
      <c r="B86" s="422" t="s">
        <v>416</v>
      </c>
      <c r="C86" s="423" t="s">
        <v>8</v>
      </c>
      <c r="D86" s="424">
        <v>51.3</v>
      </c>
      <c r="E86" s="424">
        <f>估驗單!F82</f>
        <v>51.3</v>
      </c>
      <c r="F86" s="478">
        <f t="shared" si="13"/>
        <v>0</v>
      </c>
      <c r="G86" s="424">
        <v>2938.96</v>
      </c>
      <c r="H86" s="424"/>
      <c r="I86" s="424">
        <f t="shared" si="11"/>
        <v>150768.65</v>
      </c>
      <c r="J86" s="424">
        <f t="shared" si="12"/>
        <v>150768.65</v>
      </c>
      <c r="K86" s="664">
        <f t="shared" si="14"/>
        <v>0</v>
      </c>
      <c r="L86" s="609"/>
      <c r="M86" s="264" t="s">
        <v>242</v>
      </c>
      <c r="N86" s="11" t="s">
        <v>243</v>
      </c>
      <c r="O86" s="429"/>
      <c r="P86" s="427"/>
    </row>
    <row r="87" spans="1:16" ht="33" hidden="1">
      <c r="A87" s="421" t="s">
        <v>2339</v>
      </c>
      <c r="B87" s="422" t="s">
        <v>419</v>
      </c>
      <c r="C87" s="423" t="s">
        <v>0</v>
      </c>
      <c r="D87" s="424">
        <v>1</v>
      </c>
      <c r="E87" s="424">
        <f>估驗單!F83</f>
        <v>1</v>
      </c>
      <c r="F87" s="478">
        <f t="shared" si="13"/>
        <v>0</v>
      </c>
      <c r="G87" s="424">
        <v>23029.53</v>
      </c>
      <c r="H87" s="424"/>
      <c r="I87" s="424">
        <f t="shared" si="11"/>
        <v>23029.53</v>
      </c>
      <c r="J87" s="424">
        <f t="shared" si="12"/>
        <v>23029.53</v>
      </c>
      <c r="K87" s="664">
        <f t="shared" si="14"/>
        <v>0</v>
      </c>
      <c r="L87" s="609"/>
      <c r="M87" s="264" t="s">
        <v>2530</v>
      </c>
      <c r="N87" s="11" t="s">
        <v>243</v>
      </c>
      <c r="O87" s="429"/>
      <c r="P87" s="427"/>
    </row>
    <row r="88" spans="1:16" ht="33" hidden="1">
      <c r="A88" s="421" t="s">
        <v>2340</v>
      </c>
      <c r="B88" s="422" t="s">
        <v>422</v>
      </c>
      <c r="C88" s="423" t="s">
        <v>0</v>
      </c>
      <c r="D88" s="424">
        <v>2</v>
      </c>
      <c r="E88" s="424">
        <f>估驗單!F84</f>
        <v>2</v>
      </c>
      <c r="F88" s="478">
        <f t="shared" si="13"/>
        <v>0</v>
      </c>
      <c r="G88" s="424">
        <v>18604.87</v>
      </c>
      <c r="H88" s="424"/>
      <c r="I88" s="424">
        <f t="shared" si="11"/>
        <v>37209.74</v>
      </c>
      <c r="J88" s="424">
        <f t="shared" si="12"/>
        <v>37209.74</v>
      </c>
      <c r="K88" s="664">
        <f t="shared" si="14"/>
        <v>0</v>
      </c>
      <c r="L88" s="609"/>
      <c r="M88" s="264" t="s">
        <v>2530</v>
      </c>
      <c r="N88" s="11" t="s">
        <v>243</v>
      </c>
      <c r="O88" s="429"/>
      <c r="P88" s="427"/>
    </row>
    <row r="89" spans="1:16" ht="33" hidden="1">
      <c r="A89" s="421" t="s">
        <v>2341</v>
      </c>
      <c r="B89" s="422" t="s">
        <v>425</v>
      </c>
      <c r="C89" s="423" t="s">
        <v>0</v>
      </c>
      <c r="D89" s="424">
        <v>1</v>
      </c>
      <c r="E89" s="424">
        <f>估驗單!F85</f>
        <v>1</v>
      </c>
      <c r="F89" s="478">
        <f t="shared" si="13"/>
        <v>0</v>
      </c>
      <c r="G89" s="424">
        <v>18604.87</v>
      </c>
      <c r="H89" s="424"/>
      <c r="I89" s="424">
        <f t="shared" si="11"/>
        <v>18604.87</v>
      </c>
      <c r="J89" s="424">
        <f t="shared" si="12"/>
        <v>18604.87</v>
      </c>
      <c r="K89" s="664">
        <f t="shared" si="14"/>
        <v>0</v>
      </c>
      <c r="L89" s="609"/>
      <c r="M89" s="264" t="s">
        <v>242</v>
      </c>
      <c r="N89" s="11" t="s">
        <v>243</v>
      </c>
      <c r="O89" s="429"/>
      <c r="P89" s="427"/>
    </row>
    <row r="90" spans="1:16" ht="33" hidden="1">
      <c r="A90" s="421" t="s">
        <v>2342</v>
      </c>
      <c r="B90" s="422" t="s">
        <v>428</v>
      </c>
      <c r="C90" s="423" t="s">
        <v>0</v>
      </c>
      <c r="D90" s="424">
        <v>2</v>
      </c>
      <c r="E90" s="424">
        <f>估驗單!F86</f>
        <v>2</v>
      </c>
      <c r="F90" s="478">
        <f t="shared" si="13"/>
        <v>0</v>
      </c>
      <c r="G90" s="424">
        <v>11654.82</v>
      </c>
      <c r="H90" s="424"/>
      <c r="I90" s="424">
        <f t="shared" si="11"/>
        <v>23309.64</v>
      </c>
      <c r="J90" s="424">
        <f t="shared" si="12"/>
        <v>23309.64</v>
      </c>
      <c r="K90" s="664">
        <f t="shared" si="14"/>
        <v>0</v>
      </c>
      <c r="L90" s="609"/>
      <c r="M90" s="264" t="s">
        <v>242</v>
      </c>
      <c r="N90" s="11" t="s">
        <v>243</v>
      </c>
      <c r="O90" s="429"/>
      <c r="P90" s="427"/>
    </row>
    <row r="91" spans="1:16" ht="33" hidden="1">
      <c r="A91" s="421" t="s">
        <v>2343</v>
      </c>
      <c r="B91" s="422" t="s">
        <v>431</v>
      </c>
      <c r="C91" s="423" t="s">
        <v>0</v>
      </c>
      <c r="D91" s="424">
        <v>2</v>
      </c>
      <c r="E91" s="424">
        <f>估驗單!F87</f>
        <v>2</v>
      </c>
      <c r="F91" s="478">
        <f t="shared" si="13"/>
        <v>0</v>
      </c>
      <c r="G91" s="424">
        <v>25107.48</v>
      </c>
      <c r="H91" s="424"/>
      <c r="I91" s="424">
        <f t="shared" si="11"/>
        <v>50214.96</v>
      </c>
      <c r="J91" s="424">
        <f t="shared" si="12"/>
        <v>50214.96</v>
      </c>
      <c r="K91" s="664">
        <f t="shared" si="14"/>
        <v>0</v>
      </c>
      <c r="L91" s="609"/>
      <c r="M91" s="264" t="s">
        <v>242</v>
      </c>
      <c r="N91" s="11" t="s">
        <v>243</v>
      </c>
      <c r="O91" s="429"/>
      <c r="P91" s="427"/>
    </row>
    <row r="92" spans="1:16" ht="33" hidden="1">
      <c r="A92" s="421" t="s">
        <v>2344</v>
      </c>
      <c r="B92" s="422" t="s">
        <v>434</v>
      </c>
      <c r="C92" s="423" t="s">
        <v>0</v>
      </c>
      <c r="D92" s="424">
        <v>1</v>
      </c>
      <c r="E92" s="424">
        <f>估驗單!F88</f>
        <v>1</v>
      </c>
      <c r="F92" s="478">
        <f t="shared" si="13"/>
        <v>0</v>
      </c>
      <c r="G92" s="424">
        <v>22415.66</v>
      </c>
      <c r="H92" s="424"/>
      <c r="I92" s="424">
        <f t="shared" si="11"/>
        <v>22415.66</v>
      </c>
      <c r="J92" s="424">
        <f t="shared" si="12"/>
        <v>22415.66</v>
      </c>
      <c r="K92" s="664">
        <f t="shared" si="14"/>
        <v>0</v>
      </c>
      <c r="L92" s="609"/>
      <c r="M92" s="264" t="s">
        <v>242</v>
      </c>
      <c r="N92" s="11" t="s">
        <v>243</v>
      </c>
      <c r="O92" s="429"/>
      <c r="P92" s="427"/>
    </row>
    <row r="93" spans="1:16" ht="33" hidden="1">
      <c r="A93" s="421" t="s">
        <v>2345</v>
      </c>
      <c r="B93" s="422" t="s">
        <v>437</v>
      </c>
      <c r="C93" s="423" t="s">
        <v>0</v>
      </c>
      <c r="D93" s="424">
        <v>1</v>
      </c>
      <c r="E93" s="424">
        <f>估驗單!F89</f>
        <v>1</v>
      </c>
      <c r="F93" s="478">
        <f t="shared" si="13"/>
        <v>0</v>
      </c>
      <c r="G93" s="424">
        <v>21723.54</v>
      </c>
      <c r="H93" s="424"/>
      <c r="I93" s="424">
        <f t="shared" si="11"/>
        <v>21723.54</v>
      </c>
      <c r="J93" s="424">
        <f t="shared" si="12"/>
        <v>21723.54</v>
      </c>
      <c r="K93" s="664">
        <f t="shared" si="14"/>
        <v>0</v>
      </c>
      <c r="L93" s="609"/>
      <c r="M93" s="264" t="s">
        <v>242</v>
      </c>
      <c r="N93" s="11" t="s">
        <v>243</v>
      </c>
      <c r="O93" s="429"/>
      <c r="P93" s="427"/>
    </row>
    <row r="94" spans="1:16" ht="33" hidden="1">
      <c r="A94" s="421" t="s">
        <v>2346</v>
      </c>
      <c r="B94" s="422" t="s">
        <v>440</v>
      </c>
      <c r="C94" s="423" t="s">
        <v>0</v>
      </c>
      <c r="D94" s="424">
        <v>1</v>
      </c>
      <c r="E94" s="424">
        <f>估驗單!F90</f>
        <v>1</v>
      </c>
      <c r="F94" s="478">
        <f t="shared" si="13"/>
        <v>0</v>
      </c>
      <c r="G94" s="424">
        <v>22646.36</v>
      </c>
      <c r="H94" s="424"/>
      <c r="I94" s="424">
        <f t="shared" si="11"/>
        <v>22646.36</v>
      </c>
      <c r="J94" s="424">
        <f t="shared" si="12"/>
        <v>22646.36</v>
      </c>
      <c r="K94" s="664">
        <f t="shared" si="14"/>
        <v>0</v>
      </c>
      <c r="L94" s="609"/>
      <c r="M94" s="264" t="s">
        <v>242</v>
      </c>
      <c r="N94" s="11" t="s">
        <v>243</v>
      </c>
      <c r="O94" s="429"/>
      <c r="P94" s="427"/>
    </row>
    <row r="95" spans="1:16" ht="33" hidden="1">
      <c r="A95" s="421" t="s">
        <v>2347</v>
      </c>
      <c r="B95" s="422" t="s">
        <v>443</v>
      </c>
      <c r="C95" s="423" t="s">
        <v>0</v>
      </c>
      <c r="D95" s="424">
        <v>4</v>
      </c>
      <c r="E95" s="424">
        <f>估驗單!F91</f>
        <v>4</v>
      </c>
      <c r="F95" s="478">
        <f t="shared" si="13"/>
        <v>0</v>
      </c>
      <c r="G95" s="424">
        <v>17340.05</v>
      </c>
      <c r="H95" s="424"/>
      <c r="I95" s="424">
        <f t="shared" si="11"/>
        <v>69360.2</v>
      </c>
      <c r="J95" s="424">
        <f t="shared" si="12"/>
        <v>69360.2</v>
      </c>
      <c r="K95" s="664">
        <f t="shared" si="14"/>
        <v>0</v>
      </c>
      <c r="L95" s="609"/>
      <c r="M95" s="264" t="s">
        <v>242</v>
      </c>
      <c r="N95" s="11" t="s">
        <v>243</v>
      </c>
      <c r="O95" s="429"/>
      <c r="P95" s="427"/>
    </row>
    <row r="96" spans="1:16" ht="33" hidden="1">
      <c r="A96" s="421" t="s">
        <v>2348</v>
      </c>
      <c r="B96" s="422" t="s">
        <v>446</v>
      </c>
      <c r="C96" s="423" t="s">
        <v>0</v>
      </c>
      <c r="D96" s="424">
        <v>6</v>
      </c>
      <c r="E96" s="424">
        <f>估驗單!F92</f>
        <v>6</v>
      </c>
      <c r="F96" s="478">
        <f t="shared" si="13"/>
        <v>0</v>
      </c>
      <c r="G96" s="424">
        <v>17340.05</v>
      </c>
      <c r="H96" s="424"/>
      <c r="I96" s="424">
        <f t="shared" si="11"/>
        <v>104040.3</v>
      </c>
      <c r="J96" s="424">
        <f t="shared" si="12"/>
        <v>104040.3</v>
      </c>
      <c r="K96" s="664">
        <f t="shared" si="14"/>
        <v>0</v>
      </c>
      <c r="L96" s="609"/>
      <c r="M96" s="264" t="s">
        <v>242</v>
      </c>
      <c r="N96" s="11" t="s">
        <v>243</v>
      </c>
      <c r="O96" s="429"/>
      <c r="P96" s="427"/>
    </row>
    <row r="97" spans="1:16" ht="33" hidden="1">
      <c r="A97" s="421" t="s">
        <v>2349</v>
      </c>
      <c r="B97" s="422" t="s">
        <v>449</v>
      </c>
      <c r="C97" s="423" t="s">
        <v>0</v>
      </c>
      <c r="D97" s="424">
        <v>1</v>
      </c>
      <c r="E97" s="424">
        <f>估驗單!F93</f>
        <v>1</v>
      </c>
      <c r="F97" s="478">
        <f t="shared" si="13"/>
        <v>0</v>
      </c>
      <c r="G97" s="424">
        <v>17496.650000000001</v>
      </c>
      <c r="H97" s="424"/>
      <c r="I97" s="424">
        <f t="shared" si="11"/>
        <v>17496.650000000001</v>
      </c>
      <c r="J97" s="424">
        <f t="shared" si="12"/>
        <v>17496.650000000001</v>
      </c>
      <c r="K97" s="664">
        <f t="shared" si="14"/>
        <v>0</v>
      </c>
      <c r="L97" s="609"/>
      <c r="M97" s="264" t="s">
        <v>242</v>
      </c>
      <c r="N97" s="11" t="s">
        <v>243</v>
      </c>
      <c r="O97" s="429"/>
      <c r="P97" s="427"/>
    </row>
    <row r="98" spans="1:16" ht="33" hidden="1">
      <c r="A98" s="421" t="s">
        <v>2350</v>
      </c>
      <c r="B98" s="422" t="s">
        <v>452</v>
      </c>
      <c r="C98" s="423" t="s">
        <v>0</v>
      </c>
      <c r="D98" s="424">
        <v>1</v>
      </c>
      <c r="E98" s="424">
        <f>估驗單!F94</f>
        <v>1</v>
      </c>
      <c r="F98" s="478">
        <f t="shared" si="13"/>
        <v>0</v>
      </c>
      <c r="G98" s="424">
        <v>1501.66</v>
      </c>
      <c r="H98" s="424"/>
      <c r="I98" s="424">
        <f t="shared" si="11"/>
        <v>1501.66</v>
      </c>
      <c r="J98" s="424">
        <f t="shared" si="12"/>
        <v>1501.66</v>
      </c>
      <c r="K98" s="664">
        <f t="shared" si="14"/>
        <v>0</v>
      </c>
      <c r="L98" s="609"/>
      <c r="M98" s="264" t="s">
        <v>242</v>
      </c>
      <c r="N98" s="11" t="s">
        <v>243</v>
      </c>
      <c r="O98" s="429"/>
      <c r="P98" s="427"/>
    </row>
    <row r="99" spans="1:16" ht="33" hidden="1">
      <c r="A99" s="421" t="s">
        <v>2351</v>
      </c>
      <c r="B99" s="422" t="s">
        <v>455</v>
      </c>
      <c r="C99" s="423" t="s">
        <v>0</v>
      </c>
      <c r="D99" s="424">
        <v>1</v>
      </c>
      <c r="E99" s="424">
        <f>估驗單!F95</f>
        <v>1</v>
      </c>
      <c r="F99" s="478">
        <f t="shared" si="13"/>
        <v>0</v>
      </c>
      <c r="G99" s="424">
        <v>1240.05</v>
      </c>
      <c r="H99" s="424"/>
      <c r="I99" s="424">
        <f t="shared" si="11"/>
        <v>1240.05</v>
      </c>
      <c r="J99" s="424">
        <f t="shared" si="12"/>
        <v>1240.05</v>
      </c>
      <c r="K99" s="664">
        <f t="shared" si="14"/>
        <v>0</v>
      </c>
      <c r="L99" s="609"/>
      <c r="M99" s="264" t="s">
        <v>242</v>
      </c>
      <c r="N99" s="11" t="s">
        <v>243</v>
      </c>
      <c r="O99" s="429"/>
      <c r="P99" s="427"/>
    </row>
    <row r="100" spans="1:16" ht="33" hidden="1">
      <c r="A100" s="421" t="s">
        <v>2352</v>
      </c>
      <c r="B100" s="422" t="s">
        <v>458</v>
      </c>
      <c r="C100" s="423" t="s">
        <v>0</v>
      </c>
      <c r="D100" s="424">
        <v>1</v>
      </c>
      <c r="E100" s="424">
        <f>估驗單!F96</f>
        <v>1</v>
      </c>
      <c r="F100" s="478">
        <f t="shared" si="13"/>
        <v>0</v>
      </c>
      <c r="G100" s="424">
        <v>1470.75</v>
      </c>
      <c r="H100" s="424"/>
      <c r="I100" s="424">
        <f t="shared" si="11"/>
        <v>1470.75</v>
      </c>
      <c r="J100" s="424">
        <f t="shared" si="12"/>
        <v>1470.75</v>
      </c>
      <c r="K100" s="664">
        <f t="shared" si="14"/>
        <v>0</v>
      </c>
      <c r="L100" s="609"/>
      <c r="M100" s="264" t="s">
        <v>242</v>
      </c>
      <c r="N100" s="11" t="s">
        <v>243</v>
      </c>
      <c r="O100" s="429"/>
      <c r="P100" s="427"/>
    </row>
    <row r="101" spans="1:16" ht="33" hidden="1">
      <c r="A101" s="421" t="s">
        <v>2353</v>
      </c>
      <c r="B101" s="422" t="s">
        <v>461</v>
      </c>
      <c r="C101" s="423" t="s">
        <v>0</v>
      </c>
      <c r="D101" s="424">
        <v>1</v>
      </c>
      <c r="E101" s="424">
        <f>估驗單!F97</f>
        <v>1</v>
      </c>
      <c r="F101" s="478">
        <f t="shared" si="13"/>
        <v>0</v>
      </c>
      <c r="G101" s="424">
        <v>1326.56</v>
      </c>
      <c r="H101" s="424"/>
      <c r="I101" s="424">
        <f t="shared" si="11"/>
        <v>1326.56</v>
      </c>
      <c r="J101" s="424">
        <f t="shared" si="12"/>
        <v>1326.56</v>
      </c>
      <c r="K101" s="664">
        <f t="shared" si="14"/>
        <v>0</v>
      </c>
      <c r="L101" s="609"/>
      <c r="M101" s="264" t="s">
        <v>242</v>
      </c>
      <c r="N101" s="11" t="s">
        <v>243</v>
      </c>
      <c r="O101" s="429"/>
      <c r="P101" s="427"/>
    </row>
    <row r="102" spans="1:16" ht="33" hidden="1">
      <c r="A102" s="421" t="s">
        <v>2354</v>
      </c>
      <c r="B102" s="422" t="s">
        <v>464</v>
      </c>
      <c r="C102" s="423" t="s">
        <v>0</v>
      </c>
      <c r="D102" s="424">
        <v>3</v>
      </c>
      <c r="E102" s="424">
        <f>估驗單!F98</f>
        <v>3</v>
      </c>
      <c r="F102" s="478">
        <f t="shared" si="13"/>
        <v>0</v>
      </c>
      <c r="G102" s="424">
        <v>331.64</v>
      </c>
      <c r="H102" s="424"/>
      <c r="I102" s="424">
        <f t="shared" ref="I102:I125" si="15">ROUND(D102*G102,2)</f>
        <v>994.92</v>
      </c>
      <c r="J102" s="424">
        <f t="shared" ref="J102:J122" si="16">ROUND(E102*G102,2)</f>
        <v>994.92</v>
      </c>
      <c r="K102" s="664">
        <f t="shared" si="14"/>
        <v>0</v>
      </c>
      <c r="L102" s="609"/>
      <c r="M102" s="264" t="s">
        <v>242</v>
      </c>
      <c r="N102" s="11" t="s">
        <v>243</v>
      </c>
      <c r="O102" s="429"/>
      <c r="P102" s="427"/>
    </row>
    <row r="103" spans="1:16" ht="33" hidden="1">
      <c r="A103" s="421" t="s">
        <v>2355</v>
      </c>
      <c r="B103" s="422" t="s">
        <v>467</v>
      </c>
      <c r="C103" s="423" t="s">
        <v>0</v>
      </c>
      <c r="D103" s="424">
        <v>7</v>
      </c>
      <c r="E103" s="424">
        <f>估驗單!F99</f>
        <v>7</v>
      </c>
      <c r="F103" s="478">
        <f t="shared" si="13"/>
        <v>0</v>
      </c>
      <c r="G103" s="424">
        <v>952.18</v>
      </c>
      <c r="H103" s="424"/>
      <c r="I103" s="424">
        <f t="shared" si="15"/>
        <v>6665.26</v>
      </c>
      <c r="J103" s="424">
        <f t="shared" si="16"/>
        <v>6665.26</v>
      </c>
      <c r="K103" s="664">
        <f t="shared" si="14"/>
        <v>0</v>
      </c>
      <c r="L103" s="609"/>
      <c r="M103" s="264" t="s">
        <v>242</v>
      </c>
      <c r="N103" s="11" t="s">
        <v>243</v>
      </c>
      <c r="O103" s="429"/>
      <c r="P103" s="427"/>
    </row>
    <row r="104" spans="1:16" ht="33" hidden="1">
      <c r="A104" s="421" t="s">
        <v>2356</v>
      </c>
      <c r="B104" s="422" t="s">
        <v>470</v>
      </c>
      <c r="C104" s="423" t="s">
        <v>0</v>
      </c>
      <c r="D104" s="424">
        <v>1</v>
      </c>
      <c r="E104" s="424">
        <f>估驗單!F100</f>
        <v>1</v>
      </c>
      <c r="F104" s="478">
        <f t="shared" si="13"/>
        <v>0</v>
      </c>
      <c r="G104" s="424">
        <v>272825.21000000002</v>
      </c>
      <c r="H104" s="424"/>
      <c r="I104" s="424">
        <f t="shared" si="15"/>
        <v>272825.21000000002</v>
      </c>
      <c r="J104" s="424">
        <f t="shared" si="16"/>
        <v>272825.21000000002</v>
      </c>
      <c r="K104" s="664">
        <f t="shared" si="14"/>
        <v>0</v>
      </c>
      <c r="L104" s="609"/>
      <c r="M104" s="264" t="s">
        <v>242</v>
      </c>
      <c r="N104" s="11" t="s">
        <v>243</v>
      </c>
      <c r="O104" s="429"/>
      <c r="P104" s="427"/>
    </row>
    <row r="105" spans="1:16" ht="33" hidden="1">
      <c r="A105" s="421" t="s">
        <v>2357</v>
      </c>
      <c r="B105" s="422" t="s">
        <v>473</v>
      </c>
      <c r="C105" s="423" t="s">
        <v>13</v>
      </c>
      <c r="D105" s="424">
        <v>759.43</v>
      </c>
      <c r="E105" s="424">
        <f>估驗單!F101</f>
        <v>759.43</v>
      </c>
      <c r="F105" s="478">
        <f t="shared" si="13"/>
        <v>0</v>
      </c>
      <c r="G105" s="424">
        <v>647.65</v>
      </c>
      <c r="H105" s="424"/>
      <c r="I105" s="424">
        <f t="shared" si="15"/>
        <v>491844.84</v>
      </c>
      <c r="J105" s="424">
        <f t="shared" si="16"/>
        <v>491844.84</v>
      </c>
      <c r="K105" s="664">
        <f t="shared" si="14"/>
        <v>0</v>
      </c>
      <c r="L105" s="609"/>
      <c r="M105" s="264" t="s">
        <v>242</v>
      </c>
      <c r="N105" s="11" t="s">
        <v>243</v>
      </c>
      <c r="O105" s="429"/>
      <c r="P105" s="427"/>
    </row>
    <row r="106" spans="1:16" ht="33" hidden="1">
      <c r="A106" s="421" t="s">
        <v>2358</v>
      </c>
      <c r="B106" s="422" t="s">
        <v>476</v>
      </c>
      <c r="C106" s="423" t="s">
        <v>15</v>
      </c>
      <c r="D106" s="424">
        <v>1</v>
      </c>
      <c r="E106" s="424">
        <f>估驗單!F102</f>
        <v>1</v>
      </c>
      <c r="F106" s="478">
        <f t="shared" si="13"/>
        <v>0</v>
      </c>
      <c r="G106" s="424">
        <v>10412.73</v>
      </c>
      <c r="H106" s="424"/>
      <c r="I106" s="424">
        <f t="shared" si="15"/>
        <v>10412.73</v>
      </c>
      <c r="J106" s="424">
        <f t="shared" si="16"/>
        <v>10412.73</v>
      </c>
      <c r="K106" s="664">
        <f t="shared" si="14"/>
        <v>0</v>
      </c>
      <c r="L106" s="609"/>
      <c r="M106" s="264" t="s">
        <v>2530</v>
      </c>
      <c r="N106" s="11" t="s">
        <v>243</v>
      </c>
      <c r="O106" s="429"/>
      <c r="P106" s="427"/>
    </row>
    <row r="107" spans="1:16" ht="33" hidden="1">
      <c r="A107" s="421" t="s">
        <v>2359</v>
      </c>
      <c r="B107" s="422" t="s">
        <v>479</v>
      </c>
      <c r="C107" s="423" t="s">
        <v>15</v>
      </c>
      <c r="D107" s="424">
        <v>3</v>
      </c>
      <c r="E107" s="424">
        <f>估驗單!F103</f>
        <v>3</v>
      </c>
      <c r="F107" s="478">
        <f t="shared" si="13"/>
        <v>0</v>
      </c>
      <c r="G107" s="424">
        <v>4575.03</v>
      </c>
      <c r="H107" s="424"/>
      <c r="I107" s="424">
        <f t="shared" si="15"/>
        <v>13725.09</v>
      </c>
      <c r="J107" s="424">
        <f t="shared" si="16"/>
        <v>13725.09</v>
      </c>
      <c r="K107" s="664">
        <f t="shared" si="14"/>
        <v>0</v>
      </c>
      <c r="L107" s="609"/>
      <c r="M107" s="264" t="s">
        <v>2547</v>
      </c>
      <c r="N107" s="11" t="s">
        <v>243</v>
      </c>
      <c r="O107" s="429"/>
      <c r="P107" s="427"/>
    </row>
    <row r="108" spans="1:16" ht="33">
      <c r="A108" s="610" t="s">
        <v>2360</v>
      </c>
      <c r="B108" s="611" t="s">
        <v>482</v>
      </c>
      <c r="C108" s="612" t="s">
        <v>483</v>
      </c>
      <c r="D108" s="613">
        <v>88.17</v>
      </c>
      <c r="E108" s="613">
        <f>估驗單!F104</f>
        <v>89.085999999999999</v>
      </c>
      <c r="F108" s="614">
        <f t="shared" si="13"/>
        <v>0.91599999999999682</v>
      </c>
      <c r="G108" s="613">
        <v>15299.17</v>
      </c>
      <c r="H108" s="613"/>
      <c r="I108" s="613">
        <f t="shared" si="15"/>
        <v>1348927.82</v>
      </c>
      <c r="J108" s="613">
        <f t="shared" si="16"/>
        <v>1362941.86</v>
      </c>
      <c r="K108" s="665">
        <f t="shared" si="14"/>
        <v>14014.040000000037</v>
      </c>
      <c r="L108" s="617"/>
      <c r="M108" s="615" t="s">
        <v>2548</v>
      </c>
      <c r="N108" s="11" t="s">
        <v>243</v>
      </c>
      <c r="O108" s="574" t="s">
        <v>2849</v>
      </c>
      <c r="P108" s="427" t="s">
        <v>2850</v>
      </c>
    </row>
    <row r="109" spans="1:16" ht="33" hidden="1">
      <c r="A109" s="421" t="s">
        <v>2361</v>
      </c>
      <c r="B109" s="422" t="s">
        <v>486</v>
      </c>
      <c r="C109" s="423" t="s">
        <v>0</v>
      </c>
      <c r="D109" s="424">
        <v>25</v>
      </c>
      <c r="E109" s="424">
        <f>估驗單!F105</f>
        <v>25</v>
      </c>
      <c r="F109" s="478">
        <f t="shared" si="13"/>
        <v>0</v>
      </c>
      <c r="G109" s="424">
        <v>4498.3100000000004</v>
      </c>
      <c r="H109" s="424"/>
      <c r="I109" s="424">
        <f t="shared" si="15"/>
        <v>112457.75</v>
      </c>
      <c r="J109" s="424">
        <f t="shared" si="16"/>
        <v>112457.75</v>
      </c>
      <c r="K109" s="664">
        <f t="shared" si="14"/>
        <v>0</v>
      </c>
      <c r="L109" s="609"/>
      <c r="M109" s="264" t="s">
        <v>242</v>
      </c>
      <c r="N109" s="11" t="s">
        <v>243</v>
      </c>
      <c r="O109" s="429"/>
      <c r="P109" s="427"/>
    </row>
    <row r="110" spans="1:16" ht="33" hidden="1">
      <c r="A110" s="421" t="s">
        <v>2362</v>
      </c>
      <c r="B110" s="422" t="s">
        <v>489</v>
      </c>
      <c r="C110" s="423" t="s">
        <v>0</v>
      </c>
      <c r="D110" s="424">
        <v>13</v>
      </c>
      <c r="E110" s="424">
        <f>估驗單!F106</f>
        <v>13</v>
      </c>
      <c r="F110" s="478">
        <f t="shared" si="13"/>
        <v>0</v>
      </c>
      <c r="G110" s="424">
        <v>3353.5</v>
      </c>
      <c r="H110" s="424"/>
      <c r="I110" s="424">
        <f t="shared" si="15"/>
        <v>43595.5</v>
      </c>
      <c r="J110" s="424">
        <f t="shared" si="16"/>
        <v>43595.5</v>
      </c>
      <c r="K110" s="664">
        <f t="shared" si="14"/>
        <v>0</v>
      </c>
      <c r="L110" s="609"/>
      <c r="M110" s="264" t="s">
        <v>242</v>
      </c>
      <c r="N110" s="11" t="s">
        <v>243</v>
      </c>
      <c r="O110" s="429"/>
      <c r="P110" s="427"/>
    </row>
    <row r="111" spans="1:16" ht="33" hidden="1">
      <c r="A111" s="421" t="s">
        <v>2363</v>
      </c>
      <c r="B111" s="422" t="s">
        <v>492</v>
      </c>
      <c r="C111" s="423" t="s">
        <v>8</v>
      </c>
      <c r="D111" s="424">
        <v>9.8000000000000007</v>
      </c>
      <c r="E111" s="424">
        <f>估驗單!F107</f>
        <v>9.8000000000000007</v>
      </c>
      <c r="F111" s="478">
        <f t="shared" si="13"/>
        <v>0</v>
      </c>
      <c r="G111" s="424">
        <v>9873.85</v>
      </c>
      <c r="H111" s="424"/>
      <c r="I111" s="424">
        <f t="shared" si="15"/>
        <v>96763.73</v>
      </c>
      <c r="J111" s="424">
        <f t="shared" si="16"/>
        <v>96763.73</v>
      </c>
      <c r="K111" s="664">
        <f t="shared" si="14"/>
        <v>0</v>
      </c>
      <c r="L111" s="609"/>
      <c r="M111" s="264" t="s">
        <v>242</v>
      </c>
      <c r="N111" s="11" t="s">
        <v>243</v>
      </c>
      <c r="O111" s="429"/>
      <c r="P111" s="427"/>
    </row>
    <row r="112" spans="1:16" ht="33" hidden="1">
      <c r="A112" s="421" t="s">
        <v>2364</v>
      </c>
      <c r="B112" s="422" t="s">
        <v>495</v>
      </c>
      <c r="C112" s="423" t="s">
        <v>8</v>
      </c>
      <c r="D112" s="424">
        <v>6.2</v>
      </c>
      <c r="E112" s="424">
        <f>估驗單!F108</f>
        <v>6.2</v>
      </c>
      <c r="F112" s="478">
        <f t="shared" si="13"/>
        <v>0</v>
      </c>
      <c r="G112" s="424">
        <v>6554</v>
      </c>
      <c r="H112" s="424"/>
      <c r="I112" s="424">
        <f t="shared" si="15"/>
        <v>40634.800000000003</v>
      </c>
      <c r="J112" s="424">
        <f t="shared" si="16"/>
        <v>40634.800000000003</v>
      </c>
      <c r="K112" s="664">
        <f t="shared" si="14"/>
        <v>0</v>
      </c>
      <c r="L112" s="609"/>
      <c r="M112" s="264" t="s">
        <v>242</v>
      </c>
      <c r="N112" s="11" t="s">
        <v>243</v>
      </c>
      <c r="O112" s="429"/>
      <c r="P112" s="427"/>
    </row>
    <row r="113" spans="1:17" ht="33" hidden="1">
      <c r="A113" s="421" t="s">
        <v>2365</v>
      </c>
      <c r="B113" s="422" t="s">
        <v>498</v>
      </c>
      <c r="C113" s="423" t="s">
        <v>8</v>
      </c>
      <c r="D113" s="424">
        <v>3.3</v>
      </c>
      <c r="E113" s="424">
        <f>估驗單!F109</f>
        <v>3.3</v>
      </c>
      <c r="F113" s="478">
        <f t="shared" si="13"/>
        <v>0</v>
      </c>
      <c r="G113" s="424">
        <v>8390.27</v>
      </c>
      <c r="H113" s="424"/>
      <c r="I113" s="424">
        <f t="shared" si="15"/>
        <v>27687.89</v>
      </c>
      <c r="J113" s="424">
        <f t="shared" si="16"/>
        <v>27687.89</v>
      </c>
      <c r="K113" s="664">
        <f t="shared" si="14"/>
        <v>0</v>
      </c>
      <c r="L113" s="609"/>
      <c r="M113" s="264" t="s">
        <v>242</v>
      </c>
      <c r="N113" s="11" t="s">
        <v>243</v>
      </c>
      <c r="O113" s="429"/>
      <c r="P113" s="427"/>
    </row>
    <row r="114" spans="1:17" ht="33" hidden="1">
      <c r="A114" s="421" t="s">
        <v>2366</v>
      </c>
      <c r="B114" s="422" t="s">
        <v>501</v>
      </c>
      <c r="C114" s="423" t="s">
        <v>8</v>
      </c>
      <c r="D114" s="424">
        <v>40.6</v>
      </c>
      <c r="E114" s="424">
        <f>估驗單!F110</f>
        <v>40.6</v>
      </c>
      <c r="F114" s="478">
        <f t="shared" si="13"/>
        <v>0</v>
      </c>
      <c r="G114" s="424">
        <v>671.95</v>
      </c>
      <c r="H114" s="424"/>
      <c r="I114" s="424">
        <f t="shared" si="15"/>
        <v>27281.17</v>
      </c>
      <c r="J114" s="424">
        <f t="shared" si="16"/>
        <v>27281.17</v>
      </c>
      <c r="K114" s="664">
        <f t="shared" si="14"/>
        <v>0</v>
      </c>
      <c r="L114" s="609"/>
      <c r="M114" s="264" t="s">
        <v>2530</v>
      </c>
      <c r="N114" s="11" t="s">
        <v>243</v>
      </c>
      <c r="O114" s="429"/>
      <c r="P114" s="427"/>
    </row>
    <row r="115" spans="1:17" ht="33" hidden="1">
      <c r="A115" s="421" t="s">
        <v>2367</v>
      </c>
      <c r="B115" s="422" t="s">
        <v>504</v>
      </c>
      <c r="C115" s="423" t="s">
        <v>8</v>
      </c>
      <c r="D115" s="424">
        <v>176.7</v>
      </c>
      <c r="E115" s="424">
        <f>估驗單!F111</f>
        <v>176.7</v>
      </c>
      <c r="F115" s="478">
        <f t="shared" si="13"/>
        <v>0</v>
      </c>
      <c r="G115" s="424">
        <v>658.27</v>
      </c>
      <c r="H115" s="424"/>
      <c r="I115" s="424">
        <f t="shared" si="15"/>
        <v>116316.31</v>
      </c>
      <c r="J115" s="424">
        <f t="shared" si="16"/>
        <v>116316.31</v>
      </c>
      <c r="K115" s="664">
        <f t="shared" si="14"/>
        <v>0</v>
      </c>
      <c r="L115" s="609"/>
      <c r="M115" s="264" t="s">
        <v>242</v>
      </c>
      <c r="N115" s="11" t="s">
        <v>243</v>
      </c>
      <c r="O115" s="429"/>
      <c r="P115" s="427"/>
    </row>
    <row r="116" spans="1:17" ht="33" hidden="1">
      <c r="A116" s="421" t="s">
        <v>2368</v>
      </c>
      <c r="B116" s="422" t="s">
        <v>507</v>
      </c>
      <c r="C116" s="423" t="s">
        <v>8</v>
      </c>
      <c r="D116" s="424">
        <v>251.7</v>
      </c>
      <c r="E116" s="424">
        <f>估驗單!F112</f>
        <v>251.7</v>
      </c>
      <c r="F116" s="478">
        <f t="shared" si="13"/>
        <v>0</v>
      </c>
      <c r="G116" s="424">
        <v>730.37</v>
      </c>
      <c r="H116" s="424"/>
      <c r="I116" s="424">
        <f t="shared" si="15"/>
        <v>183834.13</v>
      </c>
      <c r="J116" s="424">
        <f t="shared" si="16"/>
        <v>183834.13</v>
      </c>
      <c r="K116" s="664">
        <f t="shared" si="14"/>
        <v>0</v>
      </c>
      <c r="L116" s="609"/>
      <c r="M116" s="264" t="s">
        <v>242</v>
      </c>
      <c r="N116" s="11" t="s">
        <v>243</v>
      </c>
      <c r="O116" s="429"/>
      <c r="P116" s="427"/>
    </row>
    <row r="117" spans="1:17" ht="33" hidden="1">
      <c r="A117" s="421" t="s">
        <v>2369</v>
      </c>
      <c r="B117" s="422" t="s">
        <v>510</v>
      </c>
      <c r="C117" s="423" t="s">
        <v>8</v>
      </c>
      <c r="D117" s="424">
        <v>6.8</v>
      </c>
      <c r="E117" s="424">
        <f>估驗單!F113</f>
        <v>6.8</v>
      </c>
      <c r="F117" s="478">
        <f t="shared" si="13"/>
        <v>0</v>
      </c>
      <c r="G117" s="424">
        <v>406.38</v>
      </c>
      <c r="H117" s="424"/>
      <c r="I117" s="424">
        <f t="shared" si="15"/>
        <v>2763.38</v>
      </c>
      <c r="J117" s="424">
        <f t="shared" si="16"/>
        <v>2763.38</v>
      </c>
      <c r="K117" s="664">
        <f t="shared" si="14"/>
        <v>0</v>
      </c>
      <c r="L117" s="609"/>
      <c r="M117" s="264" t="s">
        <v>242</v>
      </c>
      <c r="N117" s="11" t="s">
        <v>243</v>
      </c>
      <c r="O117" s="429"/>
      <c r="P117" s="427"/>
    </row>
    <row r="118" spans="1:17" ht="33" hidden="1">
      <c r="A118" s="421" t="s">
        <v>2370</v>
      </c>
      <c r="B118" s="422" t="s">
        <v>513</v>
      </c>
      <c r="C118" s="423" t="s">
        <v>8</v>
      </c>
      <c r="D118" s="424">
        <v>44.2</v>
      </c>
      <c r="E118" s="424">
        <f>估驗單!F114</f>
        <v>44.2</v>
      </c>
      <c r="F118" s="478">
        <f t="shared" si="13"/>
        <v>0</v>
      </c>
      <c r="G118" s="424">
        <v>457.88</v>
      </c>
      <c r="H118" s="424"/>
      <c r="I118" s="424">
        <f t="shared" si="15"/>
        <v>20238.3</v>
      </c>
      <c r="J118" s="424">
        <f t="shared" si="16"/>
        <v>20238.3</v>
      </c>
      <c r="K118" s="664">
        <f t="shared" si="14"/>
        <v>0</v>
      </c>
      <c r="L118" s="609"/>
      <c r="M118" s="264" t="s">
        <v>2530</v>
      </c>
      <c r="N118" s="11" t="s">
        <v>243</v>
      </c>
      <c r="O118" s="429"/>
      <c r="P118" s="427"/>
    </row>
    <row r="119" spans="1:17" ht="33" hidden="1">
      <c r="A119" s="421" t="s">
        <v>2371</v>
      </c>
      <c r="B119" s="422" t="s">
        <v>516</v>
      </c>
      <c r="C119" s="423" t="s">
        <v>8</v>
      </c>
      <c r="D119" s="424">
        <v>10.7</v>
      </c>
      <c r="E119" s="424">
        <f>估驗單!F115</f>
        <v>10.7</v>
      </c>
      <c r="F119" s="478">
        <f t="shared" si="13"/>
        <v>0</v>
      </c>
      <c r="G119" s="424">
        <v>499.08</v>
      </c>
      <c r="H119" s="424"/>
      <c r="I119" s="424">
        <f t="shared" si="15"/>
        <v>5340.16</v>
      </c>
      <c r="J119" s="424">
        <f t="shared" si="16"/>
        <v>5340.16</v>
      </c>
      <c r="K119" s="664">
        <f t="shared" si="14"/>
        <v>0</v>
      </c>
      <c r="L119" s="609"/>
      <c r="M119" s="264" t="s">
        <v>2530</v>
      </c>
      <c r="N119" s="11" t="s">
        <v>243</v>
      </c>
      <c r="O119" s="429"/>
      <c r="P119" s="427"/>
    </row>
    <row r="120" spans="1:17" ht="33" hidden="1">
      <c r="A120" s="421" t="s">
        <v>2372</v>
      </c>
      <c r="B120" s="422" t="s">
        <v>519</v>
      </c>
      <c r="C120" s="423" t="s">
        <v>8</v>
      </c>
      <c r="D120" s="424">
        <v>62.5</v>
      </c>
      <c r="E120" s="424">
        <f>估驗單!F116</f>
        <v>62.5</v>
      </c>
      <c r="F120" s="478">
        <f t="shared" si="13"/>
        <v>0</v>
      </c>
      <c r="G120" s="424">
        <v>545.82000000000005</v>
      </c>
      <c r="H120" s="424"/>
      <c r="I120" s="424">
        <f t="shared" si="15"/>
        <v>34113.75</v>
      </c>
      <c r="J120" s="424">
        <f t="shared" si="16"/>
        <v>34113.75</v>
      </c>
      <c r="K120" s="664">
        <f t="shared" si="14"/>
        <v>0</v>
      </c>
      <c r="L120" s="609"/>
      <c r="M120" s="264" t="s">
        <v>2530</v>
      </c>
      <c r="N120" s="11" t="s">
        <v>243</v>
      </c>
      <c r="O120" s="429"/>
      <c r="P120" s="427"/>
    </row>
    <row r="121" spans="1:17" ht="42.75" hidden="1">
      <c r="A121" s="421" t="s">
        <v>2373</v>
      </c>
      <c r="B121" s="422" t="s">
        <v>522</v>
      </c>
      <c r="C121" s="423" t="s">
        <v>8</v>
      </c>
      <c r="D121" s="424">
        <v>84.8</v>
      </c>
      <c r="E121" s="424">
        <f>估驗單!F117</f>
        <v>84.8</v>
      </c>
      <c r="F121" s="478">
        <f t="shared" si="13"/>
        <v>0</v>
      </c>
      <c r="G121" s="424">
        <v>7340.02</v>
      </c>
      <c r="H121" s="424"/>
      <c r="I121" s="424">
        <f t="shared" si="15"/>
        <v>622433.69999999995</v>
      </c>
      <c r="J121" s="424">
        <f t="shared" si="16"/>
        <v>622433.69999999995</v>
      </c>
      <c r="K121" s="664">
        <f t="shared" si="14"/>
        <v>0</v>
      </c>
      <c r="L121" s="609"/>
      <c r="M121" s="264" t="s">
        <v>2545</v>
      </c>
      <c r="N121" s="11" t="s">
        <v>243</v>
      </c>
      <c r="O121" s="429"/>
      <c r="P121" s="427"/>
    </row>
    <row r="122" spans="1:17" ht="45">
      <c r="A122" s="610" t="s">
        <v>2374</v>
      </c>
      <c r="B122" s="611" t="s">
        <v>525</v>
      </c>
      <c r="C122" s="612" t="s">
        <v>0</v>
      </c>
      <c r="D122" s="613">
        <v>2</v>
      </c>
      <c r="E122" s="613">
        <v>0</v>
      </c>
      <c r="F122" s="616">
        <f t="shared" si="13"/>
        <v>-2</v>
      </c>
      <c r="G122" s="613">
        <v>913306.18</v>
      </c>
      <c r="H122" s="613"/>
      <c r="I122" s="613">
        <f t="shared" si="15"/>
        <v>1826612.36</v>
      </c>
      <c r="J122" s="613">
        <f t="shared" si="16"/>
        <v>0</v>
      </c>
      <c r="K122" s="665"/>
      <c r="L122" s="617">
        <f>J122-I122</f>
        <v>-1826612.36</v>
      </c>
      <c r="M122" s="615" t="s">
        <v>2530</v>
      </c>
      <c r="N122" s="11" t="s">
        <v>243</v>
      </c>
      <c r="O122" s="429" t="s">
        <v>2848</v>
      </c>
      <c r="P122" s="427"/>
    </row>
    <row r="123" spans="1:17" ht="27.95" customHeight="1">
      <c r="A123" s="610" t="s">
        <v>2841</v>
      </c>
      <c r="B123" s="611" t="s">
        <v>2844</v>
      </c>
      <c r="C123" s="612" t="s">
        <v>0</v>
      </c>
      <c r="D123" s="618">
        <v>0</v>
      </c>
      <c r="E123" s="618">
        <v>1</v>
      </c>
      <c r="F123" s="614">
        <f t="shared" si="13"/>
        <v>1</v>
      </c>
      <c r="G123" s="618">
        <v>0</v>
      </c>
      <c r="H123" s="618">
        <v>704273.82</v>
      </c>
      <c r="I123" s="613">
        <f t="shared" si="15"/>
        <v>0</v>
      </c>
      <c r="J123" s="613">
        <f>ROUND(E123*H123,2)</f>
        <v>704273.82</v>
      </c>
      <c r="K123" s="665">
        <f t="shared" si="14"/>
        <v>704273.82</v>
      </c>
      <c r="L123" s="649"/>
      <c r="M123" s="643" t="s">
        <v>2862</v>
      </c>
      <c r="N123" s="11"/>
      <c r="O123" s="429"/>
      <c r="P123" s="427"/>
    </row>
    <row r="124" spans="1:17" ht="27.95" customHeight="1">
      <c r="A124" s="610" t="s">
        <v>2842</v>
      </c>
      <c r="B124" s="611" t="s">
        <v>2845</v>
      </c>
      <c r="C124" s="612" t="s">
        <v>0</v>
      </c>
      <c r="D124" s="618">
        <v>0</v>
      </c>
      <c r="E124" s="618">
        <v>1</v>
      </c>
      <c r="F124" s="614">
        <f t="shared" si="13"/>
        <v>1</v>
      </c>
      <c r="G124" s="618">
        <v>0</v>
      </c>
      <c r="H124" s="618">
        <v>1255553.18</v>
      </c>
      <c r="I124" s="613">
        <f t="shared" si="15"/>
        <v>0</v>
      </c>
      <c r="J124" s="613">
        <f>ROUND(E124*H124,2)</f>
        <v>1255553.18</v>
      </c>
      <c r="K124" s="665">
        <f t="shared" si="14"/>
        <v>1255553.18</v>
      </c>
      <c r="L124" s="649"/>
      <c r="M124" s="643" t="s">
        <v>2862</v>
      </c>
      <c r="N124" s="11"/>
      <c r="O124" s="429"/>
      <c r="P124" s="427"/>
    </row>
    <row r="125" spans="1:17" ht="27.95" customHeight="1">
      <c r="A125" s="610" t="s">
        <v>2843</v>
      </c>
      <c r="B125" s="611" t="s">
        <v>2846</v>
      </c>
      <c r="C125" s="612" t="s">
        <v>0</v>
      </c>
      <c r="D125" s="618">
        <v>0</v>
      </c>
      <c r="E125" s="618">
        <v>1</v>
      </c>
      <c r="F125" s="614">
        <f t="shared" si="13"/>
        <v>1</v>
      </c>
      <c r="G125" s="618">
        <v>0</v>
      </c>
      <c r="H125" s="618">
        <v>1277917.6000000001</v>
      </c>
      <c r="I125" s="613">
        <f t="shared" si="15"/>
        <v>0</v>
      </c>
      <c r="J125" s="613">
        <f>ROUND(E125*H125,2)</f>
        <v>1277917.6000000001</v>
      </c>
      <c r="K125" s="665">
        <f t="shared" si="14"/>
        <v>1277917.6000000001</v>
      </c>
      <c r="L125" s="649"/>
      <c r="M125" s="643" t="s">
        <v>2862</v>
      </c>
      <c r="N125" s="11"/>
      <c r="O125" s="429"/>
      <c r="P125" s="427"/>
    </row>
    <row r="126" spans="1:17" ht="33">
      <c r="A126" s="494" t="s">
        <v>2375</v>
      </c>
      <c r="B126" s="495" t="s">
        <v>527</v>
      </c>
      <c r="C126" s="496" t="s">
        <v>4</v>
      </c>
      <c r="D126" s="497"/>
      <c r="E126" s="497">
        <f>估驗單!F119</f>
        <v>0</v>
      </c>
      <c r="F126" s="498">
        <f t="shared" si="13"/>
        <v>0</v>
      </c>
      <c r="G126" s="497">
        <f>I126</f>
        <v>45369259.610000014</v>
      </c>
      <c r="H126" s="497"/>
      <c r="I126" s="497">
        <f t="shared" ref="I126:L126" si="17">SUM(I127:I165)</f>
        <v>45369259.610000014</v>
      </c>
      <c r="J126" s="497">
        <f t="shared" si="17"/>
        <v>45825828.780000016</v>
      </c>
      <c r="K126" s="660">
        <f t="shared" si="17"/>
        <v>456569.16999999987</v>
      </c>
      <c r="L126" s="650">
        <f t="shared" si="17"/>
        <v>0</v>
      </c>
      <c r="M126" s="356" t="s">
        <v>242</v>
      </c>
      <c r="N126" s="11" t="s">
        <v>243</v>
      </c>
      <c r="O126" s="426"/>
      <c r="P126" s="427"/>
    </row>
    <row r="127" spans="1:17" ht="33.75" hidden="1">
      <c r="A127" s="421" t="s">
        <v>2288</v>
      </c>
      <c r="B127" s="422" t="s">
        <v>310</v>
      </c>
      <c r="C127" s="423" t="s">
        <v>223</v>
      </c>
      <c r="D127" s="424">
        <v>928.51</v>
      </c>
      <c r="E127" s="424">
        <f>估驗單!F120</f>
        <v>928.51</v>
      </c>
      <c r="F127" s="478">
        <f t="shared" si="13"/>
        <v>0</v>
      </c>
      <c r="G127" s="424">
        <v>320.72000000000003</v>
      </c>
      <c r="H127" s="424"/>
      <c r="I127" s="424">
        <f t="shared" ref="I127:I165" si="18">ROUND(D127*G127,2)</f>
        <v>297791.73</v>
      </c>
      <c r="J127" s="424">
        <f t="shared" ref="J127:J165" si="19">ROUND(E127*G127,2)</f>
        <v>297791.73</v>
      </c>
      <c r="K127" s="664">
        <f t="shared" si="14"/>
        <v>0</v>
      </c>
      <c r="L127" s="609"/>
      <c r="M127" s="264" t="s">
        <v>242</v>
      </c>
      <c r="N127" s="11" t="s">
        <v>243</v>
      </c>
      <c r="O127" s="429" t="s">
        <v>2525</v>
      </c>
      <c r="P127" s="427" t="s">
        <v>2549</v>
      </c>
      <c r="Q127" s="430" t="s">
        <v>2550</v>
      </c>
    </row>
    <row r="128" spans="1:17" ht="33" hidden="1">
      <c r="A128" s="421" t="s">
        <v>2289</v>
      </c>
      <c r="B128" s="422" t="s">
        <v>315</v>
      </c>
      <c r="C128" s="423" t="s">
        <v>6</v>
      </c>
      <c r="D128" s="424">
        <v>26.33</v>
      </c>
      <c r="E128" s="424">
        <f>估驗單!F121</f>
        <v>26.33</v>
      </c>
      <c r="F128" s="478">
        <f t="shared" si="13"/>
        <v>0</v>
      </c>
      <c r="G128" s="424">
        <v>3114.97</v>
      </c>
      <c r="H128" s="424"/>
      <c r="I128" s="424">
        <f t="shared" si="18"/>
        <v>82017.16</v>
      </c>
      <c r="J128" s="424">
        <f t="shared" si="19"/>
        <v>82017.16</v>
      </c>
      <c r="K128" s="664">
        <f t="shared" si="14"/>
        <v>0</v>
      </c>
      <c r="L128" s="609"/>
      <c r="M128" s="264" t="s">
        <v>242</v>
      </c>
      <c r="N128" s="11" t="s">
        <v>243</v>
      </c>
      <c r="O128" s="429"/>
      <c r="P128" s="427"/>
    </row>
    <row r="129" spans="1:16" ht="33" hidden="1">
      <c r="A129" s="421" t="s">
        <v>2290</v>
      </c>
      <c r="B129" s="422" t="s">
        <v>24</v>
      </c>
      <c r="C129" s="423" t="s">
        <v>6</v>
      </c>
      <c r="D129" s="424">
        <v>36.86</v>
      </c>
      <c r="E129" s="424">
        <f>估驗單!F122</f>
        <v>36.86</v>
      </c>
      <c r="F129" s="478">
        <f t="shared" si="13"/>
        <v>0</v>
      </c>
      <c r="G129" s="424">
        <v>3320.96</v>
      </c>
      <c r="H129" s="424"/>
      <c r="I129" s="424">
        <f t="shared" si="18"/>
        <v>122410.59</v>
      </c>
      <c r="J129" s="424">
        <f t="shared" si="19"/>
        <v>122410.59</v>
      </c>
      <c r="K129" s="664">
        <f t="shared" si="14"/>
        <v>0</v>
      </c>
      <c r="L129" s="609"/>
      <c r="M129" s="264" t="s">
        <v>242</v>
      </c>
      <c r="N129" s="11" t="s">
        <v>243</v>
      </c>
      <c r="O129" s="429"/>
      <c r="P129" s="427"/>
    </row>
    <row r="130" spans="1:16" ht="33" hidden="1">
      <c r="A130" s="421" t="s">
        <v>2291</v>
      </c>
      <c r="B130" s="422" t="s">
        <v>528</v>
      </c>
      <c r="C130" s="423" t="s">
        <v>6</v>
      </c>
      <c r="D130" s="424">
        <v>654.83000000000004</v>
      </c>
      <c r="E130" s="424">
        <f>估驗單!F123</f>
        <v>654.83000000000004</v>
      </c>
      <c r="F130" s="478">
        <f t="shared" si="13"/>
        <v>0</v>
      </c>
      <c r="G130" s="424">
        <v>3643.53</v>
      </c>
      <c r="H130" s="424"/>
      <c r="I130" s="424">
        <f t="shared" si="18"/>
        <v>2385892.75</v>
      </c>
      <c r="J130" s="424">
        <f t="shared" si="19"/>
        <v>2385892.75</v>
      </c>
      <c r="K130" s="664">
        <f t="shared" si="14"/>
        <v>0</v>
      </c>
      <c r="L130" s="609"/>
      <c r="M130" s="264" t="s">
        <v>242</v>
      </c>
      <c r="N130" s="11" t="s">
        <v>243</v>
      </c>
      <c r="O130" s="429"/>
      <c r="P130" s="427"/>
    </row>
    <row r="131" spans="1:16" ht="42.75" hidden="1">
      <c r="A131" s="421" t="s">
        <v>2292</v>
      </c>
      <c r="B131" s="422" t="s">
        <v>192</v>
      </c>
      <c r="C131" s="423" t="s">
        <v>17</v>
      </c>
      <c r="D131" s="424">
        <v>6240.88</v>
      </c>
      <c r="E131" s="424">
        <f>估驗單!F124</f>
        <v>6240.88</v>
      </c>
      <c r="F131" s="478">
        <f t="shared" si="13"/>
        <v>0</v>
      </c>
      <c r="G131" s="424">
        <v>36.4</v>
      </c>
      <c r="H131" s="424"/>
      <c r="I131" s="424">
        <f t="shared" si="18"/>
        <v>227168.03</v>
      </c>
      <c r="J131" s="424">
        <f t="shared" si="19"/>
        <v>227168.03</v>
      </c>
      <c r="K131" s="664">
        <f t="shared" si="14"/>
        <v>0</v>
      </c>
      <c r="L131" s="609"/>
      <c r="M131" s="264" t="s">
        <v>2543</v>
      </c>
      <c r="N131" s="11" t="s">
        <v>243</v>
      </c>
      <c r="O131" s="429"/>
      <c r="P131" s="427"/>
    </row>
    <row r="132" spans="1:16" ht="42.75" hidden="1">
      <c r="A132" s="421" t="s">
        <v>2293</v>
      </c>
      <c r="B132" s="422" t="s">
        <v>530</v>
      </c>
      <c r="C132" s="423" t="s">
        <v>17</v>
      </c>
      <c r="D132" s="424">
        <v>102796.95</v>
      </c>
      <c r="E132" s="424">
        <f>估驗單!F125</f>
        <v>102796.95</v>
      </c>
      <c r="F132" s="478">
        <f t="shared" si="13"/>
        <v>0</v>
      </c>
      <c r="G132" s="424">
        <v>38.71</v>
      </c>
      <c r="H132" s="424"/>
      <c r="I132" s="424">
        <f t="shared" si="18"/>
        <v>3979269.93</v>
      </c>
      <c r="J132" s="424">
        <f t="shared" si="19"/>
        <v>3979269.93</v>
      </c>
      <c r="K132" s="664">
        <f t="shared" si="14"/>
        <v>0</v>
      </c>
      <c r="L132" s="609"/>
      <c r="M132" s="264" t="s">
        <v>2543</v>
      </c>
      <c r="N132" s="11" t="s">
        <v>243</v>
      </c>
      <c r="O132" s="429"/>
      <c r="P132" s="427"/>
    </row>
    <row r="133" spans="1:16" ht="42.75" hidden="1">
      <c r="A133" s="421" t="s">
        <v>2294</v>
      </c>
      <c r="B133" s="422" t="s">
        <v>532</v>
      </c>
      <c r="C133" s="423" t="s">
        <v>13</v>
      </c>
      <c r="D133" s="424">
        <v>223.3</v>
      </c>
      <c r="E133" s="424">
        <f>估驗單!F126</f>
        <v>223.3</v>
      </c>
      <c r="F133" s="478">
        <f t="shared" si="13"/>
        <v>0</v>
      </c>
      <c r="G133" s="424">
        <v>1154.9100000000001</v>
      </c>
      <c r="H133" s="424"/>
      <c r="I133" s="424">
        <f t="shared" si="18"/>
        <v>257891.4</v>
      </c>
      <c r="J133" s="424">
        <f t="shared" si="19"/>
        <v>257891.4</v>
      </c>
      <c r="K133" s="664">
        <f t="shared" si="14"/>
        <v>0</v>
      </c>
      <c r="L133" s="609"/>
      <c r="M133" s="264" t="s">
        <v>2551</v>
      </c>
      <c r="N133" s="11" t="s">
        <v>243</v>
      </c>
      <c r="O133" s="429"/>
      <c r="P133" s="427"/>
    </row>
    <row r="134" spans="1:16" ht="33">
      <c r="A134" s="610" t="s">
        <v>2295</v>
      </c>
      <c r="B134" s="611" t="s">
        <v>534</v>
      </c>
      <c r="C134" s="612" t="s">
        <v>13</v>
      </c>
      <c r="D134" s="613">
        <v>450.04</v>
      </c>
      <c r="E134" s="613">
        <f>估驗單!F127</f>
        <v>484.31400000000008</v>
      </c>
      <c r="F134" s="614">
        <f t="shared" si="13"/>
        <v>34.274000000000058</v>
      </c>
      <c r="G134" s="613">
        <v>982.93</v>
      </c>
      <c r="H134" s="613"/>
      <c r="I134" s="613">
        <f t="shared" si="18"/>
        <v>442357.82</v>
      </c>
      <c r="J134" s="613">
        <f t="shared" si="19"/>
        <v>476046.76</v>
      </c>
      <c r="K134" s="665">
        <f t="shared" si="14"/>
        <v>33688.94</v>
      </c>
      <c r="L134" s="617"/>
      <c r="M134" s="747" t="s">
        <v>2552</v>
      </c>
      <c r="N134" s="11" t="s">
        <v>243</v>
      </c>
      <c r="O134" s="429"/>
      <c r="P134" s="427"/>
    </row>
    <row r="135" spans="1:16" ht="33">
      <c r="A135" s="610" t="s">
        <v>2296</v>
      </c>
      <c r="B135" s="611" t="s">
        <v>536</v>
      </c>
      <c r="C135" s="612" t="s">
        <v>13</v>
      </c>
      <c r="D135" s="613">
        <v>28.27</v>
      </c>
      <c r="E135" s="613">
        <f>估驗單!F128</f>
        <v>42.534999999999997</v>
      </c>
      <c r="F135" s="614">
        <f t="shared" si="13"/>
        <v>14.264999999999997</v>
      </c>
      <c r="G135" s="613">
        <v>804.75</v>
      </c>
      <c r="H135" s="613"/>
      <c r="I135" s="613">
        <f t="shared" si="18"/>
        <v>22750.28</v>
      </c>
      <c r="J135" s="613">
        <f t="shared" si="19"/>
        <v>34230.04</v>
      </c>
      <c r="K135" s="665">
        <f t="shared" si="14"/>
        <v>11479.760000000002</v>
      </c>
      <c r="L135" s="617"/>
      <c r="M135" s="747" t="s">
        <v>2553</v>
      </c>
      <c r="N135" s="11" t="s">
        <v>243</v>
      </c>
      <c r="O135" s="429"/>
      <c r="P135" s="427"/>
    </row>
    <row r="136" spans="1:16" ht="33" hidden="1">
      <c r="A136" s="421" t="s">
        <v>2297</v>
      </c>
      <c r="B136" s="422" t="s">
        <v>538</v>
      </c>
      <c r="C136" s="423" t="s">
        <v>539</v>
      </c>
      <c r="D136" s="424">
        <v>25655</v>
      </c>
      <c r="E136" s="424">
        <f>估驗單!F129</f>
        <v>25655</v>
      </c>
      <c r="F136" s="478">
        <f t="shared" si="13"/>
        <v>0</v>
      </c>
      <c r="G136" s="424">
        <v>75</v>
      </c>
      <c r="H136" s="424"/>
      <c r="I136" s="424">
        <f t="shared" si="18"/>
        <v>1924125</v>
      </c>
      <c r="J136" s="424">
        <f t="shared" si="19"/>
        <v>1924125</v>
      </c>
      <c r="K136" s="664">
        <f t="shared" si="14"/>
        <v>0</v>
      </c>
      <c r="L136" s="609"/>
      <c r="M136" s="748" t="s">
        <v>242</v>
      </c>
      <c r="N136" s="11" t="s">
        <v>243</v>
      </c>
      <c r="O136" s="429"/>
      <c r="P136" s="427"/>
    </row>
    <row r="137" spans="1:16" ht="33" hidden="1">
      <c r="A137" s="421" t="s">
        <v>2298</v>
      </c>
      <c r="B137" s="422" t="s">
        <v>321</v>
      </c>
      <c r="C137" s="423" t="s">
        <v>17</v>
      </c>
      <c r="D137" s="424">
        <v>3691</v>
      </c>
      <c r="E137" s="424">
        <f>估驗單!F130</f>
        <v>3691</v>
      </c>
      <c r="F137" s="478">
        <f t="shared" si="13"/>
        <v>0</v>
      </c>
      <c r="G137" s="424">
        <v>60</v>
      </c>
      <c r="H137" s="424"/>
      <c r="I137" s="424">
        <f t="shared" si="18"/>
        <v>221460</v>
      </c>
      <c r="J137" s="424">
        <f t="shared" si="19"/>
        <v>221460</v>
      </c>
      <c r="K137" s="664">
        <f t="shared" si="14"/>
        <v>0</v>
      </c>
      <c r="L137" s="609"/>
      <c r="M137" s="748" t="s">
        <v>2546</v>
      </c>
      <c r="N137" s="11" t="s">
        <v>243</v>
      </c>
      <c r="O137" s="429"/>
      <c r="P137" s="427"/>
    </row>
    <row r="138" spans="1:16" ht="33" hidden="1">
      <c r="A138" s="421" t="s">
        <v>2299</v>
      </c>
      <c r="B138" s="422" t="s">
        <v>323</v>
      </c>
      <c r="C138" s="423" t="s">
        <v>17</v>
      </c>
      <c r="D138" s="424">
        <v>3691</v>
      </c>
      <c r="E138" s="424">
        <f>估驗單!F131</f>
        <v>3691</v>
      </c>
      <c r="F138" s="478">
        <f t="shared" si="13"/>
        <v>0</v>
      </c>
      <c r="G138" s="424">
        <v>31.9</v>
      </c>
      <c r="H138" s="424"/>
      <c r="I138" s="424">
        <f t="shared" si="18"/>
        <v>117742.9</v>
      </c>
      <c r="J138" s="424">
        <f t="shared" si="19"/>
        <v>117742.9</v>
      </c>
      <c r="K138" s="664">
        <f t="shared" si="14"/>
        <v>0</v>
      </c>
      <c r="L138" s="609"/>
      <c r="M138" s="748" t="s">
        <v>242</v>
      </c>
      <c r="N138" s="11" t="s">
        <v>243</v>
      </c>
      <c r="O138" s="429"/>
      <c r="P138" s="427"/>
    </row>
    <row r="139" spans="1:16" ht="33" hidden="1">
      <c r="A139" s="421" t="s">
        <v>2300</v>
      </c>
      <c r="B139" s="422" t="s">
        <v>542</v>
      </c>
      <c r="C139" s="423" t="s">
        <v>17</v>
      </c>
      <c r="D139" s="424">
        <v>2162</v>
      </c>
      <c r="E139" s="424">
        <f>估驗單!F132</f>
        <v>2162</v>
      </c>
      <c r="F139" s="478">
        <f t="shared" si="13"/>
        <v>0</v>
      </c>
      <c r="G139" s="424">
        <v>278.08</v>
      </c>
      <c r="H139" s="424"/>
      <c r="I139" s="424">
        <f t="shared" si="18"/>
        <v>601208.96</v>
      </c>
      <c r="J139" s="424">
        <f t="shared" si="19"/>
        <v>601208.96</v>
      </c>
      <c r="K139" s="664">
        <f t="shared" si="14"/>
        <v>0</v>
      </c>
      <c r="L139" s="609"/>
      <c r="M139" s="748" t="s">
        <v>242</v>
      </c>
      <c r="N139" s="11" t="s">
        <v>243</v>
      </c>
      <c r="O139" s="429"/>
      <c r="P139" s="427"/>
    </row>
    <row r="140" spans="1:16" ht="33" hidden="1">
      <c r="A140" s="421" t="s">
        <v>2301</v>
      </c>
      <c r="B140" s="422" t="s">
        <v>544</v>
      </c>
      <c r="C140" s="423" t="s">
        <v>13</v>
      </c>
      <c r="D140" s="424">
        <v>99.7</v>
      </c>
      <c r="E140" s="424">
        <f>估驗單!F133</f>
        <v>99.7</v>
      </c>
      <c r="F140" s="478">
        <f t="shared" si="13"/>
        <v>0</v>
      </c>
      <c r="G140" s="424">
        <v>1399.92</v>
      </c>
      <c r="H140" s="424"/>
      <c r="I140" s="424">
        <f t="shared" si="18"/>
        <v>139572.01999999999</v>
      </c>
      <c r="J140" s="424">
        <f t="shared" si="19"/>
        <v>139572.01999999999</v>
      </c>
      <c r="K140" s="664">
        <f t="shared" si="14"/>
        <v>0</v>
      </c>
      <c r="L140" s="609"/>
      <c r="M140" s="748" t="s">
        <v>2530</v>
      </c>
      <c r="N140" s="11" t="s">
        <v>243</v>
      </c>
      <c r="O140" s="429"/>
      <c r="P140" s="427"/>
    </row>
    <row r="141" spans="1:16" ht="57">
      <c r="A141" s="610" t="s">
        <v>2302</v>
      </c>
      <c r="B141" s="611" t="s">
        <v>325</v>
      </c>
      <c r="C141" s="612" t="s">
        <v>17</v>
      </c>
      <c r="D141" s="613">
        <v>95900</v>
      </c>
      <c r="E141" s="613">
        <f>估驗單!F134</f>
        <v>96604.35</v>
      </c>
      <c r="F141" s="614">
        <f t="shared" si="13"/>
        <v>704.35000000000582</v>
      </c>
      <c r="G141" s="613">
        <v>107.3</v>
      </c>
      <c r="H141" s="613"/>
      <c r="I141" s="613">
        <f t="shared" si="18"/>
        <v>10290070</v>
      </c>
      <c r="J141" s="613">
        <f t="shared" si="19"/>
        <v>10365646.76</v>
      </c>
      <c r="K141" s="665">
        <f t="shared" ref="K141:K204" si="20">J141-I141</f>
        <v>75576.759999999776</v>
      </c>
      <c r="L141" s="617"/>
      <c r="M141" s="747" t="s">
        <v>2546</v>
      </c>
      <c r="N141" s="11" t="s">
        <v>243</v>
      </c>
      <c r="O141" s="429"/>
      <c r="P141" s="427"/>
    </row>
    <row r="142" spans="1:16" ht="42.75">
      <c r="A142" s="610" t="s">
        <v>2303</v>
      </c>
      <c r="B142" s="611" t="s">
        <v>222</v>
      </c>
      <c r="C142" s="612" t="s">
        <v>13</v>
      </c>
      <c r="D142" s="613">
        <v>438.86</v>
      </c>
      <c r="E142" s="613">
        <f>估驗單!F135</f>
        <v>576</v>
      </c>
      <c r="F142" s="614">
        <f t="shared" si="13"/>
        <v>137.13999999999999</v>
      </c>
      <c r="G142" s="613">
        <v>692.12</v>
      </c>
      <c r="H142" s="613"/>
      <c r="I142" s="613">
        <f t="shared" si="18"/>
        <v>303743.78000000003</v>
      </c>
      <c r="J142" s="613">
        <f t="shared" si="19"/>
        <v>398661.12</v>
      </c>
      <c r="K142" s="665">
        <f t="shared" si="20"/>
        <v>94917.339999999967</v>
      </c>
      <c r="L142" s="617"/>
      <c r="M142" s="615" t="s">
        <v>2554</v>
      </c>
      <c r="N142" s="11" t="s">
        <v>243</v>
      </c>
      <c r="O142" s="429"/>
      <c r="P142" s="427"/>
    </row>
    <row r="143" spans="1:16" ht="33" hidden="1">
      <c r="A143" s="421" t="s">
        <v>2304</v>
      </c>
      <c r="B143" s="422" t="s">
        <v>194</v>
      </c>
      <c r="C143" s="423" t="s">
        <v>23</v>
      </c>
      <c r="D143" s="424">
        <v>342.71</v>
      </c>
      <c r="E143" s="424">
        <f>估驗單!F136</f>
        <v>342.71</v>
      </c>
      <c r="F143" s="478">
        <f t="shared" si="13"/>
        <v>0</v>
      </c>
      <c r="G143" s="424">
        <v>48.28</v>
      </c>
      <c r="H143" s="424"/>
      <c r="I143" s="424">
        <f t="shared" si="18"/>
        <v>16546.04</v>
      </c>
      <c r="J143" s="424">
        <f t="shared" si="19"/>
        <v>16546.04</v>
      </c>
      <c r="K143" s="664">
        <f t="shared" si="20"/>
        <v>0</v>
      </c>
      <c r="L143" s="609"/>
      <c r="M143" s="264" t="s">
        <v>242</v>
      </c>
      <c r="N143" s="11" t="s">
        <v>243</v>
      </c>
      <c r="O143" s="429"/>
      <c r="P143" s="427"/>
    </row>
    <row r="144" spans="1:16" ht="33" hidden="1">
      <c r="A144" s="421" t="s">
        <v>2305</v>
      </c>
      <c r="B144" s="422" t="s">
        <v>205</v>
      </c>
      <c r="C144" s="423" t="s">
        <v>23</v>
      </c>
      <c r="D144" s="424">
        <v>231.09</v>
      </c>
      <c r="E144" s="424">
        <f>估驗單!F137</f>
        <v>231.09</v>
      </c>
      <c r="F144" s="478">
        <f t="shared" ref="F144:F207" si="21">E144-D144</f>
        <v>0</v>
      </c>
      <c r="G144" s="424">
        <v>721.02</v>
      </c>
      <c r="H144" s="424"/>
      <c r="I144" s="424">
        <f t="shared" si="18"/>
        <v>166620.51</v>
      </c>
      <c r="J144" s="424">
        <f t="shared" si="19"/>
        <v>166620.51</v>
      </c>
      <c r="K144" s="664">
        <f t="shared" si="20"/>
        <v>0</v>
      </c>
      <c r="L144" s="609"/>
      <c r="M144" s="264" t="s">
        <v>242</v>
      </c>
      <c r="N144" s="11" t="s">
        <v>243</v>
      </c>
      <c r="O144" s="429"/>
      <c r="P144" s="427"/>
    </row>
    <row r="145" spans="1:16" ht="33" hidden="1">
      <c r="A145" s="421" t="s">
        <v>2306</v>
      </c>
      <c r="B145" s="422" t="s">
        <v>548</v>
      </c>
      <c r="C145" s="423" t="s">
        <v>13</v>
      </c>
      <c r="D145" s="424">
        <v>27956</v>
      </c>
      <c r="E145" s="424">
        <f>估驗單!F138</f>
        <v>27956</v>
      </c>
      <c r="F145" s="478">
        <f t="shared" si="21"/>
        <v>0</v>
      </c>
      <c r="G145" s="424">
        <v>28</v>
      </c>
      <c r="H145" s="424"/>
      <c r="I145" s="424">
        <f t="shared" si="18"/>
        <v>782768</v>
      </c>
      <c r="J145" s="424">
        <f t="shared" si="19"/>
        <v>782768</v>
      </c>
      <c r="K145" s="664">
        <f t="shared" si="20"/>
        <v>0</v>
      </c>
      <c r="L145" s="609"/>
      <c r="M145" s="264" t="s">
        <v>2530</v>
      </c>
      <c r="N145" s="11" t="s">
        <v>243</v>
      </c>
      <c r="O145" s="429"/>
      <c r="P145" s="427"/>
    </row>
    <row r="146" spans="1:16" ht="42.75" hidden="1">
      <c r="A146" s="421" t="s">
        <v>2307</v>
      </c>
      <c r="B146" s="422" t="s">
        <v>2376</v>
      </c>
      <c r="C146" s="423" t="s">
        <v>8</v>
      </c>
      <c r="D146" s="424">
        <v>322</v>
      </c>
      <c r="E146" s="424">
        <f>估驗單!F139</f>
        <v>322</v>
      </c>
      <c r="F146" s="478">
        <f t="shared" si="21"/>
        <v>0</v>
      </c>
      <c r="G146" s="424">
        <v>19011.37</v>
      </c>
      <c r="H146" s="424"/>
      <c r="I146" s="424">
        <f t="shared" si="18"/>
        <v>6121661.1399999997</v>
      </c>
      <c r="J146" s="424">
        <f t="shared" si="19"/>
        <v>6121661.1399999997</v>
      </c>
      <c r="K146" s="664">
        <f t="shared" si="20"/>
        <v>0</v>
      </c>
      <c r="L146" s="609"/>
      <c r="M146" s="264" t="s">
        <v>2543</v>
      </c>
      <c r="N146" s="11" t="s">
        <v>243</v>
      </c>
      <c r="O146" s="429"/>
      <c r="P146" s="427"/>
    </row>
    <row r="147" spans="1:16" ht="33" hidden="1">
      <c r="A147" s="421" t="s">
        <v>2308</v>
      </c>
      <c r="B147" s="422" t="s">
        <v>552</v>
      </c>
      <c r="C147" s="423" t="s">
        <v>13</v>
      </c>
      <c r="D147" s="424">
        <v>100</v>
      </c>
      <c r="E147" s="424">
        <f>估驗單!F140</f>
        <v>100</v>
      </c>
      <c r="F147" s="478">
        <f t="shared" si="21"/>
        <v>0</v>
      </c>
      <c r="G147" s="424">
        <v>373.08</v>
      </c>
      <c r="H147" s="424"/>
      <c r="I147" s="424">
        <f t="shared" si="18"/>
        <v>37308</v>
      </c>
      <c r="J147" s="424">
        <f t="shared" si="19"/>
        <v>37308</v>
      </c>
      <c r="K147" s="664">
        <f t="shared" si="20"/>
        <v>0</v>
      </c>
      <c r="L147" s="609"/>
      <c r="M147" s="264" t="s">
        <v>242</v>
      </c>
      <c r="N147" s="11" t="s">
        <v>243</v>
      </c>
      <c r="O147" s="429"/>
      <c r="P147" s="427"/>
    </row>
    <row r="148" spans="1:16" ht="33" hidden="1">
      <c r="A148" s="421" t="s">
        <v>2309</v>
      </c>
      <c r="B148" s="422" t="s">
        <v>554</v>
      </c>
      <c r="C148" s="423" t="s">
        <v>13</v>
      </c>
      <c r="D148" s="424">
        <v>83</v>
      </c>
      <c r="E148" s="424">
        <f>估驗單!F141</f>
        <v>83</v>
      </c>
      <c r="F148" s="478">
        <f t="shared" si="21"/>
        <v>0</v>
      </c>
      <c r="G148" s="424">
        <v>616.49</v>
      </c>
      <c r="H148" s="424"/>
      <c r="I148" s="424">
        <f t="shared" si="18"/>
        <v>51168.67</v>
      </c>
      <c r="J148" s="424">
        <f t="shared" si="19"/>
        <v>51168.67</v>
      </c>
      <c r="K148" s="664">
        <f t="shared" si="20"/>
        <v>0</v>
      </c>
      <c r="L148" s="609"/>
      <c r="M148" s="264" t="s">
        <v>242</v>
      </c>
      <c r="N148" s="11" t="s">
        <v>243</v>
      </c>
      <c r="O148" s="429"/>
      <c r="P148" s="427"/>
    </row>
    <row r="149" spans="1:16" ht="33" hidden="1">
      <c r="A149" s="421" t="s">
        <v>2311</v>
      </c>
      <c r="B149" s="422" t="s">
        <v>556</v>
      </c>
      <c r="C149" s="423" t="s">
        <v>13</v>
      </c>
      <c r="D149" s="424">
        <v>2.1</v>
      </c>
      <c r="E149" s="424">
        <f>估驗單!F142</f>
        <v>2.1</v>
      </c>
      <c r="F149" s="478">
        <f t="shared" si="21"/>
        <v>0</v>
      </c>
      <c r="G149" s="424">
        <v>1874.26</v>
      </c>
      <c r="H149" s="424"/>
      <c r="I149" s="424">
        <f t="shared" si="18"/>
        <v>3935.95</v>
      </c>
      <c r="J149" s="424">
        <f t="shared" si="19"/>
        <v>3935.95</v>
      </c>
      <c r="K149" s="664">
        <f t="shared" si="20"/>
        <v>0</v>
      </c>
      <c r="L149" s="609"/>
      <c r="M149" s="264" t="s">
        <v>242</v>
      </c>
      <c r="N149" s="11" t="s">
        <v>243</v>
      </c>
      <c r="O149" s="429"/>
      <c r="P149" s="427"/>
    </row>
    <row r="150" spans="1:16" ht="33" hidden="1">
      <c r="A150" s="421" t="s">
        <v>2312</v>
      </c>
      <c r="B150" s="422" t="s">
        <v>558</v>
      </c>
      <c r="C150" s="423" t="s">
        <v>8</v>
      </c>
      <c r="D150" s="424">
        <v>62</v>
      </c>
      <c r="E150" s="424">
        <f>估驗單!F143</f>
        <v>62</v>
      </c>
      <c r="F150" s="478">
        <f t="shared" si="21"/>
        <v>0</v>
      </c>
      <c r="G150" s="424">
        <v>2388.4299999999998</v>
      </c>
      <c r="H150" s="424"/>
      <c r="I150" s="424">
        <f t="shared" si="18"/>
        <v>148082.66</v>
      </c>
      <c r="J150" s="424">
        <f t="shared" si="19"/>
        <v>148082.66</v>
      </c>
      <c r="K150" s="664">
        <f t="shared" si="20"/>
        <v>0</v>
      </c>
      <c r="L150" s="609"/>
      <c r="M150" s="264" t="s">
        <v>2530</v>
      </c>
      <c r="N150" s="11" t="s">
        <v>243</v>
      </c>
      <c r="O150" s="429"/>
      <c r="P150" s="427"/>
    </row>
    <row r="151" spans="1:16" ht="33" hidden="1">
      <c r="A151" s="421" t="s">
        <v>2313</v>
      </c>
      <c r="B151" s="422" t="s">
        <v>560</v>
      </c>
      <c r="C151" s="423" t="s">
        <v>8</v>
      </c>
      <c r="D151" s="424">
        <v>33</v>
      </c>
      <c r="E151" s="424">
        <f>估驗單!F144</f>
        <v>33</v>
      </c>
      <c r="F151" s="478">
        <f t="shared" si="21"/>
        <v>0</v>
      </c>
      <c r="G151" s="424">
        <v>12777.68</v>
      </c>
      <c r="H151" s="424"/>
      <c r="I151" s="424">
        <f t="shared" si="18"/>
        <v>421663.44</v>
      </c>
      <c r="J151" s="424">
        <f t="shared" si="19"/>
        <v>421663.44</v>
      </c>
      <c r="K151" s="664">
        <f t="shared" si="20"/>
        <v>0</v>
      </c>
      <c r="L151" s="609"/>
      <c r="M151" s="264" t="s">
        <v>2530</v>
      </c>
      <c r="N151" s="11" t="s">
        <v>243</v>
      </c>
      <c r="O151" s="429"/>
      <c r="P151" s="427"/>
    </row>
    <row r="152" spans="1:16" ht="33" hidden="1">
      <c r="A152" s="421" t="s">
        <v>2315</v>
      </c>
      <c r="B152" s="422" t="s">
        <v>562</v>
      </c>
      <c r="C152" s="423" t="s">
        <v>8</v>
      </c>
      <c r="D152" s="424">
        <v>32.6</v>
      </c>
      <c r="E152" s="424">
        <f>估驗單!F145</f>
        <v>32.6</v>
      </c>
      <c r="F152" s="478">
        <f t="shared" si="21"/>
        <v>0</v>
      </c>
      <c r="G152" s="424">
        <v>71914.34</v>
      </c>
      <c r="H152" s="424"/>
      <c r="I152" s="424">
        <f t="shared" si="18"/>
        <v>2344407.48</v>
      </c>
      <c r="J152" s="424">
        <f t="shared" si="19"/>
        <v>2344407.48</v>
      </c>
      <c r="K152" s="664">
        <f t="shared" si="20"/>
        <v>0</v>
      </c>
      <c r="L152" s="609"/>
      <c r="M152" s="264" t="s">
        <v>2530</v>
      </c>
      <c r="N152" s="11" t="s">
        <v>243</v>
      </c>
      <c r="O152" s="429"/>
      <c r="P152" s="427"/>
    </row>
    <row r="153" spans="1:16" ht="33" hidden="1">
      <c r="A153" s="421" t="s">
        <v>2316</v>
      </c>
      <c r="B153" s="422" t="s">
        <v>564</v>
      </c>
      <c r="C153" s="423" t="s">
        <v>8</v>
      </c>
      <c r="D153" s="424">
        <v>32.6</v>
      </c>
      <c r="E153" s="424">
        <f>估驗單!F146</f>
        <v>32.6</v>
      </c>
      <c r="F153" s="478">
        <f t="shared" si="21"/>
        <v>0</v>
      </c>
      <c r="G153" s="424">
        <v>189793.78</v>
      </c>
      <c r="H153" s="424"/>
      <c r="I153" s="424">
        <f t="shared" si="18"/>
        <v>6187277.2300000004</v>
      </c>
      <c r="J153" s="424">
        <f t="shared" si="19"/>
        <v>6187277.2300000004</v>
      </c>
      <c r="K153" s="664">
        <f t="shared" si="20"/>
        <v>0</v>
      </c>
      <c r="L153" s="609"/>
      <c r="M153" s="264" t="s">
        <v>2530</v>
      </c>
      <c r="N153" s="11" t="s">
        <v>243</v>
      </c>
      <c r="O153" s="429"/>
      <c r="P153" s="427"/>
    </row>
    <row r="154" spans="1:16" ht="33" hidden="1">
      <c r="A154" s="421" t="s">
        <v>2317</v>
      </c>
      <c r="B154" s="422" t="s">
        <v>567</v>
      </c>
      <c r="C154" s="423" t="s">
        <v>0</v>
      </c>
      <c r="D154" s="424">
        <v>1</v>
      </c>
      <c r="E154" s="424">
        <f>估驗單!F147</f>
        <v>1</v>
      </c>
      <c r="F154" s="478">
        <f t="shared" si="21"/>
        <v>0</v>
      </c>
      <c r="G154" s="424">
        <v>78208.240000000005</v>
      </c>
      <c r="H154" s="424"/>
      <c r="I154" s="424">
        <f t="shared" si="18"/>
        <v>78208.240000000005</v>
      </c>
      <c r="J154" s="424">
        <f t="shared" si="19"/>
        <v>78208.240000000005</v>
      </c>
      <c r="K154" s="664">
        <f t="shared" si="20"/>
        <v>0</v>
      </c>
      <c r="L154" s="609"/>
      <c r="M154" s="264" t="s">
        <v>2530</v>
      </c>
      <c r="N154" s="11" t="s">
        <v>243</v>
      </c>
      <c r="O154" s="429"/>
      <c r="P154" s="427"/>
    </row>
    <row r="155" spans="1:16" ht="33" hidden="1">
      <c r="A155" s="421" t="s">
        <v>2318</v>
      </c>
      <c r="B155" s="422" t="s">
        <v>570</v>
      </c>
      <c r="C155" s="423" t="s">
        <v>8</v>
      </c>
      <c r="D155" s="424">
        <v>9.6</v>
      </c>
      <c r="E155" s="424">
        <f>估驗單!F148</f>
        <v>9.6</v>
      </c>
      <c r="F155" s="478">
        <f t="shared" si="21"/>
        <v>0</v>
      </c>
      <c r="G155" s="424">
        <v>4213.4799999999996</v>
      </c>
      <c r="H155" s="424"/>
      <c r="I155" s="424">
        <f t="shared" si="18"/>
        <v>40449.410000000003</v>
      </c>
      <c r="J155" s="424">
        <f t="shared" si="19"/>
        <v>40449.410000000003</v>
      </c>
      <c r="K155" s="664">
        <f t="shared" si="20"/>
        <v>0</v>
      </c>
      <c r="L155" s="609"/>
      <c r="M155" s="264" t="s">
        <v>2530</v>
      </c>
      <c r="N155" s="11" t="s">
        <v>243</v>
      </c>
      <c r="O155" s="429"/>
      <c r="P155" s="427"/>
    </row>
    <row r="156" spans="1:16" ht="33" hidden="1">
      <c r="A156" s="421" t="s">
        <v>2319</v>
      </c>
      <c r="B156" s="422" t="s">
        <v>573</v>
      </c>
      <c r="C156" s="423" t="s">
        <v>0</v>
      </c>
      <c r="D156" s="424">
        <v>1</v>
      </c>
      <c r="E156" s="424">
        <f>估驗單!F149</f>
        <v>1</v>
      </c>
      <c r="F156" s="478">
        <f t="shared" si="21"/>
        <v>0</v>
      </c>
      <c r="G156" s="424">
        <v>2005.23</v>
      </c>
      <c r="H156" s="424"/>
      <c r="I156" s="424">
        <f t="shared" si="18"/>
        <v>2005.23</v>
      </c>
      <c r="J156" s="424">
        <f t="shared" si="19"/>
        <v>2005.23</v>
      </c>
      <c r="K156" s="664">
        <f t="shared" si="20"/>
        <v>0</v>
      </c>
      <c r="L156" s="609"/>
      <c r="M156" s="264" t="s">
        <v>242</v>
      </c>
      <c r="N156" s="11" t="s">
        <v>243</v>
      </c>
      <c r="O156" s="429"/>
      <c r="P156" s="427"/>
    </row>
    <row r="157" spans="1:16" ht="33" hidden="1">
      <c r="A157" s="421" t="s">
        <v>2320</v>
      </c>
      <c r="B157" s="422" t="s">
        <v>576</v>
      </c>
      <c r="C157" s="423" t="s">
        <v>8</v>
      </c>
      <c r="D157" s="424">
        <v>32.6</v>
      </c>
      <c r="E157" s="424">
        <f>估驗單!F150</f>
        <v>32.6</v>
      </c>
      <c r="F157" s="478">
        <f t="shared" si="21"/>
        <v>0</v>
      </c>
      <c r="G157" s="424">
        <v>21727.78</v>
      </c>
      <c r="H157" s="424"/>
      <c r="I157" s="424">
        <f t="shared" si="18"/>
        <v>708325.63</v>
      </c>
      <c r="J157" s="424">
        <f t="shared" si="19"/>
        <v>708325.63</v>
      </c>
      <c r="K157" s="664">
        <f t="shared" si="20"/>
        <v>0</v>
      </c>
      <c r="L157" s="609"/>
      <c r="M157" s="264" t="s">
        <v>2530</v>
      </c>
      <c r="N157" s="11" t="s">
        <v>243</v>
      </c>
      <c r="O157" s="429"/>
      <c r="P157" s="427"/>
    </row>
    <row r="158" spans="1:16" ht="33" hidden="1">
      <c r="A158" s="421" t="s">
        <v>2321</v>
      </c>
      <c r="B158" s="422" t="s">
        <v>579</v>
      </c>
      <c r="C158" s="423" t="s">
        <v>8</v>
      </c>
      <c r="D158" s="424">
        <v>32.6</v>
      </c>
      <c r="E158" s="424">
        <f>估驗單!F151</f>
        <v>32.6</v>
      </c>
      <c r="F158" s="478">
        <f t="shared" si="21"/>
        <v>0</v>
      </c>
      <c r="G158" s="424">
        <v>15955.67</v>
      </c>
      <c r="H158" s="424"/>
      <c r="I158" s="424">
        <f t="shared" si="18"/>
        <v>520154.84</v>
      </c>
      <c r="J158" s="424">
        <f t="shared" si="19"/>
        <v>520154.84</v>
      </c>
      <c r="K158" s="664">
        <f t="shared" si="20"/>
        <v>0</v>
      </c>
      <c r="L158" s="609"/>
      <c r="M158" s="264" t="s">
        <v>2530</v>
      </c>
      <c r="N158" s="11" t="s">
        <v>243</v>
      </c>
      <c r="O158" s="429"/>
      <c r="P158" s="427"/>
    </row>
    <row r="159" spans="1:16" ht="33" hidden="1">
      <c r="A159" s="421" t="s">
        <v>2322</v>
      </c>
      <c r="B159" s="422" t="s">
        <v>582</v>
      </c>
      <c r="C159" s="423" t="s">
        <v>583</v>
      </c>
      <c r="D159" s="424">
        <v>4</v>
      </c>
      <c r="E159" s="424">
        <f>估驗單!F152</f>
        <v>4</v>
      </c>
      <c r="F159" s="478">
        <f t="shared" si="21"/>
        <v>0</v>
      </c>
      <c r="G159" s="424">
        <v>299.98</v>
      </c>
      <c r="H159" s="424"/>
      <c r="I159" s="424">
        <f t="shared" si="18"/>
        <v>1199.92</v>
      </c>
      <c r="J159" s="424">
        <f t="shared" si="19"/>
        <v>1199.92</v>
      </c>
      <c r="K159" s="664">
        <f t="shared" si="20"/>
        <v>0</v>
      </c>
      <c r="L159" s="609"/>
      <c r="M159" s="264" t="s">
        <v>242</v>
      </c>
      <c r="N159" s="11" t="s">
        <v>243</v>
      </c>
      <c r="O159" s="429"/>
      <c r="P159" s="427"/>
    </row>
    <row r="160" spans="1:16" ht="33" hidden="1">
      <c r="A160" s="431" t="s">
        <v>2323</v>
      </c>
      <c r="B160" s="432" t="s">
        <v>2555</v>
      </c>
      <c r="C160" s="433" t="s">
        <v>8</v>
      </c>
      <c r="D160" s="428">
        <v>4.8</v>
      </c>
      <c r="E160" s="424">
        <f>估驗單!F153</f>
        <v>4.8</v>
      </c>
      <c r="F160" s="478">
        <f t="shared" si="21"/>
        <v>0</v>
      </c>
      <c r="G160" s="428">
        <v>119.99</v>
      </c>
      <c r="H160" s="428"/>
      <c r="I160" s="424">
        <f t="shared" si="18"/>
        <v>575.95000000000005</v>
      </c>
      <c r="J160" s="424">
        <f t="shared" si="19"/>
        <v>575.95000000000005</v>
      </c>
      <c r="K160" s="664">
        <f t="shared" si="20"/>
        <v>0</v>
      </c>
      <c r="L160" s="609"/>
      <c r="M160" s="434" t="s">
        <v>2530</v>
      </c>
      <c r="N160" s="435" t="s">
        <v>243</v>
      </c>
      <c r="O160" s="442"/>
      <c r="P160" s="410"/>
    </row>
    <row r="161" spans="1:19" ht="33" hidden="1">
      <c r="A161" s="421" t="s">
        <v>2324</v>
      </c>
      <c r="B161" s="422" t="s">
        <v>589</v>
      </c>
      <c r="C161" s="423" t="s">
        <v>0</v>
      </c>
      <c r="D161" s="424">
        <v>1</v>
      </c>
      <c r="E161" s="424">
        <f>估驗單!F154</f>
        <v>1</v>
      </c>
      <c r="F161" s="478">
        <f t="shared" si="21"/>
        <v>0</v>
      </c>
      <c r="G161" s="424">
        <v>849172.02</v>
      </c>
      <c r="H161" s="424"/>
      <c r="I161" s="424">
        <f t="shared" si="18"/>
        <v>849172.02</v>
      </c>
      <c r="J161" s="424">
        <f t="shared" si="19"/>
        <v>849172.02</v>
      </c>
      <c r="K161" s="664">
        <f t="shared" si="20"/>
        <v>0</v>
      </c>
      <c r="L161" s="609"/>
      <c r="M161" s="264" t="s">
        <v>242</v>
      </c>
      <c r="N161" s="11" t="s">
        <v>243</v>
      </c>
      <c r="O161" s="429"/>
      <c r="P161" s="427"/>
    </row>
    <row r="162" spans="1:19" ht="33" hidden="1">
      <c r="A162" s="421" t="s">
        <v>2325</v>
      </c>
      <c r="B162" s="422" t="s">
        <v>592</v>
      </c>
      <c r="C162" s="423" t="s">
        <v>0</v>
      </c>
      <c r="D162" s="424">
        <v>1</v>
      </c>
      <c r="E162" s="424">
        <f>估驗單!F155</f>
        <v>1</v>
      </c>
      <c r="F162" s="478">
        <f t="shared" si="21"/>
        <v>0</v>
      </c>
      <c r="G162" s="424">
        <v>2066157.04</v>
      </c>
      <c r="H162" s="424"/>
      <c r="I162" s="424">
        <f t="shared" si="18"/>
        <v>2066157.04</v>
      </c>
      <c r="J162" s="424">
        <f t="shared" si="19"/>
        <v>2066157.04</v>
      </c>
      <c r="K162" s="664">
        <f t="shared" si="20"/>
        <v>0</v>
      </c>
      <c r="L162" s="609"/>
      <c r="M162" s="264" t="s">
        <v>242</v>
      </c>
      <c r="N162" s="11" t="s">
        <v>243</v>
      </c>
      <c r="O162" s="429"/>
      <c r="P162" s="427"/>
    </row>
    <row r="163" spans="1:19" ht="33" hidden="1" customHeight="1">
      <c r="A163" s="421" t="s">
        <v>2326</v>
      </c>
      <c r="B163" s="422" t="s">
        <v>1360</v>
      </c>
      <c r="C163" s="423" t="s">
        <v>606</v>
      </c>
      <c r="D163" s="424">
        <v>2</v>
      </c>
      <c r="E163" s="424">
        <f>估驗單!F156</f>
        <v>2</v>
      </c>
      <c r="F163" s="478">
        <f t="shared" si="21"/>
        <v>0</v>
      </c>
      <c r="G163" s="424">
        <v>201796.15</v>
      </c>
      <c r="H163" s="424"/>
      <c r="I163" s="424">
        <f t="shared" si="18"/>
        <v>403592.3</v>
      </c>
      <c r="J163" s="424">
        <f t="shared" si="19"/>
        <v>403592.3</v>
      </c>
      <c r="K163" s="664">
        <f t="shared" si="20"/>
        <v>0</v>
      </c>
      <c r="L163" s="609"/>
      <c r="M163" s="264" t="s">
        <v>242</v>
      </c>
      <c r="N163" s="11" t="s">
        <v>243</v>
      </c>
      <c r="O163" s="429"/>
      <c r="P163" s="427"/>
    </row>
    <row r="164" spans="1:19" s="444" customFormat="1" ht="33" customHeight="1">
      <c r="A164" s="619">
        <v>38</v>
      </c>
      <c r="B164" s="620" t="s">
        <v>2556</v>
      </c>
      <c r="C164" s="621" t="s">
        <v>2557</v>
      </c>
      <c r="D164" s="622">
        <v>96850</v>
      </c>
      <c r="E164" s="613">
        <f>估驗單!F157</f>
        <v>111711.59</v>
      </c>
      <c r="F164" s="614">
        <f t="shared" si="21"/>
        <v>14861.589999999997</v>
      </c>
      <c r="G164" s="622">
        <v>16.21</v>
      </c>
      <c r="H164" s="622"/>
      <c r="I164" s="613">
        <f t="shared" si="18"/>
        <v>1569938.5</v>
      </c>
      <c r="J164" s="613">
        <f t="shared" si="19"/>
        <v>1810844.87</v>
      </c>
      <c r="K164" s="665">
        <f t="shared" si="20"/>
        <v>240906.37000000011</v>
      </c>
      <c r="L164" s="617"/>
      <c r="M164" s="623"/>
      <c r="N164" s="435"/>
      <c r="O164" s="624" t="s">
        <v>2852</v>
      </c>
      <c r="P164" s="437"/>
      <c r="Q164" s="413"/>
    </row>
    <row r="165" spans="1:19" s="447" customFormat="1" ht="33" hidden="1" customHeight="1">
      <c r="A165" s="431">
        <v>39</v>
      </c>
      <c r="B165" s="432" t="s">
        <v>2561</v>
      </c>
      <c r="C165" s="433" t="s">
        <v>2562</v>
      </c>
      <c r="D165" s="428">
        <v>18</v>
      </c>
      <c r="E165" s="424">
        <f>估驗單!F158</f>
        <v>18</v>
      </c>
      <c r="F165" s="478">
        <f t="shared" si="21"/>
        <v>0</v>
      </c>
      <c r="G165" s="428">
        <v>79587.17</v>
      </c>
      <c r="H165" s="428"/>
      <c r="I165" s="424">
        <f t="shared" si="18"/>
        <v>1432569.06</v>
      </c>
      <c r="J165" s="424">
        <f t="shared" si="19"/>
        <v>1432569.06</v>
      </c>
      <c r="K165" s="664">
        <f t="shared" si="20"/>
        <v>0</v>
      </c>
      <c r="L165" s="609"/>
      <c r="M165" s="434"/>
      <c r="N165" s="445"/>
      <c r="O165" s="443"/>
      <c r="P165" s="437"/>
      <c r="Q165" s="446"/>
      <c r="S165" s="447" t="s">
        <v>2566</v>
      </c>
    </row>
    <row r="166" spans="1:19" ht="33">
      <c r="A166" s="494" t="s">
        <v>2377</v>
      </c>
      <c r="B166" s="495" t="s">
        <v>594</v>
      </c>
      <c r="C166" s="496" t="s">
        <v>4</v>
      </c>
      <c r="D166" s="497"/>
      <c r="E166" s="497">
        <f>估驗單!F159</f>
        <v>0</v>
      </c>
      <c r="F166" s="498">
        <f t="shared" si="21"/>
        <v>0</v>
      </c>
      <c r="G166" s="497">
        <f>I166</f>
        <v>31723888.269999996</v>
      </c>
      <c r="H166" s="497"/>
      <c r="I166" s="539">
        <f>SUM(I167:I194)</f>
        <v>31723888.269999996</v>
      </c>
      <c r="J166" s="539">
        <f>SUM(J167:J194)</f>
        <v>34004597.409999996</v>
      </c>
      <c r="K166" s="661">
        <f>SUM(K167:K194)</f>
        <v>3158116.98</v>
      </c>
      <c r="L166" s="547">
        <f>SUM(L167:L194)</f>
        <v>-877407.84000000008</v>
      </c>
      <c r="M166" s="356" t="s">
        <v>242</v>
      </c>
      <c r="N166" s="11" t="s">
        <v>243</v>
      </c>
      <c r="O166" s="426"/>
      <c r="P166" s="427"/>
    </row>
    <row r="167" spans="1:19" ht="33">
      <c r="A167" s="421" t="s">
        <v>2288</v>
      </c>
      <c r="B167" s="422" t="s">
        <v>315</v>
      </c>
      <c r="C167" s="423" t="s">
        <v>6</v>
      </c>
      <c r="D167" s="424">
        <v>22</v>
      </c>
      <c r="E167" s="424">
        <f>估驗單!F160</f>
        <v>22.16375</v>
      </c>
      <c r="F167" s="478">
        <f t="shared" si="21"/>
        <v>0.16375000000000028</v>
      </c>
      <c r="G167" s="424">
        <v>3114.97</v>
      </c>
      <c r="H167" s="424"/>
      <c r="I167" s="424">
        <f t="shared" ref="I167:I194" si="22">ROUND(D167*G167,2)</f>
        <v>68529.34</v>
      </c>
      <c r="J167" s="424">
        <f t="shared" ref="J167:J194" si="23">ROUND(E167*G167,2)</f>
        <v>69039.42</v>
      </c>
      <c r="K167" s="664">
        <f t="shared" si="20"/>
        <v>510.08000000000175</v>
      </c>
      <c r="L167" s="609"/>
      <c r="M167" s="264" t="s">
        <v>242</v>
      </c>
      <c r="N167" s="11" t="s">
        <v>243</v>
      </c>
      <c r="O167" s="429"/>
      <c r="P167" s="427"/>
    </row>
    <row r="168" spans="1:19" ht="33">
      <c r="A168" s="610" t="s">
        <v>2289</v>
      </c>
      <c r="B168" s="611" t="s">
        <v>24</v>
      </c>
      <c r="C168" s="612" t="s">
        <v>6</v>
      </c>
      <c r="D168" s="613">
        <v>302</v>
      </c>
      <c r="E168" s="613">
        <f>估驗單!F161</f>
        <v>127.65557142857143</v>
      </c>
      <c r="F168" s="626">
        <f t="shared" si="21"/>
        <v>-174.34442857142858</v>
      </c>
      <c r="G168" s="613">
        <v>3320.96</v>
      </c>
      <c r="H168" s="613"/>
      <c r="I168" s="613">
        <f t="shared" si="22"/>
        <v>1002929.92</v>
      </c>
      <c r="J168" s="613">
        <f t="shared" si="23"/>
        <v>423939.05</v>
      </c>
      <c r="K168" s="665"/>
      <c r="L168" s="626">
        <f>J168-I168</f>
        <v>-578990.87000000011</v>
      </c>
      <c r="M168" s="627"/>
      <c r="N168" s="11" t="s">
        <v>243</v>
      </c>
      <c r="O168" s="426" t="s">
        <v>2856</v>
      </c>
      <c r="P168" s="427"/>
    </row>
    <row r="169" spans="1:19" ht="33" hidden="1">
      <c r="A169" s="421" t="s">
        <v>2290</v>
      </c>
      <c r="B169" s="422" t="s">
        <v>528</v>
      </c>
      <c r="C169" s="423" t="s">
        <v>6</v>
      </c>
      <c r="D169" s="424">
        <v>0</v>
      </c>
      <c r="E169" s="424">
        <f>估驗單!F162</f>
        <v>0</v>
      </c>
      <c r="F169" s="478">
        <f t="shared" si="21"/>
        <v>0</v>
      </c>
      <c r="G169" s="428">
        <v>3643.53</v>
      </c>
      <c r="H169" s="428"/>
      <c r="I169" s="424">
        <f t="shared" si="22"/>
        <v>0</v>
      </c>
      <c r="J169" s="424">
        <f t="shared" si="23"/>
        <v>0</v>
      </c>
      <c r="K169" s="664">
        <f t="shared" si="20"/>
        <v>0</v>
      </c>
      <c r="L169" s="609"/>
      <c r="M169" s="264" t="s">
        <v>242</v>
      </c>
      <c r="N169" s="11" t="s">
        <v>243</v>
      </c>
      <c r="O169" s="429" t="s">
        <v>2567</v>
      </c>
      <c r="P169" s="427"/>
      <c r="Q169" s="446" t="s">
        <v>2565</v>
      </c>
    </row>
    <row r="170" spans="1:19" ht="33">
      <c r="A170" s="610" t="s">
        <v>2291</v>
      </c>
      <c r="B170" s="611" t="s">
        <v>595</v>
      </c>
      <c r="C170" s="612" t="s">
        <v>6</v>
      </c>
      <c r="D170" s="613">
        <v>1090</v>
      </c>
      <c r="E170" s="613">
        <f>估驗單!F163</f>
        <v>1366.8133214285715</v>
      </c>
      <c r="F170" s="614">
        <f t="shared" si="21"/>
        <v>276.8133214285715</v>
      </c>
      <c r="G170" s="613">
        <v>199.99</v>
      </c>
      <c r="H170" s="613"/>
      <c r="I170" s="613">
        <f t="shared" si="22"/>
        <v>217989.1</v>
      </c>
      <c r="J170" s="613">
        <f t="shared" si="23"/>
        <v>273349</v>
      </c>
      <c r="K170" s="665">
        <f t="shared" si="20"/>
        <v>55359.899999999994</v>
      </c>
      <c r="L170" s="617"/>
      <c r="M170" s="615" t="s">
        <v>242</v>
      </c>
      <c r="N170" s="11" t="s">
        <v>243</v>
      </c>
      <c r="O170" s="429" t="s">
        <v>2854</v>
      </c>
      <c r="P170" s="427"/>
    </row>
    <row r="171" spans="1:19" ht="33">
      <c r="A171" s="610" t="s">
        <v>2292</v>
      </c>
      <c r="B171" s="611" t="s">
        <v>534</v>
      </c>
      <c r="C171" s="612" t="s">
        <v>13</v>
      </c>
      <c r="D171" s="613">
        <v>1203</v>
      </c>
      <c r="E171" s="613">
        <f>估驗單!F164</f>
        <v>1274.9890000000003</v>
      </c>
      <c r="F171" s="614">
        <f t="shared" si="21"/>
        <v>71.98900000000026</v>
      </c>
      <c r="G171" s="613">
        <v>982.93</v>
      </c>
      <c r="H171" s="613"/>
      <c r="I171" s="613">
        <f t="shared" si="22"/>
        <v>1182464.79</v>
      </c>
      <c r="J171" s="613">
        <f t="shared" si="23"/>
        <v>1253224.94</v>
      </c>
      <c r="K171" s="665">
        <f t="shared" si="20"/>
        <v>70760.149999999907</v>
      </c>
      <c r="L171" s="617"/>
      <c r="M171" s="747" t="s">
        <v>2552</v>
      </c>
      <c r="N171" s="11" t="s">
        <v>243</v>
      </c>
      <c r="O171" s="429"/>
      <c r="P171" s="427"/>
    </row>
    <row r="172" spans="1:19" ht="33">
      <c r="A172" s="610" t="s">
        <v>2293</v>
      </c>
      <c r="B172" s="611" t="s">
        <v>536</v>
      </c>
      <c r="C172" s="612" t="s">
        <v>13</v>
      </c>
      <c r="D172" s="613">
        <v>393</v>
      </c>
      <c r="E172" s="613">
        <f>估驗單!F165</f>
        <v>788.3735999999999</v>
      </c>
      <c r="F172" s="614">
        <f t="shared" si="21"/>
        <v>395.3735999999999</v>
      </c>
      <c r="G172" s="613">
        <v>804.75</v>
      </c>
      <c r="H172" s="613"/>
      <c r="I172" s="613">
        <f t="shared" si="22"/>
        <v>316266.75</v>
      </c>
      <c r="J172" s="613">
        <f t="shared" si="23"/>
        <v>634443.65</v>
      </c>
      <c r="K172" s="665">
        <f t="shared" si="20"/>
        <v>318176.90000000002</v>
      </c>
      <c r="L172" s="617"/>
      <c r="M172" s="747" t="s">
        <v>2553</v>
      </c>
      <c r="N172" s="11" t="s">
        <v>243</v>
      </c>
      <c r="O172" s="429"/>
      <c r="P172" s="427"/>
    </row>
    <row r="173" spans="1:19" ht="33">
      <c r="A173" s="610" t="s">
        <v>2294</v>
      </c>
      <c r="B173" s="611" t="s">
        <v>192</v>
      </c>
      <c r="C173" s="612" t="s">
        <v>17</v>
      </c>
      <c r="D173" s="613">
        <v>13138</v>
      </c>
      <c r="E173" s="613">
        <f>估驗單!F166</f>
        <v>34725.806255700001</v>
      </c>
      <c r="F173" s="614">
        <f t="shared" si="21"/>
        <v>21587.806255700001</v>
      </c>
      <c r="G173" s="613">
        <v>36.4</v>
      </c>
      <c r="H173" s="613"/>
      <c r="I173" s="613">
        <f t="shared" si="22"/>
        <v>478223.2</v>
      </c>
      <c r="J173" s="613">
        <f t="shared" si="23"/>
        <v>1264019.3500000001</v>
      </c>
      <c r="K173" s="665">
        <f t="shared" si="20"/>
        <v>785796.15000000014</v>
      </c>
      <c r="L173" s="617"/>
      <c r="M173" s="747" t="s">
        <v>2543</v>
      </c>
      <c r="N173" s="11" t="s">
        <v>243</v>
      </c>
      <c r="O173" s="429"/>
      <c r="P173" s="427"/>
    </row>
    <row r="174" spans="1:19" ht="33">
      <c r="A174" s="610" t="s">
        <v>2295</v>
      </c>
      <c r="B174" s="611" t="s">
        <v>530</v>
      </c>
      <c r="C174" s="612" t="s">
        <v>17</v>
      </c>
      <c r="D174" s="613">
        <v>15589</v>
      </c>
      <c r="E174" s="613">
        <f>估驗單!F167</f>
        <v>23923.6749375</v>
      </c>
      <c r="F174" s="614">
        <f t="shared" si="21"/>
        <v>8334.6749374999999</v>
      </c>
      <c r="G174" s="613">
        <v>38.71</v>
      </c>
      <c r="H174" s="613"/>
      <c r="I174" s="613">
        <f t="shared" si="22"/>
        <v>603450.18999999994</v>
      </c>
      <c r="J174" s="613">
        <f t="shared" si="23"/>
        <v>926085.46</v>
      </c>
      <c r="K174" s="665">
        <f t="shared" si="20"/>
        <v>322635.27</v>
      </c>
      <c r="L174" s="617"/>
      <c r="M174" s="747" t="s">
        <v>2543</v>
      </c>
      <c r="N174" s="11" t="s">
        <v>243</v>
      </c>
      <c r="O174" s="429"/>
      <c r="P174" s="427"/>
    </row>
    <row r="175" spans="1:19" ht="33" hidden="1">
      <c r="A175" s="431" t="s">
        <v>2296</v>
      </c>
      <c r="B175" s="432" t="s">
        <v>597</v>
      </c>
      <c r="C175" s="433" t="s">
        <v>13</v>
      </c>
      <c r="D175" s="428">
        <v>776</v>
      </c>
      <c r="E175" s="424">
        <f>估驗單!F168</f>
        <v>776</v>
      </c>
      <c r="F175" s="478">
        <f t="shared" si="21"/>
        <v>0</v>
      </c>
      <c r="G175" s="428">
        <v>2510.64</v>
      </c>
      <c r="H175" s="428"/>
      <c r="I175" s="424">
        <f t="shared" si="22"/>
        <v>1948256.64</v>
      </c>
      <c r="J175" s="424">
        <f t="shared" si="23"/>
        <v>1948256.64</v>
      </c>
      <c r="K175" s="664">
        <f t="shared" si="20"/>
        <v>0</v>
      </c>
      <c r="L175" s="609"/>
      <c r="M175" s="434" t="s">
        <v>2568</v>
      </c>
      <c r="N175" s="435" t="s">
        <v>243</v>
      </c>
      <c r="O175" s="442"/>
      <c r="P175" s="437"/>
    </row>
    <row r="176" spans="1:19" ht="33">
      <c r="A176" s="610" t="s">
        <v>2297</v>
      </c>
      <c r="B176" s="611" t="s">
        <v>599</v>
      </c>
      <c r="C176" s="612" t="s">
        <v>223</v>
      </c>
      <c r="D176" s="613">
        <v>235</v>
      </c>
      <c r="E176" s="613">
        <f>估驗單!F169</f>
        <v>251.85</v>
      </c>
      <c r="F176" s="614">
        <f t="shared" si="21"/>
        <v>16.849999999999994</v>
      </c>
      <c r="G176" s="613">
        <v>3297.86</v>
      </c>
      <c r="H176" s="613"/>
      <c r="I176" s="613">
        <f t="shared" si="22"/>
        <v>774997.1</v>
      </c>
      <c r="J176" s="613">
        <f t="shared" si="23"/>
        <v>830566.04</v>
      </c>
      <c r="K176" s="665">
        <f t="shared" si="20"/>
        <v>55568.940000000061</v>
      </c>
      <c r="L176" s="617"/>
      <c r="M176" s="615" t="s">
        <v>2530</v>
      </c>
      <c r="N176" s="11" t="s">
        <v>243</v>
      </c>
      <c r="O176" s="429"/>
      <c r="P176" s="427"/>
    </row>
    <row r="177" spans="1:19" ht="33">
      <c r="A177" s="610" t="s">
        <v>2298</v>
      </c>
      <c r="B177" s="611" t="s">
        <v>601</v>
      </c>
      <c r="C177" s="612" t="s">
        <v>13</v>
      </c>
      <c r="D177" s="613">
        <v>102</v>
      </c>
      <c r="E177" s="613">
        <f>估驗單!F170</f>
        <v>173.82</v>
      </c>
      <c r="F177" s="614">
        <f t="shared" si="21"/>
        <v>71.819999999999993</v>
      </c>
      <c r="G177" s="613">
        <v>2952.01</v>
      </c>
      <c r="H177" s="613"/>
      <c r="I177" s="613">
        <f t="shared" si="22"/>
        <v>301105.02</v>
      </c>
      <c r="J177" s="613">
        <f t="shared" si="23"/>
        <v>513118.38</v>
      </c>
      <c r="K177" s="665">
        <f t="shared" si="20"/>
        <v>212013.36</v>
      </c>
      <c r="L177" s="617"/>
      <c r="M177" s="615" t="s">
        <v>2530</v>
      </c>
      <c r="N177" s="11" t="s">
        <v>243</v>
      </c>
      <c r="O177" s="429"/>
      <c r="P177" s="427"/>
    </row>
    <row r="178" spans="1:19" ht="33">
      <c r="A178" s="610" t="s">
        <v>2299</v>
      </c>
      <c r="B178" s="611" t="s">
        <v>603</v>
      </c>
      <c r="C178" s="612" t="s">
        <v>13</v>
      </c>
      <c r="D178" s="613">
        <v>400</v>
      </c>
      <c r="E178" s="613">
        <f>估驗單!F171</f>
        <v>618.4325</v>
      </c>
      <c r="F178" s="614">
        <f t="shared" si="21"/>
        <v>218.4325</v>
      </c>
      <c r="G178" s="613">
        <v>1454.49</v>
      </c>
      <c r="H178" s="613"/>
      <c r="I178" s="613">
        <f t="shared" si="22"/>
        <v>581796</v>
      </c>
      <c r="J178" s="613">
        <f t="shared" si="23"/>
        <v>899503.89</v>
      </c>
      <c r="K178" s="665">
        <f t="shared" si="20"/>
        <v>317707.89</v>
      </c>
      <c r="L178" s="617"/>
      <c r="M178" s="615" t="s">
        <v>242</v>
      </c>
      <c r="N178" s="11" t="s">
        <v>243</v>
      </c>
      <c r="O178" s="429"/>
      <c r="P178" s="427"/>
    </row>
    <row r="179" spans="1:19" ht="33" hidden="1">
      <c r="A179" s="421" t="s">
        <v>2300</v>
      </c>
      <c r="B179" s="422" t="s">
        <v>605</v>
      </c>
      <c r="C179" s="423" t="s">
        <v>606</v>
      </c>
      <c r="D179" s="424">
        <v>333</v>
      </c>
      <c r="E179" s="424">
        <f>估驗單!F172</f>
        <v>333</v>
      </c>
      <c r="F179" s="478">
        <f t="shared" si="21"/>
        <v>0</v>
      </c>
      <c r="G179" s="424">
        <v>434.98</v>
      </c>
      <c r="H179" s="424"/>
      <c r="I179" s="424">
        <f t="shared" si="22"/>
        <v>144848.34</v>
      </c>
      <c r="J179" s="424">
        <f t="shared" si="23"/>
        <v>144848.34</v>
      </c>
      <c r="K179" s="664">
        <f t="shared" si="20"/>
        <v>0</v>
      </c>
      <c r="L179" s="609"/>
      <c r="M179" s="264" t="s">
        <v>242</v>
      </c>
      <c r="N179" s="11" t="s">
        <v>243</v>
      </c>
      <c r="O179" s="429"/>
      <c r="P179" s="427"/>
    </row>
    <row r="180" spans="1:19" ht="33">
      <c r="A180" s="610" t="s">
        <v>2301</v>
      </c>
      <c r="B180" s="611" t="s">
        <v>608</v>
      </c>
      <c r="C180" s="612" t="s">
        <v>13</v>
      </c>
      <c r="D180" s="613">
        <v>1702</v>
      </c>
      <c r="E180" s="613">
        <f>估驗單!G173</f>
        <v>1365.0950000000003</v>
      </c>
      <c r="F180" s="626">
        <f t="shared" si="21"/>
        <v>-336.90499999999975</v>
      </c>
      <c r="G180" s="613">
        <v>885.76</v>
      </c>
      <c r="H180" s="613"/>
      <c r="I180" s="613">
        <f t="shared" si="22"/>
        <v>1507563.52</v>
      </c>
      <c r="J180" s="613">
        <f t="shared" si="23"/>
        <v>1209146.55</v>
      </c>
      <c r="K180" s="665"/>
      <c r="L180" s="626">
        <f>J180-I180</f>
        <v>-298416.96999999997</v>
      </c>
      <c r="M180" s="615" t="s">
        <v>2530</v>
      </c>
      <c r="N180" s="11" t="s">
        <v>243</v>
      </c>
      <c r="O180" s="429"/>
      <c r="P180" s="427"/>
    </row>
    <row r="181" spans="1:19" ht="33">
      <c r="A181" s="610" t="s">
        <v>2302</v>
      </c>
      <c r="B181" s="611" t="s">
        <v>357</v>
      </c>
      <c r="C181" s="612" t="s">
        <v>8</v>
      </c>
      <c r="D181" s="613">
        <v>49</v>
      </c>
      <c r="E181" s="613">
        <f>估驗單!F174</f>
        <v>51.150000000000006</v>
      </c>
      <c r="F181" s="614">
        <f t="shared" si="21"/>
        <v>2.1500000000000057</v>
      </c>
      <c r="G181" s="613">
        <v>138.84</v>
      </c>
      <c r="H181" s="613"/>
      <c r="I181" s="613">
        <f t="shared" si="22"/>
        <v>6803.16</v>
      </c>
      <c r="J181" s="613">
        <f t="shared" si="23"/>
        <v>7101.67</v>
      </c>
      <c r="K181" s="665">
        <f t="shared" si="20"/>
        <v>298.51000000000022</v>
      </c>
      <c r="L181" s="617"/>
      <c r="M181" s="615" t="s">
        <v>242</v>
      </c>
      <c r="N181" s="11" t="s">
        <v>243</v>
      </c>
      <c r="O181" s="429"/>
      <c r="P181" s="427"/>
    </row>
    <row r="182" spans="1:19" ht="33">
      <c r="A182" s="610" t="s">
        <v>2303</v>
      </c>
      <c r="B182" s="611" t="s">
        <v>611</v>
      </c>
      <c r="C182" s="612" t="s">
        <v>8</v>
      </c>
      <c r="D182" s="613">
        <v>85</v>
      </c>
      <c r="E182" s="613">
        <f>估驗單!F175</f>
        <v>85.8</v>
      </c>
      <c r="F182" s="614">
        <f t="shared" si="21"/>
        <v>0.79999999999999716</v>
      </c>
      <c r="G182" s="613">
        <v>326.27999999999997</v>
      </c>
      <c r="H182" s="613"/>
      <c r="I182" s="613">
        <f t="shared" si="22"/>
        <v>27733.8</v>
      </c>
      <c r="J182" s="613">
        <f t="shared" si="23"/>
        <v>27994.82</v>
      </c>
      <c r="K182" s="665">
        <f t="shared" si="20"/>
        <v>261.02000000000044</v>
      </c>
      <c r="L182" s="617"/>
      <c r="M182" s="615" t="s">
        <v>242</v>
      </c>
      <c r="N182" s="11" t="s">
        <v>243</v>
      </c>
      <c r="O182" s="429"/>
      <c r="P182" s="427"/>
    </row>
    <row r="183" spans="1:19" ht="42.75">
      <c r="A183" s="610" t="s">
        <v>2304</v>
      </c>
      <c r="B183" s="611" t="s">
        <v>222</v>
      </c>
      <c r="C183" s="612" t="s">
        <v>13</v>
      </c>
      <c r="D183" s="613">
        <v>385</v>
      </c>
      <c r="E183" s="613">
        <f>估驗單!F176</f>
        <v>898.56000000000006</v>
      </c>
      <c r="F183" s="614">
        <f t="shared" si="21"/>
        <v>513.56000000000006</v>
      </c>
      <c r="G183" s="613">
        <v>692.12</v>
      </c>
      <c r="H183" s="613"/>
      <c r="I183" s="613">
        <f t="shared" si="22"/>
        <v>266466.2</v>
      </c>
      <c r="J183" s="613">
        <f t="shared" si="23"/>
        <v>621911.35</v>
      </c>
      <c r="K183" s="665">
        <f t="shared" si="20"/>
        <v>355445.14999999997</v>
      </c>
      <c r="L183" s="617"/>
      <c r="M183" s="615" t="s">
        <v>2554</v>
      </c>
      <c r="N183" s="11" t="s">
        <v>243</v>
      </c>
      <c r="O183" s="429" t="s">
        <v>2859</v>
      </c>
      <c r="P183" s="427"/>
    </row>
    <row r="184" spans="1:19" ht="71.25" hidden="1">
      <c r="A184" s="421" t="s">
        <v>2305</v>
      </c>
      <c r="B184" s="422" t="s">
        <v>615</v>
      </c>
      <c r="C184" s="423" t="s">
        <v>8</v>
      </c>
      <c r="D184" s="424">
        <v>0</v>
      </c>
      <c r="E184" s="424">
        <f>估驗單!F177</f>
        <v>0</v>
      </c>
      <c r="F184" s="478">
        <f t="shared" si="21"/>
        <v>0</v>
      </c>
      <c r="G184" s="424">
        <v>1706.44</v>
      </c>
      <c r="H184" s="424"/>
      <c r="I184" s="424">
        <f t="shared" si="22"/>
        <v>0</v>
      </c>
      <c r="J184" s="424">
        <f t="shared" si="23"/>
        <v>0</v>
      </c>
      <c r="K184" s="664">
        <f t="shared" si="20"/>
        <v>0</v>
      </c>
      <c r="L184" s="609"/>
      <c r="M184" s="264" t="s">
        <v>2569</v>
      </c>
      <c r="N184" s="11" t="s">
        <v>243</v>
      </c>
      <c r="O184" s="429"/>
      <c r="P184" s="427"/>
    </row>
    <row r="185" spans="1:19" ht="33" hidden="1">
      <c r="A185" s="421" t="s">
        <v>2306</v>
      </c>
      <c r="B185" s="422" t="s">
        <v>618</v>
      </c>
      <c r="C185" s="423" t="s">
        <v>23</v>
      </c>
      <c r="D185" s="424">
        <v>1070.5</v>
      </c>
      <c r="E185" s="424">
        <f>估驗單!F178</f>
        <v>1070.5</v>
      </c>
      <c r="F185" s="478">
        <f t="shared" si="21"/>
        <v>0</v>
      </c>
      <c r="G185" s="424">
        <v>49</v>
      </c>
      <c r="H185" s="424"/>
      <c r="I185" s="424">
        <f t="shared" si="22"/>
        <v>52454.5</v>
      </c>
      <c r="J185" s="424">
        <f t="shared" si="23"/>
        <v>52454.5</v>
      </c>
      <c r="K185" s="664">
        <f t="shared" si="20"/>
        <v>0</v>
      </c>
      <c r="L185" s="609"/>
      <c r="M185" s="264" t="s">
        <v>242</v>
      </c>
      <c r="N185" s="11" t="s">
        <v>243</v>
      </c>
      <c r="O185" s="429"/>
      <c r="P185" s="427"/>
    </row>
    <row r="186" spans="1:19" ht="33" hidden="1">
      <c r="A186" s="421" t="s">
        <v>2307</v>
      </c>
      <c r="B186" s="422" t="s">
        <v>621</v>
      </c>
      <c r="C186" s="423" t="s">
        <v>19</v>
      </c>
      <c r="D186" s="424">
        <v>2</v>
      </c>
      <c r="E186" s="424">
        <f>估驗單!F179</f>
        <v>2</v>
      </c>
      <c r="F186" s="478">
        <f t="shared" si="21"/>
        <v>0</v>
      </c>
      <c r="G186" s="424">
        <v>5349708.26</v>
      </c>
      <c r="H186" s="424"/>
      <c r="I186" s="424">
        <f t="shared" si="22"/>
        <v>10699416.52</v>
      </c>
      <c r="J186" s="424">
        <f t="shared" si="23"/>
        <v>10699416.52</v>
      </c>
      <c r="K186" s="664">
        <f t="shared" si="20"/>
        <v>0</v>
      </c>
      <c r="L186" s="609"/>
      <c r="M186" s="264" t="s">
        <v>242</v>
      </c>
      <c r="N186" s="11" t="s">
        <v>243</v>
      </c>
      <c r="O186" s="429"/>
      <c r="P186" s="427"/>
    </row>
    <row r="187" spans="1:19" ht="42.75" hidden="1">
      <c r="A187" s="421" t="s">
        <v>2308</v>
      </c>
      <c r="B187" s="422" t="s">
        <v>1368</v>
      </c>
      <c r="C187" s="423" t="s">
        <v>8</v>
      </c>
      <c r="D187" s="424">
        <v>571.08000000000004</v>
      </c>
      <c r="E187" s="424">
        <f>估驗單!F180</f>
        <v>571.08000000000004</v>
      </c>
      <c r="F187" s="478">
        <f t="shared" si="21"/>
        <v>0</v>
      </c>
      <c r="G187" s="424">
        <v>5456.33</v>
      </c>
      <c r="H187" s="424"/>
      <c r="I187" s="424">
        <f t="shared" si="22"/>
        <v>3116000.94</v>
      </c>
      <c r="J187" s="424">
        <f t="shared" si="23"/>
        <v>3116000.94</v>
      </c>
      <c r="K187" s="664">
        <f t="shared" si="20"/>
        <v>0</v>
      </c>
      <c r="L187" s="609"/>
      <c r="M187" s="264" t="s">
        <v>242</v>
      </c>
      <c r="N187" s="11" t="s">
        <v>243</v>
      </c>
      <c r="O187" s="429"/>
      <c r="P187" s="427"/>
    </row>
    <row r="188" spans="1:19" ht="33" hidden="1">
      <c r="A188" s="421" t="s">
        <v>2309</v>
      </c>
      <c r="B188" s="422" t="s">
        <v>1370</v>
      </c>
      <c r="C188" s="423" t="s">
        <v>6</v>
      </c>
      <c r="D188" s="424">
        <v>161.38999999999999</v>
      </c>
      <c r="E188" s="424">
        <f>估驗單!F181</f>
        <v>161.38999999999999</v>
      </c>
      <c r="F188" s="478">
        <f t="shared" si="21"/>
        <v>0</v>
      </c>
      <c r="G188" s="424">
        <v>1481.84</v>
      </c>
      <c r="H188" s="424"/>
      <c r="I188" s="424">
        <f t="shared" si="22"/>
        <v>239154.16</v>
      </c>
      <c r="J188" s="424">
        <f t="shared" si="23"/>
        <v>239154.16</v>
      </c>
      <c r="K188" s="664">
        <f t="shared" si="20"/>
        <v>0</v>
      </c>
      <c r="L188" s="609"/>
      <c r="M188" s="264" t="s">
        <v>242</v>
      </c>
      <c r="N188" s="11" t="s">
        <v>243</v>
      </c>
      <c r="O188" s="429"/>
      <c r="P188" s="427"/>
    </row>
    <row r="189" spans="1:19" s="440" customFormat="1" ht="33.75">
      <c r="A189" s="619">
        <v>24</v>
      </c>
      <c r="B189" s="620" t="s">
        <v>1372</v>
      </c>
      <c r="C189" s="621" t="s">
        <v>13</v>
      </c>
      <c r="D189" s="622">
        <v>634.14</v>
      </c>
      <c r="E189" s="613">
        <f>估驗單!F182</f>
        <v>776.79333333333329</v>
      </c>
      <c r="F189" s="614">
        <f t="shared" si="21"/>
        <v>142.65333333333331</v>
      </c>
      <c r="G189" s="622">
        <v>3120.65</v>
      </c>
      <c r="H189" s="622"/>
      <c r="I189" s="613">
        <f t="shared" si="22"/>
        <v>1978928.99</v>
      </c>
      <c r="J189" s="613">
        <f t="shared" si="23"/>
        <v>2424100.12</v>
      </c>
      <c r="K189" s="665">
        <f t="shared" si="20"/>
        <v>445171.13000000012</v>
      </c>
      <c r="L189" s="617"/>
      <c r="M189" s="634" t="s">
        <v>2570</v>
      </c>
      <c r="N189" s="435" t="s">
        <v>243</v>
      </c>
      <c r="O189" s="436" t="s">
        <v>2571</v>
      </c>
      <c r="P189" s="448" t="s">
        <v>2572</v>
      </c>
      <c r="Q189" s="413" t="s">
        <v>2573</v>
      </c>
      <c r="S189" s="449"/>
    </row>
    <row r="190" spans="1:19" s="451" customFormat="1" ht="33.75" hidden="1">
      <c r="A190" s="635">
        <v>25</v>
      </c>
      <c r="B190" s="636" t="s">
        <v>2555</v>
      </c>
      <c r="C190" s="637" t="s">
        <v>8</v>
      </c>
      <c r="D190" s="638">
        <f>295*0.7+76*0.75+40*2</f>
        <v>343.5</v>
      </c>
      <c r="E190" s="639">
        <f>估驗單!F183</f>
        <v>343.5</v>
      </c>
      <c r="F190" s="640">
        <f t="shared" si="21"/>
        <v>0</v>
      </c>
      <c r="G190" s="638">
        <v>119.99</v>
      </c>
      <c r="H190" s="638"/>
      <c r="I190" s="639">
        <f t="shared" si="22"/>
        <v>41216.57</v>
      </c>
      <c r="J190" s="639">
        <f t="shared" si="23"/>
        <v>41216.57</v>
      </c>
      <c r="K190" s="664">
        <f t="shared" si="20"/>
        <v>0</v>
      </c>
      <c r="L190" s="651"/>
      <c r="M190" s="641" t="s">
        <v>2530</v>
      </c>
      <c r="N190" s="435" t="s">
        <v>243</v>
      </c>
      <c r="O190" s="442" t="s">
        <v>2574</v>
      </c>
      <c r="P190" s="410" t="s">
        <v>2575</v>
      </c>
      <c r="Q190" s="450" t="s">
        <v>2565</v>
      </c>
    </row>
    <row r="191" spans="1:19" s="451" customFormat="1" ht="33.75" hidden="1">
      <c r="A191" s="635">
        <v>26</v>
      </c>
      <c r="B191" s="636" t="s">
        <v>2576</v>
      </c>
      <c r="C191" s="637" t="s">
        <v>2577</v>
      </c>
      <c r="D191" s="638">
        <f>295+76+80</f>
        <v>451</v>
      </c>
      <c r="E191" s="639">
        <f>估驗單!F184</f>
        <v>451</v>
      </c>
      <c r="F191" s="640">
        <f t="shared" si="21"/>
        <v>0</v>
      </c>
      <c r="G191" s="638">
        <v>324.97000000000003</v>
      </c>
      <c r="H191" s="638"/>
      <c r="I191" s="639">
        <f t="shared" si="22"/>
        <v>146561.47</v>
      </c>
      <c r="J191" s="639">
        <f t="shared" si="23"/>
        <v>146561.47</v>
      </c>
      <c r="K191" s="664">
        <f t="shared" si="20"/>
        <v>0</v>
      </c>
      <c r="L191" s="651"/>
      <c r="M191" s="641" t="s">
        <v>2578</v>
      </c>
      <c r="N191" s="435"/>
      <c r="O191" s="442" t="s">
        <v>2574</v>
      </c>
      <c r="P191" s="410" t="s">
        <v>2579</v>
      </c>
      <c r="Q191" s="450" t="s">
        <v>2565</v>
      </c>
    </row>
    <row r="192" spans="1:19" ht="57" hidden="1">
      <c r="A192" s="421">
        <v>28</v>
      </c>
      <c r="B192" s="422" t="s">
        <v>1377</v>
      </c>
      <c r="C192" s="423" t="s">
        <v>6</v>
      </c>
      <c r="D192" s="424">
        <v>1513</v>
      </c>
      <c r="E192" s="424">
        <f>估驗單!F185</f>
        <v>1513</v>
      </c>
      <c r="F192" s="478">
        <f t="shared" si="21"/>
        <v>0</v>
      </c>
      <c r="G192" s="424">
        <v>926.62</v>
      </c>
      <c r="H192" s="424"/>
      <c r="I192" s="424">
        <f t="shared" si="22"/>
        <v>1401976.06</v>
      </c>
      <c r="J192" s="424">
        <f t="shared" si="23"/>
        <v>1401976.06</v>
      </c>
      <c r="K192" s="664">
        <f t="shared" si="20"/>
        <v>0</v>
      </c>
      <c r="L192" s="609"/>
      <c r="M192" s="264" t="s">
        <v>2580</v>
      </c>
      <c r="N192" s="11" t="s">
        <v>243</v>
      </c>
      <c r="O192" s="452" t="s">
        <v>2581</v>
      </c>
      <c r="P192" s="453" t="s">
        <v>2582</v>
      </c>
      <c r="Q192" s="413" t="s">
        <v>2583</v>
      </c>
      <c r="S192" s="82">
        <f>(1.5*1.5*0.45*0.45)^(1/2)*(295+57.3)*0.15</f>
        <v>35.670375000000007</v>
      </c>
    </row>
    <row r="193" spans="1:19" s="456" customFormat="1" ht="156.75">
      <c r="A193" s="610">
        <v>29</v>
      </c>
      <c r="B193" s="611" t="s">
        <v>2584</v>
      </c>
      <c r="C193" s="612" t="s">
        <v>6</v>
      </c>
      <c r="D193" s="613">
        <v>1177.9000000000001</v>
      </c>
      <c r="E193" s="613">
        <f>估驗單!F186</f>
        <v>1216.9940000000001</v>
      </c>
      <c r="F193" s="614">
        <f t="shared" si="21"/>
        <v>39.094000000000051</v>
      </c>
      <c r="G193" s="613">
        <v>3832.9</v>
      </c>
      <c r="H193" s="613"/>
      <c r="I193" s="613">
        <f t="shared" si="22"/>
        <v>4514772.91</v>
      </c>
      <c r="J193" s="613">
        <f t="shared" si="23"/>
        <v>4664616.3</v>
      </c>
      <c r="K193" s="665">
        <f t="shared" si="20"/>
        <v>149843.38999999966</v>
      </c>
      <c r="L193" s="617"/>
      <c r="M193" s="615" t="s">
        <v>2585</v>
      </c>
      <c r="N193" s="11" t="s">
        <v>243</v>
      </c>
      <c r="O193" s="429" t="s">
        <v>2586</v>
      </c>
      <c r="P193" s="454" t="s">
        <v>2587</v>
      </c>
      <c r="Q193" s="455" t="s">
        <v>2588</v>
      </c>
      <c r="S193" s="457" t="s">
        <v>2589</v>
      </c>
    </row>
    <row r="194" spans="1:19" s="456" customFormat="1" ht="42.75">
      <c r="A194" s="421">
        <v>30</v>
      </c>
      <c r="B194" s="422" t="s">
        <v>1380</v>
      </c>
      <c r="C194" s="423" t="s">
        <v>13</v>
      </c>
      <c r="D194" s="424">
        <v>442.5</v>
      </c>
      <c r="E194" s="424">
        <f>估驗單!F187</f>
        <v>734.29600000000005</v>
      </c>
      <c r="F194" s="478">
        <f t="shared" si="21"/>
        <v>291.79600000000005</v>
      </c>
      <c r="G194" s="424">
        <v>234.99</v>
      </c>
      <c r="H194" s="424"/>
      <c r="I194" s="424">
        <f t="shared" si="22"/>
        <v>103983.08</v>
      </c>
      <c r="J194" s="424">
        <f t="shared" si="23"/>
        <v>172552.22</v>
      </c>
      <c r="K194" s="664">
        <f t="shared" si="20"/>
        <v>68569.14</v>
      </c>
      <c r="L194" s="609"/>
      <c r="M194" s="264" t="s">
        <v>2590</v>
      </c>
      <c r="N194" s="11"/>
      <c r="O194" s="429" t="s">
        <v>2591</v>
      </c>
      <c r="P194" s="458" t="s">
        <v>2592</v>
      </c>
      <c r="Q194" s="413" t="s">
        <v>2593</v>
      </c>
      <c r="S194" s="457"/>
    </row>
    <row r="195" spans="1:19" ht="33">
      <c r="A195" s="494" t="s">
        <v>2378</v>
      </c>
      <c r="B195" s="495" t="s">
        <v>623</v>
      </c>
      <c r="C195" s="496" t="s">
        <v>4</v>
      </c>
      <c r="D195" s="497"/>
      <c r="E195" s="497">
        <f>估驗單!F188</f>
        <v>0</v>
      </c>
      <c r="F195" s="498">
        <f t="shared" si="21"/>
        <v>0</v>
      </c>
      <c r="G195" s="497">
        <f>I195</f>
        <v>28004421.200000003</v>
      </c>
      <c r="H195" s="497"/>
      <c r="I195" s="497">
        <f>SUM(I196:I214)</f>
        <v>28004421.200000003</v>
      </c>
      <c r="J195" s="497">
        <f>SUM(J196:J214)</f>
        <v>33654235.879999995</v>
      </c>
      <c r="K195" s="497">
        <f>SUM(K196:K214)</f>
        <v>6597172.1099999994</v>
      </c>
      <c r="L195" s="547">
        <f>SUM(L196:L214)</f>
        <v>-947357.4299999997</v>
      </c>
      <c r="M195" s="356" t="s">
        <v>242</v>
      </c>
      <c r="N195" s="11" t="s">
        <v>243</v>
      </c>
      <c r="O195" s="426"/>
      <c r="P195" s="427"/>
    </row>
    <row r="196" spans="1:19" ht="33">
      <c r="A196" s="610" t="s">
        <v>2288</v>
      </c>
      <c r="B196" s="611" t="s">
        <v>315</v>
      </c>
      <c r="C196" s="612" t="s">
        <v>6</v>
      </c>
      <c r="D196" s="613">
        <v>252</v>
      </c>
      <c r="E196" s="613">
        <f>估驗單!F189</f>
        <v>109.328</v>
      </c>
      <c r="F196" s="626">
        <f t="shared" si="21"/>
        <v>-142.672</v>
      </c>
      <c r="G196" s="613">
        <v>3114.97</v>
      </c>
      <c r="H196" s="613"/>
      <c r="I196" s="613">
        <f t="shared" ref="I196:I214" si="24">ROUND(D196*G196,2)</f>
        <v>784972.44</v>
      </c>
      <c r="J196" s="613">
        <f t="shared" ref="J196:J214" si="25">ROUND(E196*G196,2)</f>
        <v>340553.44</v>
      </c>
      <c r="K196" s="665"/>
      <c r="L196" s="626">
        <f>J196-I196</f>
        <v>-444418.99999999994</v>
      </c>
      <c r="M196" s="627"/>
      <c r="N196" s="11" t="s">
        <v>243</v>
      </c>
      <c r="O196" s="429" t="s">
        <v>2860</v>
      </c>
      <c r="P196" s="427"/>
    </row>
    <row r="197" spans="1:19" ht="33">
      <c r="A197" s="610" t="s">
        <v>2289</v>
      </c>
      <c r="B197" s="611" t="s">
        <v>24</v>
      </c>
      <c r="C197" s="612" t="s">
        <v>6</v>
      </c>
      <c r="D197" s="613">
        <v>2490</v>
      </c>
      <c r="E197" s="613">
        <f>估驗單!F190</f>
        <v>2673.7048824999997</v>
      </c>
      <c r="F197" s="614">
        <f t="shared" si="21"/>
        <v>183.70488249999971</v>
      </c>
      <c r="G197" s="613">
        <v>3320.96</v>
      </c>
      <c r="H197" s="613"/>
      <c r="I197" s="613">
        <f t="shared" si="24"/>
        <v>8269190.4000000004</v>
      </c>
      <c r="J197" s="613">
        <f t="shared" si="25"/>
        <v>8879266.9700000007</v>
      </c>
      <c r="K197" s="665">
        <f t="shared" si="20"/>
        <v>610076.5700000003</v>
      </c>
      <c r="L197" s="617"/>
      <c r="M197" s="615" t="s">
        <v>242</v>
      </c>
      <c r="N197" s="11" t="s">
        <v>243</v>
      </c>
      <c r="O197" s="429"/>
      <c r="P197" s="427"/>
    </row>
    <row r="198" spans="1:19" ht="33" hidden="1">
      <c r="A198" s="421" t="s">
        <v>2290</v>
      </c>
      <c r="B198" s="422" t="s">
        <v>624</v>
      </c>
      <c r="C198" s="423" t="s">
        <v>6</v>
      </c>
      <c r="D198" s="424">
        <v>998</v>
      </c>
      <c r="E198" s="424">
        <f>估驗單!F191</f>
        <v>998</v>
      </c>
      <c r="F198" s="478">
        <f t="shared" si="21"/>
        <v>0</v>
      </c>
      <c r="G198" s="424">
        <v>1749.16</v>
      </c>
      <c r="H198" s="424"/>
      <c r="I198" s="424">
        <f t="shared" si="24"/>
        <v>1745661.68</v>
      </c>
      <c r="J198" s="424">
        <f t="shared" si="25"/>
        <v>1745661.68</v>
      </c>
      <c r="K198" s="664">
        <f t="shared" si="20"/>
        <v>0</v>
      </c>
      <c r="L198" s="609"/>
      <c r="M198" s="264" t="s">
        <v>242</v>
      </c>
      <c r="N198" s="11" t="s">
        <v>243</v>
      </c>
      <c r="O198" s="429"/>
      <c r="P198" s="427"/>
    </row>
    <row r="199" spans="1:19" ht="33">
      <c r="A199" s="610" t="s">
        <v>2291</v>
      </c>
      <c r="B199" s="611" t="s">
        <v>595</v>
      </c>
      <c r="C199" s="612" t="s">
        <v>6</v>
      </c>
      <c r="D199" s="613">
        <v>3740</v>
      </c>
      <c r="E199" s="613">
        <f>估驗單!F192</f>
        <v>3559.6211824999996</v>
      </c>
      <c r="F199" s="626">
        <f t="shared" si="21"/>
        <v>-180.37881750000042</v>
      </c>
      <c r="G199" s="613">
        <v>199.99</v>
      </c>
      <c r="H199" s="613"/>
      <c r="I199" s="613">
        <f t="shared" si="24"/>
        <v>747962.6</v>
      </c>
      <c r="J199" s="613">
        <f t="shared" si="25"/>
        <v>711888.64</v>
      </c>
      <c r="K199" s="665"/>
      <c r="L199" s="626">
        <f>J199-I199</f>
        <v>-36073.959999999963</v>
      </c>
      <c r="M199" s="615" t="s">
        <v>242</v>
      </c>
      <c r="N199" s="11" t="s">
        <v>243</v>
      </c>
      <c r="O199" s="429"/>
      <c r="P199" s="427"/>
    </row>
    <row r="200" spans="1:19" s="413" customFormat="1" ht="33">
      <c r="A200" s="610" t="s">
        <v>2292</v>
      </c>
      <c r="B200" s="611" t="s">
        <v>534</v>
      </c>
      <c r="C200" s="612" t="s">
        <v>13</v>
      </c>
      <c r="D200" s="613">
        <v>4240</v>
      </c>
      <c r="E200" s="613">
        <f>估驗單!F193</f>
        <v>4949.6072000000013</v>
      </c>
      <c r="F200" s="614">
        <f t="shared" si="21"/>
        <v>709.60720000000128</v>
      </c>
      <c r="G200" s="613">
        <v>982.93</v>
      </c>
      <c r="H200" s="613"/>
      <c r="I200" s="613">
        <f t="shared" si="24"/>
        <v>4167623.2</v>
      </c>
      <c r="J200" s="613">
        <f t="shared" si="25"/>
        <v>4865117.41</v>
      </c>
      <c r="K200" s="665">
        <f t="shared" si="20"/>
        <v>697494.21</v>
      </c>
      <c r="L200" s="617"/>
      <c r="M200" s="747" t="s">
        <v>2552</v>
      </c>
      <c r="N200" s="11" t="s">
        <v>243</v>
      </c>
      <c r="O200" s="429"/>
      <c r="P200" s="448"/>
    </row>
    <row r="201" spans="1:19" s="413" customFormat="1" ht="33">
      <c r="A201" s="610" t="s">
        <v>2293</v>
      </c>
      <c r="B201" s="611" t="s">
        <v>626</v>
      </c>
      <c r="C201" s="612" t="s">
        <v>13</v>
      </c>
      <c r="D201" s="613">
        <v>38</v>
      </c>
      <c r="E201" s="613">
        <f>估驗單!F194</f>
        <v>49.359999999999992</v>
      </c>
      <c r="F201" s="614">
        <f t="shared" si="21"/>
        <v>11.359999999999992</v>
      </c>
      <c r="G201" s="613">
        <v>698.28</v>
      </c>
      <c r="H201" s="613"/>
      <c r="I201" s="613">
        <f t="shared" si="24"/>
        <v>26534.639999999999</v>
      </c>
      <c r="J201" s="613">
        <f t="shared" si="25"/>
        <v>34467.1</v>
      </c>
      <c r="K201" s="665">
        <f t="shared" si="20"/>
        <v>7932.4599999999991</v>
      </c>
      <c r="L201" s="617"/>
      <c r="M201" s="747" t="s">
        <v>2594</v>
      </c>
      <c r="N201" s="11" t="s">
        <v>243</v>
      </c>
      <c r="O201" s="429"/>
      <c r="P201" s="427"/>
    </row>
    <row r="202" spans="1:19" s="413" customFormat="1" ht="33">
      <c r="A202" s="610" t="s">
        <v>2294</v>
      </c>
      <c r="B202" s="611" t="s">
        <v>536</v>
      </c>
      <c r="C202" s="612" t="s">
        <v>13</v>
      </c>
      <c r="D202" s="613">
        <v>783</v>
      </c>
      <c r="E202" s="613">
        <f>估驗單!F195</f>
        <v>1409.35</v>
      </c>
      <c r="F202" s="614">
        <f t="shared" si="21"/>
        <v>626.34999999999991</v>
      </c>
      <c r="G202" s="613">
        <v>804.75</v>
      </c>
      <c r="H202" s="613"/>
      <c r="I202" s="613">
        <f t="shared" si="24"/>
        <v>630119.25</v>
      </c>
      <c r="J202" s="613">
        <f t="shared" si="25"/>
        <v>1134174.4099999999</v>
      </c>
      <c r="K202" s="665">
        <f t="shared" si="20"/>
        <v>504055.15999999992</v>
      </c>
      <c r="L202" s="617"/>
      <c r="M202" s="747" t="s">
        <v>2553</v>
      </c>
      <c r="N202" s="11" t="s">
        <v>243</v>
      </c>
      <c r="O202" s="429"/>
      <c r="P202" s="427"/>
    </row>
    <row r="203" spans="1:19" s="413" customFormat="1" ht="33">
      <c r="A203" s="610" t="s">
        <v>2295</v>
      </c>
      <c r="B203" s="611" t="s">
        <v>193</v>
      </c>
      <c r="C203" s="612" t="s">
        <v>13</v>
      </c>
      <c r="D203" s="613">
        <v>300</v>
      </c>
      <c r="E203" s="613">
        <f>估驗單!F196</f>
        <v>761.34</v>
      </c>
      <c r="F203" s="614">
        <f t="shared" si="21"/>
        <v>461.34000000000003</v>
      </c>
      <c r="G203" s="613">
        <v>533.61</v>
      </c>
      <c r="H203" s="613"/>
      <c r="I203" s="613">
        <f t="shared" si="24"/>
        <v>160083</v>
      </c>
      <c r="J203" s="613">
        <f t="shared" si="25"/>
        <v>406258.64</v>
      </c>
      <c r="K203" s="665">
        <f t="shared" si="20"/>
        <v>246175.64</v>
      </c>
      <c r="L203" s="617"/>
      <c r="M203" s="747" t="s">
        <v>2544</v>
      </c>
      <c r="N203" s="11" t="s">
        <v>243</v>
      </c>
      <c r="O203" s="429"/>
      <c r="P203" s="448"/>
    </row>
    <row r="204" spans="1:19" s="413" customFormat="1" ht="33">
      <c r="A204" s="610" t="s">
        <v>2296</v>
      </c>
      <c r="B204" s="611" t="s">
        <v>192</v>
      </c>
      <c r="C204" s="612" t="s">
        <v>17</v>
      </c>
      <c r="D204" s="613">
        <v>137462</v>
      </c>
      <c r="E204" s="613">
        <f>估驗單!F197</f>
        <v>207085.17276800002</v>
      </c>
      <c r="F204" s="614">
        <f t="shared" si="21"/>
        <v>69623.172768000019</v>
      </c>
      <c r="G204" s="613">
        <v>36.4</v>
      </c>
      <c r="H204" s="613"/>
      <c r="I204" s="613">
        <f t="shared" si="24"/>
        <v>5003616.8</v>
      </c>
      <c r="J204" s="613">
        <f t="shared" si="25"/>
        <v>7537900.29</v>
      </c>
      <c r="K204" s="665">
        <f t="shared" si="20"/>
        <v>2534283.4900000002</v>
      </c>
      <c r="L204" s="617"/>
      <c r="M204" s="747" t="s">
        <v>2543</v>
      </c>
      <c r="N204" s="11" t="s">
        <v>243</v>
      </c>
      <c r="O204" s="429"/>
      <c r="P204" s="427"/>
    </row>
    <row r="205" spans="1:19" s="413" customFormat="1" ht="33">
      <c r="A205" s="610" t="s">
        <v>2297</v>
      </c>
      <c r="B205" s="611" t="s">
        <v>530</v>
      </c>
      <c r="C205" s="612" t="s">
        <v>17</v>
      </c>
      <c r="D205" s="613">
        <v>116638</v>
      </c>
      <c r="E205" s="613">
        <f>估驗單!F198</f>
        <v>168230.73</v>
      </c>
      <c r="F205" s="614">
        <f t="shared" si="21"/>
        <v>51592.73000000001</v>
      </c>
      <c r="G205" s="613">
        <v>38.71</v>
      </c>
      <c r="H205" s="613"/>
      <c r="I205" s="613">
        <f t="shared" si="24"/>
        <v>4515056.9800000004</v>
      </c>
      <c r="J205" s="613">
        <f t="shared" si="25"/>
        <v>6512211.5599999996</v>
      </c>
      <c r="K205" s="665">
        <f t="shared" ref="K205:K268" si="26">J205-I205</f>
        <v>1997154.5799999991</v>
      </c>
      <c r="L205" s="617"/>
      <c r="M205" s="747" t="s">
        <v>2543</v>
      </c>
      <c r="N205" s="11" t="s">
        <v>243</v>
      </c>
      <c r="O205" s="429"/>
      <c r="P205" s="427"/>
    </row>
    <row r="206" spans="1:19" s="413" customFormat="1" ht="33">
      <c r="A206" s="610" t="s">
        <v>2298</v>
      </c>
      <c r="B206" s="611" t="s">
        <v>628</v>
      </c>
      <c r="C206" s="612" t="s">
        <v>8</v>
      </c>
      <c r="D206" s="613">
        <v>112</v>
      </c>
      <c r="E206" s="613">
        <f>估驗單!F199</f>
        <v>0</v>
      </c>
      <c r="F206" s="626">
        <f t="shared" si="21"/>
        <v>-112</v>
      </c>
      <c r="G206" s="613">
        <v>2865.8</v>
      </c>
      <c r="H206" s="613"/>
      <c r="I206" s="613">
        <f t="shared" si="24"/>
        <v>320969.59999999998</v>
      </c>
      <c r="J206" s="613">
        <f t="shared" si="25"/>
        <v>0</v>
      </c>
      <c r="K206" s="665"/>
      <c r="L206" s="626">
        <f>J206-I206</f>
        <v>-320969.59999999998</v>
      </c>
      <c r="M206" s="627" t="s">
        <v>2722</v>
      </c>
      <c r="N206" s="11" t="s">
        <v>243</v>
      </c>
      <c r="O206" s="429" t="s">
        <v>2868</v>
      </c>
      <c r="P206" s="427"/>
    </row>
    <row r="207" spans="1:19" s="413" customFormat="1" ht="42.75" hidden="1">
      <c r="A207" s="421" t="s">
        <v>2299</v>
      </c>
      <c r="B207" s="422" t="s">
        <v>630</v>
      </c>
      <c r="C207" s="423" t="s">
        <v>0</v>
      </c>
      <c r="D207" s="424">
        <v>47</v>
      </c>
      <c r="E207" s="424">
        <f>估驗單!F200</f>
        <v>47</v>
      </c>
      <c r="F207" s="478">
        <f t="shared" si="21"/>
        <v>0</v>
      </c>
      <c r="G207" s="424">
        <v>1477.97</v>
      </c>
      <c r="H207" s="424"/>
      <c r="I207" s="424">
        <f t="shared" si="24"/>
        <v>69464.59</v>
      </c>
      <c r="J207" s="424">
        <f t="shared" si="25"/>
        <v>69464.59</v>
      </c>
      <c r="K207" s="664">
        <f t="shared" si="26"/>
        <v>0</v>
      </c>
      <c r="L207" s="609"/>
      <c r="M207" s="267" t="s">
        <v>2865</v>
      </c>
      <c r="N207" s="11" t="s">
        <v>243</v>
      </c>
      <c r="O207" s="429"/>
      <c r="P207" s="427"/>
    </row>
    <row r="208" spans="1:19" s="413" customFormat="1" ht="42.75" hidden="1">
      <c r="A208" s="421" t="s">
        <v>2300</v>
      </c>
      <c r="B208" s="422" t="s">
        <v>632</v>
      </c>
      <c r="C208" s="423" t="s">
        <v>8</v>
      </c>
      <c r="D208" s="424">
        <v>148</v>
      </c>
      <c r="E208" s="424">
        <f>估驗單!F201</f>
        <v>148</v>
      </c>
      <c r="F208" s="478">
        <f t="shared" ref="F208:F270" si="27">E208-D208</f>
        <v>0</v>
      </c>
      <c r="G208" s="424">
        <v>151.71</v>
      </c>
      <c r="H208" s="424"/>
      <c r="I208" s="424">
        <f t="shared" si="24"/>
        <v>22453.08</v>
      </c>
      <c r="J208" s="424">
        <f t="shared" si="25"/>
        <v>22453.08</v>
      </c>
      <c r="K208" s="664">
        <f t="shared" si="26"/>
        <v>0</v>
      </c>
      <c r="L208" s="609"/>
      <c r="M208" s="264" t="s">
        <v>242</v>
      </c>
      <c r="N208" s="11" t="s">
        <v>243</v>
      </c>
      <c r="O208" s="429"/>
      <c r="P208" s="427"/>
    </row>
    <row r="209" spans="1:16" s="413" customFormat="1" ht="33" hidden="1">
      <c r="A209" s="421" t="s">
        <v>2301</v>
      </c>
      <c r="B209" s="422" t="s">
        <v>634</v>
      </c>
      <c r="C209" s="423" t="s">
        <v>15</v>
      </c>
      <c r="D209" s="424">
        <v>6</v>
      </c>
      <c r="E209" s="424">
        <f>估驗單!F202</f>
        <v>6</v>
      </c>
      <c r="F209" s="478">
        <f t="shared" si="27"/>
        <v>0</v>
      </c>
      <c r="G209" s="424">
        <v>15778.75</v>
      </c>
      <c r="H209" s="424"/>
      <c r="I209" s="424">
        <f t="shared" si="24"/>
        <v>94672.5</v>
      </c>
      <c r="J209" s="424">
        <f t="shared" si="25"/>
        <v>94672.5</v>
      </c>
      <c r="K209" s="664">
        <f t="shared" si="26"/>
        <v>0</v>
      </c>
      <c r="L209" s="609"/>
      <c r="M209" s="264" t="s">
        <v>242</v>
      </c>
      <c r="N209" s="11" t="s">
        <v>243</v>
      </c>
      <c r="O209" s="429"/>
      <c r="P209" s="427"/>
    </row>
    <row r="210" spans="1:16" s="413" customFormat="1" ht="33">
      <c r="A210" s="610" t="s">
        <v>2302</v>
      </c>
      <c r="B210" s="611" t="s">
        <v>357</v>
      </c>
      <c r="C210" s="612" t="s">
        <v>8</v>
      </c>
      <c r="D210" s="613">
        <v>746</v>
      </c>
      <c r="E210" s="613">
        <f>估驗單!F203</f>
        <v>400.19999999999993</v>
      </c>
      <c r="F210" s="626">
        <f t="shared" si="27"/>
        <v>-345.80000000000007</v>
      </c>
      <c r="G210" s="613">
        <v>138.84</v>
      </c>
      <c r="H210" s="613"/>
      <c r="I210" s="613">
        <f t="shared" si="24"/>
        <v>103574.64</v>
      </c>
      <c r="J210" s="613">
        <f t="shared" si="25"/>
        <v>55563.77</v>
      </c>
      <c r="K210" s="665"/>
      <c r="L210" s="626">
        <f>J210-I210</f>
        <v>-48010.87</v>
      </c>
      <c r="M210" s="627" t="s">
        <v>2723</v>
      </c>
      <c r="N210" s="11" t="s">
        <v>243</v>
      </c>
      <c r="O210" s="429"/>
      <c r="P210" s="427"/>
    </row>
    <row r="211" spans="1:16" s="413" customFormat="1" ht="33">
      <c r="A211" s="610" t="s">
        <v>2303</v>
      </c>
      <c r="B211" s="611" t="s">
        <v>611</v>
      </c>
      <c r="C211" s="612" t="s">
        <v>8</v>
      </c>
      <c r="D211" s="613">
        <v>1740</v>
      </c>
      <c r="E211" s="613">
        <f>估驗單!F204</f>
        <v>1440</v>
      </c>
      <c r="F211" s="626">
        <f t="shared" si="27"/>
        <v>-300</v>
      </c>
      <c r="G211" s="613">
        <v>326.27999999999997</v>
      </c>
      <c r="H211" s="613"/>
      <c r="I211" s="613">
        <f t="shared" si="24"/>
        <v>567727.19999999995</v>
      </c>
      <c r="J211" s="613">
        <f t="shared" si="25"/>
        <v>469843.20000000001</v>
      </c>
      <c r="K211" s="665"/>
      <c r="L211" s="626">
        <f>J211-I211</f>
        <v>-97883.999999999942</v>
      </c>
      <c r="M211" s="627" t="s">
        <v>2723</v>
      </c>
      <c r="N211" s="11" t="s">
        <v>243</v>
      </c>
      <c r="O211" s="429"/>
      <c r="P211" s="427"/>
    </row>
    <row r="212" spans="1:16" s="413" customFormat="1" ht="42.75" hidden="1">
      <c r="A212" s="421" t="s">
        <v>2304</v>
      </c>
      <c r="B212" s="422" t="s">
        <v>222</v>
      </c>
      <c r="C212" s="423" t="s">
        <v>13</v>
      </c>
      <c r="D212" s="424">
        <v>783</v>
      </c>
      <c r="E212" s="424">
        <f>估驗單!F205</f>
        <v>783</v>
      </c>
      <c r="F212" s="478">
        <f t="shared" si="27"/>
        <v>0</v>
      </c>
      <c r="G212" s="424">
        <v>692.12</v>
      </c>
      <c r="H212" s="424"/>
      <c r="I212" s="424">
        <f t="shared" si="24"/>
        <v>541929.96</v>
      </c>
      <c r="J212" s="424">
        <f t="shared" si="25"/>
        <v>541929.96</v>
      </c>
      <c r="K212" s="664">
        <f t="shared" si="26"/>
        <v>0</v>
      </c>
      <c r="L212" s="609"/>
      <c r="M212" s="264" t="s">
        <v>2554</v>
      </c>
      <c r="N212" s="11" t="s">
        <v>243</v>
      </c>
      <c r="O212" s="429"/>
      <c r="P212" s="427"/>
    </row>
    <row r="213" spans="1:16" s="413" customFormat="1" ht="33" hidden="1">
      <c r="A213" s="421" t="s">
        <v>2305</v>
      </c>
      <c r="B213" s="422" t="s">
        <v>640</v>
      </c>
      <c r="C213" s="423" t="s">
        <v>15</v>
      </c>
      <c r="D213" s="424">
        <v>1</v>
      </c>
      <c r="E213" s="424">
        <f>估驗單!F206</f>
        <v>1</v>
      </c>
      <c r="F213" s="478">
        <f t="shared" si="27"/>
        <v>0</v>
      </c>
      <c r="G213" s="424">
        <v>214228.32</v>
      </c>
      <c r="H213" s="424"/>
      <c r="I213" s="424">
        <f t="shared" si="24"/>
        <v>214228.32</v>
      </c>
      <c r="J213" s="424">
        <f t="shared" si="25"/>
        <v>214228.32</v>
      </c>
      <c r="K213" s="664">
        <f t="shared" si="26"/>
        <v>0</v>
      </c>
      <c r="L213" s="609"/>
      <c r="M213" s="264" t="s">
        <v>242</v>
      </c>
      <c r="N213" s="11" t="s">
        <v>243</v>
      </c>
      <c r="O213" s="429"/>
      <c r="P213" s="427"/>
    </row>
    <row r="214" spans="1:16" s="413" customFormat="1" ht="33" hidden="1">
      <c r="A214" s="421" t="s">
        <v>2306</v>
      </c>
      <c r="B214" s="422" t="s">
        <v>643</v>
      </c>
      <c r="C214" s="423" t="s">
        <v>5</v>
      </c>
      <c r="D214" s="424">
        <v>44</v>
      </c>
      <c r="E214" s="424">
        <f>估驗單!F207</f>
        <v>44</v>
      </c>
      <c r="F214" s="478">
        <f t="shared" si="27"/>
        <v>0</v>
      </c>
      <c r="G214" s="424">
        <v>422.28</v>
      </c>
      <c r="H214" s="424"/>
      <c r="I214" s="424">
        <f t="shared" si="24"/>
        <v>18580.32</v>
      </c>
      <c r="J214" s="424">
        <f t="shared" si="25"/>
        <v>18580.32</v>
      </c>
      <c r="K214" s="664">
        <f t="shared" si="26"/>
        <v>0</v>
      </c>
      <c r="L214" s="609"/>
      <c r="M214" s="264" t="s">
        <v>242</v>
      </c>
      <c r="N214" s="11" t="s">
        <v>243</v>
      </c>
      <c r="O214" s="429"/>
      <c r="P214" s="427"/>
    </row>
    <row r="215" spans="1:16" s="413" customFormat="1" ht="33">
      <c r="A215" s="494" t="s">
        <v>2379</v>
      </c>
      <c r="B215" s="495" t="s">
        <v>645</v>
      </c>
      <c r="C215" s="496" t="s">
        <v>4</v>
      </c>
      <c r="D215" s="497"/>
      <c r="E215" s="497"/>
      <c r="F215" s="498"/>
      <c r="G215" s="497">
        <f>I215</f>
        <v>13631722.120000003</v>
      </c>
      <c r="H215" s="497"/>
      <c r="I215" s="497">
        <f t="shared" ref="I215:L215" si="28">SUM(I216:I231)</f>
        <v>13631722.120000003</v>
      </c>
      <c r="J215" s="497">
        <f t="shared" si="28"/>
        <v>15482573.470000003</v>
      </c>
      <c r="K215" s="660">
        <f t="shared" si="28"/>
        <v>1850851.35</v>
      </c>
      <c r="L215" s="547">
        <f t="shared" si="28"/>
        <v>0</v>
      </c>
      <c r="M215" s="356" t="s">
        <v>242</v>
      </c>
      <c r="N215" s="11" t="s">
        <v>243</v>
      </c>
      <c r="O215" s="426"/>
      <c r="P215" s="427"/>
    </row>
    <row r="216" spans="1:16" s="413" customFormat="1" ht="33" hidden="1">
      <c r="A216" s="421" t="s">
        <v>2288</v>
      </c>
      <c r="B216" s="422" t="s">
        <v>646</v>
      </c>
      <c r="C216" s="423" t="s">
        <v>6</v>
      </c>
      <c r="D216" s="424">
        <v>230</v>
      </c>
      <c r="E216" s="424">
        <f>估驗單!F209</f>
        <v>230</v>
      </c>
      <c r="F216" s="478">
        <f t="shared" si="27"/>
        <v>0</v>
      </c>
      <c r="G216" s="424">
        <v>7517.15</v>
      </c>
      <c r="H216" s="424"/>
      <c r="I216" s="424">
        <f t="shared" ref="I216:I231" si="29">ROUND(D216*G216,2)</f>
        <v>1728944.5</v>
      </c>
      <c r="J216" s="424">
        <f t="shared" ref="J216:J231" si="30">ROUND(E216*G216,2)</f>
        <v>1728944.5</v>
      </c>
      <c r="K216" s="664">
        <f t="shared" si="26"/>
        <v>0</v>
      </c>
      <c r="L216" s="609"/>
      <c r="M216" s="264" t="s">
        <v>242</v>
      </c>
      <c r="N216" s="11" t="s">
        <v>243</v>
      </c>
      <c r="O216" s="429"/>
      <c r="P216" s="427"/>
    </row>
    <row r="217" spans="1:16" s="413" customFormat="1" ht="33" hidden="1">
      <c r="A217" s="421" t="s">
        <v>2289</v>
      </c>
      <c r="B217" s="422" t="s">
        <v>648</v>
      </c>
      <c r="C217" s="423" t="s">
        <v>6</v>
      </c>
      <c r="D217" s="424">
        <v>689</v>
      </c>
      <c r="E217" s="424">
        <f>估驗單!F210</f>
        <v>689</v>
      </c>
      <c r="F217" s="478">
        <f t="shared" si="27"/>
        <v>0</v>
      </c>
      <c r="G217" s="424">
        <v>7496.55</v>
      </c>
      <c r="H217" s="424"/>
      <c r="I217" s="424">
        <f t="shared" si="29"/>
        <v>5165122.95</v>
      </c>
      <c r="J217" s="424">
        <f t="shared" si="30"/>
        <v>5165122.95</v>
      </c>
      <c r="K217" s="664">
        <f t="shared" si="26"/>
        <v>0</v>
      </c>
      <c r="L217" s="609"/>
      <c r="M217" s="264" t="s">
        <v>242</v>
      </c>
      <c r="N217" s="11" t="s">
        <v>243</v>
      </c>
      <c r="O217" s="429"/>
      <c r="P217" s="427"/>
    </row>
    <row r="218" spans="1:16" s="413" customFormat="1" ht="33">
      <c r="A218" s="610" t="s">
        <v>2290</v>
      </c>
      <c r="B218" s="611" t="s">
        <v>650</v>
      </c>
      <c r="C218" s="612" t="s">
        <v>13</v>
      </c>
      <c r="D218" s="613">
        <v>4589</v>
      </c>
      <c r="E218" s="613">
        <f>估驗單!F211</f>
        <v>5389.42</v>
      </c>
      <c r="F218" s="614">
        <f t="shared" si="27"/>
        <v>800.42000000000007</v>
      </c>
      <c r="G218" s="613">
        <v>11.6</v>
      </c>
      <c r="H218" s="613"/>
      <c r="I218" s="613">
        <f t="shared" si="29"/>
        <v>53232.4</v>
      </c>
      <c r="J218" s="613">
        <f t="shared" si="30"/>
        <v>62517.27</v>
      </c>
      <c r="K218" s="665">
        <f t="shared" si="26"/>
        <v>9284.8699999999953</v>
      </c>
      <c r="L218" s="617"/>
      <c r="M218" s="615" t="s">
        <v>242</v>
      </c>
      <c r="N218" s="11" t="s">
        <v>243</v>
      </c>
      <c r="O218" s="429" t="s">
        <v>2861</v>
      </c>
      <c r="P218" s="427"/>
    </row>
    <row r="219" spans="1:16" s="413" customFormat="1" ht="33" hidden="1">
      <c r="A219" s="421" t="s">
        <v>2291</v>
      </c>
      <c r="B219" s="422" t="s">
        <v>652</v>
      </c>
      <c r="C219" s="423" t="s">
        <v>13</v>
      </c>
      <c r="D219" s="424">
        <v>4589</v>
      </c>
      <c r="E219" s="424">
        <f>估驗單!F212</f>
        <v>4589</v>
      </c>
      <c r="F219" s="478">
        <f t="shared" si="27"/>
        <v>0</v>
      </c>
      <c r="G219" s="424">
        <v>42.46</v>
      </c>
      <c r="H219" s="424"/>
      <c r="I219" s="424">
        <f t="shared" si="29"/>
        <v>194848.94</v>
      </c>
      <c r="J219" s="424">
        <f t="shared" si="30"/>
        <v>194848.94</v>
      </c>
      <c r="K219" s="664">
        <f t="shared" si="26"/>
        <v>0</v>
      </c>
      <c r="L219" s="609"/>
      <c r="M219" s="264" t="s">
        <v>242</v>
      </c>
      <c r="N219" s="11" t="s">
        <v>243</v>
      </c>
      <c r="O219" s="429"/>
      <c r="P219" s="427"/>
    </row>
    <row r="220" spans="1:16" s="413" customFormat="1" ht="33" hidden="1">
      <c r="A220" s="421" t="s">
        <v>2292</v>
      </c>
      <c r="B220" s="422" t="s">
        <v>204</v>
      </c>
      <c r="C220" s="423" t="s">
        <v>13</v>
      </c>
      <c r="D220" s="424">
        <v>13765</v>
      </c>
      <c r="E220" s="424">
        <f>估驗單!F213</f>
        <v>13765</v>
      </c>
      <c r="F220" s="478">
        <f t="shared" si="27"/>
        <v>0</v>
      </c>
      <c r="G220" s="424">
        <v>15.96</v>
      </c>
      <c r="H220" s="424"/>
      <c r="I220" s="424">
        <f t="shared" si="29"/>
        <v>219689.4</v>
      </c>
      <c r="J220" s="424">
        <f t="shared" si="30"/>
        <v>219689.4</v>
      </c>
      <c r="K220" s="664">
        <f t="shared" si="26"/>
        <v>0</v>
      </c>
      <c r="L220" s="609"/>
      <c r="M220" s="264" t="s">
        <v>242</v>
      </c>
      <c r="N220" s="11" t="s">
        <v>243</v>
      </c>
      <c r="O220" s="429"/>
      <c r="P220" s="427"/>
    </row>
    <row r="221" spans="1:16" s="413" customFormat="1" ht="33" hidden="1">
      <c r="A221" s="421" t="s">
        <v>2293</v>
      </c>
      <c r="B221" s="422" t="s">
        <v>315</v>
      </c>
      <c r="C221" s="423" t="s">
        <v>6</v>
      </c>
      <c r="D221" s="424">
        <v>49</v>
      </c>
      <c r="E221" s="424">
        <f>估驗單!F214</f>
        <v>49</v>
      </c>
      <c r="F221" s="478">
        <f t="shared" si="27"/>
        <v>0</v>
      </c>
      <c r="G221" s="424">
        <v>3114.97</v>
      </c>
      <c r="H221" s="424"/>
      <c r="I221" s="424">
        <f t="shared" si="29"/>
        <v>152633.53</v>
      </c>
      <c r="J221" s="424">
        <f t="shared" si="30"/>
        <v>152633.53</v>
      </c>
      <c r="K221" s="664">
        <f t="shared" si="26"/>
        <v>0</v>
      </c>
      <c r="L221" s="548"/>
      <c r="M221" s="264" t="s">
        <v>242</v>
      </c>
      <c r="N221" s="11" t="s">
        <v>243</v>
      </c>
      <c r="O221" s="429"/>
      <c r="P221" s="427"/>
    </row>
    <row r="222" spans="1:16" s="413" customFormat="1" ht="33">
      <c r="A222" s="610" t="s">
        <v>2294</v>
      </c>
      <c r="B222" s="611" t="s">
        <v>24</v>
      </c>
      <c r="C222" s="612" t="s">
        <v>6</v>
      </c>
      <c r="D222" s="613">
        <v>328</v>
      </c>
      <c r="E222" s="613">
        <f>估驗單!F215</f>
        <v>494.41999999999996</v>
      </c>
      <c r="F222" s="614">
        <f t="shared" si="27"/>
        <v>166.41999999999996</v>
      </c>
      <c r="G222" s="613">
        <v>3320.96</v>
      </c>
      <c r="H222" s="613"/>
      <c r="I222" s="613">
        <f t="shared" si="29"/>
        <v>1089274.8799999999</v>
      </c>
      <c r="J222" s="613">
        <f t="shared" si="30"/>
        <v>1641949.04</v>
      </c>
      <c r="K222" s="665">
        <f t="shared" si="26"/>
        <v>552674.16000000015</v>
      </c>
      <c r="L222" s="617"/>
      <c r="M222" s="615" t="s">
        <v>242</v>
      </c>
      <c r="N222" s="11" t="s">
        <v>243</v>
      </c>
      <c r="O222" s="429"/>
      <c r="P222" s="427"/>
    </row>
    <row r="223" spans="1:16" s="413" customFormat="1" ht="33">
      <c r="A223" s="610" t="s">
        <v>2295</v>
      </c>
      <c r="B223" s="611" t="s">
        <v>595</v>
      </c>
      <c r="C223" s="612" t="s">
        <v>6</v>
      </c>
      <c r="D223" s="613">
        <v>377</v>
      </c>
      <c r="E223" s="613">
        <f>估驗單!F216</f>
        <v>543.41999999999996</v>
      </c>
      <c r="F223" s="614">
        <f t="shared" si="27"/>
        <v>166.41999999999996</v>
      </c>
      <c r="G223" s="613">
        <v>199.99</v>
      </c>
      <c r="H223" s="613"/>
      <c r="I223" s="613">
        <f t="shared" si="29"/>
        <v>75396.23</v>
      </c>
      <c r="J223" s="613">
        <f t="shared" si="30"/>
        <v>108678.57</v>
      </c>
      <c r="K223" s="665">
        <f t="shared" si="26"/>
        <v>33282.340000000011</v>
      </c>
      <c r="L223" s="617"/>
      <c r="M223" s="615" t="s">
        <v>242</v>
      </c>
      <c r="N223" s="11" t="s">
        <v>243</v>
      </c>
      <c r="O223" s="429"/>
      <c r="P223" s="427"/>
    </row>
    <row r="224" spans="1:16" s="413" customFormat="1" ht="42.75">
      <c r="A224" s="610" t="s">
        <v>2296</v>
      </c>
      <c r="B224" s="611" t="s">
        <v>626</v>
      </c>
      <c r="C224" s="612" t="s">
        <v>13</v>
      </c>
      <c r="D224" s="613">
        <v>867</v>
      </c>
      <c r="E224" s="613">
        <f>估驗單!F217</f>
        <v>889.83</v>
      </c>
      <c r="F224" s="614">
        <f t="shared" si="27"/>
        <v>22.830000000000041</v>
      </c>
      <c r="G224" s="613">
        <v>698.28</v>
      </c>
      <c r="H224" s="613"/>
      <c r="I224" s="613">
        <f t="shared" si="29"/>
        <v>605408.76</v>
      </c>
      <c r="J224" s="613">
        <f t="shared" si="30"/>
        <v>621350.49</v>
      </c>
      <c r="K224" s="665">
        <f t="shared" si="26"/>
        <v>15941.729999999981</v>
      </c>
      <c r="L224" s="617"/>
      <c r="M224" s="615" t="s">
        <v>2594</v>
      </c>
      <c r="N224" s="11" t="s">
        <v>243</v>
      </c>
      <c r="O224" s="429"/>
      <c r="P224" s="448"/>
    </row>
    <row r="225" spans="1:19" s="413" customFormat="1" ht="71.25" hidden="1">
      <c r="A225" s="421" t="s">
        <v>2297</v>
      </c>
      <c r="B225" s="422" t="s">
        <v>193</v>
      </c>
      <c r="C225" s="423" t="s">
        <v>13</v>
      </c>
      <c r="D225" s="424">
        <v>1257</v>
      </c>
      <c r="E225" s="424">
        <f>估驗單!F218</f>
        <v>1257</v>
      </c>
      <c r="F225" s="478">
        <f t="shared" si="27"/>
        <v>0</v>
      </c>
      <c r="G225" s="424">
        <v>533.61</v>
      </c>
      <c r="H225" s="424"/>
      <c r="I225" s="424">
        <f t="shared" si="29"/>
        <v>670747.77</v>
      </c>
      <c r="J225" s="424">
        <f t="shared" si="30"/>
        <v>670747.77</v>
      </c>
      <c r="K225" s="664">
        <f t="shared" si="26"/>
        <v>0</v>
      </c>
      <c r="L225" s="548"/>
      <c r="M225" s="264" t="s">
        <v>2544</v>
      </c>
      <c r="N225" s="11" t="s">
        <v>243</v>
      </c>
      <c r="O225" s="429"/>
      <c r="P225" s="448"/>
    </row>
    <row r="226" spans="1:19" s="413" customFormat="1" ht="42.75">
      <c r="A226" s="610" t="s">
        <v>2298</v>
      </c>
      <c r="B226" s="611" t="s">
        <v>192</v>
      </c>
      <c r="C226" s="612" t="s">
        <v>17</v>
      </c>
      <c r="D226" s="613">
        <v>12810</v>
      </c>
      <c r="E226" s="613">
        <f>估驗單!F219</f>
        <v>46866.82</v>
      </c>
      <c r="F226" s="614">
        <f t="shared" si="27"/>
        <v>34056.82</v>
      </c>
      <c r="G226" s="613">
        <v>36.4</v>
      </c>
      <c r="H226" s="613"/>
      <c r="I226" s="613">
        <f t="shared" si="29"/>
        <v>466284</v>
      </c>
      <c r="J226" s="613">
        <f t="shared" si="30"/>
        <v>1705952.25</v>
      </c>
      <c r="K226" s="664">
        <f t="shared" si="26"/>
        <v>1239668.25</v>
      </c>
      <c r="L226" s="617"/>
      <c r="M226" s="615" t="s">
        <v>2543</v>
      </c>
      <c r="N226" s="11" t="s">
        <v>243</v>
      </c>
      <c r="O226" s="574" t="s">
        <v>2870</v>
      </c>
      <c r="P226" s="427"/>
    </row>
    <row r="227" spans="1:19" s="413" customFormat="1" ht="42.75" hidden="1">
      <c r="A227" s="421" t="s">
        <v>2299</v>
      </c>
      <c r="B227" s="422" t="s">
        <v>655</v>
      </c>
      <c r="C227" s="423" t="s">
        <v>15</v>
      </c>
      <c r="D227" s="424">
        <v>158</v>
      </c>
      <c r="E227" s="424">
        <f>估驗單!F220</f>
        <v>158</v>
      </c>
      <c r="F227" s="478">
        <f t="shared" si="27"/>
        <v>0</v>
      </c>
      <c r="G227" s="424">
        <v>3615.1</v>
      </c>
      <c r="H227" s="424"/>
      <c r="I227" s="424">
        <f t="shared" si="29"/>
        <v>571185.80000000005</v>
      </c>
      <c r="J227" s="424">
        <f t="shared" si="30"/>
        <v>571185.80000000005</v>
      </c>
      <c r="K227" s="664">
        <f t="shared" si="26"/>
        <v>0</v>
      </c>
      <c r="L227" s="609"/>
      <c r="M227" s="264" t="s">
        <v>2546</v>
      </c>
      <c r="N227" s="11" t="s">
        <v>243</v>
      </c>
      <c r="O227" s="429"/>
      <c r="P227" s="427"/>
    </row>
    <row r="228" spans="1:19" s="413" customFormat="1" ht="42.75" hidden="1">
      <c r="A228" s="421" t="s">
        <v>2300</v>
      </c>
      <c r="B228" s="422" t="s">
        <v>657</v>
      </c>
      <c r="C228" s="423" t="s">
        <v>17</v>
      </c>
      <c r="D228" s="424">
        <v>3713</v>
      </c>
      <c r="E228" s="424">
        <f>估驗單!F221</f>
        <v>3713</v>
      </c>
      <c r="F228" s="478">
        <f t="shared" si="27"/>
        <v>0</v>
      </c>
      <c r="G228" s="424">
        <v>107.44</v>
      </c>
      <c r="H228" s="424"/>
      <c r="I228" s="424">
        <f t="shared" si="29"/>
        <v>398924.72</v>
      </c>
      <c r="J228" s="424">
        <f t="shared" si="30"/>
        <v>398924.72</v>
      </c>
      <c r="K228" s="664">
        <f t="shared" si="26"/>
        <v>0</v>
      </c>
      <c r="L228" s="609"/>
      <c r="M228" s="264" t="s">
        <v>2546</v>
      </c>
      <c r="N228" s="11" t="s">
        <v>243</v>
      </c>
      <c r="O228" s="429"/>
      <c r="P228" s="427"/>
    </row>
    <row r="229" spans="1:19" s="413" customFormat="1" ht="33" hidden="1">
      <c r="A229" s="421" t="s">
        <v>2301</v>
      </c>
      <c r="B229" s="422" t="s">
        <v>357</v>
      </c>
      <c r="C229" s="423" t="s">
        <v>8</v>
      </c>
      <c r="D229" s="424">
        <v>155</v>
      </c>
      <c r="E229" s="424">
        <f>估驗單!F222</f>
        <v>155</v>
      </c>
      <c r="F229" s="478">
        <f t="shared" si="27"/>
        <v>0</v>
      </c>
      <c r="G229" s="424">
        <v>138.84</v>
      </c>
      <c r="H229" s="424"/>
      <c r="I229" s="424">
        <f t="shared" si="29"/>
        <v>21520.2</v>
      </c>
      <c r="J229" s="424">
        <f t="shared" si="30"/>
        <v>21520.2</v>
      </c>
      <c r="K229" s="664">
        <f t="shared" si="26"/>
        <v>0</v>
      </c>
      <c r="L229" s="609"/>
      <c r="M229" s="264" t="s">
        <v>242</v>
      </c>
      <c r="N229" s="11" t="s">
        <v>243</v>
      </c>
      <c r="O229" s="429"/>
      <c r="P229" s="427"/>
    </row>
    <row r="230" spans="1:19" s="444" customFormat="1" ht="31.5" hidden="1">
      <c r="A230" s="431">
        <v>15</v>
      </c>
      <c r="B230" s="432" t="s">
        <v>1497</v>
      </c>
      <c r="C230" s="433" t="s">
        <v>223</v>
      </c>
      <c r="D230" s="428">
        <v>1376.7</v>
      </c>
      <c r="E230" s="424">
        <f>估驗單!F223</f>
        <v>1376.7</v>
      </c>
      <c r="F230" s="478">
        <f t="shared" si="27"/>
        <v>0</v>
      </c>
      <c r="G230" s="428">
        <v>1288.28</v>
      </c>
      <c r="H230" s="428"/>
      <c r="I230" s="424">
        <f t="shared" si="29"/>
        <v>1773575.08</v>
      </c>
      <c r="J230" s="424">
        <f t="shared" si="30"/>
        <v>1773575.08</v>
      </c>
      <c r="K230" s="664">
        <f t="shared" si="26"/>
        <v>0</v>
      </c>
      <c r="L230" s="609"/>
      <c r="M230" s="434" t="s">
        <v>2596</v>
      </c>
      <c r="N230" s="435"/>
      <c r="O230" s="443" t="s">
        <v>2597</v>
      </c>
      <c r="P230" s="437" t="s">
        <v>2598</v>
      </c>
      <c r="Q230" s="413" t="s">
        <v>2599</v>
      </c>
    </row>
    <row r="231" spans="1:19" s="444" customFormat="1" ht="168.75" hidden="1">
      <c r="A231" s="635">
        <v>16</v>
      </c>
      <c r="B231" s="636" t="s">
        <v>2600</v>
      </c>
      <c r="C231" s="637" t="s">
        <v>2595</v>
      </c>
      <c r="D231" s="642">
        <v>512.1</v>
      </c>
      <c r="E231" s="639">
        <f>估驗單!F224</f>
        <v>512.1</v>
      </c>
      <c r="F231" s="640">
        <f t="shared" si="27"/>
        <v>0</v>
      </c>
      <c r="G231" s="638">
        <v>868.84</v>
      </c>
      <c r="H231" s="638"/>
      <c r="I231" s="639">
        <f t="shared" si="29"/>
        <v>444932.96</v>
      </c>
      <c r="J231" s="639">
        <f t="shared" si="30"/>
        <v>444932.96</v>
      </c>
      <c r="K231" s="664">
        <f t="shared" si="26"/>
        <v>0</v>
      </c>
      <c r="L231" s="652"/>
      <c r="M231" s="641" t="s">
        <v>2601</v>
      </c>
      <c r="N231" s="435"/>
      <c r="O231" s="443" t="s">
        <v>2602</v>
      </c>
      <c r="P231" s="448" t="s">
        <v>2603</v>
      </c>
      <c r="Q231" s="450" t="s">
        <v>2599</v>
      </c>
      <c r="S231" s="459" t="s">
        <v>2604</v>
      </c>
    </row>
    <row r="232" spans="1:19" s="413" customFormat="1" ht="33">
      <c r="A232" s="494" t="s">
        <v>2380</v>
      </c>
      <c r="B232" s="495" t="s">
        <v>660</v>
      </c>
      <c r="C232" s="496" t="s">
        <v>4</v>
      </c>
      <c r="D232" s="497"/>
      <c r="E232" s="497"/>
      <c r="F232" s="498">
        <f t="shared" si="27"/>
        <v>0</v>
      </c>
      <c r="G232" s="497">
        <v>901865.78</v>
      </c>
      <c r="H232" s="497"/>
      <c r="I232" s="499">
        <f>SUM(I233:I309)</f>
        <v>5797339.8100000005</v>
      </c>
      <c r="J232" s="499">
        <f>SUM(J233:J309)</f>
        <v>5797339.8100000005</v>
      </c>
      <c r="K232" s="659">
        <f>SUM(K233:K309)</f>
        <v>0</v>
      </c>
      <c r="L232" s="547">
        <f>SUM(L233:L309)</f>
        <v>0</v>
      </c>
      <c r="M232" s="356" t="s">
        <v>242</v>
      </c>
      <c r="N232" s="11" t="s">
        <v>243</v>
      </c>
      <c r="O232" s="426"/>
      <c r="P232" s="427"/>
      <c r="R232" s="413">
        <f>(26.4+21.4+6.8+29.6+4.8+58.5)+(52.7+6.8+48.3+5+21.2+10.7+23.9+49.8+2.3+1.4)+(43.6+11.2+9.1+20.6+77.7+67.4+13.8+49.3+17.5+24.2+1.8)+(6.5+64.1+10.9+43+11.1+9.4+10+42+1.2+20.1)</f>
        <v>924.09999999999991</v>
      </c>
      <c r="S232" s="413">
        <f>(26.4+21.4+6.8+29.6+4.8+58.5)+(52.7+6.8+48.3+5+21.2+10.7+23.9+49.8+2.3+1.4)+(43.6+11.2+9.1+20.6+77.7+67.4+13.8+49.3+17.5+24.2+1.8)+(10.9+43+11.1+9.4+10+42+1.2+20.1)</f>
        <v>853.5</v>
      </c>
    </row>
    <row r="233" spans="1:19" s="413" customFormat="1" ht="33" hidden="1">
      <c r="A233" s="421" t="s">
        <v>2288</v>
      </c>
      <c r="B233" s="422" t="s">
        <v>662</v>
      </c>
      <c r="C233" s="423" t="s">
        <v>223</v>
      </c>
      <c r="D233" s="424">
        <v>1</v>
      </c>
      <c r="E233" s="424">
        <f>估驗單!F226</f>
        <v>1</v>
      </c>
      <c r="F233" s="478">
        <f t="shared" si="27"/>
        <v>0</v>
      </c>
      <c r="G233" s="424">
        <v>704.48</v>
      </c>
      <c r="H233" s="424"/>
      <c r="I233" s="424">
        <f t="shared" ref="I233:I264" si="31">ROUND(D233*G233,2)</f>
        <v>704.48</v>
      </c>
      <c r="J233" s="424">
        <f t="shared" ref="J233:J264" si="32">ROUND(E233*G233,2)</f>
        <v>704.48</v>
      </c>
      <c r="K233" s="664">
        <f t="shared" si="26"/>
        <v>0</v>
      </c>
      <c r="L233" s="609"/>
      <c r="M233" s="264" t="s">
        <v>2605</v>
      </c>
      <c r="N233" s="11" t="s">
        <v>243</v>
      </c>
      <c r="O233" s="429"/>
      <c r="P233" s="427"/>
    </row>
    <row r="234" spans="1:19" s="413" customFormat="1" ht="33" hidden="1">
      <c r="A234" s="421" t="s">
        <v>2289</v>
      </c>
      <c r="B234" s="422" t="s">
        <v>665</v>
      </c>
      <c r="C234" s="423" t="s">
        <v>5</v>
      </c>
      <c r="D234" s="424">
        <v>1</v>
      </c>
      <c r="E234" s="424">
        <f>估驗單!F227</f>
        <v>1</v>
      </c>
      <c r="F234" s="478">
        <f t="shared" si="27"/>
        <v>0</v>
      </c>
      <c r="G234" s="424">
        <v>399.98</v>
      </c>
      <c r="H234" s="424"/>
      <c r="I234" s="424">
        <f t="shared" si="31"/>
        <v>399.98</v>
      </c>
      <c r="J234" s="424">
        <f t="shared" si="32"/>
        <v>399.98</v>
      </c>
      <c r="K234" s="664">
        <f t="shared" si="26"/>
        <v>0</v>
      </c>
      <c r="L234" s="609"/>
      <c r="M234" s="264" t="s">
        <v>2606</v>
      </c>
      <c r="N234" s="11" t="s">
        <v>243</v>
      </c>
      <c r="O234" s="429"/>
      <c r="P234" s="427"/>
    </row>
    <row r="235" spans="1:19" s="413" customFormat="1" ht="33.75" hidden="1">
      <c r="A235" s="421" t="s">
        <v>2290</v>
      </c>
      <c r="B235" s="422" t="s">
        <v>668</v>
      </c>
      <c r="C235" s="423" t="s">
        <v>669</v>
      </c>
      <c r="D235" s="424">
        <v>14</v>
      </c>
      <c r="E235" s="424">
        <f>估驗單!F228</f>
        <v>14</v>
      </c>
      <c r="F235" s="478">
        <f t="shared" si="27"/>
        <v>0</v>
      </c>
      <c r="G235" s="424">
        <v>3569.75</v>
      </c>
      <c r="H235" s="424"/>
      <c r="I235" s="424">
        <f t="shared" si="31"/>
        <v>49976.5</v>
      </c>
      <c r="J235" s="424">
        <f t="shared" si="32"/>
        <v>49976.5</v>
      </c>
      <c r="K235" s="664">
        <f t="shared" si="26"/>
        <v>0</v>
      </c>
      <c r="L235" s="609"/>
      <c r="M235" s="264" t="s">
        <v>2607</v>
      </c>
      <c r="N235" s="11" t="s">
        <v>243</v>
      </c>
      <c r="O235" s="429" t="s">
        <v>2608</v>
      </c>
      <c r="P235" s="427"/>
      <c r="Q235" s="413" t="s">
        <v>2609</v>
      </c>
    </row>
    <row r="236" spans="1:19" s="413" customFormat="1" ht="33.75" hidden="1">
      <c r="A236" s="421" t="s">
        <v>2291</v>
      </c>
      <c r="B236" s="422" t="s">
        <v>672</v>
      </c>
      <c r="C236" s="423" t="s">
        <v>669</v>
      </c>
      <c r="D236" s="424">
        <v>2</v>
      </c>
      <c r="E236" s="424">
        <f>估驗單!F229</f>
        <v>2</v>
      </c>
      <c r="F236" s="478">
        <f t="shared" si="27"/>
        <v>0</v>
      </c>
      <c r="G236" s="424">
        <v>4082.87</v>
      </c>
      <c r="H236" s="424"/>
      <c r="I236" s="424">
        <f t="shared" si="31"/>
        <v>8165.74</v>
      </c>
      <c r="J236" s="424">
        <f t="shared" si="32"/>
        <v>8165.74</v>
      </c>
      <c r="K236" s="664">
        <f t="shared" si="26"/>
        <v>0</v>
      </c>
      <c r="L236" s="609"/>
      <c r="M236" s="264" t="s">
        <v>2610</v>
      </c>
      <c r="N236" s="11" t="s">
        <v>243</v>
      </c>
      <c r="O236" s="429" t="s">
        <v>2608</v>
      </c>
      <c r="P236" s="427"/>
      <c r="Q236" s="413" t="s">
        <v>2609</v>
      </c>
    </row>
    <row r="237" spans="1:19" s="413" customFormat="1" ht="33.75" hidden="1">
      <c r="A237" s="421" t="s">
        <v>2292</v>
      </c>
      <c r="B237" s="422" t="s">
        <v>675</v>
      </c>
      <c r="C237" s="423" t="s">
        <v>669</v>
      </c>
      <c r="D237" s="424">
        <v>6</v>
      </c>
      <c r="E237" s="424">
        <f>估驗單!F230</f>
        <v>6</v>
      </c>
      <c r="F237" s="478">
        <f t="shared" si="27"/>
        <v>0</v>
      </c>
      <c r="G237" s="424">
        <v>7408.14</v>
      </c>
      <c r="H237" s="424"/>
      <c r="I237" s="424">
        <f t="shared" si="31"/>
        <v>44448.84</v>
      </c>
      <c r="J237" s="424">
        <f t="shared" si="32"/>
        <v>44448.84</v>
      </c>
      <c r="K237" s="664">
        <f t="shared" si="26"/>
        <v>0</v>
      </c>
      <c r="L237" s="609"/>
      <c r="M237" s="264" t="s">
        <v>2610</v>
      </c>
      <c r="N237" s="11" t="s">
        <v>243</v>
      </c>
      <c r="O237" s="429" t="s">
        <v>2608</v>
      </c>
      <c r="P237" s="427"/>
      <c r="Q237" s="413" t="s">
        <v>2609</v>
      </c>
    </row>
    <row r="238" spans="1:19" s="413" customFormat="1" ht="33.75" hidden="1">
      <c r="A238" s="421" t="s">
        <v>2293</v>
      </c>
      <c r="B238" s="422" t="s">
        <v>678</v>
      </c>
      <c r="C238" s="423" t="s">
        <v>669</v>
      </c>
      <c r="D238" s="424">
        <v>8</v>
      </c>
      <c r="E238" s="424">
        <f>估驗單!F231</f>
        <v>8</v>
      </c>
      <c r="F238" s="478">
        <f t="shared" si="27"/>
        <v>0</v>
      </c>
      <c r="G238" s="424">
        <v>10318.74</v>
      </c>
      <c r="H238" s="424"/>
      <c r="I238" s="424">
        <f t="shared" si="31"/>
        <v>82549.919999999998</v>
      </c>
      <c r="J238" s="424">
        <f t="shared" si="32"/>
        <v>82549.919999999998</v>
      </c>
      <c r="K238" s="664">
        <f t="shared" si="26"/>
        <v>0</v>
      </c>
      <c r="L238" s="609"/>
      <c r="M238" s="264" t="s">
        <v>2610</v>
      </c>
      <c r="N238" s="11" t="s">
        <v>243</v>
      </c>
      <c r="O238" s="429" t="s">
        <v>2608</v>
      </c>
      <c r="P238" s="427"/>
      <c r="Q238" s="413" t="s">
        <v>2609</v>
      </c>
    </row>
    <row r="239" spans="1:19" s="413" customFormat="1" ht="33.75" hidden="1">
      <c r="A239" s="421" t="s">
        <v>2294</v>
      </c>
      <c r="B239" s="422" t="s">
        <v>681</v>
      </c>
      <c r="C239" s="423" t="s">
        <v>669</v>
      </c>
      <c r="D239" s="424">
        <v>5</v>
      </c>
      <c r="E239" s="424">
        <f>估驗單!F232</f>
        <v>5</v>
      </c>
      <c r="F239" s="478">
        <f t="shared" si="27"/>
        <v>0</v>
      </c>
      <c r="G239" s="424">
        <v>15163.34</v>
      </c>
      <c r="H239" s="424"/>
      <c r="I239" s="424">
        <f t="shared" si="31"/>
        <v>75816.7</v>
      </c>
      <c r="J239" s="424">
        <f t="shared" si="32"/>
        <v>75816.7</v>
      </c>
      <c r="K239" s="664">
        <f t="shared" si="26"/>
        <v>0</v>
      </c>
      <c r="L239" s="609"/>
      <c r="M239" s="264" t="s">
        <v>2607</v>
      </c>
      <c r="N239" s="11" t="s">
        <v>243</v>
      </c>
      <c r="O239" s="429" t="s">
        <v>2608</v>
      </c>
      <c r="P239" s="427"/>
      <c r="Q239" s="413" t="s">
        <v>2609</v>
      </c>
    </row>
    <row r="240" spans="1:19" s="413" customFormat="1" ht="33.75" hidden="1">
      <c r="A240" s="421" t="s">
        <v>2295</v>
      </c>
      <c r="B240" s="422" t="s">
        <v>684</v>
      </c>
      <c r="C240" s="423" t="s">
        <v>669</v>
      </c>
      <c r="D240" s="424">
        <v>3</v>
      </c>
      <c r="E240" s="424">
        <f>估驗單!F233</f>
        <v>3</v>
      </c>
      <c r="F240" s="478">
        <f t="shared" si="27"/>
        <v>0</v>
      </c>
      <c r="G240" s="424">
        <v>21801.91</v>
      </c>
      <c r="H240" s="424"/>
      <c r="I240" s="424">
        <f t="shared" si="31"/>
        <v>65405.73</v>
      </c>
      <c r="J240" s="424">
        <f t="shared" si="32"/>
        <v>65405.73</v>
      </c>
      <c r="K240" s="664">
        <f t="shared" si="26"/>
        <v>0</v>
      </c>
      <c r="L240" s="609"/>
      <c r="M240" s="264" t="s">
        <v>2610</v>
      </c>
      <c r="N240" s="11" t="s">
        <v>243</v>
      </c>
      <c r="O240" s="429" t="s">
        <v>2608</v>
      </c>
      <c r="P240" s="427"/>
      <c r="Q240" s="413" t="s">
        <v>2609</v>
      </c>
    </row>
    <row r="241" spans="1:17" s="413" customFormat="1" ht="33.75" hidden="1">
      <c r="A241" s="421" t="s">
        <v>2296</v>
      </c>
      <c r="B241" s="422" t="s">
        <v>687</v>
      </c>
      <c r="C241" s="423" t="s">
        <v>669</v>
      </c>
      <c r="D241" s="424">
        <v>2</v>
      </c>
      <c r="E241" s="424">
        <f>估驗單!F234</f>
        <v>2</v>
      </c>
      <c r="F241" s="478">
        <f t="shared" si="27"/>
        <v>0</v>
      </c>
      <c r="G241" s="424">
        <v>29983.23</v>
      </c>
      <c r="H241" s="424"/>
      <c r="I241" s="424">
        <f t="shared" si="31"/>
        <v>59966.46</v>
      </c>
      <c r="J241" s="424">
        <f t="shared" si="32"/>
        <v>59966.46</v>
      </c>
      <c r="K241" s="664">
        <f t="shared" si="26"/>
        <v>0</v>
      </c>
      <c r="L241" s="609"/>
      <c r="M241" s="264" t="s">
        <v>242</v>
      </c>
      <c r="N241" s="11" t="s">
        <v>243</v>
      </c>
      <c r="O241" s="429" t="s">
        <v>2608</v>
      </c>
      <c r="P241" s="427"/>
      <c r="Q241" s="413" t="s">
        <v>2609</v>
      </c>
    </row>
    <row r="242" spans="1:17" s="413" customFormat="1" ht="33" hidden="1">
      <c r="A242" s="421" t="s">
        <v>2297</v>
      </c>
      <c r="B242" s="422" t="s">
        <v>690</v>
      </c>
      <c r="C242" s="423" t="s">
        <v>669</v>
      </c>
      <c r="D242" s="424">
        <v>1</v>
      </c>
      <c r="E242" s="424">
        <f>估驗單!F235</f>
        <v>1</v>
      </c>
      <c r="F242" s="478">
        <f t="shared" si="27"/>
        <v>0</v>
      </c>
      <c r="G242" s="424">
        <v>28372.400000000001</v>
      </c>
      <c r="H242" s="424"/>
      <c r="I242" s="424">
        <f t="shared" si="31"/>
        <v>28372.400000000001</v>
      </c>
      <c r="J242" s="424">
        <f t="shared" si="32"/>
        <v>28372.400000000001</v>
      </c>
      <c r="K242" s="664">
        <f t="shared" si="26"/>
        <v>0</v>
      </c>
      <c r="L242" s="609"/>
      <c r="M242" s="264" t="s">
        <v>242</v>
      </c>
      <c r="N242" s="11" t="s">
        <v>243</v>
      </c>
      <c r="O242" s="429"/>
      <c r="P242" s="427"/>
    </row>
    <row r="243" spans="1:17" s="413" customFormat="1" ht="33" hidden="1">
      <c r="A243" s="421" t="s">
        <v>2298</v>
      </c>
      <c r="B243" s="422" t="s">
        <v>693</v>
      </c>
      <c r="C243" s="423" t="s">
        <v>669</v>
      </c>
      <c r="D243" s="424">
        <v>1</v>
      </c>
      <c r="E243" s="424">
        <f>估驗單!F236</f>
        <v>1</v>
      </c>
      <c r="F243" s="478">
        <f t="shared" si="27"/>
        <v>0</v>
      </c>
      <c r="G243" s="424">
        <v>73084.87</v>
      </c>
      <c r="H243" s="424"/>
      <c r="I243" s="424">
        <f t="shared" si="31"/>
        <v>73084.87</v>
      </c>
      <c r="J243" s="424">
        <f t="shared" si="32"/>
        <v>73084.87</v>
      </c>
      <c r="K243" s="664">
        <f t="shared" si="26"/>
        <v>0</v>
      </c>
      <c r="L243" s="609"/>
      <c r="M243" s="264" t="s">
        <v>242</v>
      </c>
      <c r="N243" s="11" t="s">
        <v>243</v>
      </c>
      <c r="O243" s="429"/>
      <c r="P243" s="427"/>
    </row>
    <row r="244" spans="1:17" s="413" customFormat="1" ht="57" hidden="1">
      <c r="A244" s="421" t="s">
        <v>2299</v>
      </c>
      <c r="B244" s="422" t="s">
        <v>696</v>
      </c>
      <c r="C244" s="423" t="s">
        <v>669</v>
      </c>
      <c r="D244" s="424">
        <v>4</v>
      </c>
      <c r="E244" s="424">
        <f>估驗單!F237</f>
        <v>4</v>
      </c>
      <c r="F244" s="478">
        <f t="shared" si="27"/>
        <v>0</v>
      </c>
      <c r="G244" s="424">
        <v>22813.26</v>
      </c>
      <c r="H244" s="424"/>
      <c r="I244" s="424">
        <f t="shared" si="31"/>
        <v>91253.04</v>
      </c>
      <c r="J244" s="424">
        <f t="shared" si="32"/>
        <v>91253.04</v>
      </c>
      <c r="K244" s="664">
        <f t="shared" si="26"/>
        <v>0</v>
      </c>
      <c r="L244" s="609"/>
      <c r="M244" s="264" t="s">
        <v>2611</v>
      </c>
      <c r="N244" s="11" t="s">
        <v>243</v>
      </c>
      <c r="O244" s="429"/>
      <c r="P244" s="427"/>
    </row>
    <row r="245" spans="1:17" s="413" customFormat="1" ht="33" hidden="1">
      <c r="A245" s="421" t="s">
        <v>2300</v>
      </c>
      <c r="B245" s="422" t="s">
        <v>699</v>
      </c>
      <c r="C245" s="423" t="s">
        <v>669</v>
      </c>
      <c r="D245" s="424">
        <v>1</v>
      </c>
      <c r="E245" s="424">
        <f>估驗單!F238</f>
        <v>1</v>
      </c>
      <c r="F245" s="478">
        <f t="shared" si="27"/>
        <v>0</v>
      </c>
      <c r="G245" s="424">
        <v>1079.8499999999999</v>
      </c>
      <c r="H245" s="424"/>
      <c r="I245" s="424">
        <f t="shared" si="31"/>
        <v>1079.8499999999999</v>
      </c>
      <c r="J245" s="424">
        <f t="shared" si="32"/>
        <v>1079.8499999999999</v>
      </c>
      <c r="K245" s="664">
        <f t="shared" si="26"/>
        <v>0</v>
      </c>
      <c r="L245" s="609"/>
      <c r="M245" s="264" t="s">
        <v>2612</v>
      </c>
      <c r="N245" s="11" t="s">
        <v>243</v>
      </c>
      <c r="O245" s="429"/>
      <c r="P245" s="427"/>
    </row>
    <row r="246" spans="1:17" s="413" customFormat="1" ht="33" hidden="1">
      <c r="A246" s="421" t="s">
        <v>2301</v>
      </c>
      <c r="B246" s="422" t="s">
        <v>702</v>
      </c>
      <c r="C246" s="423" t="s">
        <v>669</v>
      </c>
      <c r="D246" s="424">
        <v>1</v>
      </c>
      <c r="E246" s="424">
        <f>估驗單!F239</f>
        <v>1</v>
      </c>
      <c r="F246" s="478">
        <f t="shared" si="27"/>
        <v>0</v>
      </c>
      <c r="G246" s="424">
        <v>1963.19</v>
      </c>
      <c r="H246" s="424"/>
      <c r="I246" s="424">
        <f t="shared" si="31"/>
        <v>1963.19</v>
      </c>
      <c r="J246" s="424">
        <f t="shared" si="32"/>
        <v>1963.19</v>
      </c>
      <c r="K246" s="664">
        <f t="shared" si="26"/>
        <v>0</v>
      </c>
      <c r="L246" s="609"/>
      <c r="M246" s="264"/>
      <c r="N246" s="11" t="s">
        <v>243</v>
      </c>
      <c r="O246" s="429"/>
      <c r="P246" s="427"/>
    </row>
    <row r="247" spans="1:17" s="413" customFormat="1" ht="33" hidden="1">
      <c r="A247" s="421" t="s">
        <v>2302</v>
      </c>
      <c r="B247" s="422" t="s">
        <v>705</v>
      </c>
      <c r="C247" s="423" t="s">
        <v>669</v>
      </c>
      <c r="D247" s="424">
        <v>1</v>
      </c>
      <c r="E247" s="424">
        <f>估驗單!F240</f>
        <v>1</v>
      </c>
      <c r="F247" s="478">
        <f t="shared" si="27"/>
        <v>0</v>
      </c>
      <c r="G247" s="424">
        <v>2216.48</v>
      </c>
      <c r="H247" s="424"/>
      <c r="I247" s="424">
        <f t="shared" si="31"/>
        <v>2216.48</v>
      </c>
      <c r="J247" s="424">
        <f t="shared" si="32"/>
        <v>2216.48</v>
      </c>
      <c r="K247" s="664">
        <f t="shared" si="26"/>
        <v>0</v>
      </c>
      <c r="L247" s="609"/>
      <c r="M247" s="264" t="s">
        <v>242</v>
      </c>
      <c r="N247" s="11" t="s">
        <v>243</v>
      </c>
      <c r="O247" s="429"/>
      <c r="P247" s="427"/>
    </row>
    <row r="248" spans="1:17" s="413" customFormat="1" ht="33" hidden="1">
      <c r="A248" s="421" t="s">
        <v>2303</v>
      </c>
      <c r="B248" s="422" t="s">
        <v>708</v>
      </c>
      <c r="C248" s="423" t="s">
        <v>669</v>
      </c>
      <c r="D248" s="424">
        <v>1</v>
      </c>
      <c r="E248" s="424">
        <f>估驗單!F241</f>
        <v>1</v>
      </c>
      <c r="F248" s="478">
        <f t="shared" si="27"/>
        <v>0</v>
      </c>
      <c r="G248" s="424">
        <v>4720.3100000000004</v>
      </c>
      <c r="H248" s="424"/>
      <c r="I248" s="424">
        <f t="shared" si="31"/>
        <v>4720.3100000000004</v>
      </c>
      <c r="J248" s="424">
        <f t="shared" si="32"/>
        <v>4720.3100000000004</v>
      </c>
      <c r="K248" s="664">
        <f t="shared" si="26"/>
        <v>0</v>
      </c>
      <c r="L248" s="609"/>
      <c r="M248" s="264" t="s">
        <v>242</v>
      </c>
      <c r="N248" s="11" t="s">
        <v>243</v>
      </c>
      <c r="O248" s="429"/>
      <c r="P248" s="427"/>
    </row>
    <row r="249" spans="1:17" s="413" customFormat="1" ht="33" hidden="1">
      <c r="A249" s="421" t="s">
        <v>2304</v>
      </c>
      <c r="B249" s="422" t="s">
        <v>147</v>
      </c>
      <c r="C249" s="423" t="s">
        <v>8</v>
      </c>
      <c r="D249" s="424">
        <v>162</v>
      </c>
      <c r="E249" s="424">
        <f>估驗單!F242</f>
        <v>162</v>
      </c>
      <c r="F249" s="478">
        <f t="shared" si="27"/>
        <v>0</v>
      </c>
      <c r="G249" s="424">
        <v>1859.79</v>
      </c>
      <c r="H249" s="424"/>
      <c r="I249" s="424">
        <f t="shared" si="31"/>
        <v>301285.98</v>
      </c>
      <c r="J249" s="424">
        <f t="shared" si="32"/>
        <v>301285.98</v>
      </c>
      <c r="K249" s="664">
        <f t="shared" si="26"/>
        <v>0</v>
      </c>
      <c r="L249" s="609"/>
      <c r="M249" s="264" t="s">
        <v>2613</v>
      </c>
      <c r="N249" s="11" t="s">
        <v>243</v>
      </c>
      <c r="O249" s="429"/>
      <c r="P249" s="427"/>
    </row>
    <row r="250" spans="1:17" s="413" customFormat="1" ht="33" hidden="1">
      <c r="A250" s="421" t="s">
        <v>2305</v>
      </c>
      <c r="B250" s="422" t="s">
        <v>713</v>
      </c>
      <c r="C250" s="423" t="s">
        <v>15</v>
      </c>
      <c r="D250" s="424">
        <v>1</v>
      </c>
      <c r="E250" s="424">
        <f>估驗單!F243</f>
        <v>1</v>
      </c>
      <c r="F250" s="478">
        <f t="shared" si="27"/>
        <v>0</v>
      </c>
      <c r="G250" s="424">
        <v>10254.44</v>
      </c>
      <c r="H250" s="424"/>
      <c r="I250" s="424">
        <f t="shared" si="31"/>
        <v>10254.44</v>
      </c>
      <c r="J250" s="424">
        <f t="shared" si="32"/>
        <v>10254.44</v>
      </c>
      <c r="K250" s="664">
        <f t="shared" si="26"/>
        <v>0</v>
      </c>
      <c r="L250" s="609"/>
      <c r="M250" s="264" t="s">
        <v>2614</v>
      </c>
      <c r="N250" s="11" t="s">
        <v>243</v>
      </c>
      <c r="O250" s="429"/>
      <c r="P250" s="427"/>
    </row>
    <row r="251" spans="1:17" s="413" customFormat="1" ht="33" hidden="1">
      <c r="A251" s="421" t="s">
        <v>2306</v>
      </c>
      <c r="B251" s="422" t="s">
        <v>716</v>
      </c>
      <c r="C251" s="423" t="s">
        <v>15</v>
      </c>
      <c r="D251" s="424">
        <v>268</v>
      </c>
      <c r="E251" s="424">
        <f>估驗單!F244</f>
        <v>268</v>
      </c>
      <c r="F251" s="478">
        <f t="shared" si="27"/>
        <v>0</v>
      </c>
      <c r="G251" s="424">
        <v>40</v>
      </c>
      <c r="H251" s="424"/>
      <c r="I251" s="424">
        <f t="shared" si="31"/>
        <v>10720</v>
      </c>
      <c r="J251" s="424">
        <f t="shared" si="32"/>
        <v>10720</v>
      </c>
      <c r="K251" s="664">
        <f t="shared" si="26"/>
        <v>0</v>
      </c>
      <c r="L251" s="609"/>
      <c r="M251" s="264" t="s">
        <v>2615</v>
      </c>
      <c r="N251" s="11" t="s">
        <v>243</v>
      </c>
      <c r="O251" s="429"/>
      <c r="P251" s="427"/>
    </row>
    <row r="252" spans="1:17" s="413" customFormat="1" ht="33" hidden="1">
      <c r="A252" s="421" t="s">
        <v>2307</v>
      </c>
      <c r="B252" s="422" t="s">
        <v>719</v>
      </c>
      <c r="C252" s="423" t="s">
        <v>7</v>
      </c>
      <c r="D252" s="424">
        <v>1340</v>
      </c>
      <c r="E252" s="424">
        <f>估驗單!F245</f>
        <v>1340</v>
      </c>
      <c r="F252" s="478">
        <f t="shared" si="27"/>
        <v>0</v>
      </c>
      <c r="G252" s="424">
        <v>35</v>
      </c>
      <c r="H252" s="424"/>
      <c r="I252" s="424">
        <f t="shared" si="31"/>
        <v>46900</v>
      </c>
      <c r="J252" s="424">
        <f t="shared" si="32"/>
        <v>46900</v>
      </c>
      <c r="K252" s="664">
        <f t="shared" si="26"/>
        <v>0</v>
      </c>
      <c r="L252" s="609"/>
      <c r="M252" s="264" t="s">
        <v>2616</v>
      </c>
      <c r="N252" s="11" t="s">
        <v>243</v>
      </c>
      <c r="O252" s="429"/>
      <c r="P252" s="427"/>
    </row>
    <row r="253" spans="1:17" s="413" customFormat="1" ht="33" hidden="1">
      <c r="A253" s="421" t="s">
        <v>2308</v>
      </c>
      <c r="B253" s="422" t="s">
        <v>722</v>
      </c>
      <c r="C253" s="423" t="s">
        <v>8</v>
      </c>
      <c r="D253" s="424">
        <v>1</v>
      </c>
      <c r="E253" s="424">
        <f>估驗單!F246</f>
        <v>1</v>
      </c>
      <c r="F253" s="478">
        <f t="shared" si="27"/>
        <v>0</v>
      </c>
      <c r="G253" s="424">
        <v>10</v>
      </c>
      <c r="H253" s="424"/>
      <c r="I253" s="424">
        <f t="shared" si="31"/>
        <v>10</v>
      </c>
      <c r="J253" s="424">
        <f t="shared" si="32"/>
        <v>10</v>
      </c>
      <c r="K253" s="664">
        <f t="shared" si="26"/>
        <v>0</v>
      </c>
      <c r="L253" s="609"/>
      <c r="M253" s="264" t="s">
        <v>242</v>
      </c>
      <c r="N253" s="11" t="s">
        <v>243</v>
      </c>
      <c r="O253" s="429"/>
      <c r="P253" s="427"/>
    </row>
    <row r="254" spans="1:17" s="413" customFormat="1" ht="33" hidden="1">
      <c r="A254" s="421" t="s">
        <v>2309</v>
      </c>
      <c r="B254" s="422" t="s">
        <v>725</v>
      </c>
      <c r="C254" s="423" t="s">
        <v>13</v>
      </c>
      <c r="D254" s="424">
        <v>1</v>
      </c>
      <c r="E254" s="424">
        <f>估驗單!F247</f>
        <v>1</v>
      </c>
      <c r="F254" s="478">
        <f t="shared" si="27"/>
        <v>0</v>
      </c>
      <c r="G254" s="424">
        <v>530.97</v>
      </c>
      <c r="H254" s="424"/>
      <c r="I254" s="424">
        <f t="shared" si="31"/>
        <v>530.97</v>
      </c>
      <c r="J254" s="424">
        <f t="shared" si="32"/>
        <v>530.97</v>
      </c>
      <c r="K254" s="664">
        <f t="shared" si="26"/>
        <v>0</v>
      </c>
      <c r="L254" s="609"/>
      <c r="M254" s="264" t="s">
        <v>2617</v>
      </c>
      <c r="N254" s="11" t="s">
        <v>243</v>
      </c>
      <c r="O254" s="429"/>
      <c r="P254" s="427"/>
    </row>
    <row r="255" spans="1:17" s="413" customFormat="1" ht="33" hidden="1">
      <c r="A255" s="421" t="s">
        <v>2311</v>
      </c>
      <c r="B255" s="422" t="s">
        <v>728</v>
      </c>
      <c r="C255" s="423" t="s">
        <v>6</v>
      </c>
      <c r="D255" s="424">
        <v>11.31</v>
      </c>
      <c r="E255" s="424">
        <f>估驗單!F248</f>
        <v>11.31</v>
      </c>
      <c r="F255" s="478">
        <f t="shared" si="27"/>
        <v>0</v>
      </c>
      <c r="G255" s="424">
        <v>3386.34</v>
      </c>
      <c r="H255" s="424"/>
      <c r="I255" s="424">
        <f t="shared" si="31"/>
        <v>38299.51</v>
      </c>
      <c r="J255" s="424">
        <f t="shared" si="32"/>
        <v>38299.51</v>
      </c>
      <c r="K255" s="664">
        <f t="shared" si="26"/>
        <v>0</v>
      </c>
      <c r="L255" s="609"/>
      <c r="M255" s="264" t="s">
        <v>242</v>
      </c>
      <c r="N255" s="11" t="s">
        <v>243</v>
      </c>
      <c r="O255" s="429"/>
      <c r="P255" s="427"/>
    </row>
    <row r="256" spans="1:17" s="413" customFormat="1" ht="33" hidden="1">
      <c r="A256" s="421" t="s">
        <v>2312</v>
      </c>
      <c r="B256" s="422" t="s">
        <v>731</v>
      </c>
      <c r="C256" s="423" t="s">
        <v>4</v>
      </c>
      <c r="D256" s="424">
        <v>1</v>
      </c>
      <c r="E256" s="424">
        <f>估驗單!F249</f>
        <v>1</v>
      </c>
      <c r="F256" s="478">
        <f t="shared" si="27"/>
        <v>0</v>
      </c>
      <c r="G256" s="424">
        <v>107994.11</v>
      </c>
      <c r="H256" s="424"/>
      <c r="I256" s="424">
        <f t="shared" si="31"/>
        <v>107994.11</v>
      </c>
      <c r="J256" s="424">
        <f t="shared" si="32"/>
        <v>107994.11</v>
      </c>
      <c r="K256" s="664">
        <f t="shared" si="26"/>
        <v>0</v>
      </c>
      <c r="L256" s="609"/>
      <c r="M256" s="264" t="s">
        <v>2618</v>
      </c>
      <c r="N256" s="11" t="s">
        <v>243</v>
      </c>
      <c r="O256" s="429"/>
      <c r="P256" s="427"/>
    </row>
    <row r="257" spans="1:16" s="413" customFormat="1" ht="33" hidden="1">
      <c r="A257" s="421" t="s">
        <v>2313</v>
      </c>
      <c r="B257" s="422" t="s">
        <v>734</v>
      </c>
      <c r="C257" s="423" t="s">
        <v>13</v>
      </c>
      <c r="D257" s="424">
        <v>1</v>
      </c>
      <c r="E257" s="424">
        <f>估驗單!F250</f>
        <v>1</v>
      </c>
      <c r="F257" s="478">
        <f t="shared" si="27"/>
        <v>0</v>
      </c>
      <c r="G257" s="424">
        <v>499.97</v>
      </c>
      <c r="H257" s="424"/>
      <c r="I257" s="424">
        <f t="shared" si="31"/>
        <v>499.97</v>
      </c>
      <c r="J257" s="424">
        <f t="shared" si="32"/>
        <v>499.97</v>
      </c>
      <c r="K257" s="664">
        <f t="shared" si="26"/>
        <v>0</v>
      </c>
      <c r="L257" s="609"/>
      <c r="M257" s="264" t="s">
        <v>2530</v>
      </c>
      <c r="N257" s="11" t="s">
        <v>243</v>
      </c>
      <c r="O257" s="429"/>
      <c r="P257" s="427"/>
    </row>
    <row r="258" spans="1:16" s="413" customFormat="1" ht="42.75" hidden="1">
      <c r="A258" s="421" t="s">
        <v>2315</v>
      </c>
      <c r="B258" s="422" t="s">
        <v>737</v>
      </c>
      <c r="C258" s="423" t="s">
        <v>669</v>
      </c>
      <c r="D258" s="424">
        <v>1</v>
      </c>
      <c r="E258" s="424">
        <f>估驗單!F251</f>
        <v>1</v>
      </c>
      <c r="F258" s="478">
        <f t="shared" si="27"/>
        <v>0</v>
      </c>
      <c r="G258" s="424">
        <v>10067.84</v>
      </c>
      <c r="H258" s="424"/>
      <c r="I258" s="424">
        <f t="shared" si="31"/>
        <v>10067.84</v>
      </c>
      <c r="J258" s="424">
        <f t="shared" si="32"/>
        <v>10067.84</v>
      </c>
      <c r="K258" s="664">
        <f t="shared" si="26"/>
        <v>0</v>
      </c>
      <c r="L258" s="609"/>
      <c r="M258" s="264" t="s">
        <v>2530</v>
      </c>
      <c r="N258" s="11" t="s">
        <v>243</v>
      </c>
      <c r="O258" s="429"/>
      <c r="P258" s="427"/>
    </row>
    <row r="259" spans="1:16" s="413" customFormat="1" ht="33" hidden="1">
      <c r="A259" s="421" t="s">
        <v>2316</v>
      </c>
      <c r="B259" s="422" t="s">
        <v>740</v>
      </c>
      <c r="C259" s="423" t="s">
        <v>669</v>
      </c>
      <c r="D259" s="424">
        <v>1</v>
      </c>
      <c r="E259" s="424">
        <f>估驗單!F252</f>
        <v>1</v>
      </c>
      <c r="F259" s="478">
        <f t="shared" si="27"/>
        <v>0</v>
      </c>
      <c r="G259" s="424">
        <v>6487.57</v>
      </c>
      <c r="H259" s="424"/>
      <c r="I259" s="424">
        <f t="shared" si="31"/>
        <v>6487.57</v>
      </c>
      <c r="J259" s="424">
        <f t="shared" si="32"/>
        <v>6487.57</v>
      </c>
      <c r="K259" s="664">
        <f t="shared" si="26"/>
        <v>0</v>
      </c>
      <c r="L259" s="609"/>
      <c r="M259" s="264" t="s">
        <v>2530</v>
      </c>
      <c r="N259" s="11" t="s">
        <v>243</v>
      </c>
      <c r="O259" s="429"/>
      <c r="P259" s="427"/>
    </row>
    <row r="260" spans="1:16" s="413" customFormat="1" ht="42.75" hidden="1">
      <c r="A260" s="421" t="s">
        <v>2317</v>
      </c>
      <c r="B260" s="422" t="s">
        <v>743</v>
      </c>
      <c r="C260" s="423" t="s">
        <v>669</v>
      </c>
      <c r="D260" s="424">
        <v>1</v>
      </c>
      <c r="E260" s="424">
        <f>估驗單!F253</f>
        <v>1</v>
      </c>
      <c r="F260" s="478">
        <f t="shared" si="27"/>
        <v>0</v>
      </c>
      <c r="G260" s="424">
        <v>8473.2999999999993</v>
      </c>
      <c r="H260" s="424"/>
      <c r="I260" s="424">
        <f t="shared" si="31"/>
        <v>8473.2999999999993</v>
      </c>
      <c r="J260" s="424">
        <f t="shared" si="32"/>
        <v>8473.2999999999993</v>
      </c>
      <c r="K260" s="664">
        <f t="shared" si="26"/>
        <v>0</v>
      </c>
      <c r="L260" s="609"/>
      <c r="M260" s="264" t="s">
        <v>2530</v>
      </c>
      <c r="N260" s="11" t="s">
        <v>243</v>
      </c>
      <c r="O260" s="429"/>
      <c r="P260" s="427"/>
    </row>
    <row r="261" spans="1:16" s="413" customFormat="1" ht="42.75" hidden="1">
      <c r="A261" s="421" t="s">
        <v>2318</v>
      </c>
      <c r="B261" s="422" t="s">
        <v>746</v>
      </c>
      <c r="C261" s="423" t="s">
        <v>669</v>
      </c>
      <c r="D261" s="424">
        <v>1</v>
      </c>
      <c r="E261" s="424">
        <f>估驗單!F254</f>
        <v>1</v>
      </c>
      <c r="F261" s="478">
        <f t="shared" si="27"/>
        <v>0</v>
      </c>
      <c r="G261" s="424">
        <v>17742.79</v>
      </c>
      <c r="H261" s="424"/>
      <c r="I261" s="424">
        <f t="shared" si="31"/>
        <v>17742.79</v>
      </c>
      <c r="J261" s="424">
        <f t="shared" si="32"/>
        <v>17742.79</v>
      </c>
      <c r="K261" s="664">
        <f t="shared" si="26"/>
        <v>0</v>
      </c>
      <c r="L261" s="609"/>
      <c r="M261" s="264" t="s">
        <v>2530</v>
      </c>
      <c r="N261" s="11" t="s">
        <v>243</v>
      </c>
      <c r="O261" s="429"/>
      <c r="P261" s="427"/>
    </row>
    <row r="262" spans="1:16" s="413" customFormat="1" ht="42.75" hidden="1">
      <c r="A262" s="421" t="s">
        <v>2319</v>
      </c>
      <c r="B262" s="422" t="s">
        <v>749</v>
      </c>
      <c r="C262" s="423" t="s">
        <v>669</v>
      </c>
      <c r="D262" s="424">
        <v>1</v>
      </c>
      <c r="E262" s="424">
        <f>估驗單!F255</f>
        <v>1</v>
      </c>
      <c r="F262" s="478">
        <f t="shared" si="27"/>
        <v>0</v>
      </c>
      <c r="G262" s="424">
        <v>5164.09</v>
      </c>
      <c r="H262" s="424"/>
      <c r="I262" s="424">
        <f t="shared" si="31"/>
        <v>5164.09</v>
      </c>
      <c r="J262" s="424">
        <f t="shared" si="32"/>
        <v>5164.09</v>
      </c>
      <c r="K262" s="664">
        <f t="shared" si="26"/>
        <v>0</v>
      </c>
      <c r="L262" s="609"/>
      <c r="M262" s="264" t="s">
        <v>2530</v>
      </c>
      <c r="N262" s="11" t="s">
        <v>243</v>
      </c>
      <c r="O262" s="429"/>
      <c r="P262" s="427"/>
    </row>
    <row r="263" spans="1:16" s="413" customFormat="1" ht="42.75" hidden="1">
      <c r="A263" s="421" t="s">
        <v>2320</v>
      </c>
      <c r="B263" s="422" t="s">
        <v>752</v>
      </c>
      <c r="C263" s="423" t="s">
        <v>669</v>
      </c>
      <c r="D263" s="424">
        <v>1</v>
      </c>
      <c r="E263" s="424">
        <f>估驗單!F256</f>
        <v>1</v>
      </c>
      <c r="F263" s="478">
        <f t="shared" si="27"/>
        <v>0</v>
      </c>
      <c r="G263" s="424">
        <v>5164.09</v>
      </c>
      <c r="H263" s="424"/>
      <c r="I263" s="424">
        <f t="shared" si="31"/>
        <v>5164.09</v>
      </c>
      <c r="J263" s="424">
        <f t="shared" si="32"/>
        <v>5164.09</v>
      </c>
      <c r="K263" s="664">
        <f t="shared" si="26"/>
        <v>0</v>
      </c>
      <c r="L263" s="609"/>
      <c r="M263" s="264" t="s">
        <v>2530</v>
      </c>
      <c r="N263" s="11" t="s">
        <v>243</v>
      </c>
      <c r="O263" s="429"/>
      <c r="P263" s="427"/>
    </row>
    <row r="264" spans="1:16" s="413" customFormat="1" ht="42.75" hidden="1">
      <c r="A264" s="421" t="s">
        <v>2321</v>
      </c>
      <c r="B264" s="422" t="s">
        <v>755</v>
      </c>
      <c r="C264" s="423" t="s">
        <v>669</v>
      </c>
      <c r="D264" s="424">
        <v>1</v>
      </c>
      <c r="E264" s="424">
        <f>估驗單!F257</f>
        <v>1</v>
      </c>
      <c r="F264" s="478">
        <f t="shared" si="27"/>
        <v>0</v>
      </c>
      <c r="G264" s="424">
        <v>5730.56</v>
      </c>
      <c r="H264" s="424"/>
      <c r="I264" s="424">
        <f t="shared" si="31"/>
        <v>5730.56</v>
      </c>
      <c r="J264" s="424">
        <f t="shared" si="32"/>
        <v>5730.56</v>
      </c>
      <c r="K264" s="664">
        <f t="shared" si="26"/>
        <v>0</v>
      </c>
      <c r="L264" s="609"/>
      <c r="M264" s="264" t="s">
        <v>2530</v>
      </c>
      <c r="N264" s="11" t="s">
        <v>243</v>
      </c>
      <c r="O264" s="429"/>
      <c r="P264" s="427"/>
    </row>
    <row r="265" spans="1:16" s="413" customFormat="1" ht="42.75" hidden="1">
      <c r="A265" s="421" t="s">
        <v>2322</v>
      </c>
      <c r="B265" s="422" t="s">
        <v>758</v>
      </c>
      <c r="C265" s="423" t="s">
        <v>669</v>
      </c>
      <c r="D265" s="424">
        <v>1</v>
      </c>
      <c r="E265" s="424">
        <f>估驗單!F258</f>
        <v>1</v>
      </c>
      <c r="F265" s="478">
        <f t="shared" si="27"/>
        <v>0</v>
      </c>
      <c r="G265" s="424">
        <v>7081</v>
      </c>
      <c r="H265" s="424"/>
      <c r="I265" s="424">
        <f t="shared" ref="I265:I296" si="33">ROUND(D265*G265,2)</f>
        <v>7081</v>
      </c>
      <c r="J265" s="424">
        <f t="shared" ref="J265:J296" si="34">ROUND(E265*G265,2)</f>
        <v>7081</v>
      </c>
      <c r="K265" s="664">
        <f t="shared" si="26"/>
        <v>0</v>
      </c>
      <c r="L265" s="609"/>
      <c r="M265" s="264" t="s">
        <v>2530</v>
      </c>
      <c r="N265" s="11" t="s">
        <v>243</v>
      </c>
      <c r="O265" s="429"/>
      <c r="P265" s="427"/>
    </row>
    <row r="266" spans="1:16" s="413" customFormat="1" ht="42.75" hidden="1">
      <c r="A266" s="421" t="s">
        <v>2323</v>
      </c>
      <c r="B266" s="422" t="s">
        <v>761</v>
      </c>
      <c r="C266" s="423" t="s">
        <v>669</v>
      </c>
      <c r="D266" s="424">
        <v>1</v>
      </c>
      <c r="E266" s="424">
        <f>估驗單!F259</f>
        <v>1</v>
      </c>
      <c r="F266" s="478">
        <f t="shared" si="27"/>
        <v>0</v>
      </c>
      <c r="G266" s="424">
        <v>4752.1099999999997</v>
      </c>
      <c r="H266" s="424"/>
      <c r="I266" s="424">
        <f t="shared" si="33"/>
        <v>4752.1099999999997</v>
      </c>
      <c r="J266" s="424">
        <f t="shared" si="34"/>
        <v>4752.1099999999997</v>
      </c>
      <c r="K266" s="664">
        <f t="shared" si="26"/>
        <v>0</v>
      </c>
      <c r="L266" s="609"/>
      <c r="M266" s="264" t="s">
        <v>2530</v>
      </c>
      <c r="N266" s="11" t="s">
        <v>243</v>
      </c>
      <c r="O266" s="429"/>
      <c r="P266" s="427"/>
    </row>
    <row r="267" spans="1:16" s="413" customFormat="1" ht="42.75" hidden="1">
      <c r="A267" s="421" t="s">
        <v>2324</v>
      </c>
      <c r="B267" s="422" t="s">
        <v>764</v>
      </c>
      <c r="C267" s="423" t="s">
        <v>669</v>
      </c>
      <c r="D267" s="424">
        <v>1</v>
      </c>
      <c r="E267" s="424">
        <f>估驗單!F260</f>
        <v>1</v>
      </c>
      <c r="F267" s="478">
        <f t="shared" si="27"/>
        <v>0</v>
      </c>
      <c r="G267" s="424">
        <v>14691.08</v>
      </c>
      <c r="H267" s="424"/>
      <c r="I267" s="424">
        <f t="shared" si="33"/>
        <v>14691.08</v>
      </c>
      <c r="J267" s="424">
        <f t="shared" si="34"/>
        <v>14691.08</v>
      </c>
      <c r="K267" s="664">
        <f t="shared" si="26"/>
        <v>0</v>
      </c>
      <c r="L267" s="609"/>
      <c r="M267" s="264" t="s">
        <v>2530</v>
      </c>
      <c r="N267" s="11" t="s">
        <v>243</v>
      </c>
      <c r="O267" s="429"/>
      <c r="P267" s="427"/>
    </row>
    <row r="268" spans="1:16" s="413" customFormat="1" ht="33" hidden="1">
      <c r="A268" s="421" t="s">
        <v>2325</v>
      </c>
      <c r="B268" s="422" t="s">
        <v>767</v>
      </c>
      <c r="C268" s="423" t="s">
        <v>669</v>
      </c>
      <c r="D268" s="424">
        <v>1</v>
      </c>
      <c r="E268" s="424">
        <f>估驗單!F261</f>
        <v>1</v>
      </c>
      <c r="F268" s="478">
        <f t="shared" si="27"/>
        <v>0</v>
      </c>
      <c r="G268" s="424">
        <v>224.3</v>
      </c>
      <c r="H268" s="424"/>
      <c r="I268" s="424">
        <f t="shared" si="33"/>
        <v>224.3</v>
      </c>
      <c r="J268" s="424">
        <f t="shared" si="34"/>
        <v>224.3</v>
      </c>
      <c r="K268" s="664">
        <f t="shared" si="26"/>
        <v>0</v>
      </c>
      <c r="L268" s="609"/>
      <c r="M268" s="264" t="s">
        <v>2530</v>
      </c>
      <c r="N268" s="11" t="s">
        <v>243</v>
      </c>
      <c r="O268" s="429"/>
      <c r="P268" s="427"/>
    </row>
    <row r="269" spans="1:16" s="413" customFormat="1" ht="33" hidden="1">
      <c r="A269" s="421" t="s">
        <v>2326</v>
      </c>
      <c r="B269" s="422" t="s">
        <v>770</v>
      </c>
      <c r="C269" s="423" t="s">
        <v>669</v>
      </c>
      <c r="D269" s="424">
        <v>1</v>
      </c>
      <c r="E269" s="424">
        <f>估驗單!F262</f>
        <v>1</v>
      </c>
      <c r="F269" s="478">
        <f t="shared" si="27"/>
        <v>0</v>
      </c>
      <c r="G269" s="424">
        <v>275.64</v>
      </c>
      <c r="H269" s="424"/>
      <c r="I269" s="424">
        <f t="shared" si="33"/>
        <v>275.64</v>
      </c>
      <c r="J269" s="424">
        <f t="shared" si="34"/>
        <v>275.64</v>
      </c>
      <c r="K269" s="664">
        <f t="shared" ref="K269:K332" si="35">J269-I269</f>
        <v>0</v>
      </c>
      <c r="L269" s="609"/>
      <c r="M269" s="264" t="s">
        <v>2530</v>
      </c>
      <c r="N269" s="11" t="s">
        <v>243</v>
      </c>
      <c r="O269" s="429"/>
      <c r="P269" s="427"/>
    </row>
    <row r="270" spans="1:16" s="413" customFormat="1" ht="33" hidden="1">
      <c r="A270" s="421" t="s">
        <v>2327</v>
      </c>
      <c r="B270" s="422" t="s">
        <v>773</v>
      </c>
      <c r="C270" s="423" t="s">
        <v>669</v>
      </c>
      <c r="D270" s="424">
        <v>1</v>
      </c>
      <c r="E270" s="424">
        <f>估驗單!F263</f>
        <v>1</v>
      </c>
      <c r="F270" s="478">
        <f t="shared" si="27"/>
        <v>0</v>
      </c>
      <c r="G270" s="424">
        <v>283.52999999999997</v>
      </c>
      <c r="H270" s="424"/>
      <c r="I270" s="424">
        <f t="shared" si="33"/>
        <v>283.52999999999997</v>
      </c>
      <c r="J270" s="424">
        <f t="shared" si="34"/>
        <v>283.52999999999997</v>
      </c>
      <c r="K270" s="664">
        <f t="shared" si="35"/>
        <v>0</v>
      </c>
      <c r="L270" s="609"/>
      <c r="M270" s="264" t="s">
        <v>2530</v>
      </c>
      <c r="N270" s="11" t="s">
        <v>243</v>
      </c>
      <c r="O270" s="429"/>
      <c r="P270" s="427"/>
    </row>
    <row r="271" spans="1:16" s="413" customFormat="1" ht="33" hidden="1">
      <c r="A271" s="421" t="s">
        <v>2328</v>
      </c>
      <c r="B271" s="422" t="s">
        <v>776</v>
      </c>
      <c r="C271" s="423" t="s">
        <v>669</v>
      </c>
      <c r="D271" s="424">
        <v>1</v>
      </c>
      <c r="E271" s="424">
        <f>估驗單!F264</f>
        <v>1</v>
      </c>
      <c r="F271" s="478">
        <f t="shared" ref="F271:F334" si="36">E271-D271</f>
        <v>0</v>
      </c>
      <c r="G271" s="424">
        <v>88.95</v>
      </c>
      <c r="H271" s="424"/>
      <c r="I271" s="424">
        <f t="shared" si="33"/>
        <v>88.95</v>
      </c>
      <c r="J271" s="424">
        <f t="shared" si="34"/>
        <v>88.95</v>
      </c>
      <c r="K271" s="664">
        <f t="shared" si="35"/>
        <v>0</v>
      </c>
      <c r="L271" s="609"/>
      <c r="M271" s="264" t="s">
        <v>242</v>
      </c>
      <c r="N271" s="11" t="s">
        <v>243</v>
      </c>
      <c r="O271" s="429"/>
      <c r="P271" s="427"/>
    </row>
    <row r="272" spans="1:16" s="413" customFormat="1" ht="33" hidden="1">
      <c r="A272" s="421" t="s">
        <v>2329</v>
      </c>
      <c r="B272" s="422" t="s">
        <v>779</v>
      </c>
      <c r="C272" s="423" t="s">
        <v>669</v>
      </c>
      <c r="D272" s="424">
        <v>1</v>
      </c>
      <c r="E272" s="424">
        <f>估驗單!F265</f>
        <v>1</v>
      </c>
      <c r="F272" s="478">
        <f t="shared" si="36"/>
        <v>0</v>
      </c>
      <c r="G272" s="424">
        <v>123.72</v>
      </c>
      <c r="H272" s="424"/>
      <c r="I272" s="424">
        <f t="shared" si="33"/>
        <v>123.72</v>
      </c>
      <c r="J272" s="424">
        <f t="shared" si="34"/>
        <v>123.72</v>
      </c>
      <c r="K272" s="664">
        <f t="shared" si="35"/>
        <v>0</v>
      </c>
      <c r="L272" s="609"/>
      <c r="M272" s="264" t="s">
        <v>2530</v>
      </c>
      <c r="N272" s="11" t="s">
        <v>243</v>
      </c>
      <c r="O272" s="429"/>
      <c r="P272" s="427"/>
    </row>
    <row r="273" spans="1:16" s="413" customFormat="1" ht="33" hidden="1">
      <c r="A273" s="421" t="s">
        <v>2330</v>
      </c>
      <c r="B273" s="422" t="s">
        <v>782</v>
      </c>
      <c r="C273" s="423" t="s">
        <v>669</v>
      </c>
      <c r="D273" s="424">
        <v>1</v>
      </c>
      <c r="E273" s="424">
        <f>估驗單!F266</f>
        <v>1</v>
      </c>
      <c r="F273" s="478">
        <f t="shared" si="36"/>
        <v>0</v>
      </c>
      <c r="G273" s="424">
        <v>121.41</v>
      </c>
      <c r="H273" s="424"/>
      <c r="I273" s="424">
        <f t="shared" si="33"/>
        <v>121.41</v>
      </c>
      <c r="J273" s="424">
        <f t="shared" si="34"/>
        <v>121.41</v>
      </c>
      <c r="K273" s="664">
        <f t="shared" si="35"/>
        <v>0</v>
      </c>
      <c r="L273" s="609"/>
      <c r="M273" s="264" t="s">
        <v>242</v>
      </c>
      <c r="N273" s="11" t="s">
        <v>243</v>
      </c>
      <c r="O273" s="429"/>
      <c r="P273" s="427"/>
    </row>
    <row r="274" spans="1:16" s="413" customFormat="1" ht="33" hidden="1">
      <c r="A274" s="421" t="s">
        <v>2331</v>
      </c>
      <c r="B274" s="422" t="s">
        <v>785</v>
      </c>
      <c r="C274" s="423" t="s">
        <v>669</v>
      </c>
      <c r="D274" s="424">
        <v>1</v>
      </c>
      <c r="E274" s="424">
        <f>估驗單!F267</f>
        <v>1</v>
      </c>
      <c r="F274" s="478">
        <f t="shared" si="36"/>
        <v>0</v>
      </c>
      <c r="G274" s="424">
        <v>134.28</v>
      </c>
      <c r="H274" s="424"/>
      <c r="I274" s="424">
        <f t="shared" si="33"/>
        <v>134.28</v>
      </c>
      <c r="J274" s="424">
        <f t="shared" si="34"/>
        <v>134.28</v>
      </c>
      <c r="K274" s="664">
        <f t="shared" si="35"/>
        <v>0</v>
      </c>
      <c r="L274" s="609"/>
      <c r="M274" s="264" t="s">
        <v>242</v>
      </c>
      <c r="N274" s="11" t="s">
        <v>243</v>
      </c>
      <c r="O274" s="429"/>
      <c r="P274" s="427"/>
    </row>
    <row r="275" spans="1:16" s="413" customFormat="1" ht="33" hidden="1">
      <c r="A275" s="421" t="s">
        <v>2332</v>
      </c>
      <c r="B275" s="422" t="s">
        <v>788</v>
      </c>
      <c r="C275" s="423" t="s">
        <v>669</v>
      </c>
      <c r="D275" s="424">
        <v>1</v>
      </c>
      <c r="E275" s="424">
        <f>估驗單!F268</f>
        <v>1</v>
      </c>
      <c r="F275" s="478">
        <f t="shared" si="36"/>
        <v>0</v>
      </c>
      <c r="G275" s="424">
        <v>36.549999999999997</v>
      </c>
      <c r="H275" s="424"/>
      <c r="I275" s="424">
        <f t="shared" si="33"/>
        <v>36.549999999999997</v>
      </c>
      <c r="J275" s="424">
        <f t="shared" si="34"/>
        <v>36.549999999999997</v>
      </c>
      <c r="K275" s="664">
        <f t="shared" si="35"/>
        <v>0</v>
      </c>
      <c r="L275" s="609"/>
      <c r="M275" s="264" t="s">
        <v>2530</v>
      </c>
      <c r="N275" s="11" t="s">
        <v>243</v>
      </c>
      <c r="O275" s="429"/>
      <c r="P275" s="427"/>
    </row>
    <row r="276" spans="1:16" s="413" customFormat="1" ht="33" hidden="1">
      <c r="A276" s="421" t="s">
        <v>2333</v>
      </c>
      <c r="B276" s="422" t="s">
        <v>791</v>
      </c>
      <c r="C276" s="423" t="s">
        <v>669</v>
      </c>
      <c r="D276" s="424">
        <v>1</v>
      </c>
      <c r="E276" s="424">
        <f>估驗單!F269</f>
        <v>1</v>
      </c>
      <c r="F276" s="478">
        <f t="shared" si="36"/>
        <v>0</v>
      </c>
      <c r="G276" s="424">
        <v>103.76</v>
      </c>
      <c r="H276" s="424"/>
      <c r="I276" s="424">
        <f t="shared" si="33"/>
        <v>103.76</v>
      </c>
      <c r="J276" s="424">
        <f t="shared" si="34"/>
        <v>103.76</v>
      </c>
      <c r="K276" s="664">
        <f t="shared" si="35"/>
        <v>0</v>
      </c>
      <c r="L276" s="609"/>
      <c r="M276" s="264" t="s">
        <v>242</v>
      </c>
      <c r="N276" s="11" t="s">
        <v>243</v>
      </c>
      <c r="O276" s="429"/>
      <c r="P276" s="427"/>
    </row>
    <row r="277" spans="1:16" s="413" customFormat="1" ht="33" hidden="1">
      <c r="A277" s="421" t="s">
        <v>2334</v>
      </c>
      <c r="B277" s="422" t="s">
        <v>794</v>
      </c>
      <c r="C277" s="423" t="s">
        <v>669</v>
      </c>
      <c r="D277" s="424">
        <v>1</v>
      </c>
      <c r="E277" s="424">
        <f>估驗單!F270</f>
        <v>1</v>
      </c>
      <c r="F277" s="478">
        <f t="shared" si="36"/>
        <v>0</v>
      </c>
      <c r="G277" s="424">
        <v>140.84</v>
      </c>
      <c r="H277" s="424"/>
      <c r="I277" s="424">
        <f t="shared" si="33"/>
        <v>140.84</v>
      </c>
      <c r="J277" s="424">
        <f t="shared" si="34"/>
        <v>140.84</v>
      </c>
      <c r="K277" s="664">
        <f t="shared" si="35"/>
        <v>0</v>
      </c>
      <c r="L277" s="609"/>
      <c r="M277" s="264" t="s">
        <v>242</v>
      </c>
      <c r="N277" s="11" t="s">
        <v>243</v>
      </c>
      <c r="O277" s="429"/>
      <c r="P277" s="427"/>
    </row>
    <row r="278" spans="1:16" s="413" customFormat="1" ht="33" hidden="1">
      <c r="A278" s="421" t="s">
        <v>2335</v>
      </c>
      <c r="B278" s="422" t="s">
        <v>797</v>
      </c>
      <c r="C278" s="423" t="s">
        <v>669</v>
      </c>
      <c r="D278" s="424">
        <v>1</v>
      </c>
      <c r="E278" s="424">
        <f>估驗單!F271</f>
        <v>1</v>
      </c>
      <c r="F278" s="478">
        <f t="shared" si="36"/>
        <v>0</v>
      </c>
      <c r="G278" s="424">
        <v>51.75</v>
      </c>
      <c r="H278" s="424"/>
      <c r="I278" s="424">
        <f t="shared" si="33"/>
        <v>51.75</v>
      </c>
      <c r="J278" s="424">
        <f t="shared" si="34"/>
        <v>51.75</v>
      </c>
      <c r="K278" s="664">
        <f t="shared" si="35"/>
        <v>0</v>
      </c>
      <c r="L278" s="609"/>
      <c r="M278" s="264" t="s">
        <v>2530</v>
      </c>
      <c r="N278" s="11" t="s">
        <v>243</v>
      </c>
      <c r="O278" s="429"/>
      <c r="P278" s="427"/>
    </row>
    <row r="279" spans="1:16" s="413" customFormat="1" ht="33" hidden="1">
      <c r="A279" s="421" t="s">
        <v>2336</v>
      </c>
      <c r="B279" s="422" t="s">
        <v>800</v>
      </c>
      <c r="C279" s="423" t="s">
        <v>669</v>
      </c>
      <c r="D279" s="424">
        <v>1</v>
      </c>
      <c r="E279" s="424">
        <f>估驗單!F272</f>
        <v>1</v>
      </c>
      <c r="F279" s="478">
        <f t="shared" si="36"/>
        <v>0</v>
      </c>
      <c r="G279" s="424">
        <v>35.01</v>
      </c>
      <c r="H279" s="424"/>
      <c r="I279" s="424">
        <f t="shared" si="33"/>
        <v>35.01</v>
      </c>
      <c r="J279" s="424">
        <f t="shared" si="34"/>
        <v>35.01</v>
      </c>
      <c r="K279" s="664">
        <f t="shared" si="35"/>
        <v>0</v>
      </c>
      <c r="L279" s="609"/>
      <c r="M279" s="264" t="s">
        <v>2530</v>
      </c>
      <c r="N279" s="11" t="s">
        <v>243</v>
      </c>
      <c r="O279" s="429"/>
      <c r="P279" s="427"/>
    </row>
    <row r="280" spans="1:16" s="413" customFormat="1" ht="33" hidden="1">
      <c r="A280" s="421" t="s">
        <v>2337</v>
      </c>
      <c r="B280" s="422" t="s">
        <v>803</v>
      </c>
      <c r="C280" s="423" t="s">
        <v>669</v>
      </c>
      <c r="D280" s="424">
        <v>1</v>
      </c>
      <c r="E280" s="424">
        <f>估驗單!F273</f>
        <v>1</v>
      </c>
      <c r="F280" s="478">
        <f t="shared" si="36"/>
        <v>0</v>
      </c>
      <c r="G280" s="424">
        <v>58.37</v>
      </c>
      <c r="H280" s="424"/>
      <c r="I280" s="424">
        <f t="shared" si="33"/>
        <v>58.37</v>
      </c>
      <c r="J280" s="424">
        <f t="shared" si="34"/>
        <v>58.37</v>
      </c>
      <c r="K280" s="664">
        <f t="shared" si="35"/>
        <v>0</v>
      </c>
      <c r="L280" s="609"/>
      <c r="M280" s="264" t="s">
        <v>2530</v>
      </c>
      <c r="N280" s="11" t="s">
        <v>243</v>
      </c>
      <c r="O280" s="429"/>
      <c r="P280" s="427"/>
    </row>
    <row r="281" spans="1:16" s="413" customFormat="1" ht="33" hidden="1">
      <c r="A281" s="421" t="s">
        <v>2338</v>
      </c>
      <c r="B281" s="422" t="s">
        <v>806</v>
      </c>
      <c r="C281" s="423" t="s">
        <v>669</v>
      </c>
      <c r="D281" s="424">
        <v>1</v>
      </c>
      <c r="E281" s="424">
        <f>估驗單!F274</f>
        <v>1</v>
      </c>
      <c r="F281" s="478">
        <f t="shared" si="36"/>
        <v>0</v>
      </c>
      <c r="G281" s="424">
        <v>79.040000000000006</v>
      </c>
      <c r="H281" s="424"/>
      <c r="I281" s="424">
        <f t="shared" si="33"/>
        <v>79.040000000000006</v>
      </c>
      <c r="J281" s="424">
        <f t="shared" si="34"/>
        <v>79.040000000000006</v>
      </c>
      <c r="K281" s="664">
        <f t="shared" si="35"/>
        <v>0</v>
      </c>
      <c r="L281" s="609"/>
      <c r="M281" s="264" t="s">
        <v>2530</v>
      </c>
      <c r="N281" s="11" t="s">
        <v>243</v>
      </c>
      <c r="O281" s="429"/>
      <c r="P281" s="427"/>
    </row>
    <row r="282" spans="1:16" s="413" customFormat="1" ht="33" hidden="1">
      <c r="A282" s="421" t="s">
        <v>2339</v>
      </c>
      <c r="B282" s="422" t="s">
        <v>809</v>
      </c>
      <c r="C282" s="423" t="s">
        <v>669</v>
      </c>
      <c r="D282" s="424">
        <v>1</v>
      </c>
      <c r="E282" s="424">
        <f>估驗單!F275</f>
        <v>1</v>
      </c>
      <c r="F282" s="478">
        <f t="shared" si="36"/>
        <v>0</v>
      </c>
      <c r="G282" s="424">
        <v>63.59</v>
      </c>
      <c r="H282" s="424"/>
      <c r="I282" s="424">
        <f t="shared" si="33"/>
        <v>63.59</v>
      </c>
      <c r="J282" s="424">
        <f t="shared" si="34"/>
        <v>63.59</v>
      </c>
      <c r="K282" s="664">
        <f t="shared" si="35"/>
        <v>0</v>
      </c>
      <c r="L282" s="609"/>
      <c r="M282" s="264" t="s">
        <v>2530</v>
      </c>
      <c r="N282" s="11" t="s">
        <v>243</v>
      </c>
      <c r="O282" s="429"/>
      <c r="P282" s="427"/>
    </row>
    <row r="283" spans="1:16" s="413" customFormat="1" ht="33" hidden="1">
      <c r="A283" s="421" t="s">
        <v>2340</v>
      </c>
      <c r="B283" s="422" t="s">
        <v>812</v>
      </c>
      <c r="C283" s="423" t="s">
        <v>669</v>
      </c>
      <c r="D283" s="424">
        <v>1</v>
      </c>
      <c r="E283" s="424">
        <f>估驗單!F276</f>
        <v>1</v>
      </c>
      <c r="F283" s="478">
        <f t="shared" si="36"/>
        <v>0</v>
      </c>
      <c r="G283" s="424">
        <v>94.49</v>
      </c>
      <c r="H283" s="424"/>
      <c r="I283" s="424">
        <f t="shared" si="33"/>
        <v>94.49</v>
      </c>
      <c r="J283" s="424">
        <f t="shared" si="34"/>
        <v>94.49</v>
      </c>
      <c r="K283" s="664">
        <f t="shared" si="35"/>
        <v>0</v>
      </c>
      <c r="L283" s="609"/>
      <c r="M283" s="264" t="s">
        <v>2530</v>
      </c>
      <c r="N283" s="11" t="s">
        <v>243</v>
      </c>
      <c r="O283" s="429"/>
      <c r="P283" s="427"/>
    </row>
    <row r="284" spans="1:16" s="413" customFormat="1" ht="33" hidden="1">
      <c r="A284" s="421" t="s">
        <v>2341</v>
      </c>
      <c r="B284" s="422" t="s">
        <v>815</v>
      </c>
      <c r="C284" s="423" t="s">
        <v>669</v>
      </c>
      <c r="D284" s="424">
        <v>1</v>
      </c>
      <c r="E284" s="424">
        <f>估驗單!F277</f>
        <v>1</v>
      </c>
      <c r="F284" s="478">
        <f t="shared" si="36"/>
        <v>0</v>
      </c>
      <c r="G284" s="424">
        <v>73.89</v>
      </c>
      <c r="H284" s="424"/>
      <c r="I284" s="424">
        <f t="shared" si="33"/>
        <v>73.89</v>
      </c>
      <c r="J284" s="424">
        <f t="shared" si="34"/>
        <v>73.89</v>
      </c>
      <c r="K284" s="664">
        <f t="shared" si="35"/>
        <v>0</v>
      </c>
      <c r="L284" s="609"/>
      <c r="M284" s="264" t="s">
        <v>2530</v>
      </c>
      <c r="N284" s="11" t="s">
        <v>243</v>
      </c>
      <c r="O284" s="429"/>
      <c r="P284" s="427"/>
    </row>
    <row r="285" spans="1:16" s="413" customFormat="1" ht="33" hidden="1">
      <c r="A285" s="421" t="s">
        <v>2342</v>
      </c>
      <c r="B285" s="422" t="s">
        <v>818</v>
      </c>
      <c r="C285" s="423" t="s">
        <v>669</v>
      </c>
      <c r="D285" s="424">
        <v>1</v>
      </c>
      <c r="E285" s="424">
        <f>估驗單!F278</f>
        <v>1</v>
      </c>
      <c r="F285" s="478">
        <f t="shared" si="36"/>
        <v>0</v>
      </c>
      <c r="G285" s="424">
        <v>92.43</v>
      </c>
      <c r="H285" s="424"/>
      <c r="I285" s="424">
        <f t="shared" si="33"/>
        <v>92.43</v>
      </c>
      <c r="J285" s="424">
        <f t="shared" si="34"/>
        <v>92.43</v>
      </c>
      <c r="K285" s="664">
        <f t="shared" si="35"/>
        <v>0</v>
      </c>
      <c r="L285" s="609"/>
      <c r="M285" s="264" t="s">
        <v>2530</v>
      </c>
      <c r="N285" s="11" t="s">
        <v>243</v>
      </c>
      <c r="O285" s="429"/>
      <c r="P285" s="427"/>
    </row>
    <row r="286" spans="1:16" s="413" customFormat="1" ht="33" hidden="1">
      <c r="A286" s="421" t="s">
        <v>2343</v>
      </c>
      <c r="B286" s="422" t="s">
        <v>821</v>
      </c>
      <c r="C286" s="423" t="s">
        <v>669</v>
      </c>
      <c r="D286" s="424">
        <v>1</v>
      </c>
      <c r="E286" s="424">
        <f>估驗單!F279</f>
        <v>1</v>
      </c>
      <c r="F286" s="478">
        <f t="shared" si="36"/>
        <v>0</v>
      </c>
      <c r="G286" s="424">
        <v>61.98</v>
      </c>
      <c r="H286" s="424"/>
      <c r="I286" s="424">
        <f t="shared" si="33"/>
        <v>61.98</v>
      </c>
      <c r="J286" s="424">
        <f t="shared" si="34"/>
        <v>61.98</v>
      </c>
      <c r="K286" s="664">
        <f t="shared" si="35"/>
        <v>0</v>
      </c>
      <c r="L286" s="609"/>
      <c r="M286" s="264" t="s">
        <v>2530</v>
      </c>
      <c r="N286" s="11" t="s">
        <v>243</v>
      </c>
      <c r="O286" s="429"/>
      <c r="P286" s="427"/>
    </row>
    <row r="287" spans="1:16" s="413" customFormat="1" ht="33" hidden="1">
      <c r="A287" s="421" t="s">
        <v>2344</v>
      </c>
      <c r="B287" s="422" t="s">
        <v>824</v>
      </c>
      <c r="C287" s="423" t="s">
        <v>669</v>
      </c>
      <c r="D287" s="424">
        <v>1</v>
      </c>
      <c r="E287" s="424">
        <f>估驗單!F280</f>
        <v>1</v>
      </c>
      <c r="F287" s="478">
        <f t="shared" si="36"/>
        <v>0</v>
      </c>
      <c r="G287" s="424">
        <v>154.66</v>
      </c>
      <c r="H287" s="424"/>
      <c r="I287" s="424">
        <f t="shared" si="33"/>
        <v>154.66</v>
      </c>
      <c r="J287" s="424">
        <f t="shared" si="34"/>
        <v>154.66</v>
      </c>
      <c r="K287" s="664">
        <f t="shared" si="35"/>
        <v>0</v>
      </c>
      <c r="L287" s="609"/>
      <c r="M287" s="264" t="s">
        <v>2530</v>
      </c>
      <c r="N287" s="11" t="s">
        <v>243</v>
      </c>
      <c r="O287" s="429"/>
      <c r="P287" s="427"/>
    </row>
    <row r="288" spans="1:16" s="413" customFormat="1" ht="33" hidden="1">
      <c r="A288" s="421" t="s">
        <v>2345</v>
      </c>
      <c r="B288" s="422" t="s">
        <v>827</v>
      </c>
      <c r="C288" s="423" t="s">
        <v>669</v>
      </c>
      <c r="D288" s="424">
        <v>1</v>
      </c>
      <c r="E288" s="424">
        <f>估驗單!F281</f>
        <v>1</v>
      </c>
      <c r="F288" s="478">
        <f t="shared" si="36"/>
        <v>0</v>
      </c>
      <c r="G288" s="424">
        <v>67.709999999999994</v>
      </c>
      <c r="H288" s="424"/>
      <c r="I288" s="424">
        <f t="shared" si="33"/>
        <v>67.709999999999994</v>
      </c>
      <c r="J288" s="424">
        <f t="shared" si="34"/>
        <v>67.709999999999994</v>
      </c>
      <c r="K288" s="664">
        <f t="shared" si="35"/>
        <v>0</v>
      </c>
      <c r="L288" s="609"/>
      <c r="M288" s="264" t="s">
        <v>2530</v>
      </c>
      <c r="N288" s="11" t="s">
        <v>243</v>
      </c>
      <c r="O288" s="429"/>
      <c r="P288" s="427"/>
    </row>
    <row r="289" spans="1:16" s="413" customFormat="1" ht="33" hidden="1">
      <c r="A289" s="421" t="s">
        <v>2346</v>
      </c>
      <c r="B289" s="422" t="s">
        <v>830</v>
      </c>
      <c r="C289" s="423" t="s">
        <v>669</v>
      </c>
      <c r="D289" s="424">
        <v>1</v>
      </c>
      <c r="E289" s="424">
        <f>估驗單!F282</f>
        <v>1</v>
      </c>
      <c r="F289" s="478">
        <f t="shared" si="36"/>
        <v>0</v>
      </c>
      <c r="G289" s="424">
        <v>54.25</v>
      </c>
      <c r="H289" s="424"/>
      <c r="I289" s="424">
        <f t="shared" si="33"/>
        <v>54.25</v>
      </c>
      <c r="J289" s="424">
        <f t="shared" si="34"/>
        <v>54.25</v>
      </c>
      <c r="K289" s="664">
        <f t="shared" si="35"/>
        <v>0</v>
      </c>
      <c r="L289" s="609"/>
      <c r="M289" s="264" t="s">
        <v>2530</v>
      </c>
      <c r="N289" s="11" t="s">
        <v>243</v>
      </c>
      <c r="O289" s="429"/>
      <c r="P289" s="427"/>
    </row>
    <row r="290" spans="1:16" s="413" customFormat="1" ht="33" hidden="1">
      <c r="A290" s="421" t="s">
        <v>2347</v>
      </c>
      <c r="B290" s="422" t="s">
        <v>833</v>
      </c>
      <c r="C290" s="423" t="s">
        <v>669</v>
      </c>
      <c r="D290" s="424">
        <v>1</v>
      </c>
      <c r="E290" s="424">
        <f>估驗單!F283</f>
        <v>1</v>
      </c>
      <c r="F290" s="478">
        <f t="shared" si="36"/>
        <v>0</v>
      </c>
      <c r="G290" s="424">
        <v>90.3</v>
      </c>
      <c r="H290" s="424"/>
      <c r="I290" s="424">
        <f t="shared" si="33"/>
        <v>90.3</v>
      </c>
      <c r="J290" s="424">
        <f t="shared" si="34"/>
        <v>90.3</v>
      </c>
      <c r="K290" s="664">
        <f t="shared" si="35"/>
        <v>0</v>
      </c>
      <c r="L290" s="609"/>
      <c r="M290" s="264" t="s">
        <v>2530</v>
      </c>
      <c r="N290" s="11" t="s">
        <v>243</v>
      </c>
      <c r="O290" s="429"/>
      <c r="P290" s="427"/>
    </row>
    <row r="291" spans="1:16" s="413" customFormat="1" ht="33" hidden="1">
      <c r="A291" s="421" t="s">
        <v>2348</v>
      </c>
      <c r="B291" s="422" t="s">
        <v>836</v>
      </c>
      <c r="C291" s="423" t="s">
        <v>669</v>
      </c>
      <c r="D291" s="424">
        <v>1</v>
      </c>
      <c r="E291" s="424">
        <f>估驗單!F284</f>
        <v>1</v>
      </c>
      <c r="F291" s="478">
        <f t="shared" si="36"/>
        <v>0</v>
      </c>
      <c r="G291" s="424">
        <v>67.13</v>
      </c>
      <c r="H291" s="424"/>
      <c r="I291" s="424">
        <f t="shared" si="33"/>
        <v>67.13</v>
      </c>
      <c r="J291" s="424">
        <f t="shared" si="34"/>
        <v>67.13</v>
      </c>
      <c r="K291" s="664">
        <f t="shared" si="35"/>
        <v>0</v>
      </c>
      <c r="L291" s="609"/>
      <c r="M291" s="264" t="s">
        <v>2530</v>
      </c>
      <c r="N291" s="11" t="s">
        <v>243</v>
      </c>
      <c r="O291" s="429"/>
      <c r="P291" s="427"/>
    </row>
    <row r="292" spans="1:16" s="413" customFormat="1" ht="33" hidden="1">
      <c r="A292" s="421" t="s">
        <v>2349</v>
      </c>
      <c r="B292" s="422" t="s">
        <v>839</v>
      </c>
      <c r="C292" s="423" t="s">
        <v>669</v>
      </c>
      <c r="D292" s="424">
        <v>1</v>
      </c>
      <c r="E292" s="424">
        <f>估驗單!F285</f>
        <v>1</v>
      </c>
      <c r="F292" s="478">
        <f t="shared" si="36"/>
        <v>0</v>
      </c>
      <c r="G292" s="424">
        <v>56.83</v>
      </c>
      <c r="H292" s="424"/>
      <c r="I292" s="424">
        <f t="shared" si="33"/>
        <v>56.83</v>
      </c>
      <c r="J292" s="424">
        <f t="shared" si="34"/>
        <v>56.83</v>
      </c>
      <c r="K292" s="664">
        <f t="shared" si="35"/>
        <v>0</v>
      </c>
      <c r="L292" s="609"/>
      <c r="M292" s="264" t="s">
        <v>2530</v>
      </c>
      <c r="N292" s="11" t="s">
        <v>243</v>
      </c>
      <c r="O292" s="429"/>
      <c r="P292" s="427"/>
    </row>
    <row r="293" spans="1:16" s="413" customFormat="1" ht="33" hidden="1">
      <c r="A293" s="421" t="s">
        <v>2350</v>
      </c>
      <c r="B293" s="422" t="s">
        <v>842</v>
      </c>
      <c r="C293" s="423" t="s">
        <v>669</v>
      </c>
      <c r="D293" s="424">
        <v>1</v>
      </c>
      <c r="E293" s="424">
        <f>估驗單!F286</f>
        <v>1</v>
      </c>
      <c r="F293" s="478">
        <f t="shared" si="36"/>
        <v>0</v>
      </c>
      <c r="G293" s="424">
        <v>68.67</v>
      </c>
      <c r="H293" s="424"/>
      <c r="I293" s="424">
        <f t="shared" si="33"/>
        <v>68.67</v>
      </c>
      <c r="J293" s="424">
        <f t="shared" si="34"/>
        <v>68.67</v>
      </c>
      <c r="K293" s="664">
        <f t="shared" si="35"/>
        <v>0</v>
      </c>
      <c r="L293" s="609"/>
      <c r="M293" s="264" t="s">
        <v>2530</v>
      </c>
      <c r="N293" s="11" t="s">
        <v>243</v>
      </c>
      <c r="O293" s="429"/>
      <c r="P293" s="427"/>
    </row>
    <row r="294" spans="1:16" s="413" customFormat="1" ht="33" hidden="1">
      <c r="A294" s="421" t="s">
        <v>2351</v>
      </c>
      <c r="B294" s="422" t="s">
        <v>845</v>
      </c>
      <c r="C294" s="423" t="s">
        <v>669</v>
      </c>
      <c r="D294" s="424">
        <v>1</v>
      </c>
      <c r="E294" s="424">
        <f>估驗單!F287</f>
        <v>1</v>
      </c>
      <c r="F294" s="478">
        <f t="shared" si="36"/>
        <v>0</v>
      </c>
      <c r="G294" s="424">
        <v>59.92</v>
      </c>
      <c r="H294" s="424"/>
      <c r="I294" s="424">
        <f t="shared" si="33"/>
        <v>59.92</v>
      </c>
      <c r="J294" s="424">
        <f t="shared" si="34"/>
        <v>59.92</v>
      </c>
      <c r="K294" s="664">
        <f t="shared" si="35"/>
        <v>0</v>
      </c>
      <c r="L294" s="609"/>
      <c r="M294" s="264" t="s">
        <v>2530</v>
      </c>
      <c r="N294" s="11" t="s">
        <v>243</v>
      </c>
      <c r="O294" s="429"/>
      <c r="P294" s="427"/>
    </row>
    <row r="295" spans="1:16" s="413" customFormat="1" ht="33" hidden="1">
      <c r="A295" s="421" t="s">
        <v>2352</v>
      </c>
      <c r="B295" s="422" t="s">
        <v>848</v>
      </c>
      <c r="C295" s="423" t="s">
        <v>669</v>
      </c>
      <c r="D295" s="424">
        <v>1</v>
      </c>
      <c r="E295" s="424">
        <f>估驗單!F288</f>
        <v>1</v>
      </c>
      <c r="F295" s="478">
        <f t="shared" si="36"/>
        <v>0</v>
      </c>
      <c r="G295" s="424">
        <v>58.37</v>
      </c>
      <c r="H295" s="424"/>
      <c r="I295" s="424">
        <f t="shared" si="33"/>
        <v>58.37</v>
      </c>
      <c r="J295" s="424">
        <f t="shared" si="34"/>
        <v>58.37</v>
      </c>
      <c r="K295" s="664">
        <f t="shared" si="35"/>
        <v>0</v>
      </c>
      <c r="L295" s="609"/>
      <c r="M295" s="264" t="s">
        <v>2530</v>
      </c>
      <c r="N295" s="11" t="s">
        <v>243</v>
      </c>
      <c r="O295" s="429"/>
      <c r="P295" s="427"/>
    </row>
    <row r="296" spans="1:16" s="413" customFormat="1" ht="33" hidden="1">
      <c r="A296" s="421" t="s">
        <v>2353</v>
      </c>
      <c r="B296" s="422" t="s">
        <v>851</v>
      </c>
      <c r="C296" s="423" t="s">
        <v>669</v>
      </c>
      <c r="D296" s="424">
        <v>1</v>
      </c>
      <c r="E296" s="424">
        <f>估驗單!F289</f>
        <v>1</v>
      </c>
      <c r="F296" s="478">
        <f t="shared" si="36"/>
        <v>0</v>
      </c>
      <c r="G296" s="424">
        <v>68.209999999999994</v>
      </c>
      <c r="H296" s="424"/>
      <c r="I296" s="424">
        <f t="shared" si="33"/>
        <v>68.209999999999994</v>
      </c>
      <c r="J296" s="424">
        <f t="shared" si="34"/>
        <v>68.209999999999994</v>
      </c>
      <c r="K296" s="664">
        <f t="shared" si="35"/>
        <v>0</v>
      </c>
      <c r="L296" s="609"/>
      <c r="M296" s="264" t="s">
        <v>2530</v>
      </c>
      <c r="N296" s="11" t="s">
        <v>243</v>
      </c>
      <c r="O296" s="429"/>
      <c r="P296" s="427"/>
    </row>
    <row r="297" spans="1:16" s="413" customFormat="1" ht="33" hidden="1">
      <c r="A297" s="421" t="s">
        <v>2354</v>
      </c>
      <c r="B297" s="422" t="s">
        <v>854</v>
      </c>
      <c r="C297" s="423" t="s">
        <v>669</v>
      </c>
      <c r="D297" s="424">
        <v>1</v>
      </c>
      <c r="E297" s="424">
        <f>估驗單!F290</f>
        <v>1</v>
      </c>
      <c r="F297" s="478">
        <f t="shared" si="36"/>
        <v>0</v>
      </c>
      <c r="G297" s="424">
        <v>72.33</v>
      </c>
      <c r="H297" s="424"/>
      <c r="I297" s="424">
        <f t="shared" ref="I297:I309" si="37">ROUND(D297*G297,2)</f>
        <v>72.33</v>
      </c>
      <c r="J297" s="424">
        <f t="shared" ref="J297:J309" si="38">ROUND(E297*G297,2)</f>
        <v>72.33</v>
      </c>
      <c r="K297" s="664">
        <f t="shared" si="35"/>
        <v>0</v>
      </c>
      <c r="L297" s="609"/>
      <c r="M297" s="264" t="s">
        <v>2530</v>
      </c>
      <c r="N297" s="11" t="s">
        <v>243</v>
      </c>
      <c r="O297" s="429"/>
      <c r="P297" s="427"/>
    </row>
    <row r="298" spans="1:16" ht="33" hidden="1">
      <c r="A298" s="421" t="s">
        <v>2355</v>
      </c>
      <c r="B298" s="422" t="s">
        <v>857</v>
      </c>
      <c r="C298" s="423" t="s">
        <v>669</v>
      </c>
      <c r="D298" s="424">
        <v>1</v>
      </c>
      <c r="E298" s="424">
        <f>估驗單!F291</f>
        <v>1</v>
      </c>
      <c r="F298" s="478">
        <f t="shared" si="36"/>
        <v>0</v>
      </c>
      <c r="G298" s="424">
        <v>111.47</v>
      </c>
      <c r="H298" s="424"/>
      <c r="I298" s="424">
        <f t="shared" si="37"/>
        <v>111.47</v>
      </c>
      <c r="J298" s="424">
        <f t="shared" si="38"/>
        <v>111.47</v>
      </c>
      <c r="K298" s="664">
        <f t="shared" si="35"/>
        <v>0</v>
      </c>
      <c r="L298" s="609"/>
      <c r="M298" s="264" t="s">
        <v>2530</v>
      </c>
      <c r="N298" s="11" t="s">
        <v>243</v>
      </c>
      <c r="O298" s="429"/>
      <c r="P298" s="427"/>
    </row>
    <row r="299" spans="1:16" ht="33" hidden="1">
      <c r="A299" s="421" t="s">
        <v>2356</v>
      </c>
      <c r="B299" s="422" t="s">
        <v>860</v>
      </c>
      <c r="C299" s="423" t="s">
        <v>669</v>
      </c>
      <c r="D299" s="424">
        <v>1</v>
      </c>
      <c r="E299" s="424">
        <f>估驗單!F292</f>
        <v>1</v>
      </c>
      <c r="F299" s="478">
        <f t="shared" si="36"/>
        <v>0</v>
      </c>
      <c r="G299" s="424">
        <v>101.17</v>
      </c>
      <c r="H299" s="424"/>
      <c r="I299" s="424">
        <f t="shared" si="37"/>
        <v>101.17</v>
      </c>
      <c r="J299" s="424">
        <f t="shared" si="38"/>
        <v>101.17</v>
      </c>
      <c r="K299" s="664">
        <f t="shared" si="35"/>
        <v>0</v>
      </c>
      <c r="L299" s="609"/>
      <c r="M299" s="264" t="s">
        <v>2530</v>
      </c>
      <c r="N299" s="11" t="s">
        <v>243</v>
      </c>
      <c r="O299" s="429"/>
      <c r="P299" s="427"/>
    </row>
    <row r="300" spans="1:16" ht="33" hidden="1">
      <c r="A300" s="421" t="s">
        <v>2357</v>
      </c>
      <c r="B300" s="422" t="s">
        <v>863</v>
      </c>
      <c r="C300" s="423" t="s">
        <v>669</v>
      </c>
      <c r="D300" s="424">
        <v>1</v>
      </c>
      <c r="E300" s="424">
        <f>估驗單!F293</f>
        <v>1</v>
      </c>
      <c r="F300" s="478">
        <f t="shared" si="36"/>
        <v>0</v>
      </c>
      <c r="G300" s="424">
        <v>81.62</v>
      </c>
      <c r="H300" s="424"/>
      <c r="I300" s="424">
        <f t="shared" si="37"/>
        <v>81.62</v>
      </c>
      <c r="J300" s="424">
        <f t="shared" si="38"/>
        <v>81.62</v>
      </c>
      <c r="K300" s="664">
        <f t="shared" si="35"/>
        <v>0</v>
      </c>
      <c r="L300" s="609"/>
      <c r="M300" s="264" t="s">
        <v>242</v>
      </c>
      <c r="N300" s="11" t="s">
        <v>243</v>
      </c>
      <c r="O300" s="429"/>
      <c r="P300" s="427"/>
    </row>
    <row r="301" spans="1:16" ht="33" hidden="1">
      <c r="A301" s="421" t="s">
        <v>2358</v>
      </c>
      <c r="B301" s="422" t="s">
        <v>866</v>
      </c>
      <c r="C301" s="423" t="s">
        <v>669</v>
      </c>
      <c r="D301" s="424">
        <v>1</v>
      </c>
      <c r="E301" s="424">
        <f>估驗單!F294</f>
        <v>1</v>
      </c>
      <c r="F301" s="478">
        <f t="shared" si="36"/>
        <v>0</v>
      </c>
      <c r="G301" s="424">
        <v>79.040000000000006</v>
      </c>
      <c r="H301" s="424"/>
      <c r="I301" s="424">
        <f t="shared" si="37"/>
        <v>79.040000000000006</v>
      </c>
      <c r="J301" s="424">
        <f t="shared" si="38"/>
        <v>79.040000000000006</v>
      </c>
      <c r="K301" s="664">
        <f t="shared" si="35"/>
        <v>0</v>
      </c>
      <c r="L301" s="609"/>
      <c r="M301" s="264" t="s">
        <v>242</v>
      </c>
      <c r="N301" s="11" t="s">
        <v>243</v>
      </c>
      <c r="O301" s="429"/>
      <c r="P301" s="427"/>
    </row>
    <row r="302" spans="1:16" ht="33" hidden="1">
      <c r="A302" s="421" t="s">
        <v>2359</v>
      </c>
      <c r="B302" s="422" t="s">
        <v>869</v>
      </c>
      <c r="C302" s="423" t="s">
        <v>669</v>
      </c>
      <c r="D302" s="424">
        <v>1</v>
      </c>
      <c r="E302" s="424">
        <f>估驗單!F295</f>
        <v>1</v>
      </c>
      <c r="F302" s="478">
        <f t="shared" si="36"/>
        <v>0</v>
      </c>
      <c r="G302" s="424">
        <v>99.64</v>
      </c>
      <c r="H302" s="424"/>
      <c r="I302" s="424">
        <f t="shared" si="37"/>
        <v>99.64</v>
      </c>
      <c r="J302" s="424">
        <f t="shared" si="38"/>
        <v>99.64</v>
      </c>
      <c r="K302" s="664">
        <f t="shared" si="35"/>
        <v>0</v>
      </c>
      <c r="L302" s="609"/>
      <c r="M302" s="264" t="s">
        <v>242</v>
      </c>
      <c r="N302" s="11" t="s">
        <v>243</v>
      </c>
      <c r="O302" s="429"/>
      <c r="P302" s="427"/>
    </row>
    <row r="303" spans="1:16" ht="33" hidden="1">
      <c r="A303" s="421" t="s">
        <v>2360</v>
      </c>
      <c r="B303" s="422" t="s">
        <v>872</v>
      </c>
      <c r="C303" s="423" t="s">
        <v>669</v>
      </c>
      <c r="D303" s="424">
        <v>1</v>
      </c>
      <c r="E303" s="424">
        <f>估驗單!F296</f>
        <v>1</v>
      </c>
      <c r="F303" s="478">
        <f t="shared" si="36"/>
        <v>0</v>
      </c>
      <c r="G303" s="424">
        <v>74.92</v>
      </c>
      <c r="H303" s="424"/>
      <c r="I303" s="424">
        <f t="shared" si="37"/>
        <v>74.92</v>
      </c>
      <c r="J303" s="424">
        <f t="shared" si="38"/>
        <v>74.92</v>
      </c>
      <c r="K303" s="664">
        <f t="shared" si="35"/>
        <v>0</v>
      </c>
      <c r="L303" s="609"/>
      <c r="M303" s="264" t="s">
        <v>242</v>
      </c>
      <c r="N303" s="11" t="s">
        <v>243</v>
      </c>
      <c r="O303" s="429"/>
      <c r="P303" s="427"/>
    </row>
    <row r="304" spans="1:16" ht="33" hidden="1">
      <c r="A304" s="421" t="s">
        <v>2361</v>
      </c>
      <c r="B304" s="422" t="s">
        <v>875</v>
      </c>
      <c r="C304" s="423" t="s">
        <v>669</v>
      </c>
      <c r="D304" s="424">
        <v>1</v>
      </c>
      <c r="E304" s="424">
        <f>估驗單!F297</f>
        <v>1</v>
      </c>
      <c r="F304" s="478">
        <f t="shared" si="36"/>
        <v>0</v>
      </c>
      <c r="G304" s="424">
        <v>72.28</v>
      </c>
      <c r="H304" s="424"/>
      <c r="I304" s="424">
        <f t="shared" si="37"/>
        <v>72.28</v>
      </c>
      <c r="J304" s="424">
        <f t="shared" si="38"/>
        <v>72.28</v>
      </c>
      <c r="K304" s="664">
        <f t="shared" si="35"/>
        <v>0</v>
      </c>
      <c r="L304" s="609"/>
      <c r="M304" s="264" t="s">
        <v>242</v>
      </c>
      <c r="N304" s="11" t="s">
        <v>243</v>
      </c>
      <c r="O304" s="429"/>
      <c r="P304" s="427"/>
    </row>
    <row r="305" spans="1:19" ht="33" hidden="1">
      <c r="A305" s="421" t="s">
        <v>2362</v>
      </c>
      <c r="B305" s="422" t="s">
        <v>878</v>
      </c>
      <c r="C305" s="423" t="s">
        <v>13</v>
      </c>
      <c r="D305" s="424">
        <v>1</v>
      </c>
      <c r="E305" s="424">
        <f>估驗單!F298</f>
        <v>1</v>
      </c>
      <c r="F305" s="478">
        <f t="shared" si="36"/>
        <v>0</v>
      </c>
      <c r="G305" s="424">
        <v>43.77</v>
      </c>
      <c r="H305" s="424"/>
      <c r="I305" s="424">
        <f t="shared" si="37"/>
        <v>43.77</v>
      </c>
      <c r="J305" s="424">
        <f t="shared" si="38"/>
        <v>43.77</v>
      </c>
      <c r="K305" s="664">
        <f t="shared" si="35"/>
        <v>0</v>
      </c>
      <c r="L305" s="609"/>
      <c r="M305" s="264" t="s">
        <v>242</v>
      </c>
      <c r="N305" s="11" t="s">
        <v>243</v>
      </c>
      <c r="O305" s="429"/>
      <c r="P305" s="427"/>
    </row>
    <row r="306" spans="1:19" ht="33" hidden="1">
      <c r="A306" s="421" t="s">
        <v>2363</v>
      </c>
      <c r="B306" s="422" t="s">
        <v>881</v>
      </c>
      <c r="C306" s="423" t="s">
        <v>882</v>
      </c>
      <c r="D306" s="424">
        <v>1</v>
      </c>
      <c r="E306" s="424">
        <f>估驗單!F299</f>
        <v>1</v>
      </c>
      <c r="F306" s="478">
        <f t="shared" si="36"/>
        <v>0</v>
      </c>
      <c r="G306" s="424">
        <v>28.11</v>
      </c>
      <c r="H306" s="424"/>
      <c r="I306" s="424">
        <f t="shared" si="37"/>
        <v>28.11</v>
      </c>
      <c r="J306" s="424">
        <f t="shared" si="38"/>
        <v>28.11</v>
      </c>
      <c r="K306" s="664">
        <f t="shared" si="35"/>
        <v>0</v>
      </c>
      <c r="L306" s="609"/>
      <c r="M306" s="264" t="s">
        <v>242</v>
      </c>
      <c r="N306" s="11" t="s">
        <v>243</v>
      </c>
      <c r="O306" s="429"/>
      <c r="P306" s="427"/>
    </row>
    <row r="307" spans="1:19" ht="33" hidden="1">
      <c r="A307" s="421" t="s">
        <v>2364</v>
      </c>
      <c r="B307" s="422" t="s">
        <v>885</v>
      </c>
      <c r="C307" s="423" t="s">
        <v>13</v>
      </c>
      <c r="D307" s="424">
        <v>1</v>
      </c>
      <c r="E307" s="424">
        <f>估驗單!F300</f>
        <v>1</v>
      </c>
      <c r="F307" s="478">
        <f t="shared" si="36"/>
        <v>0</v>
      </c>
      <c r="G307" s="424">
        <v>239.86</v>
      </c>
      <c r="H307" s="424"/>
      <c r="I307" s="424">
        <f t="shared" si="37"/>
        <v>239.86</v>
      </c>
      <c r="J307" s="424">
        <f t="shared" si="38"/>
        <v>239.86</v>
      </c>
      <c r="K307" s="664">
        <f t="shared" si="35"/>
        <v>0</v>
      </c>
      <c r="L307" s="609"/>
      <c r="M307" s="264" t="s">
        <v>2619</v>
      </c>
      <c r="N307" s="11" t="s">
        <v>243</v>
      </c>
      <c r="O307" s="429"/>
      <c r="P307" s="427"/>
    </row>
    <row r="308" spans="1:19" s="440" customFormat="1" ht="45" hidden="1">
      <c r="A308" s="431">
        <v>76</v>
      </c>
      <c r="B308" s="432" t="s">
        <v>2620</v>
      </c>
      <c r="C308" s="433" t="s">
        <v>2595</v>
      </c>
      <c r="D308" s="428">
        <v>1305</v>
      </c>
      <c r="E308" s="424">
        <f>估驗單!F301</f>
        <v>1305</v>
      </c>
      <c r="F308" s="478">
        <f t="shared" si="36"/>
        <v>0</v>
      </c>
      <c r="G308" s="428">
        <v>1765.46</v>
      </c>
      <c r="H308" s="428"/>
      <c r="I308" s="424">
        <f t="shared" si="37"/>
        <v>2303925.2999999998</v>
      </c>
      <c r="J308" s="424">
        <f t="shared" si="38"/>
        <v>2303925.2999999998</v>
      </c>
      <c r="K308" s="664">
        <f t="shared" si="35"/>
        <v>0</v>
      </c>
      <c r="L308" s="609"/>
      <c r="M308" s="438" t="s">
        <v>2621</v>
      </c>
      <c r="N308" s="435"/>
      <c r="O308" s="436" t="s">
        <v>2622</v>
      </c>
      <c r="P308" s="437" t="s">
        <v>2623</v>
      </c>
      <c r="Q308" s="413" t="s">
        <v>2624</v>
      </c>
      <c r="S308" s="460" t="s">
        <v>2625</v>
      </c>
    </row>
    <row r="309" spans="1:19" s="451" customFormat="1" ht="31.5" hidden="1" customHeight="1">
      <c r="A309" s="431">
        <v>77</v>
      </c>
      <c r="B309" s="432" t="s">
        <v>1508</v>
      </c>
      <c r="C309" s="433" t="s">
        <v>1509</v>
      </c>
      <c r="D309" s="428">
        <f>9*1702</f>
        <v>15318</v>
      </c>
      <c r="E309" s="424">
        <f>估驗單!F302</f>
        <v>15318</v>
      </c>
      <c r="F309" s="506">
        <f t="shared" si="36"/>
        <v>0</v>
      </c>
      <c r="G309" s="428">
        <v>149.99</v>
      </c>
      <c r="H309" s="428"/>
      <c r="I309" s="424">
        <f t="shared" si="37"/>
        <v>2297546.8199999998</v>
      </c>
      <c r="J309" s="424">
        <f t="shared" si="38"/>
        <v>2297546.8199999998</v>
      </c>
      <c r="K309" s="664">
        <f t="shared" si="35"/>
        <v>0</v>
      </c>
      <c r="L309" s="548"/>
      <c r="M309" s="434"/>
      <c r="N309" s="435"/>
      <c r="O309" s="442" t="s">
        <v>2626</v>
      </c>
      <c r="P309" s="410" t="s">
        <v>2627</v>
      </c>
      <c r="Q309" s="413" t="s">
        <v>2609</v>
      </c>
    </row>
    <row r="310" spans="1:19" ht="33">
      <c r="A310" s="494" t="s">
        <v>2382</v>
      </c>
      <c r="B310" s="495" t="s">
        <v>888</v>
      </c>
      <c r="C310" s="496" t="s">
        <v>4</v>
      </c>
      <c r="D310" s="497">
        <v>1</v>
      </c>
      <c r="E310" s="497">
        <f>估驗單!F303</f>
        <v>1</v>
      </c>
      <c r="F310" s="498"/>
      <c r="G310" s="497">
        <f>I310</f>
        <v>5050770.370000001</v>
      </c>
      <c r="H310" s="497"/>
      <c r="I310" s="497">
        <f t="shared" ref="I310:L310" si="39">SUM(I311:I343)</f>
        <v>5050770.370000001</v>
      </c>
      <c r="J310" s="497">
        <f t="shared" si="39"/>
        <v>5050770.370000001</v>
      </c>
      <c r="K310" s="660">
        <f t="shared" si="39"/>
        <v>0</v>
      </c>
      <c r="L310" s="650">
        <f t="shared" si="39"/>
        <v>0</v>
      </c>
      <c r="M310" s="356" t="s">
        <v>242</v>
      </c>
      <c r="N310" s="11" t="s">
        <v>243</v>
      </c>
      <c r="O310" s="426"/>
      <c r="P310" s="427"/>
    </row>
    <row r="311" spans="1:19" ht="33" hidden="1">
      <c r="A311" s="421" t="s">
        <v>2288</v>
      </c>
      <c r="B311" s="422" t="s">
        <v>890</v>
      </c>
      <c r="C311" s="423" t="s">
        <v>4</v>
      </c>
      <c r="D311" s="424">
        <v>1</v>
      </c>
      <c r="E311" s="424">
        <f>估驗單!F304</f>
        <v>1</v>
      </c>
      <c r="F311" s="478">
        <f t="shared" si="36"/>
        <v>0</v>
      </c>
      <c r="G311" s="424">
        <v>88179.19</v>
      </c>
      <c r="H311" s="424"/>
      <c r="I311" s="424">
        <f t="shared" ref="I311:I343" si="40">ROUND(D311*G311,2)</f>
        <v>88179.19</v>
      </c>
      <c r="J311" s="424">
        <f t="shared" ref="J311:J343" si="41">ROUND(E311*G311,2)</f>
        <v>88179.19</v>
      </c>
      <c r="K311" s="664">
        <f t="shared" si="35"/>
        <v>0</v>
      </c>
      <c r="L311" s="609"/>
      <c r="M311" s="264" t="s">
        <v>242</v>
      </c>
      <c r="N311" s="11" t="s">
        <v>243</v>
      </c>
      <c r="O311" s="429"/>
      <c r="P311" s="427"/>
    </row>
    <row r="312" spans="1:19" ht="33" hidden="1">
      <c r="A312" s="421" t="s">
        <v>2289</v>
      </c>
      <c r="B312" s="422" t="s">
        <v>893</v>
      </c>
      <c r="C312" s="423" t="s">
        <v>4</v>
      </c>
      <c r="D312" s="424">
        <v>1</v>
      </c>
      <c r="E312" s="424">
        <f>估驗單!F305</f>
        <v>1</v>
      </c>
      <c r="F312" s="478">
        <f t="shared" si="36"/>
        <v>0</v>
      </c>
      <c r="G312" s="424">
        <v>149702.84</v>
      </c>
      <c r="H312" s="424"/>
      <c r="I312" s="424">
        <f t="shared" si="40"/>
        <v>149702.84</v>
      </c>
      <c r="J312" s="424">
        <f t="shared" si="41"/>
        <v>149702.84</v>
      </c>
      <c r="K312" s="664">
        <f t="shared" si="35"/>
        <v>0</v>
      </c>
      <c r="L312" s="609"/>
      <c r="M312" s="264" t="s">
        <v>242</v>
      </c>
      <c r="N312" s="11" t="s">
        <v>243</v>
      </c>
      <c r="O312" s="429"/>
      <c r="P312" s="427"/>
    </row>
    <row r="313" spans="1:19" ht="33" hidden="1">
      <c r="A313" s="421" t="s">
        <v>2290</v>
      </c>
      <c r="B313" s="422" t="s">
        <v>896</v>
      </c>
      <c r="C313" s="423" t="s">
        <v>4</v>
      </c>
      <c r="D313" s="424">
        <v>1</v>
      </c>
      <c r="E313" s="424">
        <f>估驗單!F306</f>
        <v>1</v>
      </c>
      <c r="F313" s="478">
        <f t="shared" si="36"/>
        <v>0</v>
      </c>
      <c r="G313" s="424">
        <v>168290.82</v>
      </c>
      <c r="H313" s="424"/>
      <c r="I313" s="424">
        <f t="shared" si="40"/>
        <v>168290.82</v>
      </c>
      <c r="J313" s="424">
        <f t="shared" si="41"/>
        <v>168290.82</v>
      </c>
      <c r="K313" s="664">
        <f t="shared" si="35"/>
        <v>0</v>
      </c>
      <c r="L313" s="609"/>
      <c r="M313" s="264" t="s">
        <v>242</v>
      </c>
      <c r="N313" s="11" t="s">
        <v>243</v>
      </c>
      <c r="O313" s="429"/>
      <c r="P313" s="427"/>
    </row>
    <row r="314" spans="1:19" ht="33" hidden="1">
      <c r="A314" s="421" t="s">
        <v>2291</v>
      </c>
      <c r="B314" s="422" t="s">
        <v>899</v>
      </c>
      <c r="C314" s="423" t="s">
        <v>4</v>
      </c>
      <c r="D314" s="424">
        <v>1</v>
      </c>
      <c r="E314" s="424">
        <f>估驗單!F307</f>
        <v>1</v>
      </c>
      <c r="F314" s="478">
        <f t="shared" si="36"/>
        <v>0</v>
      </c>
      <c r="G314" s="424">
        <v>23946.69</v>
      </c>
      <c r="H314" s="424"/>
      <c r="I314" s="424">
        <f t="shared" si="40"/>
        <v>23946.69</v>
      </c>
      <c r="J314" s="424">
        <f t="shared" si="41"/>
        <v>23946.69</v>
      </c>
      <c r="K314" s="664">
        <f t="shared" si="35"/>
        <v>0</v>
      </c>
      <c r="L314" s="609"/>
      <c r="M314" s="264" t="s">
        <v>242</v>
      </c>
      <c r="N314" s="11" t="s">
        <v>243</v>
      </c>
      <c r="O314" s="429"/>
      <c r="P314" s="427"/>
    </row>
    <row r="315" spans="1:19" s="413" customFormat="1" ht="33" hidden="1">
      <c r="A315" s="421" t="s">
        <v>2292</v>
      </c>
      <c r="B315" s="422" t="s">
        <v>902</v>
      </c>
      <c r="C315" s="423" t="s">
        <v>0</v>
      </c>
      <c r="D315" s="424">
        <v>11</v>
      </c>
      <c r="E315" s="424">
        <f>估驗單!F308</f>
        <v>11</v>
      </c>
      <c r="F315" s="478">
        <f t="shared" si="36"/>
        <v>0</v>
      </c>
      <c r="G315" s="424">
        <v>42797.67</v>
      </c>
      <c r="H315" s="424"/>
      <c r="I315" s="424">
        <f t="shared" si="40"/>
        <v>470774.37</v>
      </c>
      <c r="J315" s="424">
        <f t="shared" si="41"/>
        <v>470774.37</v>
      </c>
      <c r="K315" s="664">
        <f t="shared" si="35"/>
        <v>0</v>
      </c>
      <c r="L315" s="609"/>
      <c r="M315" s="264" t="s">
        <v>2628</v>
      </c>
      <c r="N315" s="11" t="s">
        <v>243</v>
      </c>
      <c r="O315" s="429"/>
      <c r="P315" s="427"/>
    </row>
    <row r="316" spans="1:19" s="413" customFormat="1" ht="33" hidden="1">
      <c r="A316" s="421" t="s">
        <v>2293</v>
      </c>
      <c r="B316" s="422" t="s">
        <v>905</v>
      </c>
      <c r="C316" s="423" t="s">
        <v>0</v>
      </c>
      <c r="D316" s="424">
        <v>9</v>
      </c>
      <c r="E316" s="424">
        <f>估驗單!F309</f>
        <v>9</v>
      </c>
      <c r="F316" s="478">
        <f t="shared" si="36"/>
        <v>0</v>
      </c>
      <c r="G316" s="424">
        <v>60396.71</v>
      </c>
      <c r="H316" s="424"/>
      <c r="I316" s="424">
        <f t="shared" si="40"/>
        <v>543570.39</v>
      </c>
      <c r="J316" s="424">
        <f t="shared" si="41"/>
        <v>543570.39</v>
      </c>
      <c r="K316" s="664">
        <f t="shared" si="35"/>
        <v>0</v>
      </c>
      <c r="L316" s="609"/>
      <c r="M316" s="264" t="s">
        <v>2530</v>
      </c>
      <c r="N316" s="11" t="s">
        <v>243</v>
      </c>
      <c r="O316" s="429"/>
      <c r="P316" s="427"/>
    </row>
    <row r="317" spans="1:19" s="413" customFormat="1" ht="33" hidden="1">
      <c r="A317" s="421" t="s">
        <v>2294</v>
      </c>
      <c r="B317" s="422" t="s">
        <v>908</v>
      </c>
      <c r="C317" s="423" t="s">
        <v>0</v>
      </c>
      <c r="D317" s="424">
        <v>10</v>
      </c>
      <c r="E317" s="424">
        <f>估驗單!F310</f>
        <v>10</v>
      </c>
      <c r="F317" s="478">
        <f t="shared" si="36"/>
        <v>0</v>
      </c>
      <c r="G317" s="424">
        <v>34998.089999999997</v>
      </c>
      <c r="H317" s="424"/>
      <c r="I317" s="424">
        <f t="shared" si="40"/>
        <v>349980.9</v>
      </c>
      <c r="J317" s="424">
        <f t="shared" si="41"/>
        <v>349980.9</v>
      </c>
      <c r="K317" s="664">
        <f t="shared" si="35"/>
        <v>0</v>
      </c>
      <c r="L317" s="609"/>
      <c r="M317" s="264" t="s">
        <v>2530</v>
      </c>
      <c r="N317" s="11" t="s">
        <v>243</v>
      </c>
      <c r="O317" s="429"/>
      <c r="P317" s="427"/>
    </row>
    <row r="318" spans="1:19" s="413" customFormat="1" ht="33" hidden="1">
      <c r="A318" s="421" t="s">
        <v>2295</v>
      </c>
      <c r="B318" s="422" t="s">
        <v>911</v>
      </c>
      <c r="C318" s="423" t="s">
        <v>0</v>
      </c>
      <c r="D318" s="424">
        <v>8</v>
      </c>
      <c r="E318" s="424">
        <f>估驗單!F311</f>
        <v>8</v>
      </c>
      <c r="F318" s="478">
        <f t="shared" si="36"/>
        <v>0</v>
      </c>
      <c r="G318" s="424">
        <v>9999.4500000000007</v>
      </c>
      <c r="H318" s="424"/>
      <c r="I318" s="424">
        <f t="shared" si="40"/>
        <v>79995.600000000006</v>
      </c>
      <c r="J318" s="424">
        <f t="shared" si="41"/>
        <v>79995.600000000006</v>
      </c>
      <c r="K318" s="664">
        <f t="shared" si="35"/>
        <v>0</v>
      </c>
      <c r="L318" s="609"/>
      <c r="M318" s="264" t="s">
        <v>2530</v>
      </c>
      <c r="N318" s="11" t="s">
        <v>243</v>
      </c>
      <c r="O318" s="429"/>
      <c r="P318" s="427"/>
    </row>
    <row r="319" spans="1:19" s="413" customFormat="1" ht="33" hidden="1">
      <c r="A319" s="421" t="s">
        <v>2296</v>
      </c>
      <c r="B319" s="422" t="s">
        <v>914</v>
      </c>
      <c r="C319" s="423" t="s">
        <v>15</v>
      </c>
      <c r="D319" s="424">
        <v>2</v>
      </c>
      <c r="E319" s="424">
        <f>估驗單!F312</f>
        <v>2</v>
      </c>
      <c r="F319" s="478">
        <f t="shared" si="36"/>
        <v>0</v>
      </c>
      <c r="G319" s="424">
        <v>1499.92</v>
      </c>
      <c r="H319" s="424"/>
      <c r="I319" s="424">
        <f t="shared" si="40"/>
        <v>2999.84</v>
      </c>
      <c r="J319" s="424">
        <f t="shared" si="41"/>
        <v>2999.84</v>
      </c>
      <c r="K319" s="664">
        <f t="shared" si="35"/>
        <v>0</v>
      </c>
      <c r="L319" s="609"/>
      <c r="M319" s="264" t="s">
        <v>242</v>
      </c>
      <c r="N319" s="11" t="s">
        <v>243</v>
      </c>
      <c r="O319" s="429"/>
      <c r="P319" s="427"/>
    </row>
    <row r="320" spans="1:19" s="413" customFormat="1" ht="33" hidden="1">
      <c r="A320" s="421" t="s">
        <v>2297</v>
      </c>
      <c r="B320" s="422" t="s">
        <v>917</v>
      </c>
      <c r="C320" s="423" t="s">
        <v>15</v>
      </c>
      <c r="D320" s="424">
        <v>2</v>
      </c>
      <c r="E320" s="424">
        <f>估驗單!F313</f>
        <v>2</v>
      </c>
      <c r="F320" s="478">
        <f t="shared" si="36"/>
        <v>0</v>
      </c>
      <c r="G320" s="424">
        <v>3999.78</v>
      </c>
      <c r="H320" s="424"/>
      <c r="I320" s="424">
        <f t="shared" si="40"/>
        <v>7999.56</v>
      </c>
      <c r="J320" s="424">
        <f t="shared" si="41"/>
        <v>7999.56</v>
      </c>
      <c r="K320" s="664">
        <f t="shared" si="35"/>
        <v>0</v>
      </c>
      <c r="L320" s="609"/>
      <c r="M320" s="264" t="s">
        <v>242</v>
      </c>
      <c r="N320" s="11" t="s">
        <v>243</v>
      </c>
      <c r="O320" s="429"/>
      <c r="P320" s="427"/>
    </row>
    <row r="321" spans="1:16" s="413" customFormat="1" ht="33" hidden="1">
      <c r="A321" s="421" t="s">
        <v>2298</v>
      </c>
      <c r="B321" s="422" t="s">
        <v>920</v>
      </c>
      <c r="C321" s="423" t="s">
        <v>8</v>
      </c>
      <c r="D321" s="424">
        <v>44.6</v>
      </c>
      <c r="E321" s="424">
        <f>估驗單!F314</f>
        <v>44.6</v>
      </c>
      <c r="F321" s="478">
        <f t="shared" si="36"/>
        <v>0</v>
      </c>
      <c r="G321" s="424">
        <v>799.96</v>
      </c>
      <c r="H321" s="424"/>
      <c r="I321" s="424">
        <f t="shared" si="40"/>
        <v>35678.22</v>
      </c>
      <c r="J321" s="424">
        <f t="shared" si="41"/>
        <v>35678.22</v>
      </c>
      <c r="K321" s="664">
        <f t="shared" si="35"/>
        <v>0</v>
      </c>
      <c r="L321" s="609"/>
      <c r="M321" s="264" t="s">
        <v>242</v>
      </c>
      <c r="N321" s="11" t="s">
        <v>243</v>
      </c>
      <c r="O321" s="429"/>
      <c r="P321" s="427"/>
    </row>
    <row r="322" spans="1:16" s="413" customFormat="1" ht="33" hidden="1">
      <c r="A322" s="421" t="s">
        <v>2299</v>
      </c>
      <c r="B322" s="422" t="s">
        <v>923</v>
      </c>
      <c r="C322" s="423" t="s">
        <v>15</v>
      </c>
      <c r="D322" s="424">
        <v>10</v>
      </c>
      <c r="E322" s="424">
        <f>估驗單!F315</f>
        <v>10</v>
      </c>
      <c r="F322" s="478">
        <f t="shared" si="36"/>
        <v>0</v>
      </c>
      <c r="G322" s="424">
        <v>11299.38</v>
      </c>
      <c r="H322" s="424"/>
      <c r="I322" s="424">
        <f t="shared" si="40"/>
        <v>112993.8</v>
      </c>
      <c r="J322" s="424">
        <f t="shared" si="41"/>
        <v>112993.8</v>
      </c>
      <c r="K322" s="664">
        <f t="shared" si="35"/>
        <v>0</v>
      </c>
      <c r="L322" s="609"/>
      <c r="M322" s="264" t="s">
        <v>242</v>
      </c>
      <c r="N322" s="11" t="s">
        <v>243</v>
      </c>
      <c r="O322" s="429"/>
      <c r="P322" s="427"/>
    </row>
    <row r="323" spans="1:16" s="413" customFormat="1" ht="33" hidden="1">
      <c r="A323" s="421" t="s">
        <v>2300</v>
      </c>
      <c r="B323" s="422" t="s">
        <v>926</v>
      </c>
      <c r="C323" s="423" t="s">
        <v>15</v>
      </c>
      <c r="D323" s="424">
        <v>5</v>
      </c>
      <c r="E323" s="424">
        <f>估驗單!F316</f>
        <v>5</v>
      </c>
      <c r="F323" s="478">
        <f t="shared" si="36"/>
        <v>0</v>
      </c>
      <c r="G323" s="424">
        <v>17999.02</v>
      </c>
      <c r="H323" s="424"/>
      <c r="I323" s="424">
        <f t="shared" si="40"/>
        <v>89995.1</v>
      </c>
      <c r="J323" s="424">
        <f t="shared" si="41"/>
        <v>89995.1</v>
      </c>
      <c r="K323" s="664">
        <f t="shared" si="35"/>
        <v>0</v>
      </c>
      <c r="L323" s="609"/>
      <c r="M323" s="264" t="s">
        <v>242</v>
      </c>
      <c r="N323" s="11" t="s">
        <v>243</v>
      </c>
      <c r="O323" s="429"/>
      <c r="P323" s="427"/>
    </row>
    <row r="324" spans="1:16" s="413" customFormat="1" ht="33" hidden="1">
      <c r="A324" s="421" t="s">
        <v>2301</v>
      </c>
      <c r="B324" s="422" t="s">
        <v>929</v>
      </c>
      <c r="C324" s="423" t="s">
        <v>15</v>
      </c>
      <c r="D324" s="424">
        <v>17</v>
      </c>
      <c r="E324" s="424">
        <f>估驗單!F317</f>
        <v>17</v>
      </c>
      <c r="F324" s="478">
        <f t="shared" si="36"/>
        <v>0</v>
      </c>
      <c r="G324" s="424">
        <v>4199.7700000000004</v>
      </c>
      <c r="H324" s="424"/>
      <c r="I324" s="424">
        <f t="shared" si="40"/>
        <v>71396.09</v>
      </c>
      <c r="J324" s="424">
        <f t="shared" si="41"/>
        <v>71396.09</v>
      </c>
      <c r="K324" s="664">
        <f t="shared" si="35"/>
        <v>0</v>
      </c>
      <c r="L324" s="609"/>
      <c r="M324" s="264" t="s">
        <v>242</v>
      </c>
      <c r="N324" s="11" t="s">
        <v>243</v>
      </c>
      <c r="O324" s="429"/>
      <c r="P324" s="427"/>
    </row>
    <row r="325" spans="1:16" s="413" customFormat="1" ht="33" hidden="1">
      <c r="A325" s="421" t="s">
        <v>2302</v>
      </c>
      <c r="B325" s="422" t="s">
        <v>932</v>
      </c>
      <c r="C325" s="423" t="s">
        <v>290</v>
      </c>
      <c r="D325" s="424">
        <v>1</v>
      </c>
      <c r="E325" s="424">
        <f>估驗單!F318</f>
        <v>1</v>
      </c>
      <c r="F325" s="478">
        <f t="shared" si="36"/>
        <v>0</v>
      </c>
      <c r="G325" s="424">
        <v>112957.32</v>
      </c>
      <c r="H325" s="424"/>
      <c r="I325" s="424">
        <f t="shared" si="40"/>
        <v>112957.32</v>
      </c>
      <c r="J325" s="424">
        <f t="shared" si="41"/>
        <v>112957.32</v>
      </c>
      <c r="K325" s="664">
        <f t="shared" si="35"/>
        <v>0</v>
      </c>
      <c r="L325" s="609"/>
      <c r="M325" s="264" t="s">
        <v>2629</v>
      </c>
      <c r="N325" s="11" t="s">
        <v>243</v>
      </c>
      <c r="O325" s="429"/>
      <c r="P325" s="427"/>
    </row>
    <row r="326" spans="1:16" s="413" customFormat="1" ht="57" hidden="1">
      <c r="A326" s="421" t="s">
        <v>2303</v>
      </c>
      <c r="B326" s="422" t="s">
        <v>935</v>
      </c>
      <c r="C326" s="423" t="s">
        <v>4</v>
      </c>
      <c r="D326" s="424">
        <v>1</v>
      </c>
      <c r="E326" s="424">
        <f>估驗單!F319</f>
        <v>1</v>
      </c>
      <c r="F326" s="478">
        <f t="shared" si="36"/>
        <v>0</v>
      </c>
      <c r="G326" s="424">
        <v>322482.40999999997</v>
      </c>
      <c r="H326" s="424"/>
      <c r="I326" s="424">
        <f t="shared" si="40"/>
        <v>322482.40999999997</v>
      </c>
      <c r="J326" s="424">
        <f t="shared" si="41"/>
        <v>322482.40999999997</v>
      </c>
      <c r="K326" s="664">
        <f t="shared" si="35"/>
        <v>0</v>
      </c>
      <c r="L326" s="609"/>
      <c r="M326" s="264" t="s">
        <v>2630</v>
      </c>
      <c r="N326" s="11" t="s">
        <v>243</v>
      </c>
      <c r="O326" s="429"/>
      <c r="P326" s="427"/>
    </row>
    <row r="327" spans="1:16" s="413" customFormat="1" ht="33" hidden="1">
      <c r="A327" s="421" t="s">
        <v>2304</v>
      </c>
      <c r="B327" s="422" t="s">
        <v>938</v>
      </c>
      <c r="C327" s="423" t="s">
        <v>15</v>
      </c>
      <c r="D327" s="424">
        <v>17</v>
      </c>
      <c r="E327" s="424">
        <f>估驗單!F320</f>
        <v>17</v>
      </c>
      <c r="F327" s="478">
        <f t="shared" si="36"/>
        <v>0</v>
      </c>
      <c r="G327" s="424">
        <v>99994.55</v>
      </c>
      <c r="H327" s="424"/>
      <c r="I327" s="424">
        <f t="shared" si="40"/>
        <v>1699907.35</v>
      </c>
      <c r="J327" s="424">
        <f t="shared" si="41"/>
        <v>1699907.35</v>
      </c>
      <c r="K327" s="664">
        <f t="shared" si="35"/>
        <v>0</v>
      </c>
      <c r="L327" s="609"/>
      <c r="M327" s="264" t="s">
        <v>242</v>
      </c>
      <c r="N327" s="11" t="s">
        <v>243</v>
      </c>
      <c r="O327" s="429"/>
      <c r="P327" s="427"/>
    </row>
    <row r="328" spans="1:16" s="413" customFormat="1" ht="33" hidden="1">
      <c r="A328" s="421" t="s">
        <v>2305</v>
      </c>
      <c r="B328" s="422" t="s">
        <v>941</v>
      </c>
      <c r="C328" s="423" t="s">
        <v>583</v>
      </c>
      <c r="D328" s="424">
        <v>2</v>
      </c>
      <c r="E328" s="424">
        <f>估驗單!F321</f>
        <v>2</v>
      </c>
      <c r="F328" s="478">
        <f t="shared" si="36"/>
        <v>0</v>
      </c>
      <c r="G328" s="424">
        <v>14999.18</v>
      </c>
      <c r="H328" s="424"/>
      <c r="I328" s="424">
        <f t="shared" si="40"/>
        <v>29998.36</v>
      </c>
      <c r="J328" s="424">
        <f t="shared" si="41"/>
        <v>29998.36</v>
      </c>
      <c r="K328" s="664">
        <f t="shared" si="35"/>
        <v>0</v>
      </c>
      <c r="L328" s="609"/>
      <c r="M328" s="264" t="s">
        <v>2530</v>
      </c>
      <c r="N328" s="11" t="s">
        <v>243</v>
      </c>
      <c r="O328" s="429"/>
      <c r="P328" s="427"/>
    </row>
    <row r="329" spans="1:16" s="413" customFormat="1" ht="33" hidden="1">
      <c r="A329" s="421" t="s">
        <v>2306</v>
      </c>
      <c r="B329" s="422" t="s">
        <v>944</v>
      </c>
      <c r="C329" s="423" t="s">
        <v>15</v>
      </c>
      <c r="D329" s="424">
        <v>1</v>
      </c>
      <c r="E329" s="424">
        <f>估驗單!F322</f>
        <v>1</v>
      </c>
      <c r="F329" s="478">
        <f t="shared" si="36"/>
        <v>0</v>
      </c>
      <c r="G329" s="424">
        <v>1499.92</v>
      </c>
      <c r="H329" s="424"/>
      <c r="I329" s="424">
        <f t="shared" si="40"/>
        <v>1499.92</v>
      </c>
      <c r="J329" s="424">
        <f t="shared" si="41"/>
        <v>1499.92</v>
      </c>
      <c r="K329" s="664">
        <f t="shared" si="35"/>
        <v>0</v>
      </c>
      <c r="L329" s="609"/>
      <c r="M329" s="264" t="s">
        <v>2631</v>
      </c>
      <c r="N329" s="11" t="s">
        <v>243</v>
      </c>
      <c r="O329" s="429"/>
      <c r="P329" s="427"/>
    </row>
    <row r="330" spans="1:16" s="413" customFormat="1" ht="33" hidden="1">
      <c r="A330" s="421" t="s">
        <v>2307</v>
      </c>
      <c r="B330" s="422" t="s">
        <v>947</v>
      </c>
      <c r="C330" s="423" t="s">
        <v>19</v>
      </c>
      <c r="D330" s="424">
        <v>2</v>
      </c>
      <c r="E330" s="424">
        <f>估驗單!F323</f>
        <v>2</v>
      </c>
      <c r="F330" s="478">
        <f t="shared" si="36"/>
        <v>0</v>
      </c>
      <c r="G330" s="424">
        <v>2599.86</v>
      </c>
      <c r="H330" s="424"/>
      <c r="I330" s="424">
        <f t="shared" si="40"/>
        <v>5199.72</v>
      </c>
      <c r="J330" s="424">
        <f t="shared" si="41"/>
        <v>5199.72</v>
      </c>
      <c r="K330" s="664">
        <f t="shared" si="35"/>
        <v>0</v>
      </c>
      <c r="L330" s="609"/>
      <c r="M330" s="264" t="s">
        <v>242</v>
      </c>
      <c r="N330" s="11" t="s">
        <v>243</v>
      </c>
      <c r="O330" s="429"/>
      <c r="P330" s="427"/>
    </row>
    <row r="331" spans="1:16" ht="33" hidden="1">
      <c r="A331" s="421" t="s">
        <v>2308</v>
      </c>
      <c r="B331" s="422" t="s">
        <v>950</v>
      </c>
      <c r="C331" s="423" t="s">
        <v>19</v>
      </c>
      <c r="D331" s="424">
        <v>9</v>
      </c>
      <c r="E331" s="424">
        <f>估驗單!F324</f>
        <v>9</v>
      </c>
      <c r="F331" s="478">
        <f t="shared" si="36"/>
        <v>0</v>
      </c>
      <c r="G331" s="424">
        <v>4459.76</v>
      </c>
      <c r="H331" s="424"/>
      <c r="I331" s="424">
        <f t="shared" si="40"/>
        <v>40137.839999999997</v>
      </c>
      <c r="J331" s="424">
        <f t="shared" si="41"/>
        <v>40137.839999999997</v>
      </c>
      <c r="K331" s="664">
        <f t="shared" si="35"/>
        <v>0</v>
      </c>
      <c r="L331" s="609"/>
      <c r="M331" s="264" t="s">
        <v>242</v>
      </c>
      <c r="N331" s="11" t="s">
        <v>243</v>
      </c>
      <c r="O331" s="429"/>
      <c r="P331" s="427"/>
    </row>
    <row r="332" spans="1:16" ht="33" hidden="1">
      <c r="A332" s="421" t="s">
        <v>2309</v>
      </c>
      <c r="B332" s="422" t="s">
        <v>953</v>
      </c>
      <c r="C332" s="423" t="s">
        <v>8</v>
      </c>
      <c r="D332" s="424">
        <v>180</v>
      </c>
      <c r="E332" s="424">
        <f>估驗單!F325</f>
        <v>180</v>
      </c>
      <c r="F332" s="478">
        <f t="shared" si="36"/>
        <v>0</v>
      </c>
      <c r="G332" s="424">
        <v>596.98</v>
      </c>
      <c r="H332" s="424"/>
      <c r="I332" s="424">
        <f t="shared" si="40"/>
        <v>107456.4</v>
      </c>
      <c r="J332" s="424">
        <f t="shared" si="41"/>
        <v>107456.4</v>
      </c>
      <c r="K332" s="664">
        <f t="shared" si="35"/>
        <v>0</v>
      </c>
      <c r="L332" s="609"/>
      <c r="M332" s="264" t="s">
        <v>242</v>
      </c>
      <c r="N332" s="11" t="s">
        <v>243</v>
      </c>
      <c r="O332" s="429"/>
      <c r="P332" s="427"/>
    </row>
    <row r="333" spans="1:16" ht="33" hidden="1">
      <c r="A333" s="421" t="s">
        <v>2311</v>
      </c>
      <c r="B333" s="422" t="s">
        <v>956</v>
      </c>
      <c r="C333" s="423" t="s">
        <v>8</v>
      </c>
      <c r="D333" s="424">
        <v>60</v>
      </c>
      <c r="E333" s="424">
        <f>估驗單!F326</f>
        <v>60</v>
      </c>
      <c r="F333" s="478">
        <f t="shared" si="36"/>
        <v>0</v>
      </c>
      <c r="G333" s="424">
        <v>67.42</v>
      </c>
      <c r="H333" s="424"/>
      <c r="I333" s="424">
        <f t="shared" si="40"/>
        <v>4045.2</v>
      </c>
      <c r="J333" s="424">
        <f t="shared" si="41"/>
        <v>4045.2</v>
      </c>
      <c r="K333" s="664">
        <f t="shared" ref="K333:K396" si="42">J333-I333</f>
        <v>0</v>
      </c>
      <c r="L333" s="609"/>
      <c r="M333" s="264" t="s">
        <v>2530</v>
      </c>
      <c r="N333" s="11" t="s">
        <v>243</v>
      </c>
      <c r="O333" s="429"/>
      <c r="P333" s="427"/>
    </row>
    <row r="334" spans="1:16" ht="33" hidden="1">
      <c r="A334" s="421" t="s">
        <v>2312</v>
      </c>
      <c r="B334" s="422" t="s">
        <v>959</v>
      </c>
      <c r="C334" s="423" t="s">
        <v>8</v>
      </c>
      <c r="D334" s="424">
        <v>1032</v>
      </c>
      <c r="E334" s="424">
        <f>估驗單!F327</f>
        <v>1032</v>
      </c>
      <c r="F334" s="478">
        <f t="shared" si="36"/>
        <v>0</v>
      </c>
      <c r="G334" s="424">
        <v>29.42</v>
      </c>
      <c r="H334" s="424"/>
      <c r="I334" s="424">
        <f t="shared" si="40"/>
        <v>30361.439999999999</v>
      </c>
      <c r="J334" s="424">
        <f t="shared" si="41"/>
        <v>30361.439999999999</v>
      </c>
      <c r="K334" s="664">
        <f t="shared" si="42"/>
        <v>0</v>
      </c>
      <c r="L334" s="609"/>
      <c r="M334" s="264" t="s">
        <v>242</v>
      </c>
      <c r="N334" s="11" t="s">
        <v>243</v>
      </c>
      <c r="O334" s="429"/>
      <c r="P334" s="427"/>
    </row>
    <row r="335" spans="1:16" ht="33" hidden="1">
      <c r="A335" s="421" t="s">
        <v>2313</v>
      </c>
      <c r="B335" s="422" t="s">
        <v>962</v>
      </c>
      <c r="C335" s="423" t="s">
        <v>8</v>
      </c>
      <c r="D335" s="424">
        <v>1103</v>
      </c>
      <c r="E335" s="424">
        <f>估驗單!F328</f>
        <v>1103</v>
      </c>
      <c r="F335" s="478">
        <f t="shared" ref="F335:F413" si="43">E335-D335</f>
        <v>0</v>
      </c>
      <c r="G335" s="424">
        <v>147.1</v>
      </c>
      <c r="H335" s="424"/>
      <c r="I335" s="424">
        <f t="shared" si="40"/>
        <v>162251.29999999999</v>
      </c>
      <c r="J335" s="424">
        <f t="shared" si="41"/>
        <v>162251.29999999999</v>
      </c>
      <c r="K335" s="664">
        <f t="shared" si="42"/>
        <v>0</v>
      </c>
      <c r="L335" s="609"/>
      <c r="M335" s="264" t="s">
        <v>242</v>
      </c>
      <c r="N335" s="11" t="s">
        <v>243</v>
      </c>
      <c r="O335" s="429"/>
      <c r="P335" s="427"/>
    </row>
    <row r="336" spans="1:16" ht="42.75" hidden="1">
      <c r="A336" s="421" t="s">
        <v>2315</v>
      </c>
      <c r="B336" s="422" t="s">
        <v>219</v>
      </c>
      <c r="C336" s="423" t="s">
        <v>8</v>
      </c>
      <c r="D336" s="424">
        <v>2064</v>
      </c>
      <c r="E336" s="424">
        <f>估驗單!F329</f>
        <v>2064</v>
      </c>
      <c r="F336" s="478">
        <f t="shared" si="43"/>
        <v>0</v>
      </c>
      <c r="G336" s="424">
        <v>78.459999999999994</v>
      </c>
      <c r="H336" s="424"/>
      <c r="I336" s="424">
        <f t="shared" si="40"/>
        <v>161941.44</v>
      </c>
      <c r="J336" s="424">
        <f t="shared" si="41"/>
        <v>161941.44</v>
      </c>
      <c r="K336" s="664">
        <f t="shared" si="42"/>
        <v>0</v>
      </c>
      <c r="L336" s="609"/>
      <c r="M336" s="264" t="s">
        <v>242</v>
      </c>
      <c r="N336" s="11" t="s">
        <v>243</v>
      </c>
      <c r="O336" s="429"/>
      <c r="P336" s="427"/>
    </row>
    <row r="337" spans="1:17" ht="33" hidden="1">
      <c r="A337" s="421" t="s">
        <v>2316</v>
      </c>
      <c r="B337" s="422" t="s">
        <v>967</v>
      </c>
      <c r="C337" s="423" t="s">
        <v>4</v>
      </c>
      <c r="D337" s="424">
        <v>1</v>
      </c>
      <c r="E337" s="424">
        <f>估驗單!F330</f>
        <v>1</v>
      </c>
      <c r="F337" s="478">
        <f t="shared" si="43"/>
        <v>0</v>
      </c>
      <c r="G337" s="424">
        <v>24062.69</v>
      </c>
      <c r="H337" s="424"/>
      <c r="I337" s="424">
        <f t="shared" si="40"/>
        <v>24062.69</v>
      </c>
      <c r="J337" s="424">
        <f t="shared" si="41"/>
        <v>24062.69</v>
      </c>
      <c r="K337" s="664">
        <f t="shared" si="42"/>
        <v>0</v>
      </c>
      <c r="L337" s="609"/>
      <c r="M337" s="264" t="s">
        <v>2530</v>
      </c>
      <c r="N337" s="11" t="s">
        <v>243</v>
      </c>
      <c r="O337" s="429"/>
      <c r="P337" s="427"/>
    </row>
    <row r="338" spans="1:17" ht="33" hidden="1">
      <c r="A338" s="421" t="s">
        <v>2317</v>
      </c>
      <c r="B338" s="422" t="s">
        <v>970</v>
      </c>
      <c r="C338" s="423" t="s">
        <v>8</v>
      </c>
      <c r="D338" s="424">
        <v>1011</v>
      </c>
      <c r="E338" s="424">
        <f>估驗單!F331</f>
        <v>1011</v>
      </c>
      <c r="F338" s="478">
        <f t="shared" si="43"/>
        <v>0</v>
      </c>
      <c r="G338" s="424">
        <v>35.549999999999997</v>
      </c>
      <c r="H338" s="424"/>
      <c r="I338" s="424">
        <f t="shared" si="40"/>
        <v>35941.050000000003</v>
      </c>
      <c r="J338" s="424">
        <f t="shared" si="41"/>
        <v>35941.050000000003</v>
      </c>
      <c r="K338" s="664">
        <f t="shared" si="42"/>
        <v>0</v>
      </c>
      <c r="L338" s="609"/>
      <c r="M338" s="264" t="s">
        <v>242</v>
      </c>
      <c r="N338" s="11" t="s">
        <v>243</v>
      </c>
      <c r="O338" s="429"/>
      <c r="P338" s="427"/>
    </row>
    <row r="339" spans="1:17" ht="33" hidden="1">
      <c r="A339" s="421" t="s">
        <v>2318</v>
      </c>
      <c r="B339" s="422" t="s">
        <v>220</v>
      </c>
      <c r="C339" s="423" t="s">
        <v>8</v>
      </c>
      <c r="D339" s="424">
        <v>946</v>
      </c>
      <c r="E339" s="424">
        <f>估驗單!F332</f>
        <v>946</v>
      </c>
      <c r="F339" s="478">
        <f t="shared" si="43"/>
        <v>0</v>
      </c>
      <c r="G339" s="424">
        <v>60.07</v>
      </c>
      <c r="H339" s="424"/>
      <c r="I339" s="424">
        <f t="shared" si="40"/>
        <v>56826.22</v>
      </c>
      <c r="J339" s="424">
        <f t="shared" si="41"/>
        <v>56826.22</v>
      </c>
      <c r="K339" s="664">
        <f t="shared" si="42"/>
        <v>0</v>
      </c>
      <c r="L339" s="609"/>
      <c r="M339" s="264" t="s">
        <v>2530</v>
      </c>
      <c r="N339" s="11" t="s">
        <v>243</v>
      </c>
      <c r="O339" s="429"/>
      <c r="P339" s="427"/>
    </row>
    <row r="340" spans="1:17" ht="33" hidden="1">
      <c r="A340" s="421" t="s">
        <v>2319</v>
      </c>
      <c r="B340" s="422" t="s">
        <v>975</v>
      </c>
      <c r="C340" s="423" t="s">
        <v>8</v>
      </c>
      <c r="D340" s="424">
        <v>55</v>
      </c>
      <c r="E340" s="424">
        <f>估驗單!F333</f>
        <v>55</v>
      </c>
      <c r="F340" s="478">
        <f t="shared" si="43"/>
        <v>0</v>
      </c>
      <c r="G340" s="424">
        <v>125.03</v>
      </c>
      <c r="H340" s="424"/>
      <c r="I340" s="424">
        <f t="shared" si="40"/>
        <v>6876.65</v>
      </c>
      <c r="J340" s="424">
        <f t="shared" si="41"/>
        <v>6876.65</v>
      </c>
      <c r="K340" s="664">
        <f t="shared" si="42"/>
        <v>0</v>
      </c>
      <c r="L340" s="609"/>
      <c r="M340" s="264" t="s">
        <v>242</v>
      </c>
      <c r="N340" s="11" t="s">
        <v>243</v>
      </c>
      <c r="O340" s="429"/>
      <c r="P340" s="427"/>
    </row>
    <row r="341" spans="1:17" ht="33" hidden="1">
      <c r="A341" s="421" t="s">
        <v>2320</v>
      </c>
      <c r="B341" s="422" t="s">
        <v>978</v>
      </c>
      <c r="C341" s="423" t="s">
        <v>8</v>
      </c>
      <c r="D341" s="424">
        <v>22</v>
      </c>
      <c r="E341" s="424">
        <f>估驗單!F334</f>
        <v>22</v>
      </c>
      <c r="F341" s="478">
        <f t="shared" si="43"/>
        <v>0</v>
      </c>
      <c r="G341" s="424">
        <v>178.97</v>
      </c>
      <c r="H341" s="424"/>
      <c r="I341" s="424">
        <f t="shared" si="40"/>
        <v>3937.34</v>
      </c>
      <c r="J341" s="424">
        <f t="shared" si="41"/>
        <v>3937.34</v>
      </c>
      <c r="K341" s="664">
        <f t="shared" si="42"/>
        <v>0</v>
      </c>
      <c r="L341" s="609"/>
      <c r="M341" s="264" t="s">
        <v>242</v>
      </c>
      <c r="N341" s="11" t="s">
        <v>243</v>
      </c>
      <c r="O341" s="429"/>
      <c r="P341" s="427"/>
    </row>
    <row r="342" spans="1:17" ht="33" hidden="1">
      <c r="A342" s="421" t="s">
        <v>2321</v>
      </c>
      <c r="B342" s="422" t="s">
        <v>981</v>
      </c>
      <c r="C342" s="423" t="s">
        <v>4</v>
      </c>
      <c r="D342" s="424">
        <v>1</v>
      </c>
      <c r="E342" s="424">
        <f>估驗單!F335</f>
        <v>1</v>
      </c>
      <c r="F342" s="478">
        <f t="shared" si="43"/>
        <v>0</v>
      </c>
      <c r="G342" s="424">
        <v>19812.919999999998</v>
      </c>
      <c r="H342" s="424"/>
      <c r="I342" s="424">
        <f t="shared" si="40"/>
        <v>19812.919999999998</v>
      </c>
      <c r="J342" s="424">
        <f t="shared" si="41"/>
        <v>19812.919999999998</v>
      </c>
      <c r="K342" s="664">
        <f t="shared" si="42"/>
        <v>0</v>
      </c>
      <c r="L342" s="609"/>
      <c r="M342" s="264" t="s">
        <v>242</v>
      </c>
      <c r="N342" s="11" t="s">
        <v>243</v>
      </c>
      <c r="O342" s="429"/>
      <c r="P342" s="427"/>
    </row>
    <row r="343" spans="1:17" ht="33" hidden="1">
      <c r="A343" s="421" t="s">
        <v>2322</v>
      </c>
      <c r="B343" s="422" t="s">
        <v>984</v>
      </c>
      <c r="C343" s="423" t="s">
        <v>4</v>
      </c>
      <c r="D343" s="424">
        <v>1</v>
      </c>
      <c r="E343" s="424">
        <f>估驗單!F336</f>
        <v>1</v>
      </c>
      <c r="F343" s="478">
        <f t="shared" si="43"/>
        <v>0</v>
      </c>
      <c r="G343" s="424">
        <v>29571.39</v>
      </c>
      <c r="H343" s="424"/>
      <c r="I343" s="424">
        <f t="shared" si="40"/>
        <v>29571.39</v>
      </c>
      <c r="J343" s="424">
        <f t="shared" si="41"/>
        <v>29571.39</v>
      </c>
      <c r="K343" s="664">
        <f t="shared" si="42"/>
        <v>0</v>
      </c>
      <c r="L343" s="609"/>
      <c r="M343" s="264" t="s">
        <v>242</v>
      </c>
      <c r="N343" s="11" t="s">
        <v>243</v>
      </c>
      <c r="O343" s="429"/>
      <c r="P343" s="427"/>
    </row>
    <row r="344" spans="1:17" ht="33">
      <c r="A344" s="494" t="s">
        <v>2383</v>
      </c>
      <c r="B344" s="495" t="s">
        <v>987</v>
      </c>
      <c r="C344" s="496" t="s">
        <v>4</v>
      </c>
      <c r="D344" s="497"/>
      <c r="E344" s="497"/>
      <c r="F344" s="498">
        <f t="shared" si="43"/>
        <v>0</v>
      </c>
      <c r="G344" s="497">
        <f>I344</f>
        <v>11249747.310000001</v>
      </c>
      <c r="H344" s="497"/>
      <c r="I344" s="539">
        <f t="shared" ref="I344:L344" si="44">SUM(I345:I353)</f>
        <v>11249747.310000001</v>
      </c>
      <c r="J344" s="539">
        <f t="shared" si="44"/>
        <v>12704058.890000001</v>
      </c>
      <c r="K344" s="661">
        <f t="shared" si="44"/>
        <v>1454311.5800000003</v>
      </c>
      <c r="L344" s="653">
        <f t="shared" si="44"/>
        <v>0</v>
      </c>
      <c r="M344" s="356" t="s">
        <v>242</v>
      </c>
      <c r="N344" s="11" t="s">
        <v>243</v>
      </c>
      <c r="O344" s="429"/>
      <c r="P344" s="427"/>
    </row>
    <row r="345" spans="1:17" ht="33" hidden="1">
      <c r="A345" s="421" t="s">
        <v>2288</v>
      </c>
      <c r="B345" s="422" t="s">
        <v>989</v>
      </c>
      <c r="C345" s="423" t="s">
        <v>8</v>
      </c>
      <c r="D345" s="428">
        <f>估驗單!E338</f>
        <v>2576.8000000000002</v>
      </c>
      <c r="E345" s="424">
        <f>估驗單!F338</f>
        <v>2576.8000000000002</v>
      </c>
      <c r="F345" s="478">
        <f t="shared" si="43"/>
        <v>0</v>
      </c>
      <c r="G345" s="428">
        <v>247.19</v>
      </c>
      <c r="H345" s="428"/>
      <c r="I345" s="424">
        <f t="shared" ref="I345:I353" si="45">ROUND(D345*G345,2)</f>
        <v>636959.18999999994</v>
      </c>
      <c r="J345" s="424">
        <f t="shared" ref="J345:J353" si="46">ROUND(E345*G345,2)</f>
        <v>636959.18999999994</v>
      </c>
      <c r="K345" s="664">
        <f t="shared" si="42"/>
        <v>0</v>
      </c>
      <c r="L345" s="609"/>
      <c r="M345" s="264" t="s">
        <v>2632</v>
      </c>
      <c r="N345" s="11" t="s">
        <v>243</v>
      </c>
      <c r="O345" s="436" t="s">
        <v>2574</v>
      </c>
      <c r="P345" s="427" t="s">
        <v>2633</v>
      </c>
      <c r="Q345" s="430" t="s">
        <v>2550</v>
      </c>
    </row>
    <row r="346" spans="1:17" ht="33" hidden="1">
      <c r="A346" s="421" t="s">
        <v>2289</v>
      </c>
      <c r="B346" s="422" t="s">
        <v>992</v>
      </c>
      <c r="C346" s="423" t="s">
        <v>8</v>
      </c>
      <c r="D346" s="428">
        <f>估驗單!E339</f>
        <v>2576.8000000000002</v>
      </c>
      <c r="E346" s="424">
        <f>估驗單!F339</f>
        <v>2576.8000000000002</v>
      </c>
      <c r="F346" s="478">
        <f t="shared" si="43"/>
        <v>0</v>
      </c>
      <c r="G346" s="428">
        <v>236.89</v>
      </c>
      <c r="H346" s="428"/>
      <c r="I346" s="424">
        <f t="shared" si="45"/>
        <v>610418.15</v>
      </c>
      <c r="J346" s="424">
        <f t="shared" si="46"/>
        <v>610418.15</v>
      </c>
      <c r="K346" s="664">
        <f t="shared" si="42"/>
        <v>0</v>
      </c>
      <c r="L346" s="609"/>
      <c r="M346" s="264" t="s">
        <v>242</v>
      </c>
      <c r="N346" s="11" t="s">
        <v>243</v>
      </c>
      <c r="O346" s="436" t="s">
        <v>2574</v>
      </c>
      <c r="P346" s="427" t="s">
        <v>2633</v>
      </c>
      <c r="Q346" s="430" t="s">
        <v>2550</v>
      </c>
    </row>
    <row r="347" spans="1:17" s="413" customFormat="1" ht="45" hidden="1">
      <c r="A347" s="421" t="s">
        <v>2290</v>
      </c>
      <c r="B347" s="422" t="s">
        <v>995</v>
      </c>
      <c r="C347" s="423" t="s">
        <v>13</v>
      </c>
      <c r="D347" s="428">
        <f>估驗單!E340</f>
        <v>9215</v>
      </c>
      <c r="E347" s="424">
        <f>估驗單!F340</f>
        <v>9215</v>
      </c>
      <c r="F347" s="478">
        <f t="shared" si="43"/>
        <v>0</v>
      </c>
      <c r="G347" s="424">
        <v>252.34</v>
      </c>
      <c r="H347" s="424"/>
      <c r="I347" s="424">
        <f t="shared" si="45"/>
        <v>2325313.1</v>
      </c>
      <c r="J347" s="424">
        <f t="shared" si="46"/>
        <v>2325313.1</v>
      </c>
      <c r="K347" s="664">
        <f t="shared" si="42"/>
        <v>0</v>
      </c>
      <c r="L347" s="609"/>
      <c r="M347" s="264" t="s">
        <v>242</v>
      </c>
      <c r="N347" s="11" t="s">
        <v>243</v>
      </c>
      <c r="O347" s="429" t="s">
        <v>2634</v>
      </c>
      <c r="P347" s="427" t="s">
        <v>2635</v>
      </c>
      <c r="Q347" s="413" t="s">
        <v>2636</v>
      </c>
    </row>
    <row r="348" spans="1:17" s="413" customFormat="1" ht="42.75" hidden="1">
      <c r="A348" s="421" t="s">
        <v>2291</v>
      </c>
      <c r="B348" s="422" t="s">
        <v>998</v>
      </c>
      <c r="C348" s="423" t="s">
        <v>4</v>
      </c>
      <c r="D348" s="428">
        <f>估驗單!E341</f>
        <v>1</v>
      </c>
      <c r="E348" s="424">
        <f>估驗單!F341</f>
        <v>1</v>
      </c>
      <c r="F348" s="478">
        <f t="shared" si="43"/>
        <v>0</v>
      </c>
      <c r="G348" s="424">
        <v>349980.91</v>
      </c>
      <c r="H348" s="424"/>
      <c r="I348" s="424">
        <f t="shared" si="45"/>
        <v>349980.91</v>
      </c>
      <c r="J348" s="424">
        <f t="shared" si="46"/>
        <v>349980.91</v>
      </c>
      <c r="K348" s="664">
        <f t="shared" si="42"/>
        <v>0</v>
      </c>
      <c r="L348" s="609"/>
      <c r="M348" s="264" t="s">
        <v>2637</v>
      </c>
      <c r="N348" s="11" t="s">
        <v>243</v>
      </c>
      <c r="O348" s="429"/>
      <c r="P348" s="427"/>
    </row>
    <row r="349" spans="1:17" s="413" customFormat="1" ht="33">
      <c r="A349" s="610" t="s">
        <v>2292</v>
      </c>
      <c r="B349" s="611" t="s">
        <v>1001</v>
      </c>
      <c r="C349" s="612" t="s">
        <v>16</v>
      </c>
      <c r="D349" s="622">
        <f>估驗單!E342</f>
        <v>2052</v>
      </c>
      <c r="E349" s="613">
        <f>估驗單!F342</f>
        <v>2752</v>
      </c>
      <c r="F349" s="614">
        <f t="shared" si="43"/>
        <v>700</v>
      </c>
      <c r="G349" s="613">
        <v>931.07</v>
      </c>
      <c r="H349" s="613"/>
      <c r="I349" s="613">
        <f t="shared" si="45"/>
        <v>1910555.64</v>
      </c>
      <c r="J349" s="613">
        <f t="shared" si="46"/>
        <v>2562304.64</v>
      </c>
      <c r="K349" s="665">
        <f t="shared" si="42"/>
        <v>651749.00000000023</v>
      </c>
      <c r="L349" s="617"/>
      <c r="M349" s="615" t="s">
        <v>2638</v>
      </c>
      <c r="N349" s="11" t="s">
        <v>243</v>
      </c>
      <c r="O349" s="429"/>
      <c r="P349" s="427"/>
    </row>
    <row r="350" spans="1:17" s="413" customFormat="1" ht="33.75">
      <c r="A350" s="610" t="s">
        <v>2293</v>
      </c>
      <c r="B350" s="611" t="s">
        <v>728</v>
      </c>
      <c r="C350" s="612" t="s">
        <v>6</v>
      </c>
      <c r="D350" s="622">
        <f>估驗單!E343</f>
        <v>720</v>
      </c>
      <c r="E350" s="613">
        <f>估驗單!F343</f>
        <v>957</v>
      </c>
      <c r="F350" s="614">
        <f t="shared" si="43"/>
        <v>237</v>
      </c>
      <c r="G350" s="613">
        <v>3386.34</v>
      </c>
      <c r="H350" s="613"/>
      <c r="I350" s="613">
        <f t="shared" si="45"/>
        <v>2438164.7999999998</v>
      </c>
      <c r="J350" s="613">
        <f t="shared" si="46"/>
        <v>3240727.38</v>
      </c>
      <c r="K350" s="665">
        <f t="shared" si="42"/>
        <v>802562.58000000007</v>
      </c>
      <c r="L350" s="617"/>
      <c r="M350" s="615" t="s">
        <v>242</v>
      </c>
      <c r="N350" s="11" t="s">
        <v>243</v>
      </c>
      <c r="O350" s="429" t="s">
        <v>2639</v>
      </c>
      <c r="P350" s="427" t="s">
        <v>2640</v>
      </c>
      <c r="Q350" s="430" t="s">
        <v>2550</v>
      </c>
    </row>
    <row r="351" spans="1:17" s="413" customFormat="1" ht="42.75" hidden="1">
      <c r="A351" s="421" t="s">
        <v>2294</v>
      </c>
      <c r="B351" s="422" t="s">
        <v>1515</v>
      </c>
      <c r="C351" s="423" t="s">
        <v>8</v>
      </c>
      <c r="D351" s="424">
        <v>132</v>
      </c>
      <c r="E351" s="424">
        <f>估驗單!F344</f>
        <v>132</v>
      </c>
      <c r="F351" s="478">
        <f t="shared" si="43"/>
        <v>0</v>
      </c>
      <c r="G351" s="424">
        <v>5107.6000000000004</v>
      </c>
      <c r="H351" s="424"/>
      <c r="I351" s="424">
        <f t="shared" si="45"/>
        <v>674203.2</v>
      </c>
      <c r="J351" s="424">
        <f t="shared" si="46"/>
        <v>674203.2</v>
      </c>
      <c r="K351" s="664">
        <f t="shared" si="42"/>
        <v>0</v>
      </c>
      <c r="L351" s="609"/>
      <c r="M351" s="264" t="s">
        <v>2641</v>
      </c>
      <c r="N351" s="11" t="s">
        <v>243</v>
      </c>
      <c r="O351" s="429"/>
      <c r="P351" s="427"/>
    </row>
    <row r="352" spans="1:17" s="413" customFormat="1" ht="42.75" hidden="1">
      <c r="A352" s="421" t="s">
        <v>2295</v>
      </c>
      <c r="B352" s="422" t="s">
        <v>1517</v>
      </c>
      <c r="C352" s="423" t="s">
        <v>8</v>
      </c>
      <c r="D352" s="424">
        <v>106</v>
      </c>
      <c r="E352" s="424">
        <f>估驗單!F345</f>
        <v>106</v>
      </c>
      <c r="F352" s="478">
        <f t="shared" si="43"/>
        <v>0</v>
      </c>
      <c r="G352" s="424">
        <v>7385.08</v>
      </c>
      <c r="H352" s="424"/>
      <c r="I352" s="424">
        <f t="shared" si="45"/>
        <v>782818.48</v>
      </c>
      <c r="J352" s="424">
        <f t="shared" si="46"/>
        <v>782818.48</v>
      </c>
      <c r="K352" s="664">
        <f t="shared" si="42"/>
        <v>0</v>
      </c>
      <c r="L352" s="609"/>
      <c r="M352" s="264" t="s">
        <v>2641</v>
      </c>
      <c r="N352" s="11" t="s">
        <v>243</v>
      </c>
      <c r="O352" s="429"/>
      <c r="P352" s="427"/>
    </row>
    <row r="353" spans="1:19" s="413" customFormat="1" ht="42.75" hidden="1">
      <c r="A353" s="421" t="s">
        <v>2296</v>
      </c>
      <c r="B353" s="422" t="s">
        <v>1519</v>
      </c>
      <c r="C353" s="423" t="s">
        <v>8</v>
      </c>
      <c r="D353" s="424">
        <v>156</v>
      </c>
      <c r="E353" s="424">
        <f>估驗單!F346</f>
        <v>156</v>
      </c>
      <c r="F353" s="478">
        <f t="shared" si="43"/>
        <v>0</v>
      </c>
      <c r="G353" s="424">
        <v>9752.14</v>
      </c>
      <c r="H353" s="424"/>
      <c r="I353" s="424">
        <f t="shared" si="45"/>
        <v>1521333.84</v>
      </c>
      <c r="J353" s="424">
        <f t="shared" si="46"/>
        <v>1521333.84</v>
      </c>
      <c r="K353" s="664">
        <f t="shared" si="42"/>
        <v>0</v>
      </c>
      <c r="L353" s="609"/>
      <c r="M353" s="264" t="s">
        <v>2642</v>
      </c>
      <c r="N353" s="11" t="s">
        <v>243</v>
      </c>
      <c r="O353" s="429"/>
      <c r="P353" s="427"/>
    </row>
    <row r="354" spans="1:19" s="413" customFormat="1" ht="33">
      <c r="A354" s="494" t="s">
        <v>2384</v>
      </c>
      <c r="B354" s="495" t="s">
        <v>11</v>
      </c>
      <c r="C354" s="496" t="s">
        <v>4</v>
      </c>
      <c r="D354" s="497"/>
      <c r="E354" s="497">
        <f>估驗單!F347</f>
        <v>0</v>
      </c>
      <c r="F354" s="498">
        <f t="shared" si="43"/>
        <v>0</v>
      </c>
      <c r="G354" s="497">
        <f>I354</f>
        <v>19449714.099999998</v>
      </c>
      <c r="H354" s="497"/>
      <c r="I354" s="497">
        <f>SUM(I355:I379)</f>
        <v>19449714.099999998</v>
      </c>
      <c r="J354" s="497">
        <f>SUM(J355:J379)</f>
        <v>20349665.000000004</v>
      </c>
      <c r="K354" s="660">
        <f>SUM(K355:K379)</f>
        <v>899950.90000000037</v>
      </c>
      <c r="L354" s="650">
        <f t="shared" ref="L354" si="47">SUM(L355:L364)</f>
        <v>0</v>
      </c>
      <c r="M354" s="356" t="s">
        <v>242</v>
      </c>
      <c r="N354" s="11" t="s">
        <v>243</v>
      </c>
      <c r="O354" s="429"/>
      <c r="P354" s="427"/>
    </row>
    <row r="355" spans="1:19" s="413" customFormat="1" ht="33" hidden="1">
      <c r="A355" s="421" t="s">
        <v>2288</v>
      </c>
      <c r="B355" s="422" t="s">
        <v>1004</v>
      </c>
      <c r="C355" s="423" t="s">
        <v>4</v>
      </c>
      <c r="D355" s="424">
        <v>1</v>
      </c>
      <c r="E355" s="424">
        <f>估驗單!F348</f>
        <v>1</v>
      </c>
      <c r="F355" s="478">
        <f t="shared" si="43"/>
        <v>0</v>
      </c>
      <c r="G355" s="424">
        <v>716633.92</v>
      </c>
      <c r="H355" s="424"/>
      <c r="I355" s="424">
        <f t="shared" ref="I355:I379" si="48">ROUND(D355*G355,2)</f>
        <v>716633.92</v>
      </c>
      <c r="J355" s="424">
        <f t="shared" ref="J355:J379" si="49">ROUND(E355*G355,2)</f>
        <v>716633.92</v>
      </c>
      <c r="K355" s="664">
        <f t="shared" si="42"/>
        <v>0</v>
      </c>
      <c r="L355" s="609"/>
      <c r="M355" s="264" t="s">
        <v>2530</v>
      </c>
      <c r="N355" s="11" t="s">
        <v>243</v>
      </c>
      <c r="O355" s="429"/>
      <c r="P355" s="427"/>
    </row>
    <row r="356" spans="1:19" s="413" customFormat="1" ht="33" hidden="1">
      <c r="A356" s="421" t="s">
        <v>2289</v>
      </c>
      <c r="B356" s="422" t="s">
        <v>1006</v>
      </c>
      <c r="C356" s="423" t="s">
        <v>1007</v>
      </c>
      <c r="D356" s="424">
        <v>7</v>
      </c>
      <c r="E356" s="424">
        <f>估驗單!F349</f>
        <v>7</v>
      </c>
      <c r="F356" s="478">
        <f t="shared" si="43"/>
        <v>0</v>
      </c>
      <c r="G356" s="424">
        <v>49997.27</v>
      </c>
      <c r="H356" s="424"/>
      <c r="I356" s="424">
        <f t="shared" si="48"/>
        <v>349980.89</v>
      </c>
      <c r="J356" s="424">
        <f t="shared" si="49"/>
        <v>349980.89</v>
      </c>
      <c r="K356" s="664">
        <f t="shared" si="42"/>
        <v>0</v>
      </c>
      <c r="L356" s="609"/>
      <c r="M356" s="264" t="s">
        <v>242</v>
      </c>
      <c r="N356" s="11" t="s">
        <v>243</v>
      </c>
      <c r="O356" s="429"/>
      <c r="P356" s="427"/>
    </row>
    <row r="357" spans="1:19" s="413" customFormat="1" ht="57" hidden="1">
      <c r="A357" s="421" t="s">
        <v>2290</v>
      </c>
      <c r="B357" s="422" t="s">
        <v>1009</v>
      </c>
      <c r="C357" s="423" t="s">
        <v>1010</v>
      </c>
      <c r="D357" s="424">
        <v>2230</v>
      </c>
      <c r="E357" s="424">
        <f>估驗單!F350</f>
        <v>2230</v>
      </c>
      <c r="F357" s="478">
        <f t="shared" si="43"/>
        <v>0</v>
      </c>
      <c r="G357" s="424">
        <v>805.95</v>
      </c>
      <c r="H357" s="424"/>
      <c r="I357" s="424">
        <f t="shared" si="48"/>
        <v>1797268.5</v>
      </c>
      <c r="J357" s="424">
        <f t="shared" si="49"/>
        <v>1797268.5</v>
      </c>
      <c r="K357" s="664">
        <f t="shared" si="42"/>
        <v>0</v>
      </c>
      <c r="L357" s="609"/>
      <c r="M357" s="264" t="s">
        <v>2643</v>
      </c>
      <c r="N357" s="11" t="s">
        <v>243</v>
      </c>
      <c r="O357" s="452" t="s">
        <v>2644</v>
      </c>
      <c r="P357" s="461"/>
      <c r="Q357" s="430" t="s">
        <v>2550</v>
      </c>
      <c r="S357" s="462"/>
    </row>
    <row r="358" spans="1:19" s="413" customFormat="1" ht="33" hidden="1">
      <c r="A358" s="421" t="s">
        <v>2291</v>
      </c>
      <c r="B358" s="422" t="s">
        <v>1012</v>
      </c>
      <c r="C358" s="423" t="s">
        <v>1007</v>
      </c>
      <c r="D358" s="424">
        <v>4</v>
      </c>
      <c r="E358" s="424">
        <f>估驗單!F351</f>
        <v>4</v>
      </c>
      <c r="F358" s="478">
        <f t="shared" si="43"/>
        <v>0</v>
      </c>
      <c r="G358" s="424">
        <v>49997.27</v>
      </c>
      <c r="H358" s="424"/>
      <c r="I358" s="424">
        <f t="shared" si="48"/>
        <v>199989.08</v>
      </c>
      <c r="J358" s="424">
        <f t="shared" si="49"/>
        <v>199989.08</v>
      </c>
      <c r="K358" s="664">
        <f t="shared" si="42"/>
        <v>0</v>
      </c>
      <c r="L358" s="609"/>
      <c r="M358" s="264" t="s">
        <v>242</v>
      </c>
      <c r="N358" s="11" t="s">
        <v>243</v>
      </c>
      <c r="O358" s="429"/>
      <c r="P358" s="427"/>
    </row>
    <row r="359" spans="1:19" s="413" customFormat="1" ht="33">
      <c r="A359" s="610" t="s">
        <v>2292</v>
      </c>
      <c r="B359" s="611" t="s">
        <v>1014</v>
      </c>
      <c r="C359" s="612" t="s">
        <v>1015</v>
      </c>
      <c r="D359" s="613">
        <v>19</v>
      </c>
      <c r="E359" s="613">
        <f>估驗單!F352</f>
        <v>24</v>
      </c>
      <c r="F359" s="614">
        <f t="shared" si="43"/>
        <v>5</v>
      </c>
      <c r="G359" s="613">
        <v>179990.18</v>
      </c>
      <c r="H359" s="613"/>
      <c r="I359" s="613">
        <f t="shared" si="48"/>
        <v>3419813.42</v>
      </c>
      <c r="J359" s="613">
        <f t="shared" si="49"/>
        <v>4319764.32</v>
      </c>
      <c r="K359" s="665">
        <f t="shared" si="42"/>
        <v>899950.90000000037</v>
      </c>
      <c r="L359" s="617"/>
      <c r="M359" s="627" t="s">
        <v>2871</v>
      </c>
      <c r="N359" s="11" t="s">
        <v>243</v>
      </c>
      <c r="O359" s="429"/>
      <c r="P359" s="427"/>
    </row>
    <row r="360" spans="1:19" s="413" customFormat="1" ht="33" hidden="1">
      <c r="A360" s="421" t="s">
        <v>2293</v>
      </c>
      <c r="B360" s="422" t="s">
        <v>1017</v>
      </c>
      <c r="C360" s="423" t="s">
        <v>4</v>
      </c>
      <c r="D360" s="424">
        <v>1</v>
      </c>
      <c r="E360" s="424">
        <f>估驗單!F353</f>
        <v>1</v>
      </c>
      <c r="F360" s="478">
        <f t="shared" si="43"/>
        <v>0</v>
      </c>
      <c r="G360" s="424">
        <v>205971.45</v>
      </c>
      <c r="H360" s="424"/>
      <c r="I360" s="424">
        <f t="shared" si="48"/>
        <v>205971.45</v>
      </c>
      <c r="J360" s="424">
        <f t="shared" si="49"/>
        <v>205971.45</v>
      </c>
      <c r="K360" s="664">
        <f t="shared" si="42"/>
        <v>0</v>
      </c>
      <c r="L360" s="609"/>
      <c r="M360" s="264" t="s">
        <v>2530</v>
      </c>
      <c r="N360" s="11" t="s">
        <v>243</v>
      </c>
      <c r="O360" s="429"/>
      <c r="P360" s="427"/>
    </row>
    <row r="361" spans="1:19" s="413" customFormat="1" ht="33" hidden="1">
      <c r="A361" s="421" t="s">
        <v>2294</v>
      </c>
      <c r="B361" s="422" t="s">
        <v>1019</v>
      </c>
      <c r="C361" s="423" t="s">
        <v>4</v>
      </c>
      <c r="D361" s="424">
        <v>1</v>
      </c>
      <c r="E361" s="424">
        <f>估驗單!F354</f>
        <v>1</v>
      </c>
      <c r="F361" s="478">
        <f t="shared" si="43"/>
        <v>0</v>
      </c>
      <c r="G361" s="424">
        <v>2424867.7599999998</v>
      </c>
      <c r="H361" s="424"/>
      <c r="I361" s="424">
        <f t="shared" si="48"/>
        <v>2424867.7599999998</v>
      </c>
      <c r="J361" s="424">
        <f t="shared" si="49"/>
        <v>2424867.7599999998</v>
      </c>
      <c r="K361" s="664">
        <f t="shared" si="42"/>
        <v>0</v>
      </c>
      <c r="L361" s="609"/>
      <c r="M361" s="264" t="s">
        <v>2530</v>
      </c>
      <c r="N361" s="11" t="s">
        <v>243</v>
      </c>
      <c r="O361" s="429"/>
      <c r="P361" s="427"/>
    </row>
    <row r="362" spans="1:19" s="413" customFormat="1" ht="33" hidden="1">
      <c r="A362" s="421" t="s">
        <v>2295</v>
      </c>
      <c r="B362" s="422" t="s">
        <v>1021</v>
      </c>
      <c r="C362" s="423" t="s">
        <v>4</v>
      </c>
      <c r="D362" s="424">
        <v>1</v>
      </c>
      <c r="E362" s="424">
        <f>估驗單!F355</f>
        <v>1</v>
      </c>
      <c r="F362" s="478">
        <f t="shared" si="43"/>
        <v>0</v>
      </c>
      <c r="G362" s="424">
        <v>349980.91</v>
      </c>
      <c r="H362" s="424"/>
      <c r="I362" s="424">
        <f t="shared" si="48"/>
        <v>349980.91</v>
      </c>
      <c r="J362" s="424">
        <f t="shared" si="49"/>
        <v>349980.91</v>
      </c>
      <c r="K362" s="664">
        <f t="shared" si="42"/>
        <v>0</v>
      </c>
      <c r="L362" s="609"/>
      <c r="M362" s="264" t="s">
        <v>242</v>
      </c>
      <c r="N362" s="11" t="s">
        <v>243</v>
      </c>
      <c r="O362" s="429"/>
      <c r="P362" s="427"/>
    </row>
    <row r="363" spans="1:19" s="463" customFormat="1" ht="33.75" hidden="1">
      <c r="A363" s="431" t="s">
        <v>2296</v>
      </c>
      <c r="B363" s="432" t="s">
        <v>1534</v>
      </c>
      <c r="C363" s="433" t="s">
        <v>13</v>
      </c>
      <c r="D363" s="428">
        <v>464</v>
      </c>
      <c r="E363" s="424">
        <f>估驗單!F356</f>
        <v>464</v>
      </c>
      <c r="F363" s="478">
        <f t="shared" si="43"/>
        <v>0</v>
      </c>
      <c r="G363" s="428">
        <v>15384.09</v>
      </c>
      <c r="H363" s="428"/>
      <c r="I363" s="424">
        <f t="shared" si="48"/>
        <v>7138217.7599999998</v>
      </c>
      <c r="J363" s="424">
        <f t="shared" si="49"/>
        <v>7138217.7599999998</v>
      </c>
      <c r="K363" s="664">
        <f t="shared" si="42"/>
        <v>0</v>
      </c>
      <c r="L363" s="609"/>
      <c r="M363" s="434" t="s">
        <v>242</v>
      </c>
      <c r="N363" s="435" t="s">
        <v>243</v>
      </c>
      <c r="O363" s="442"/>
      <c r="P363" s="437"/>
      <c r="Q363" s="463" t="s">
        <v>2645</v>
      </c>
    </row>
    <row r="364" spans="1:19" s="456" customFormat="1" ht="28.5" hidden="1" customHeight="1">
      <c r="A364" s="421">
        <v>10</v>
      </c>
      <c r="B364" s="422" t="s">
        <v>2646</v>
      </c>
      <c r="C364" s="423" t="s">
        <v>2562</v>
      </c>
      <c r="D364" s="424">
        <v>2</v>
      </c>
      <c r="E364" s="424">
        <f>估驗單!F357</f>
        <v>2</v>
      </c>
      <c r="F364" s="478">
        <f t="shared" si="43"/>
        <v>0</v>
      </c>
      <c r="G364" s="424">
        <v>60994.76</v>
      </c>
      <c r="H364" s="424"/>
      <c r="I364" s="424">
        <f t="shared" si="48"/>
        <v>121989.52</v>
      </c>
      <c r="J364" s="424">
        <f t="shared" si="49"/>
        <v>121989.52</v>
      </c>
      <c r="K364" s="664">
        <f t="shared" si="42"/>
        <v>0</v>
      </c>
      <c r="L364" s="609"/>
      <c r="M364" s="264" t="s">
        <v>2647</v>
      </c>
      <c r="N364" s="11"/>
      <c r="O364" s="452" t="s">
        <v>2648</v>
      </c>
      <c r="P364" s="461"/>
      <c r="Q364" s="430" t="s">
        <v>2550</v>
      </c>
    </row>
    <row r="365" spans="1:19" s="456" customFormat="1" ht="28.5" hidden="1" customHeight="1">
      <c r="A365" s="421">
        <v>11</v>
      </c>
      <c r="B365" s="516" t="s">
        <v>2802</v>
      </c>
      <c r="C365" s="517" t="s">
        <v>16</v>
      </c>
      <c r="D365" s="518">
        <v>129</v>
      </c>
      <c r="E365" s="518">
        <v>129</v>
      </c>
      <c r="F365" s="519"/>
      <c r="G365" s="607">
        <v>1159.8599999999999</v>
      </c>
      <c r="H365" s="607"/>
      <c r="I365" s="424">
        <f t="shared" si="48"/>
        <v>149621.94</v>
      </c>
      <c r="J365" s="424">
        <f t="shared" si="49"/>
        <v>149621.94</v>
      </c>
      <c r="K365" s="664">
        <f t="shared" si="42"/>
        <v>0</v>
      </c>
      <c r="L365" s="654"/>
      <c r="M365" s="520"/>
      <c r="N365" s="11"/>
      <c r="O365" s="452"/>
      <c r="P365" s="461"/>
      <c r="Q365" s="430"/>
    </row>
    <row r="366" spans="1:19" s="456" customFormat="1" ht="28.5" hidden="1" customHeight="1">
      <c r="A366" s="421">
        <v>12</v>
      </c>
      <c r="B366" s="516" t="s">
        <v>2803</v>
      </c>
      <c r="C366" s="517" t="s">
        <v>16</v>
      </c>
      <c r="D366" s="518">
        <v>282</v>
      </c>
      <c r="E366" s="518">
        <v>282</v>
      </c>
      <c r="F366" s="519"/>
      <c r="G366" s="608">
        <v>689.92</v>
      </c>
      <c r="H366" s="608"/>
      <c r="I366" s="424">
        <f t="shared" si="48"/>
        <v>194557.44</v>
      </c>
      <c r="J366" s="424">
        <f t="shared" si="49"/>
        <v>194557.44</v>
      </c>
      <c r="K366" s="664">
        <f t="shared" si="42"/>
        <v>0</v>
      </c>
      <c r="L366" s="654"/>
      <c r="M366" s="520"/>
      <c r="N366" s="11"/>
      <c r="O366" s="452"/>
      <c r="P366" s="461"/>
      <c r="Q366" s="430"/>
    </row>
    <row r="367" spans="1:19" s="456" customFormat="1" ht="28.5" hidden="1" customHeight="1">
      <c r="A367" s="421">
        <v>13</v>
      </c>
      <c r="B367" s="516" t="s">
        <v>2804</v>
      </c>
      <c r="C367" s="517" t="s">
        <v>16</v>
      </c>
      <c r="D367" s="518">
        <v>214.5</v>
      </c>
      <c r="E367" s="518">
        <v>214.5</v>
      </c>
      <c r="F367" s="519"/>
      <c r="G367" s="608">
        <v>899.89</v>
      </c>
      <c r="H367" s="608"/>
      <c r="I367" s="424">
        <f t="shared" si="48"/>
        <v>193026.41</v>
      </c>
      <c r="J367" s="424">
        <f t="shared" si="49"/>
        <v>193026.41</v>
      </c>
      <c r="K367" s="664">
        <f t="shared" si="42"/>
        <v>0</v>
      </c>
      <c r="L367" s="654"/>
      <c r="M367" s="520"/>
      <c r="N367" s="11"/>
      <c r="O367" s="452"/>
      <c r="P367" s="461"/>
      <c r="Q367" s="430"/>
    </row>
    <row r="368" spans="1:19" s="456" customFormat="1" ht="28.5" hidden="1" customHeight="1">
      <c r="A368" s="421">
        <v>14</v>
      </c>
      <c r="B368" s="516" t="s">
        <v>2805</v>
      </c>
      <c r="C368" s="517" t="s">
        <v>16</v>
      </c>
      <c r="D368" s="518">
        <v>47</v>
      </c>
      <c r="E368" s="518">
        <v>47</v>
      </c>
      <c r="F368" s="519"/>
      <c r="G368" s="608">
        <v>1499.82</v>
      </c>
      <c r="H368" s="608"/>
      <c r="I368" s="424">
        <f t="shared" si="48"/>
        <v>70491.539999999994</v>
      </c>
      <c r="J368" s="424">
        <f t="shared" si="49"/>
        <v>70491.539999999994</v>
      </c>
      <c r="K368" s="664">
        <f t="shared" si="42"/>
        <v>0</v>
      </c>
      <c r="L368" s="654"/>
      <c r="M368" s="520"/>
      <c r="N368" s="11"/>
      <c r="O368" s="452"/>
      <c r="P368" s="461"/>
      <c r="Q368" s="430"/>
    </row>
    <row r="369" spans="1:17" s="456" customFormat="1" ht="28.5" hidden="1" customHeight="1">
      <c r="A369" s="421">
        <v>15</v>
      </c>
      <c r="B369" s="516" t="s">
        <v>2806</v>
      </c>
      <c r="C369" s="517" t="s">
        <v>16</v>
      </c>
      <c r="D369" s="518">
        <v>73</v>
      </c>
      <c r="E369" s="518">
        <v>73</v>
      </c>
      <c r="F369" s="519"/>
      <c r="G369" s="608">
        <v>1419.83</v>
      </c>
      <c r="H369" s="608"/>
      <c r="I369" s="424">
        <f t="shared" si="48"/>
        <v>103647.59</v>
      </c>
      <c r="J369" s="424">
        <f t="shared" si="49"/>
        <v>103647.59</v>
      </c>
      <c r="K369" s="664">
        <f t="shared" si="42"/>
        <v>0</v>
      </c>
      <c r="L369" s="654"/>
      <c r="M369" s="520"/>
      <c r="N369" s="11"/>
      <c r="O369" s="452"/>
      <c r="P369" s="461"/>
      <c r="Q369" s="430"/>
    </row>
    <row r="370" spans="1:17" s="456" customFormat="1" ht="28.5" hidden="1" customHeight="1">
      <c r="A370" s="421">
        <v>16</v>
      </c>
      <c r="B370" s="516" t="s">
        <v>2807</v>
      </c>
      <c r="C370" s="517" t="s">
        <v>16</v>
      </c>
      <c r="D370" s="518">
        <v>174</v>
      </c>
      <c r="E370" s="518">
        <v>174</v>
      </c>
      <c r="F370" s="519"/>
      <c r="G370" s="608">
        <v>771.9</v>
      </c>
      <c r="H370" s="608"/>
      <c r="I370" s="424">
        <f t="shared" si="48"/>
        <v>134310.6</v>
      </c>
      <c r="J370" s="424">
        <f t="shared" si="49"/>
        <v>134310.6</v>
      </c>
      <c r="K370" s="664">
        <f t="shared" si="42"/>
        <v>0</v>
      </c>
      <c r="L370" s="654"/>
      <c r="M370" s="520"/>
      <c r="N370" s="11"/>
      <c r="O370" s="452"/>
      <c r="P370" s="461"/>
      <c r="Q370" s="430"/>
    </row>
    <row r="371" spans="1:17" s="456" customFormat="1" ht="28.5" hidden="1" customHeight="1">
      <c r="A371" s="421">
        <v>17</v>
      </c>
      <c r="B371" s="516" t="s">
        <v>2808</v>
      </c>
      <c r="C371" s="517" t="s">
        <v>16</v>
      </c>
      <c r="D371" s="518">
        <v>1695</v>
      </c>
      <c r="E371" s="518">
        <v>1695</v>
      </c>
      <c r="F371" s="519"/>
      <c r="G371" s="608">
        <v>400.95</v>
      </c>
      <c r="H371" s="608"/>
      <c r="I371" s="424">
        <f t="shared" si="48"/>
        <v>679610.25</v>
      </c>
      <c r="J371" s="424">
        <f t="shared" si="49"/>
        <v>679610.25</v>
      </c>
      <c r="K371" s="664">
        <f t="shared" si="42"/>
        <v>0</v>
      </c>
      <c r="L371" s="654"/>
      <c r="M371" s="520"/>
      <c r="N371" s="11"/>
      <c r="O371" s="452"/>
      <c r="P371" s="461"/>
      <c r="Q371" s="430"/>
    </row>
    <row r="372" spans="1:17" s="456" customFormat="1" ht="28.5" hidden="1" customHeight="1">
      <c r="A372" s="421">
        <v>18</v>
      </c>
      <c r="B372" s="516" t="s">
        <v>2809</v>
      </c>
      <c r="C372" s="517" t="s">
        <v>16</v>
      </c>
      <c r="D372" s="518">
        <v>310</v>
      </c>
      <c r="E372" s="518">
        <v>310</v>
      </c>
      <c r="F372" s="519"/>
      <c r="G372" s="608">
        <v>280.97000000000003</v>
      </c>
      <c r="H372" s="608"/>
      <c r="I372" s="424">
        <f t="shared" si="48"/>
        <v>87100.7</v>
      </c>
      <c r="J372" s="424">
        <f t="shared" si="49"/>
        <v>87100.7</v>
      </c>
      <c r="K372" s="664">
        <f t="shared" si="42"/>
        <v>0</v>
      </c>
      <c r="L372" s="654"/>
      <c r="M372" s="520"/>
      <c r="N372" s="11"/>
      <c r="O372" s="452"/>
      <c r="P372" s="461"/>
      <c r="Q372" s="430"/>
    </row>
    <row r="373" spans="1:17" s="456" customFormat="1" ht="28.5" hidden="1" customHeight="1">
      <c r="A373" s="421">
        <v>19</v>
      </c>
      <c r="B373" s="516" t="s">
        <v>2810</v>
      </c>
      <c r="C373" s="517" t="s">
        <v>16</v>
      </c>
      <c r="D373" s="518">
        <v>723.5</v>
      </c>
      <c r="E373" s="518">
        <v>723.5</v>
      </c>
      <c r="F373" s="519"/>
      <c r="G373" s="608">
        <v>800.9</v>
      </c>
      <c r="H373" s="608"/>
      <c r="I373" s="424">
        <f t="shared" si="48"/>
        <v>579451.15</v>
      </c>
      <c r="J373" s="424">
        <f t="shared" si="49"/>
        <v>579451.15</v>
      </c>
      <c r="K373" s="664">
        <f t="shared" si="42"/>
        <v>0</v>
      </c>
      <c r="L373" s="654"/>
      <c r="M373" s="520"/>
      <c r="N373" s="11"/>
      <c r="O373" s="452"/>
      <c r="P373" s="461"/>
      <c r="Q373" s="430"/>
    </row>
    <row r="374" spans="1:17" s="456" customFormat="1" ht="28.5" hidden="1" customHeight="1">
      <c r="A374" s="421">
        <v>20</v>
      </c>
      <c r="B374" s="516" t="s">
        <v>2811</v>
      </c>
      <c r="C374" s="517" t="s">
        <v>16</v>
      </c>
      <c r="D374" s="518">
        <v>122</v>
      </c>
      <c r="E374" s="518">
        <v>122</v>
      </c>
      <c r="F374" s="519"/>
      <c r="G374" s="608">
        <v>561.92999999999995</v>
      </c>
      <c r="H374" s="608"/>
      <c r="I374" s="424">
        <f t="shared" si="48"/>
        <v>68555.460000000006</v>
      </c>
      <c r="J374" s="424">
        <f t="shared" si="49"/>
        <v>68555.460000000006</v>
      </c>
      <c r="K374" s="664">
        <f t="shared" si="42"/>
        <v>0</v>
      </c>
      <c r="L374" s="654"/>
      <c r="M374" s="520"/>
      <c r="N374" s="11"/>
      <c r="O374" s="452"/>
      <c r="P374" s="461"/>
      <c r="Q374" s="430"/>
    </row>
    <row r="375" spans="1:17" s="456" customFormat="1" ht="28.5" hidden="1" customHeight="1">
      <c r="A375" s="421">
        <v>21</v>
      </c>
      <c r="B375" s="516" t="s">
        <v>2812</v>
      </c>
      <c r="C375" s="517" t="s">
        <v>16</v>
      </c>
      <c r="D375" s="518">
        <v>421</v>
      </c>
      <c r="E375" s="518">
        <v>421</v>
      </c>
      <c r="F375" s="519"/>
      <c r="G375" s="608">
        <v>519.94000000000005</v>
      </c>
      <c r="H375" s="608"/>
      <c r="I375" s="424">
        <f t="shared" si="48"/>
        <v>218894.74</v>
      </c>
      <c r="J375" s="424">
        <f t="shared" si="49"/>
        <v>218894.74</v>
      </c>
      <c r="K375" s="664">
        <f t="shared" si="42"/>
        <v>0</v>
      </c>
      <c r="L375" s="654"/>
      <c r="M375" s="520"/>
      <c r="N375" s="11"/>
      <c r="O375" s="452"/>
      <c r="P375" s="461"/>
      <c r="Q375" s="430"/>
    </row>
    <row r="376" spans="1:17" s="456" customFormat="1" ht="28.5" hidden="1" customHeight="1">
      <c r="A376" s="421">
        <v>22</v>
      </c>
      <c r="B376" s="516" t="s">
        <v>2813</v>
      </c>
      <c r="C376" s="517" t="s">
        <v>16</v>
      </c>
      <c r="D376" s="518">
        <v>28</v>
      </c>
      <c r="E376" s="518">
        <v>28</v>
      </c>
      <c r="F376" s="519"/>
      <c r="G376" s="608">
        <v>1579.81</v>
      </c>
      <c r="H376" s="608"/>
      <c r="I376" s="424">
        <f t="shared" si="48"/>
        <v>44234.68</v>
      </c>
      <c r="J376" s="424">
        <f t="shared" si="49"/>
        <v>44234.68</v>
      </c>
      <c r="K376" s="664">
        <f t="shared" si="42"/>
        <v>0</v>
      </c>
      <c r="L376" s="654"/>
      <c r="M376" s="520"/>
      <c r="N376" s="11"/>
      <c r="O376" s="452"/>
      <c r="P376" s="461"/>
      <c r="Q376" s="430"/>
    </row>
    <row r="377" spans="1:17" s="456" customFormat="1" ht="28.5" hidden="1" customHeight="1">
      <c r="A377" s="421">
        <v>23</v>
      </c>
      <c r="B377" s="516" t="s">
        <v>2814</v>
      </c>
      <c r="C377" s="517" t="s">
        <v>16</v>
      </c>
      <c r="D377" s="518">
        <v>442.5</v>
      </c>
      <c r="E377" s="518">
        <v>442.5</v>
      </c>
      <c r="F377" s="519"/>
      <c r="G377" s="608">
        <v>209.97</v>
      </c>
      <c r="H377" s="608"/>
      <c r="I377" s="424">
        <f t="shared" si="48"/>
        <v>92911.73</v>
      </c>
      <c r="J377" s="424">
        <f t="shared" si="49"/>
        <v>92911.73</v>
      </c>
      <c r="K377" s="664">
        <f t="shared" si="42"/>
        <v>0</v>
      </c>
      <c r="L377" s="654"/>
      <c r="M377" s="520"/>
      <c r="N377" s="11"/>
      <c r="O377" s="452"/>
      <c r="P377" s="461"/>
      <c r="Q377" s="430"/>
    </row>
    <row r="378" spans="1:17" s="456" customFormat="1" ht="28.5" hidden="1" customHeight="1">
      <c r="A378" s="421">
        <v>24</v>
      </c>
      <c r="B378" s="516" t="s">
        <v>2815</v>
      </c>
      <c r="C378" s="517" t="s">
        <v>14</v>
      </c>
      <c r="D378" s="518">
        <v>2</v>
      </c>
      <c r="E378" s="518">
        <v>2</v>
      </c>
      <c r="F378" s="519"/>
      <c r="G378" s="608">
        <v>10798.67</v>
      </c>
      <c r="H378" s="608"/>
      <c r="I378" s="424">
        <f t="shared" si="48"/>
        <v>21597.34</v>
      </c>
      <c r="J378" s="424">
        <f t="shared" si="49"/>
        <v>21597.34</v>
      </c>
      <c r="K378" s="664">
        <f t="shared" si="42"/>
        <v>0</v>
      </c>
      <c r="L378" s="654"/>
      <c r="M378" s="520"/>
      <c r="N378" s="11"/>
      <c r="O378" s="452"/>
      <c r="P378" s="461"/>
      <c r="Q378" s="430"/>
    </row>
    <row r="379" spans="1:17" s="456" customFormat="1" ht="28.5" hidden="1" customHeight="1">
      <c r="A379" s="421">
        <v>25</v>
      </c>
      <c r="B379" s="516" t="s">
        <v>2816</v>
      </c>
      <c r="C379" s="517" t="s">
        <v>14</v>
      </c>
      <c r="D379" s="518">
        <v>12</v>
      </c>
      <c r="E379" s="518">
        <v>12</v>
      </c>
      <c r="F379" s="519"/>
      <c r="G379" s="608">
        <v>7249.11</v>
      </c>
      <c r="H379" s="608"/>
      <c r="I379" s="424">
        <f t="shared" si="48"/>
        <v>86989.32</v>
      </c>
      <c r="J379" s="424">
        <f t="shared" si="49"/>
        <v>86989.32</v>
      </c>
      <c r="K379" s="664">
        <f t="shared" si="42"/>
        <v>0</v>
      </c>
      <c r="L379" s="654"/>
      <c r="M379" s="520"/>
      <c r="N379" s="11"/>
      <c r="O379" s="452"/>
      <c r="P379" s="461"/>
      <c r="Q379" s="430"/>
    </row>
    <row r="380" spans="1:17" s="413" customFormat="1" ht="33">
      <c r="A380" s="494" t="s">
        <v>2386</v>
      </c>
      <c r="B380" s="495" t="s">
        <v>25</v>
      </c>
      <c r="C380" s="496" t="s">
        <v>4</v>
      </c>
      <c r="D380" s="497"/>
      <c r="E380" s="497">
        <f>估驗單!F373</f>
        <v>0</v>
      </c>
      <c r="F380" s="498">
        <f t="shared" si="43"/>
        <v>0</v>
      </c>
      <c r="G380" s="497">
        <f>I380</f>
        <v>3537274.3800000008</v>
      </c>
      <c r="H380" s="497"/>
      <c r="I380" s="499">
        <f t="shared" ref="I380:L380" si="50">SUM(I381:I419)</f>
        <v>3537274.3800000008</v>
      </c>
      <c r="J380" s="499">
        <f t="shared" si="50"/>
        <v>3537274.3800000008</v>
      </c>
      <c r="K380" s="659">
        <f t="shared" si="50"/>
        <v>0</v>
      </c>
      <c r="L380" s="549">
        <f t="shared" si="50"/>
        <v>0</v>
      </c>
      <c r="M380" s="356" t="s">
        <v>242</v>
      </c>
      <c r="N380" s="11" t="s">
        <v>243</v>
      </c>
      <c r="O380" s="429"/>
      <c r="P380" s="427"/>
    </row>
    <row r="381" spans="1:17" s="413" customFormat="1" ht="42.75" hidden="1">
      <c r="A381" s="421" t="s">
        <v>2288</v>
      </c>
      <c r="B381" s="422" t="s">
        <v>1023</v>
      </c>
      <c r="C381" s="423" t="s">
        <v>7</v>
      </c>
      <c r="D381" s="424">
        <v>295</v>
      </c>
      <c r="E381" s="424">
        <f>估驗單!F374</f>
        <v>295</v>
      </c>
      <c r="F381" s="478">
        <f t="shared" si="43"/>
        <v>0</v>
      </c>
      <c r="G381" s="424">
        <v>299.98</v>
      </c>
      <c r="H381" s="424"/>
      <c r="I381" s="424">
        <f t="shared" ref="I381:I419" si="51">ROUND(D381*G381,2)</f>
        <v>88494.1</v>
      </c>
      <c r="J381" s="424">
        <f t="shared" ref="J381:J419" si="52">ROUND(E381*G381,2)</f>
        <v>88494.1</v>
      </c>
      <c r="K381" s="664">
        <f t="shared" si="42"/>
        <v>0</v>
      </c>
      <c r="L381" s="609"/>
      <c r="M381" s="264" t="s">
        <v>242</v>
      </c>
      <c r="N381" s="11" t="s">
        <v>243</v>
      </c>
      <c r="O381" s="429"/>
      <c r="P381" s="427"/>
    </row>
    <row r="382" spans="1:17" s="413" customFormat="1" ht="42.75" hidden="1">
      <c r="A382" s="421" t="s">
        <v>2289</v>
      </c>
      <c r="B382" s="422" t="s">
        <v>1025</v>
      </c>
      <c r="C382" s="423" t="s">
        <v>15</v>
      </c>
      <c r="D382" s="424">
        <v>59</v>
      </c>
      <c r="E382" s="424">
        <f>估驗單!F375</f>
        <v>59</v>
      </c>
      <c r="F382" s="478">
        <f t="shared" si="43"/>
        <v>0</v>
      </c>
      <c r="G382" s="424">
        <v>2999.84</v>
      </c>
      <c r="H382" s="424"/>
      <c r="I382" s="424">
        <f t="shared" si="51"/>
        <v>176990.56</v>
      </c>
      <c r="J382" s="424">
        <f t="shared" si="52"/>
        <v>176990.56</v>
      </c>
      <c r="K382" s="664">
        <f t="shared" si="42"/>
        <v>0</v>
      </c>
      <c r="L382" s="609"/>
      <c r="M382" s="264" t="s">
        <v>2530</v>
      </c>
      <c r="N382" s="11" t="s">
        <v>243</v>
      </c>
      <c r="O382" s="429"/>
      <c r="P382" s="427"/>
    </row>
    <row r="383" spans="1:17" s="413" customFormat="1" ht="33" hidden="1">
      <c r="A383" s="421" t="s">
        <v>2290</v>
      </c>
      <c r="B383" s="422" t="s">
        <v>1027</v>
      </c>
      <c r="C383" s="423" t="s">
        <v>15</v>
      </c>
      <c r="D383" s="424">
        <v>59</v>
      </c>
      <c r="E383" s="424">
        <f>估驗單!F376</f>
        <v>59</v>
      </c>
      <c r="F383" s="478">
        <f t="shared" si="43"/>
        <v>0</v>
      </c>
      <c r="G383" s="424">
        <v>149.99</v>
      </c>
      <c r="H383" s="424"/>
      <c r="I383" s="424">
        <f t="shared" si="51"/>
        <v>8849.41</v>
      </c>
      <c r="J383" s="424">
        <f t="shared" si="52"/>
        <v>8849.41</v>
      </c>
      <c r="K383" s="664">
        <f t="shared" si="42"/>
        <v>0</v>
      </c>
      <c r="L383" s="609"/>
      <c r="M383" s="264" t="s">
        <v>2530</v>
      </c>
      <c r="N383" s="11" t="s">
        <v>243</v>
      </c>
      <c r="O383" s="429"/>
      <c r="P383" s="427"/>
    </row>
    <row r="384" spans="1:17" s="413" customFormat="1" ht="42.75" hidden="1">
      <c r="A384" s="421" t="s">
        <v>2291</v>
      </c>
      <c r="B384" s="422" t="s">
        <v>1029</v>
      </c>
      <c r="C384" s="423" t="s">
        <v>1030</v>
      </c>
      <c r="D384" s="424">
        <v>9</v>
      </c>
      <c r="E384" s="424">
        <f>估驗單!F377</f>
        <v>9</v>
      </c>
      <c r="F384" s="478">
        <f t="shared" si="43"/>
        <v>0</v>
      </c>
      <c r="G384" s="424">
        <v>1199.93</v>
      </c>
      <c r="H384" s="424"/>
      <c r="I384" s="424">
        <f t="shared" si="51"/>
        <v>10799.37</v>
      </c>
      <c r="J384" s="424">
        <f t="shared" si="52"/>
        <v>10799.37</v>
      </c>
      <c r="K384" s="664">
        <f t="shared" si="42"/>
        <v>0</v>
      </c>
      <c r="L384" s="609"/>
      <c r="M384" s="264" t="s">
        <v>2530</v>
      </c>
      <c r="N384" s="11" t="s">
        <v>243</v>
      </c>
      <c r="O384" s="429"/>
      <c r="P384" s="427"/>
    </row>
    <row r="385" spans="1:16" s="413" customFormat="1" ht="42.75" hidden="1">
      <c r="A385" s="421" t="s">
        <v>2292</v>
      </c>
      <c r="B385" s="422" t="s">
        <v>1032</v>
      </c>
      <c r="C385" s="423" t="s">
        <v>15</v>
      </c>
      <c r="D385" s="424">
        <v>22</v>
      </c>
      <c r="E385" s="424">
        <f>估驗單!F378</f>
        <v>22</v>
      </c>
      <c r="F385" s="478">
        <f t="shared" si="43"/>
        <v>0</v>
      </c>
      <c r="G385" s="424">
        <v>649.96</v>
      </c>
      <c r="H385" s="424"/>
      <c r="I385" s="424">
        <f t="shared" si="51"/>
        <v>14299.12</v>
      </c>
      <c r="J385" s="424">
        <f t="shared" si="52"/>
        <v>14299.12</v>
      </c>
      <c r="K385" s="664">
        <f t="shared" si="42"/>
        <v>0</v>
      </c>
      <c r="L385" s="609"/>
      <c r="M385" s="264" t="s">
        <v>2649</v>
      </c>
      <c r="N385" s="11" t="s">
        <v>243</v>
      </c>
      <c r="O385" s="429"/>
      <c r="P385" s="427"/>
    </row>
    <row r="386" spans="1:16" s="413" customFormat="1" ht="42.75" hidden="1">
      <c r="A386" s="421" t="s">
        <v>2293</v>
      </c>
      <c r="B386" s="422" t="s">
        <v>1034</v>
      </c>
      <c r="C386" s="423" t="s">
        <v>15</v>
      </c>
      <c r="D386" s="424">
        <v>22</v>
      </c>
      <c r="E386" s="424">
        <f>估驗單!F379</f>
        <v>22</v>
      </c>
      <c r="F386" s="478">
        <f t="shared" si="43"/>
        <v>0</v>
      </c>
      <c r="G386" s="424">
        <v>1299.93</v>
      </c>
      <c r="H386" s="424"/>
      <c r="I386" s="424">
        <f t="shared" si="51"/>
        <v>28598.46</v>
      </c>
      <c r="J386" s="424">
        <f t="shared" si="52"/>
        <v>28598.46</v>
      </c>
      <c r="K386" s="664">
        <f t="shared" si="42"/>
        <v>0</v>
      </c>
      <c r="L386" s="609"/>
      <c r="M386" s="264" t="s">
        <v>2649</v>
      </c>
      <c r="N386" s="11" t="s">
        <v>243</v>
      </c>
      <c r="O386" s="429"/>
      <c r="P386" s="427"/>
    </row>
    <row r="387" spans="1:16" s="413" customFormat="1" ht="42.75" hidden="1">
      <c r="A387" s="421" t="s">
        <v>2294</v>
      </c>
      <c r="B387" s="422" t="s">
        <v>1036</v>
      </c>
      <c r="C387" s="423" t="s">
        <v>15</v>
      </c>
      <c r="D387" s="424">
        <v>5</v>
      </c>
      <c r="E387" s="424">
        <f>估驗單!F380</f>
        <v>5</v>
      </c>
      <c r="F387" s="478">
        <f t="shared" si="43"/>
        <v>0</v>
      </c>
      <c r="G387" s="424">
        <v>3499.81</v>
      </c>
      <c r="H387" s="424"/>
      <c r="I387" s="424">
        <f t="shared" si="51"/>
        <v>17499.05</v>
      </c>
      <c r="J387" s="424">
        <f t="shared" si="52"/>
        <v>17499.05</v>
      </c>
      <c r="K387" s="664">
        <f t="shared" si="42"/>
        <v>0</v>
      </c>
      <c r="L387" s="609"/>
      <c r="M387" s="264" t="s">
        <v>242</v>
      </c>
      <c r="N387" s="11" t="s">
        <v>243</v>
      </c>
      <c r="O387" s="429"/>
      <c r="P387" s="427"/>
    </row>
    <row r="388" spans="1:16" s="413" customFormat="1" ht="42.75" hidden="1">
      <c r="A388" s="421" t="s">
        <v>2295</v>
      </c>
      <c r="B388" s="422" t="s">
        <v>1038</v>
      </c>
      <c r="C388" s="423" t="s">
        <v>15</v>
      </c>
      <c r="D388" s="424">
        <v>5</v>
      </c>
      <c r="E388" s="424">
        <f>估驗單!F381</f>
        <v>5</v>
      </c>
      <c r="F388" s="478">
        <f t="shared" si="43"/>
        <v>0</v>
      </c>
      <c r="G388" s="424">
        <v>699.96</v>
      </c>
      <c r="H388" s="424"/>
      <c r="I388" s="424">
        <f t="shared" si="51"/>
        <v>3499.8</v>
      </c>
      <c r="J388" s="424">
        <f t="shared" si="52"/>
        <v>3499.8</v>
      </c>
      <c r="K388" s="664">
        <f t="shared" si="42"/>
        <v>0</v>
      </c>
      <c r="L388" s="609"/>
      <c r="M388" s="264" t="s">
        <v>242</v>
      </c>
      <c r="N388" s="11" t="s">
        <v>243</v>
      </c>
      <c r="O388" s="429"/>
      <c r="P388" s="427"/>
    </row>
    <row r="389" spans="1:16" s="413" customFormat="1" ht="42.75" hidden="1">
      <c r="A389" s="421" t="s">
        <v>2296</v>
      </c>
      <c r="B389" s="422" t="s">
        <v>1040</v>
      </c>
      <c r="C389" s="423" t="s">
        <v>14</v>
      </c>
      <c r="D389" s="424">
        <v>1</v>
      </c>
      <c r="E389" s="424">
        <f>估驗單!F382</f>
        <v>1</v>
      </c>
      <c r="F389" s="478">
        <f t="shared" si="43"/>
        <v>0</v>
      </c>
      <c r="G389" s="424">
        <v>14999.18</v>
      </c>
      <c r="H389" s="424"/>
      <c r="I389" s="424">
        <f t="shared" si="51"/>
        <v>14999.18</v>
      </c>
      <c r="J389" s="424">
        <f t="shared" si="52"/>
        <v>14999.18</v>
      </c>
      <c r="K389" s="664">
        <f t="shared" si="42"/>
        <v>0</v>
      </c>
      <c r="L389" s="609"/>
      <c r="M389" s="264" t="s">
        <v>242</v>
      </c>
      <c r="N389" s="11" t="s">
        <v>243</v>
      </c>
      <c r="O389" s="429"/>
      <c r="P389" s="427"/>
    </row>
    <row r="390" spans="1:16" s="413" customFormat="1" ht="42.75" hidden="1">
      <c r="A390" s="421" t="s">
        <v>2297</v>
      </c>
      <c r="B390" s="422" t="s">
        <v>1043</v>
      </c>
      <c r="C390" s="423" t="s">
        <v>15</v>
      </c>
      <c r="D390" s="424">
        <v>1</v>
      </c>
      <c r="E390" s="424">
        <f>估驗單!F383</f>
        <v>1</v>
      </c>
      <c r="F390" s="478">
        <f t="shared" si="43"/>
        <v>0</v>
      </c>
      <c r="G390" s="424">
        <v>5999.67</v>
      </c>
      <c r="H390" s="424"/>
      <c r="I390" s="424">
        <f t="shared" si="51"/>
        <v>5999.67</v>
      </c>
      <c r="J390" s="424">
        <f t="shared" si="52"/>
        <v>5999.67</v>
      </c>
      <c r="K390" s="664">
        <f t="shared" si="42"/>
        <v>0</v>
      </c>
      <c r="L390" s="609"/>
      <c r="M390" s="264" t="s">
        <v>2530</v>
      </c>
      <c r="N390" s="11" t="s">
        <v>243</v>
      </c>
      <c r="O390" s="429"/>
      <c r="P390" s="427"/>
    </row>
    <row r="391" spans="1:16" s="413" customFormat="1" ht="71.25" hidden="1">
      <c r="A391" s="421" t="s">
        <v>2298</v>
      </c>
      <c r="B391" s="422" t="s">
        <v>1046</v>
      </c>
      <c r="C391" s="423" t="s">
        <v>15</v>
      </c>
      <c r="D391" s="424">
        <v>1</v>
      </c>
      <c r="E391" s="424">
        <f>估驗單!F384</f>
        <v>1</v>
      </c>
      <c r="F391" s="478">
        <f t="shared" si="43"/>
        <v>0</v>
      </c>
      <c r="G391" s="424">
        <v>49497.3</v>
      </c>
      <c r="H391" s="424"/>
      <c r="I391" s="424">
        <f t="shared" si="51"/>
        <v>49497.3</v>
      </c>
      <c r="J391" s="424">
        <f t="shared" si="52"/>
        <v>49497.3</v>
      </c>
      <c r="K391" s="664">
        <f t="shared" si="42"/>
        <v>0</v>
      </c>
      <c r="L391" s="609"/>
      <c r="M391" s="264" t="s">
        <v>242</v>
      </c>
      <c r="N391" s="11" t="s">
        <v>243</v>
      </c>
      <c r="O391" s="429"/>
      <c r="P391" s="427"/>
    </row>
    <row r="392" spans="1:16" s="413" customFormat="1" ht="42.75" hidden="1">
      <c r="A392" s="421" t="s">
        <v>2299</v>
      </c>
      <c r="B392" s="422" t="s">
        <v>1049</v>
      </c>
      <c r="C392" s="423" t="s">
        <v>15</v>
      </c>
      <c r="D392" s="424">
        <v>6</v>
      </c>
      <c r="E392" s="424">
        <f>估驗單!F385</f>
        <v>6</v>
      </c>
      <c r="F392" s="478">
        <f t="shared" si="43"/>
        <v>0</v>
      </c>
      <c r="G392" s="424">
        <v>2999.84</v>
      </c>
      <c r="H392" s="424"/>
      <c r="I392" s="424">
        <f t="shared" si="51"/>
        <v>17999.04</v>
      </c>
      <c r="J392" s="424">
        <f t="shared" si="52"/>
        <v>17999.04</v>
      </c>
      <c r="K392" s="664">
        <f t="shared" si="42"/>
        <v>0</v>
      </c>
      <c r="L392" s="609"/>
      <c r="M392" s="264" t="s">
        <v>242</v>
      </c>
      <c r="N392" s="11" t="s">
        <v>243</v>
      </c>
      <c r="O392" s="429"/>
      <c r="P392" s="427"/>
    </row>
    <row r="393" spans="1:16" s="413" customFormat="1" ht="33" hidden="1">
      <c r="A393" s="421" t="s">
        <v>2300</v>
      </c>
      <c r="B393" s="422" t="s">
        <v>1052</v>
      </c>
      <c r="C393" s="423" t="s">
        <v>14</v>
      </c>
      <c r="D393" s="424">
        <v>75</v>
      </c>
      <c r="E393" s="424">
        <f>估驗單!F386</f>
        <v>75</v>
      </c>
      <c r="F393" s="478">
        <f t="shared" si="43"/>
        <v>0</v>
      </c>
      <c r="G393" s="424">
        <v>11999.35</v>
      </c>
      <c r="H393" s="424"/>
      <c r="I393" s="424">
        <f t="shared" si="51"/>
        <v>899951.25</v>
      </c>
      <c r="J393" s="424">
        <f t="shared" si="52"/>
        <v>899951.25</v>
      </c>
      <c r="K393" s="664">
        <f t="shared" si="42"/>
        <v>0</v>
      </c>
      <c r="L393" s="609"/>
      <c r="M393" s="264" t="s">
        <v>242</v>
      </c>
      <c r="N393" s="11" t="s">
        <v>243</v>
      </c>
      <c r="O393" s="429"/>
      <c r="P393" s="427"/>
    </row>
    <row r="394" spans="1:16" s="413" customFormat="1" ht="33" hidden="1">
      <c r="A394" s="421" t="s">
        <v>2301</v>
      </c>
      <c r="B394" s="422" t="s">
        <v>1055</v>
      </c>
      <c r="C394" s="423" t="s">
        <v>1007</v>
      </c>
      <c r="D394" s="424">
        <v>75</v>
      </c>
      <c r="E394" s="424">
        <f>估驗單!F387</f>
        <v>75</v>
      </c>
      <c r="F394" s="478">
        <f t="shared" si="43"/>
        <v>0</v>
      </c>
      <c r="G394" s="424">
        <v>1499.92</v>
      </c>
      <c r="H394" s="424"/>
      <c r="I394" s="424">
        <f t="shared" si="51"/>
        <v>112494</v>
      </c>
      <c r="J394" s="424">
        <f t="shared" si="52"/>
        <v>112494</v>
      </c>
      <c r="K394" s="664">
        <f t="shared" si="42"/>
        <v>0</v>
      </c>
      <c r="L394" s="609"/>
      <c r="M394" s="264" t="s">
        <v>242</v>
      </c>
      <c r="N394" s="11" t="s">
        <v>243</v>
      </c>
      <c r="O394" s="429"/>
      <c r="P394" s="427"/>
    </row>
    <row r="395" spans="1:16" s="413" customFormat="1" ht="42.75" hidden="1">
      <c r="A395" s="421" t="s">
        <v>2302</v>
      </c>
      <c r="B395" s="422" t="s">
        <v>1058</v>
      </c>
      <c r="C395" s="423" t="s">
        <v>15</v>
      </c>
      <c r="D395" s="424">
        <v>1</v>
      </c>
      <c r="E395" s="424">
        <f>估驗單!F388</f>
        <v>1</v>
      </c>
      <c r="F395" s="478">
        <f t="shared" si="43"/>
        <v>0</v>
      </c>
      <c r="G395" s="424">
        <v>11999.35</v>
      </c>
      <c r="H395" s="424"/>
      <c r="I395" s="424">
        <f t="shared" si="51"/>
        <v>11999.35</v>
      </c>
      <c r="J395" s="424">
        <f t="shared" si="52"/>
        <v>11999.35</v>
      </c>
      <c r="K395" s="664">
        <f t="shared" si="42"/>
        <v>0</v>
      </c>
      <c r="L395" s="609"/>
      <c r="M395" s="264" t="s">
        <v>2530</v>
      </c>
      <c r="N395" s="11" t="s">
        <v>243</v>
      </c>
      <c r="O395" s="429"/>
      <c r="P395" s="427"/>
    </row>
    <row r="396" spans="1:16" s="413" customFormat="1" ht="33" hidden="1">
      <c r="A396" s="421" t="s">
        <v>2303</v>
      </c>
      <c r="B396" s="422" t="s">
        <v>1061</v>
      </c>
      <c r="C396" s="423" t="s">
        <v>15</v>
      </c>
      <c r="D396" s="424">
        <v>1</v>
      </c>
      <c r="E396" s="424">
        <f>估驗單!F389</f>
        <v>1</v>
      </c>
      <c r="F396" s="478">
        <f t="shared" si="43"/>
        <v>0</v>
      </c>
      <c r="G396" s="424">
        <v>1999.89</v>
      </c>
      <c r="H396" s="424"/>
      <c r="I396" s="424">
        <f t="shared" si="51"/>
        <v>1999.89</v>
      </c>
      <c r="J396" s="424">
        <f t="shared" si="52"/>
        <v>1999.89</v>
      </c>
      <c r="K396" s="664">
        <f t="shared" si="42"/>
        <v>0</v>
      </c>
      <c r="L396" s="609"/>
      <c r="M396" s="264" t="s">
        <v>242</v>
      </c>
      <c r="N396" s="11" t="s">
        <v>243</v>
      </c>
      <c r="O396" s="429"/>
      <c r="P396" s="427"/>
    </row>
    <row r="397" spans="1:16" s="413" customFormat="1" ht="42.75" hidden="1">
      <c r="A397" s="421" t="s">
        <v>2304</v>
      </c>
      <c r="B397" s="422" t="s">
        <v>1064</v>
      </c>
      <c r="C397" s="423" t="s">
        <v>15</v>
      </c>
      <c r="D397" s="424">
        <v>11</v>
      </c>
      <c r="E397" s="424">
        <f>估驗單!F390</f>
        <v>11</v>
      </c>
      <c r="F397" s="478">
        <f t="shared" si="43"/>
        <v>0</v>
      </c>
      <c r="G397" s="424">
        <v>2999.84</v>
      </c>
      <c r="H397" s="424"/>
      <c r="I397" s="424">
        <f t="shared" si="51"/>
        <v>32998.239999999998</v>
      </c>
      <c r="J397" s="424">
        <f t="shared" si="52"/>
        <v>32998.239999999998</v>
      </c>
      <c r="K397" s="664">
        <f t="shared" ref="K397:K460" si="53">J397-I397</f>
        <v>0</v>
      </c>
      <c r="L397" s="609"/>
      <c r="M397" s="264" t="s">
        <v>2530</v>
      </c>
      <c r="N397" s="11" t="s">
        <v>243</v>
      </c>
      <c r="O397" s="429"/>
      <c r="P397" s="427"/>
    </row>
    <row r="398" spans="1:16" s="413" customFormat="1" ht="42.75" hidden="1">
      <c r="A398" s="421" t="s">
        <v>2305</v>
      </c>
      <c r="B398" s="422" t="s">
        <v>1067</v>
      </c>
      <c r="C398" s="423" t="s">
        <v>15</v>
      </c>
      <c r="D398" s="424">
        <v>3</v>
      </c>
      <c r="E398" s="424">
        <f>估驗單!F391</f>
        <v>3</v>
      </c>
      <c r="F398" s="478">
        <f t="shared" si="43"/>
        <v>0</v>
      </c>
      <c r="G398" s="424">
        <v>1399.92</v>
      </c>
      <c r="H398" s="424"/>
      <c r="I398" s="424">
        <f t="shared" si="51"/>
        <v>4199.76</v>
      </c>
      <c r="J398" s="424">
        <f t="shared" si="52"/>
        <v>4199.76</v>
      </c>
      <c r="K398" s="664">
        <f t="shared" si="53"/>
        <v>0</v>
      </c>
      <c r="L398" s="609"/>
      <c r="M398" s="264" t="s">
        <v>2530</v>
      </c>
      <c r="N398" s="11" t="s">
        <v>243</v>
      </c>
      <c r="O398" s="429"/>
      <c r="P398" s="427"/>
    </row>
    <row r="399" spans="1:16" s="413" customFormat="1" ht="42.75" hidden="1">
      <c r="A399" s="421" t="s">
        <v>2306</v>
      </c>
      <c r="B399" s="422" t="s">
        <v>1070</v>
      </c>
      <c r="C399" s="423" t="s">
        <v>14</v>
      </c>
      <c r="D399" s="424">
        <v>5</v>
      </c>
      <c r="E399" s="424">
        <f>估驗單!F392</f>
        <v>5</v>
      </c>
      <c r="F399" s="478">
        <f t="shared" si="43"/>
        <v>0</v>
      </c>
      <c r="G399" s="424">
        <v>17999.02</v>
      </c>
      <c r="H399" s="424"/>
      <c r="I399" s="424">
        <f t="shared" si="51"/>
        <v>89995.1</v>
      </c>
      <c r="J399" s="424">
        <f t="shared" si="52"/>
        <v>89995.1</v>
      </c>
      <c r="K399" s="664">
        <f t="shared" si="53"/>
        <v>0</v>
      </c>
      <c r="L399" s="609"/>
      <c r="M399" s="264" t="s">
        <v>242</v>
      </c>
      <c r="N399" s="11" t="s">
        <v>243</v>
      </c>
      <c r="O399" s="429"/>
      <c r="P399" s="427"/>
    </row>
    <row r="400" spans="1:16" s="413" customFormat="1" ht="33" hidden="1">
      <c r="A400" s="421" t="s">
        <v>2307</v>
      </c>
      <c r="B400" s="422" t="s">
        <v>1073</v>
      </c>
      <c r="C400" s="423" t="s">
        <v>14</v>
      </c>
      <c r="D400" s="424">
        <v>1</v>
      </c>
      <c r="E400" s="424">
        <f>估驗單!F393</f>
        <v>1</v>
      </c>
      <c r="F400" s="478">
        <f t="shared" si="43"/>
        <v>0</v>
      </c>
      <c r="G400" s="424">
        <v>8999.51</v>
      </c>
      <c r="H400" s="424"/>
      <c r="I400" s="424">
        <f t="shared" si="51"/>
        <v>8999.51</v>
      </c>
      <c r="J400" s="424">
        <f t="shared" si="52"/>
        <v>8999.51</v>
      </c>
      <c r="K400" s="664">
        <f t="shared" si="53"/>
        <v>0</v>
      </c>
      <c r="L400" s="609"/>
      <c r="M400" s="264" t="s">
        <v>242</v>
      </c>
      <c r="N400" s="11" t="s">
        <v>243</v>
      </c>
      <c r="O400" s="429"/>
      <c r="P400" s="427"/>
    </row>
    <row r="401" spans="1:17" s="413" customFormat="1" ht="33" hidden="1">
      <c r="A401" s="421" t="s">
        <v>2308</v>
      </c>
      <c r="B401" s="422" t="s">
        <v>1076</v>
      </c>
      <c r="C401" s="423" t="s">
        <v>15</v>
      </c>
      <c r="D401" s="424">
        <v>2</v>
      </c>
      <c r="E401" s="424">
        <f>估驗單!F394</f>
        <v>2</v>
      </c>
      <c r="F401" s="478">
        <f t="shared" si="43"/>
        <v>0</v>
      </c>
      <c r="G401" s="424">
        <v>5999.67</v>
      </c>
      <c r="H401" s="424"/>
      <c r="I401" s="424">
        <f t="shared" si="51"/>
        <v>11999.34</v>
      </c>
      <c r="J401" s="424">
        <f t="shared" si="52"/>
        <v>11999.34</v>
      </c>
      <c r="K401" s="664">
        <f t="shared" si="53"/>
        <v>0</v>
      </c>
      <c r="L401" s="609"/>
      <c r="M401" s="264" t="s">
        <v>242</v>
      </c>
      <c r="N401" s="11" t="s">
        <v>243</v>
      </c>
      <c r="O401" s="429"/>
      <c r="P401" s="427"/>
    </row>
    <row r="402" spans="1:17" s="413" customFormat="1" ht="33" hidden="1">
      <c r="A402" s="421" t="s">
        <v>2309</v>
      </c>
      <c r="B402" s="422" t="s">
        <v>1079</v>
      </c>
      <c r="C402" s="423" t="s">
        <v>14</v>
      </c>
      <c r="D402" s="424">
        <v>1</v>
      </c>
      <c r="E402" s="424">
        <f>估驗單!F395</f>
        <v>1</v>
      </c>
      <c r="F402" s="478">
        <f t="shared" si="43"/>
        <v>0</v>
      </c>
      <c r="G402" s="424">
        <v>2499.86</v>
      </c>
      <c r="H402" s="424"/>
      <c r="I402" s="424">
        <f t="shared" si="51"/>
        <v>2499.86</v>
      </c>
      <c r="J402" s="424">
        <f t="shared" si="52"/>
        <v>2499.86</v>
      </c>
      <c r="K402" s="664">
        <f t="shared" si="53"/>
        <v>0</v>
      </c>
      <c r="L402" s="609"/>
      <c r="M402" s="264" t="s">
        <v>242</v>
      </c>
      <c r="N402" s="11" t="s">
        <v>243</v>
      </c>
      <c r="O402" s="429"/>
      <c r="P402" s="427"/>
    </row>
    <row r="403" spans="1:17" s="413" customFormat="1" ht="33" hidden="1">
      <c r="A403" s="421" t="s">
        <v>2311</v>
      </c>
      <c r="B403" s="422" t="s">
        <v>1082</v>
      </c>
      <c r="C403" s="423" t="s">
        <v>14</v>
      </c>
      <c r="D403" s="424">
        <v>1</v>
      </c>
      <c r="E403" s="424">
        <f>估驗單!F396</f>
        <v>1</v>
      </c>
      <c r="F403" s="478">
        <f t="shared" si="43"/>
        <v>0</v>
      </c>
      <c r="G403" s="424">
        <v>2499.86</v>
      </c>
      <c r="H403" s="424"/>
      <c r="I403" s="424">
        <f t="shared" si="51"/>
        <v>2499.86</v>
      </c>
      <c r="J403" s="424">
        <f t="shared" si="52"/>
        <v>2499.86</v>
      </c>
      <c r="K403" s="664">
        <f t="shared" si="53"/>
        <v>0</v>
      </c>
      <c r="L403" s="609"/>
      <c r="M403" s="264" t="s">
        <v>242</v>
      </c>
      <c r="N403" s="11" t="s">
        <v>243</v>
      </c>
      <c r="O403" s="429"/>
      <c r="P403" s="427"/>
    </row>
    <row r="404" spans="1:17" s="413" customFormat="1" ht="42.75" hidden="1">
      <c r="A404" s="421" t="s">
        <v>2312</v>
      </c>
      <c r="B404" s="422" t="s">
        <v>1085</v>
      </c>
      <c r="C404" s="423" t="s">
        <v>15</v>
      </c>
      <c r="D404" s="424">
        <v>4</v>
      </c>
      <c r="E404" s="424">
        <f>估驗單!F397</f>
        <v>4</v>
      </c>
      <c r="F404" s="478">
        <f t="shared" si="43"/>
        <v>0</v>
      </c>
      <c r="G404" s="424">
        <v>2999.84</v>
      </c>
      <c r="H404" s="424"/>
      <c r="I404" s="424">
        <f t="shared" si="51"/>
        <v>11999.36</v>
      </c>
      <c r="J404" s="424">
        <f t="shared" si="52"/>
        <v>11999.36</v>
      </c>
      <c r="K404" s="664">
        <f t="shared" si="53"/>
        <v>0</v>
      </c>
      <c r="L404" s="609"/>
      <c r="M404" s="264" t="s">
        <v>242</v>
      </c>
      <c r="N404" s="11" t="s">
        <v>243</v>
      </c>
      <c r="O404" s="429"/>
      <c r="P404" s="427"/>
    </row>
    <row r="405" spans="1:17" s="413" customFormat="1" ht="57" hidden="1">
      <c r="A405" s="421" t="s">
        <v>2313</v>
      </c>
      <c r="B405" s="422" t="s">
        <v>1088</v>
      </c>
      <c r="C405" s="423" t="s">
        <v>15</v>
      </c>
      <c r="D405" s="424">
        <v>2</v>
      </c>
      <c r="E405" s="424">
        <f>估驗單!F398</f>
        <v>2</v>
      </c>
      <c r="F405" s="478">
        <f t="shared" si="43"/>
        <v>0</v>
      </c>
      <c r="G405" s="424">
        <v>19998.91</v>
      </c>
      <c r="H405" s="424"/>
      <c r="I405" s="424">
        <f t="shared" si="51"/>
        <v>39997.82</v>
      </c>
      <c r="J405" s="424">
        <f t="shared" si="52"/>
        <v>39997.82</v>
      </c>
      <c r="K405" s="664">
        <f t="shared" si="53"/>
        <v>0</v>
      </c>
      <c r="L405" s="609"/>
      <c r="M405" s="264" t="s">
        <v>2530</v>
      </c>
      <c r="N405" s="11" t="s">
        <v>243</v>
      </c>
      <c r="O405" s="429"/>
      <c r="P405" s="427"/>
    </row>
    <row r="406" spans="1:17" s="413" customFormat="1" ht="42.75" hidden="1">
      <c r="A406" s="421" t="s">
        <v>2315</v>
      </c>
      <c r="B406" s="422" t="s">
        <v>1091</v>
      </c>
      <c r="C406" s="423" t="s">
        <v>14</v>
      </c>
      <c r="D406" s="424">
        <v>1</v>
      </c>
      <c r="E406" s="424">
        <f>估驗單!F399</f>
        <v>1</v>
      </c>
      <c r="F406" s="478">
        <f t="shared" si="43"/>
        <v>0</v>
      </c>
      <c r="G406" s="424">
        <v>14999.18</v>
      </c>
      <c r="H406" s="424"/>
      <c r="I406" s="424">
        <f t="shared" si="51"/>
        <v>14999.18</v>
      </c>
      <c r="J406" s="424">
        <f t="shared" si="52"/>
        <v>14999.18</v>
      </c>
      <c r="K406" s="664">
        <f t="shared" si="53"/>
        <v>0</v>
      </c>
      <c r="L406" s="609"/>
      <c r="M406" s="264" t="s">
        <v>242</v>
      </c>
      <c r="N406" s="11" t="s">
        <v>243</v>
      </c>
      <c r="O406" s="429"/>
      <c r="P406" s="427"/>
    </row>
    <row r="407" spans="1:17" s="413" customFormat="1" ht="42.75" hidden="1">
      <c r="A407" s="421" t="s">
        <v>2316</v>
      </c>
      <c r="B407" s="422" t="s">
        <v>1094</v>
      </c>
      <c r="C407" s="423" t="s">
        <v>1095</v>
      </c>
      <c r="D407" s="424">
        <v>3</v>
      </c>
      <c r="E407" s="424">
        <f>估驗單!F400</f>
        <v>3</v>
      </c>
      <c r="F407" s="478">
        <f t="shared" si="43"/>
        <v>0</v>
      </c>
      <c r="G407" s="424">
        <v>1299.93</v>
      </c>
      <c r="H407" s="424"/>
      <c r="I407" s="424">
        <f t="shared" si="51"/>
        <v>3899.79</v>
      </c>
      <c r="J407" s="424">
        <f t="shared" si="52"/>
        <v>3899.79</v>
      </c>
      <c r="K407" s="664">
        <f t="shared" si="53"/>
        <v>0</v>
      </c>
      <c r="L407" s="609"/>
      <c r="M407" s="264" t="s">
        <v>242</v>
      </c>
      <c r="N407" s="11" t="s">
        <v>243</v>
      </c>
      <c r="O407" s="429"/>
      <c r="P407" s="427"/>
    </row>
    <row r="408" spans="1:17" s="413" customFormat="1" ht="33" hidden="1">
      <c r="A408" s="421" t="s">
        <v>2317</v>
      </c>
      <c r="B408" s="422" t="s">
        <v>1098</v>
      </c>
      <c r="C408" s="423" t="s">
        <v>1095</v>
      </c>
      <c r="D408" s="424">
        <v>4</v>
      </c>
      <c r="E408" s="424">
        <f>估驗單!F401</f>
        <v>4</v>
      </c>
      <c r="F408" s="478">
        <f t="shared" si="43"/>
        <v>0</v>
      </c>
      <c r="G408" s="424">
        <v>999.95</v>
      </c>
      <c r="H408" s="424"/>
      <c r="I408" s="424">
        <f t="shared" si="51"/>
        <v>3999.8</v>
      </c>
      <c r="J408" s="424">
        <f t="shared" si="52"/>
        <v>3999.8</v>
      </c>
      <c r="K408" s="664">
        <f t="shared" si="53"/>
        <v>0</v>
      </c>
      <c r="L408" s="609"/>
      <c r="M408" s="264" t="s">
        <v>242</v>
      </c>
      <c r="N408" s="11" t="s">
        <v>243</v>
      </c>
      <c r="O408" s="429"/>
      <c r="P408" s="427"/>
    </row>
    <row r="409" spans="1:17" s="413" customFormat="1" ht="33" hidden="1">
      <c r="A409" s="421" t="s">
        <v>2318</v>
      </c>
      <c r="B409" s="422" t="s">
        <v>1101</v>
      </c>
      <c r="C409" s="423" t="s">
        <v>15</v>
      </c>
      <c r="D409" s="424">
        <v>2</v>
      </c>
      <c r="E409" s="424">
        <f>估驗單!F402</f>
        <v>2</v>
      </c>
      <c r="F409" s="478">
        <f t="shared" si="43"/>
        <v>0</v>
      </c>
      <c r="G409" s="424">
        <v>8999.51</v>
      </c>
      <c r="H409" s="424"/>
      <c r="I409" s="424">
        <f t="shared" si="51"/>
        <v>17999.02</v>
      </c>
      <c r="J409" s="424">
        <f t="shared" si="52"/>
        <v>17999.02</v>
      </c>
      <c r="K409" s="664">
        <f t="shared" si="53"/>
        <v>0</v>
      </c>
      <c r="L409" s="609"/>
      <c r="M409" s="264" t="s">
        <v>2530</v>
      </c>
      <c r="N409" s="11" t="s">
        <v>243</v>
      </c>
      <c r="O409" s="429"/>
      <c r="P409" s="427"/>
    </row>
    <row r="410" spans="1:17" s="413" customFormat="1" ht="42.75" hidden="1">
      <c r="A410" s="421" t="s">
        <v>2319</v>
      </c>
      <c r="B410" s="422" t="s">
        <v>1104</v>
      </c>
      <c r="C410" s="423" t="s">
        <v>15</v>
      </c>
      <c r="D410" s="424">
        <v>4</v>
      </c>
      <c r="E410" s="424">
        <f>估驗單!F403</f>
        <v>4</v>
      </c>
      <c r="F410" s="478">
        <f t="shared" si="43"/>
        <v>0</v>
      </c>
      <c r="G410" s="424">
        <v>4199.7700000000004</v>
      </c>
      <c r="H410" s="424"/>
      <c r="I410" s="424">
        <f t="shared" si="51"/>
        <v>16799.080000000002</v>
      </c>
      <c r="J410" s="424">
        <f t="shared" si="52"/>
        <v>16799.080000000002</v>
      </c>
      <c r="K410" s="664">
        <f t="shared" si="53"/>
        <v>0</v>
      </c>
      <c r="L410" s="609"/>
      <c r="M410" s="264" t="s">
        <v>242</v>
      </c>
      <c r="N410" s="11" t="s">
        <v>243</v>
      </c>
      <c r="O410" s="429"/>
      <c r="P410" s="427"/>
    </row>
    <row r="411" spans="1:17" ht="33" hidden="1">
      <c r="A411" s="421" t="s">
        <v>2320</v>
      </c>
      <c r="B411" s="422" t="s">
        <v>1107</v>
      </c>
      <c r="C411" s="423" t="s">
        <v>14</v>
      </c>
      <c r="D411" s="424">
        <v>2</v>
      </c>
      <c r="E411" s="424">
        <f>估驗單!F404</f>
        <v>2</v>
      </c>
      <c r="F411" s="478">
        <f t="shared" si="43"/>
        <v>0</v>
      </c>
      <c r="G411" s="424">
        <v>999.95</v>
      </c>
      <c r="H411" s="424"/>
      <c r="I411" s="424">
        <f t="shared" si="51"/>
        <v>1999.9</v>
      </c>
      <c r="J411" s="424">
        <f t="shared" si="52"/>
        <v>1999.9</v>
      </c>
      <c r="K411" s="664">
        <f t="shared" si="53"/>
        <v>0</v>
      </c>
      <c r="L411" s="609"/>
      <c r="M411" s="264" t="s">
        <v>242</v>
      </c>
      <c r="N411" s="11" t="s">
        <v>243</v>
      </c>
      <c r="O411" s="429"/>
      <c r="P411" s="427"/>
    </row>
    <row r="412" spans="1:17" ht="33" hidden="1">
      <c r="A412" s="421" t="s">
        <v>2321</v>
      </c>
      <c r="B412" s="422" t="s">
        <v>224</v>
      </c>
      <c r="C412" s="423" t="s">
        <v>15</v>
      </c>
      <c r="D412" s="424">
        <v>12</v>
      </c>
      <c r="E412" s="424">
        <f>估驗單!F405</f>
        <v>12</v>
      </c>
      <c r="F412" s="478">
        <f t="shared" si="43"/>
        <v>0</v>
      </c>
      <c r="G412" s="424">
        <v>4499.75</v>
      </c>
      <c r="H412" s="424"/>
      <c r="I412" s="424">
        <f t="shared" si="51"/>
        <v>53997</v>
      </c>
      <c r="J412" s="424">
        <f t="shared" si="52"/>
        <v>53997</v>
      </c>
      <c r="K412" s="664">
        <f t="shared" si="53"/>
        <v>0</v>
      </c>
      <c r="L412" s="609"/>
      <c r="M412" s="264" t="s">
        <v>242</v>
      </c>
      <c r="N412" s="11" t="s">
        <v>243</v>
      </c>
      <c r="O412" s="429"/>
      <c r="P412" s="427"/>
    </row>
    <row r="413" spans="1:17" ht="33" hidden="1">
      <c r="A413" s="421" t="s">
        <v>2322</v>
      </c>
      <c r="B413" s="422" t="s">
        <v>1112</v>
      </c>
      <c r="C413" s="423" t="s">
        <v>15</v>
      </c>
      <c r="D413" s="424">
        <v>2</v>
      </c>
      <c r="E413" s="424">
        <f>估驗單!F406</f>
        <v>2</v>
      </c>
      <c r="F413" s="478">
        <f t="shared" si="43"/>
        <v>0</v>
      </c>
      <c r="G413" s="424">
        <v>636265.30000000005</v>
      </c>
      <c r="H413" s="424"/>
      <c r="I413" s="424">
        <f t="shared" si="51"/>
        <v>1272530.6000000001</v>
      </c>
      <c r="J413" s="424">
        <f t="shared" si="52"/>
        <v>1272530.6000000001</v>
      </c>
      <c r="K413" s="664">
        <f t="shared" si="53"/>
        <v>0</v>
      </c>
      <c r="L413" s="609"/>
      <c r="M413" s="264" t="s">
        <v>242</v>
      </c>
      <c r="N413" s="11" t="s">
        <v>243</v>
      </c>
      <c r="O413" s="429"/>
      <c r="P413" s="427"/>
    </row>
    <row r="414" spans="1:17" ht="42.75" hidden="1">
      <c r="A414" s="421" t="s">
        <v>2323</v>
      </c>
      <c r="B414" s="422" t="s">
        <v>1115</v>
      </c>
      <c r="C414" s="423" t="s">
        <v>1116</v>
      </c>
      <c r="D414" s="424">
        <v>4</v>
      </c>
      <c r="E414" s="424">
        <f>估驗單!F407</f>
        <v>4</v>
      </c>
      <c r="F414" s="478">
        <f t="shared" ref="F414:F471" si="54">E414-D414</f>
        <v>0</v>
      </c>
      <c r="G414" s="424">
        <v>1999.89</v>
      </c>
      <c r="H414" s="424"/>
      <c r="I414" s="424">
        <f t="shared" si="51"/>
        <v>7999.56</v>
      </c>
      <c r="J414" s="424">
        <f t="shared" si="52"/>
        <v>7999.56</v>
      </c>
      <c r="K414" s="664">
        <f t="shared" si="53"/>
        <v>0</v>
      </c>
      <c r="L414" s="609"/>
      <c r="M414" s="264" t="s">
        <v>2530</v>
      </c>
      <c r="N414" s="11" t="s">
        <v>243</v>
      </c>
      <c r="O414" s="429"/>
      <c r="P414" s="427"/>
    </row>
    <row r="415" spans="1:17" ht="33" hidden="1">
      <c r="A415" s="421" t="s">
        <v>2324</v>
      </c>
      <c r="B415" s="422" t="s">
        <v>1542</v>
      </c>
      <c r="C415" s="423" t="s">
        <v>15</v>
      </c>
      <c r="D415" s="424">
        <v>1</v>
      </c>
      <c r="E415" s="424">
        <f>估驗單!F408</f>
        <v>1</v>
      </c>
      <c r="F415" s="478">
        <f t="shared" si="54"/>
        <v>0</v>
      </c>
      <c r="G415" s="424">
        <v>119722.49</v>
      </c>
      <c r="H415" s="424"/>
      <c r="I415" s="424">
        <f t="shared" si="51"/>
        <v>119722.49</v>
      </c>
      <c r="J415" s="424">
        <f t="shared" si="52"/>
        <v>119722.49</v>
      </c>
      <c r="K415" s="664">
        <f t="shared" si="53"/>
        <v>0</v>
      </c>
      <c r="L415" s="609"/>
      <c r="M415" s="264" t="s">
        <v>242</v>
      </c>
      <c r="N415" s="11" t="s">
        <v>243</v>
      </c>
      <c r="O415" s="429"/>
      <c r="P415" s="427"/>
    </row>
    <row r="416" spans="1:17" s="440" customFormat="1" ht="33.75" hidden="1">
      <c r="A416" s="431">
        <v>36</v>
      </c>
      <c r="B416" s="432" t="s">
        <v>2650</v>
      </c>
      <c r="C416" s="433" t="s">
        <v>2562</v>
      </c>
      <c r="D416" s="428">
        <v>1</v>
      </c>
      <c r="E416" s="424">
        <f>估驗單!F409</f>
        <v>1</v>
      </c>
      <c r="F416" s="478">
        <f t="shared" si="54"/>
        <v>0</v>
      </c>
      <c r="G416" s="428">
        <v>74993.56</v>
      </c>
      <c r="H416" s="428"/>
      <c r="I416" s="424">
        <f t="shared" si="51"/>
        <v>74993.56</v>
      </c>
      <c r="J416" s="424">
        <f t="shared" si="52"/>
        <v>74993.56</v>
      </c>
      <c r="K416" s="664">
        <f t="shared" si="53"/>
        <v>0</v>
      </c>
      <c r="L416" s="609"/>
      <c r="M416" s="438" t="s">
        <v>2651</v>
      </c>
      <c r="N416" s="435" t="s">
        <v>243</v>
      </c>
      <c r="O416" s="436" t="s">
        <v>2652</v>
      </c>
      <c r="P416" s="437"/>
      <c r="Q416" s="450" t="s">
        <v>2565</v>
      </c>
    </row>
    <row r="417" spans="1:21" s="440" customFormat="1" ht="42.75" hidden="1">
      <c r="A417" s="511">
        <v>37</v>
      </c>
      <c r="B417" s="512" t="s">
        <v>1546</v>
      </c>
      <c r="C417" s="513" t="s">
        <v>15</v>
      </c>
      <c r="D417" s="507">
        <v>2</v>
      </c>
      <c r="E417" s="507">
        <f>估驗單!F410</f>
        <v>2</v>
      </c>
      <c r="F417" s="514">
        <f t="shared" si="54"/>
        <v>0</v>
      </c>
      <c r="G417" s="507">
        <v>83492.83</v>
      </c>
      <c r="H417" s="507"/>
      <c r="I417" s="424">
        <f t="shared" si="51"/>
        <v>166985.66</v>
      </c>
      <c r="J417" s="424">
        <f t="shared" si="52"/>
        <v>166985.66</v>
      </c>
      <c r="K417" s="664">
        <f t="shared" si="53"/>
        <v>0</v>
      </c>
      <c r="L417" s="609"/>
      <c r="M417" s="464"/>
      <c r="N417" s="445"/>
      <c r="O417" s="465"/>
      <c r="P417" s="448"/>
      <c r="Q417" s="441" t="s">
        <v>2565</v>
      </c>
    </row>
    <row r="418" spans="1:21" s="440" customFormat="1" ht="42.75" hidden="1">
      <c r="A418" s="511">
        <v>38</v>
      </c>
      <c r="B418" s="512" t="s">
        <v>1548</v>
      </c>
      <c r="C418" s="513" t="s">
        <v>15</v>
      </c>
      <c r="D418" s="507">
        <v>1</v>
      </c>
      <c r="E418" s="507">
        <f>估驗單!F411</f>
        <v>1</v>
      </c>
      <c r="F418" s="514">
        <f t="shared" si="54"/>
        <v>0</v>
      </c>
      <c r="G418" s="507">
        <v>76193.42</v>
      </c>
      <c r="H418" s="507"/>
      <c r="I418" s="424">
        <f t="shared" si="51"/>
        <v>76193.42</v>
      </c>
      <c r="J418" s="424">
        <f t="shared" si="52"/>
        <v>76193.42</v>
      </c>
      <c r="K418" s="664">
        <f t="shared" si="53"/>
        <v>0</v>
      </c>
      <c r="L418" s="609"/>
      <c r="M418" s="464"/>
      <c r="N418" s="445"/>
      <c r="O418" s="465"/>
      <c r="P418" s="448"/>
      <c r="Q418" s="441" t="s">
        <v>2565</v>
      </c>
    </row>
    <row r="419" spans="1:21" s="440" customFormat="1" ht="28.5" hidden="1">
      <c r="A419" s="511">
        <v>39</v>
      </c>
      <c r="B419" s="512" t="s">
        <v>1550</v>
      </c>
      <c r="C419" s="513" t="s">
        <v>15</v>
      </c>
      <c r="D419" s="507">
        <v>2</v>
      </c>
      <c r="E419" s="507">
        <f>估驗單!F412</f>
        <v>2</v>
      </c>
      <c r="F419" s="514">
        <f t="shared" si="54"/>
        <v>0</v>
      </c>
      <c r="G419" s="507">
        <v>17998.46</v>
      </c>
      <c r="H419" s="507"/>
      <c r="I419" s="424">
        <f t="shared" si="51"/>
        <v>35996.92</v>
      </c>
      <c r="J419" s="424">
        <f t="shared" si="52"/>
        <v>35996.92</v>
      </c>
      <c r="K419" s="664">
        <f t="shared" si="53"/>
        <v>0</v>
      </c>
      <c r="L419" s="609"/>
      <c r="M419" s="464"/>
      <c r="N419" s="445"/>
      <c r="O419" s="465"/>
      <c r="P419" s="448"/>
      <c r="Q419" s="441" t="s">
        <v>2565</v>
      </c>
    </row>
    <row r="420" spans="1:21" ht="33">
      <c r="A420" s="494" t="s">
        <v>2387</v>
      </c>
      <c r="B420" s="495" t="s">
        <v>1118</v>
      </c>
      <c r="C420" s="496" t="s">
        <v>4</v>
      </c>
      <c r="D420" s="497"/>
      <c r="E420" s="497"/>
      <c r="F420" s="498">
        <f t="shared" si="54"/>
        <v>0</v>
      </c>
      <c r="G420" s="497">
        <f>I420</f>
        <v>3983954.6799999997</v>
      </c>
      <c r="H420" s="497"/>
      <c r="I420" s="497">
        <f t="shared" ref="I420:K420" si="55">SUM(I421:I423)</f>
        <v>3983954.6799999997</v>
      </c>
      <c r="J420" s="497">
        <f t="shared" si="55"/>
        <v>3983954.6799999997</v>
      </c>
      <c r="K420" s="660">
        <f t="shared" si="55"/>
        <v>0</v>
      </c>
      <c r="L420" s="650"/>
      <c r="M420" s="356" t="s">
        <v>242</v>
      </c>
      <c r="N420" s="11" t="s">
        <v>243</v>
      </c>
      <c r="O420" s="429"/>
      <c r="P420" s="427"/>
    </row>
    <row r="421" spans="1:21" ht="33" hidden="1">
      <c r="A421" s="421" t="s">
        <v>2288</v>
      </c>
      <c r="B421" s="422" t="s">
        <v>26</v>
      </c>
      <c r="C421" s="423" t="s">
        <v>20</v>
      </c>
      <c r="D421" s="424">
        <v>48</v>
      </c>
      <c r="E421" s="424">
        <f>估驗單!F414</f>
        <v>48</v>
      </c>
      <c r="F421" s="478">
        <f t="shared" si="54"/>
        <v>0</v>
      </c>
      <c r="G421" s="424">
        <v>13067.55</v>
      </c>
      <c r="H421" s="424"/>
      <c r="I421" s="424">
        <f>ROUND(D421*G421,2)</f>
        <v>627242.4</v>
      </c>
      <c r="J421" s="424">
        <f>ROUND(E421*G421,2)</f>
        <v>627242.4</v>
      </c>
      <c r="K421" s="664">
        <f t="shared" si="53"/>
        <v>0</v>
      </c>
      <c r="L421" s="609"/>
      <c r="M421" s="264" t="s">
        <v>242</v>
      </c>
      <c r="N421" s="11" t="s">
        <v>243</v>
      </c>
      <c r="O421" s="429"/>
      <c r="P421" s="427"/>
    </row>
    <row r="422" spans="1:21" ht="33.75" hidden="1">
      <c r="A422" s="421" t="s">
        <v>2289</v>
      </c>
      <c r="B422" s="422" t="s">
        <v>27</v>
      </c>
      <c r="C422" s="423" t="s">
        <v>21</v>
      </c>
      <c r="D422" s="424">
        <v>28448</v>
      </c>
      <c r="E422" s="424">
        <f>估驗單!F415</f>
        <v>28448</v>
      </c>
      <c r="F422" s="478">
        <f t="shared" si="54"/>
        <v>0</v>
      </c>
      <c r="G422" s="424">
        <v>54.56</v>
      </c>
      <c r="H422" s="424"/>
      <c r="I422" s="424">
        <f>ROUND(D422*G422,2)</f>
        <v>1552122.8799999999</v>
      </c>
      <c r="J422" s="424">
        <f>ROUND(E422*G422,2)</f>
        <v>1552122.8799999999</v>
      </c>
      <c r="K422" s="664">
        <f t="shared" si="53"/>
        <v>0</v>
      </c>
      <c r="L422" s="609"/>
      <c r="M422" s="264" t="s">
        <v>2653</v>
      </c>
      <c r="N422" s="11" t="s">
        <v>243</v>
      </c>
      <c r="O422" s="429" t="s">
        <v>2654</v>
      </c>
      <c r="P422" s="427" t="s">
        <v>2655</v>
      </c>
      <c r="Q422" s="450" t="s">
        <v>2565</v>
      </c>
      <c r="S422" s="466" t="s">
        <v>2656</v>
      </c>
      <c r="U422" s="467"/>
    </row>
    <row r="423" spans="1:21" s="451" customFormat="1" ht="67.5" hidden="1">
      <c r="A423" s="431" t="s">
        <v>2290</v>
      </c>
      <c r="B423" s="432" t="s">
        <v>1553</v>
      </c>
      <c r="C423" s="433" t="s">
        <v>2657</v>
      </c>
      <c r="D423" s="428">
        <v>1570</v>
      </c>
      <c r="E423" s="424">
        <f>估驗單!F416</f>
        <v>1570</v>
      </c>
      <c r="F423" s="478">
        <f t="shared" si="54"/>
        <v>0</v>
      </c>
      <c r="G423" s="428">
        <v>1149.42</v>
      </c>
      <c r="H423" s="428"/>
      <c r="I423" s="424">
        <f>ROUND(D423*G423,2)</f>
        <v>1804589.4</v>
      </c>
      <c r="J423" s="424">
        <f>ROUND(E423*G423,2)</f>
        <v>1804589.4</v>
      </c>
      <c r="K423" s="664">
        <f t="shared" si="53"/>
        <v>0</v>
      </c>
      <c r="L423" s="609"/>
      <c r="M423" s="434" t="s">
        <v>242</v>
      </c>
      <c r="N423" s="435" t="s">
        <v>243</v>
      </c>
      <c r="O423" s="442" t="s">
        <v>2658</v>
      </c>
      <c r="P423" s="437" t="s">
        <v>2659</v>
      </c>
      <c r="Q423" s="446" t="s">
        <v>2550</v>
      </c>
    </row>
    <row r="424" spans="1:21" ht="33">
      <c r="A424" s="494" t="s">
        <v>2388</v>
      </c>
      <c r="B424" s="495" t="s">
        <v>1121</v>
      </c>
      <c r="C424" s="496" t="s">
        <v>4</v>
      </c>
      <c r="D424" s="497"/>
      <c r="E424" s="497"/>
      <c r="F424" s="498">
        <f t="shared" si="54"/>
        <v>0</v>
      </c>
      <c r="G424" s="497">
        <f>I424</f>
        <v>10146417.939999999</v>
      </c>
      <c r="H424" s="497"/>
      <c r="I424" s="499">
        <f>SUM(I425:I443)</f>
        <v>10146417.939999999</v>
      </c>
      <c r="J424" s="499">
        <f>SUM(J425:J443)</f>
        <v>10815643.949999999</v>
      </c>
      <c r="K424" s="659">
        <f>SUM(K425:K443)</f>
        <v>669226.00999999989</v>
      </c>
      <c r="L424" s="549">
        <f t="shared" ref="L424" si="56">SUM(L425:L442)</f>
        <v>0</v>
      </c>
      <c r="M424" s="356" t="s">
        <v>242</v>
      </c>
      <c r="N424" s="11" t="s">
        <v>243</v>
      </c>
      <c r="O424" s="429"/>
      <c r="P424" s="427"/>
    </row>
    <row r="425" spans="1:21" ht="33" hidden="1">
      <c r="A425" s="421" t="s">
        <v>2288</v>
      </c>
      <c r="B425" s="422" t="s">
        <v>1122</v>
      </c>
      <c r="C425" s="423" t="s">
        <v>8</v>
      </c>
      <c r="D425" s="424">
        <v>1294.97</v>
      </c>
      <c r="E425" s="424">
        <f>估驗單!F418</f>
        <v>1294.97</v>
      </c>
      <c r="F425" s="478">
        <f t="shared" si="54"/>
        <v>0</v>
      </c>
      <c r="G425" s="424">
        <v>3662.03</v>
      </c>
      <c r="H425" s="424"/>
      <c r="I425" s="424">
        <f t="shared" ref="I425:I443" si="57">ROUND(D425*G425,2)</f>
        <v>4742218.99</v>
      </c>
      <c r="J425" s="424">
        <f t="shared" ref="J425:J443" si="58">ROUND(E425*G425,2)</f>
        <v>4742218.99</v>
      </c>
      <c r="K425" s="664">
        <f t="shared" si="53"/>
        <v>0</v>
      </c>
      <c r="L425" s="609"/>
      <c r="M425" s="264" t="s">
        <v>2660</v>
      </c>
      <c r="N425" s="11" t="s">
        <v>243</v>
      </c>
      <c r="O425" s="429"/>
      <c r="P425" s="427"/>
    </row>
    <row r="426" spans="1:21" ht="33" hidden="1">
      <c r="A426" s="421" t="s">
        <v>2289</v>
      </c>
      <c r="B426" s="422" t="s">
        <v>1124</v>
      </c>
      <c r="C426" s="423" t="s">
        <v>13</v>
      </c>
      <c r="D426" s="424">
        <v>1840.93</v>
      </c>
      <c r="E426" s="424">
        <f>估驗單!F419</f>
        <v>1840.93</v>
      </c>
      <c r="F426" s="478">
        <f t="shared" si="54"/>
        <v>0</v>
      </c>
      <c r="G426" s="424">
        <v>352.98</v>
      </c>
      <c r="H426" s="424"/>
      <c r="I426" s="424">
        <f t="shared" si="57"/>
        <v>649811.47</v>
      </c>
      <c r="J426" s="424">
        <f t="shared" si="58"/>
        <v>649811.47</v>
      </c>
      <c r="K426" s="664">
        <f t="shared" si="53"/>
        <v>0</v>
      </c>
      <c r="L426" s="609"/>
      <c r="M426" s="264" t="s">
        <v>2661</v>
      </c>
      <c r="N426" s="11" t="s">
        <v>243</v>
      </c>
      <c r="O426" s="429"/>
      <c r="P426" s="427"/>
    </row>
    <row r="427" spans="1:21" ht="33" hidden="1">
      <c r="A427" s="421" t="s">
        <v>2290</v>
      </c>
      <c r="B427" s="422" t="s">
        <v>32</v>
      </c>
      <c r="C427" s="423" t="s">
        <v>7</v>
      </c>
      <c r="D427" s="424">
        <v>59</v>
      </c>
      <c r="E427" s="424">
        <f>估驗單!F420</f>
        <v>59</v>
      </c>
      <c r="F427" s="478">
        <f t="shared" si="54"/>
        <v>0</v>
      </c>
      <c r="G427" s="424">
        <v>217.01</v>
      </c>
      <c r="H427" s="424"/>
      <c r="I427" s="424">
        <f t="shared" si="57"/>
        <v>12803.59</v>
      </c>
      <c r="J427" s="424">
        <f t="shared" si="58"/>
        <v>12803.59</v>
      </c>
      <c r="K427" s="664">
        <f t="shared" si="53"/>
        <v>0</v>
      </c>
      <c r="L427" s="609"/>
      <c r="M427" s="264" t="s">
        <v>242</v>
      </c>
      <c r="N427" s="11" t="s">
        <v>243</v>
      </c>
      <c r="O427" s="429"/>
      <c r="P427" s="427"/>
    </row>
    <row r="428" spans="1:21" ht="33" hidden="1">
      <c r="A428" s="421" t="s">
        <v>2291</v>
      </c>
      <c r="B428" s="422" t="s">
        <v>33</v>
      </c>
      <c r="C428" s="423" t="s">
        <v>5</v>
      </c>
      <c r="D428" s="424">
        <v>30</v>
      </c>
      <c r="E428" s="424">
        <f>估驗單!F421</f>
        <v>30</v>
      </c>
      <c r="F428" s="478">
        <f t="shared" si="54"/>
        <v>0</v>
      </c>
      <c r="G428" s="424">
        <v>50</v>
      </c>
      <c r="H428" s="424"/>
      <c r="I428" s="424">
        <f t="shared" si="57"/>
        <v>1500</v>
      </c>
      <c r="J428" s="424">
        <f t="shared" si="58"/>
        <v>1500</v>
      </c>
      <c r="K428" s="664">
        <f t="shared" si="53"/>
        <v>0</v>
      </c>
      <c r="L428" s="609"/>
      <c r="M428" s="264" t="s">
        <v>242</v>
      </c>
      <c r="N428" s="11" t="s">
        <v>243</v>
      </c>
      <c r="O428" s="429"/>
      <c r="P428" s="427"/>
    </row>
    <row r="429" spans="1:21" ht="33" hidden="1">
      <c r="A429" s="421" t="s">
        <v>2292</v>
      </c>
      <c r="B429" s="422" t="s">
        <v>1128</v>
      </c>
      <c r="C429" s="423" t="s">
        <v>0</v>
      </c>
      <c r="D429" s="424">
        <v>19</v>
      </c>
      <c r="E429" s="424">
        <f>估驗單!F422</f>
        <v>19</v>
      </c>
      <c r="F429" s="478">
        <f t="shared" si="54"/>
        <v>0</v>
      </c>
      <c r="G429" s="424">
        <v>1900.88</v>
      </c>
      <c r="H429" s="424"/>
      <c r="I429" s="424">
        <f t="shared" si="57"/>
        <v>36116.720000000001</v>
      </c>
      <c r="J429" s="424">
        <f t="shared" si="58"/>
        <v>36116.720000000001</v>
      </c>
      <c r="K429" s="664">
        <f t="shared" si="53"/>
        <v>0</v>
      </c>
      <c r="L429" s="609"/>
      <c r="M429" s="264" t="s">
        <v>242</v>
      </c>
      <c r="N429" s="11" t="s">
        <v>243</v>
      </c>
      <c r="O429" s="429"/>
      <c r="P429" s="427"/>
    </row>
    <row r="430" spans="1:21" ht="33" hidden="1">
      <c r="A430" s="421" t="s">
        <v>2293</v>
      </c>
      <c r="B430" s="422" t="s">
        <v>1130</v>
      </c>
      <c r="C430" s="423" t="s">
        <v>0</v>
      </c>
      <c r="D430" s="424">
        <v>10</v>
      </c>
      <c r="E430" s="424">
        <f>估驗單!F423</f>
        <v>10</v>
      </c>
      <c r="F430" s="478">
        <f t="shared" si="54"/>
        <v>0</v>
      </c>
      <c r="G430" s="424">
        <v>1230.67</v>
      </c>
      <c r="H430" s="424"/>
      <c r="I430" s="424">
        <f t="shared" si="57"/>
        <v>12306.7</v>
      </c>
      <c r="J430" s="424">
        <f t="shared" si="58"/>
        <v>12306.7</v>
      </c>
      <c r="K430" s="664">
        <f t="shared" si="53"/>
        <v>0</v>
      </c>
      <c r="L430" s="609"/>
      <c r="M430" s="264" t="s">
        <v>242</v>
      </c>
      <c r="N430" s="11" t="s">
        <v>243</v>
      </c>
      <c r="O430" s="429"/>
      <c r="P430" s="427"/>
    </row>
    <row r="431" spans="1:21" ht="33" hidden="1">
      <c r="A431" s="421" t="s">
        <v>2294</v>
      </c>
      <c r="B431" s="422" t="s">
        <v>30</v>
      </c>
      <c r="C431" s="423" t="s">
        <v>0</v>
      </c>
      <c r="D431" s="424">
        <v>577</v>
      </c>
      <c r="E431" s="424">
        <f>估驗單!F424</f>
        <v>577</v>
      </c>
      <c r="F431" s="478">
        <f t="shared" si="54"/>
        <v>0</v>
      </c>
      <c r="G431" s="424">
        <v>1666.03</v>
      </c>
      <c r="H431" s="424"/>
      <c r="I431" s="424">
        <f t="shared" si="57"/>
        <v>961299.31</v>
      </c>
      <c r="J431" s="424">
        <f t="shared" si="58"/>
        <v>961299.31</v>
      </c>
      <c r="K431" s="664">
        <f t="shared" si="53"/>
        <v>0</v>
      </c>
      <c r="L431" s="609"/>
      <c r="M431" s="264" t="s">
        <v>242</v>
      </c>
      <c r="N431" s="11" t="s">
        <v>243</v>
      </c>
      <c r="O431" s="429"/>
      <c r="P431" s="427"/>
    </row>
    <row r="432" spans="1:21" ht="33">
      <c r="A432" s="610" t="s">
        <v>2295</v>
      </c>
      <c r="B432" s="611" t="s">
        <v>1133</v>
      </c>
      <c r="C432" s="612" t="s">
        <v>0</v>
      </c>
      <c r="D432" s="613">
        <v>2</v>
      </c>
      <c r="E432" s="613">
        <f>估驗單!F425</f>
        <v>3</v>
      </c>
      <c r="F432" s="614">
        <f t="shared" si="54"/>
        <v>1</v>
      </c>
      <c r="G432" s="613">
        <v>48510.35</v>
      </c>
      <c r="H432" s="613"/>
      <c r="I432" s="613">
        <f t="shared" si="57"/>
        <v>97020.7</v>
      </c>
      <c r="J432" s="613">
        <f t="shared" si="58"/>
        <v>145531.04999999999</v>
      </c>
      <c r="K432" s="665">
        <f t="shared" si="53"/>
        <v>48510.349999999991</v>
      </c>
      <c r="L432" s="617"/>
      <c r="M432" s="615" t="s">
        <v>242</v>
      </c>
      <c r="N432" s="11" t="s">
        <v>243</v>
      </c>
      <c r="O432" s="429" t="s">
        <v>2863</v>
      </c>
      <c r="P432" s="427"/>
    </row>
    <row r="433" spans="1:17" ht="71.25" hidden="1">
      <c r="A433" s="421" t="s">
        <v>2296</v>
      </c>
      <c r="B433" s="422" t="s">
        <v>28</v>
      </c>
      <c r="C433" s="423" t="s">
        <v>22</v>
      </c>
      <c r="D433" s="424">
        <v>19</v>
      </c>
      <c r="E433" s="424">
        <f>估驗單!F426</f>
        <v>19</v>
      </c>
      <c r="F433" s="478">
        <f t="shared" si="54"/>
        <v>0</v>
      </c>
      <c r="G433" s="424">
        <v>587.07000000000005</v>
      </c>
      <c r="H433" s="424"/>
      <c r="I433" s="424">
        <f t="shared" si="57"/>
        <v>11154.33</v>
      </c>
      <c r="J433" s="424">
        <f t="shared" si="58"/>
        <v>11154.33</v>
      </c>
      <c r="K433" s="664">
        <f t="shared" si="53"/>
        <v>0</v>
      </c>
      <c r="L433" s="609"/>
      <c r="M433" s="264" t="s">
        <v>2662</v>
      </c>
      <c r="N433" s="11" t="s">
        <v>243</v>
      </c>
      <c r="O433" s="429"/>
      <c r="P433" s="427"/>
    </row>
    <row r="434" spans="1:17" ht="33" hidden="1">
      <c r="A434" s="421" t="s">
        <v>2297</v>
      </c>
      <c r="B434" s="422" t="s">
        <v>1136</v>
      </c>
      <c r="C434" s="423" t="s">
        <v>7</v>
      </c>
      <c r="D434" s="424">
        <v>19</v>
      </c>
      <c r="E434" s="424">
        <f>估驗單!F427</f>
        <v>19</v>
      </c>
      <c r="F434" s="478">
        <f t="shared" si="54"/>
        <v>0</v>
      </c>
      <c r="G434" s="424">
        <v>664.14</v>
      </c>
      <c r="H434" s="424"/>
      <c r="I434" s="424">
        <f t="shared" si="57"/>
        <v>12618.66</v>
      </c>
      <c r="J434" s="424">
        <f t="shared" si="58"/>
        <v>12618.66</v>
      </c>
      <c r="K434" s="664">
        <f t="shared" si="53"/>
        <v>0</v>
      </c>
      <c r="L434" s="609"/>
      <c r="M434" s="264" t="s">
        <v>242</v>
      </c>
      <c r="N434" s="11" t="s">
        <v>243</v>
      </c>
      <c r="O434" s="429"/>
      <c r="P434" s="427"/>
    </row>
    <row r="435" spans="1:17" ht="33" hidden="1">
      <c r="A435" s="421" t="s">
        <v>2298</v>
      </c>
      <c r="B435" s="422" t="s">
        <v>1138</v>
      </c>
      <c r="C435" s="423" t="s">
        <v>1139</v>
      </c>
      <c r="D435" s="424">
        <v>2</v>
      </c>
      <c r="E435" s="424">
        <f>估驗單!F428</f>
        <v>2</v>
      </c>
      <c r="F435" s="478">
        <f t="shared" si="54"/>
        <v>0</v>
      </c>
      <c r="G435" s="424">
        <v>9999.4500000000007</v>
      </c>
      <c r="H435" s="424"/>
      <c r="I435" s="424">
        <f t="shared" si="57"/>
        <v>19998.900000000001</v>
      </c>
      <c r="J435" s="424">
        <f t="shared" si="58"/>
        <v>19998.900000000001</v>
      </c>
      <c r="K435" s="664">
        <f t="shared" si="53"/>
        <v>0</v>
      </c>
      <c r="L435" s="609"/>
      <c r="M435" s="264" t="s">
        <v>242</v>
      </c>
      <c r="N435" s="11" t="s">
        <v>243</v>
      </c>
      <c r="O435" s="429"/>
      <c r="P435" s="427"/>
    </row>
    <row r="436" spans="1:17" ht="33" hidden="1">
      <c r="A436" s="421" t="s">
        <v>2299</v>
      </c>
      <c r="B436" s="422" t="s">
        <v>1142</v>
      </c>
      <c r="C436" s="423" t="s">
        <v>8</v>
      </c>
      <c r="D436" s="424">
        <v>698.15</v>
      </c>
      <c r="E436" s="424">
        <f>估驗單!F429</f>
        <v>698.15</v>
      </c>
      <c r="F436" s="478">
        <f t="shared" si="54"/>
        <v>0</v>
      </c>
      <c r="G436" s="424">
        <v>209.99</v>
      </c>
      <c r="H436" s="424"/>
      <c r="I436" s="424">
        <f t="shared" si="57"/>
        <v>146604.51999999999</v>
      </c>
      <c r="J436" s="424">
        <f t="shared" si="58"/>
        <v>146604.51999999999</v>
      </c>
      <c r="K436" s="664">
        <f t="shared" si="53"/>
        <v>0</v>
      </c>
      <c r="L436" s="609"/>
      <c r="M436" s="264" t="s">
        <v>2663</v>
      </c>
      <c r="N436" s="11" t="s">
        <v>243</v>
      </c>
      <c r="O436" s="429"/>
      <c r="P436" s="427"/>
    </row>
    <row r="437" spans="1:17" ht="33" hidden="1">
      <c r="A437" s="421" t="s">
        <v>2300</v>
      </c>
      <c r="B437" s="422" t="s">
        <v>1145</v>
      </c>
      <c r="C437" s="423" t="s">
        <v>8</v>
      </c>
      <c r="D437" s="424">
        <v>2498.77</v>
      </c>
      <c r="E437" s="424">
        <f>估驗單!F430</f>
        <v>2498.77</v>
      </c>
      <c r="F437" s="478">
        <f t="shared" si="54"/>
        <v>0</v>
      </c>
      <c r="G437" s="424">
        <v>299.98</v>
      </c>
      <c r="H437" s="424"/>
      <c r="I437" s="424">
        <f t="shared" si="57"/>
        <v>749581.02</v>
      </c>
      <c r="J437" s="424">
        <f t="shared" si="58"/>
        <v>749581.02</v>
      </c>
      <c r="K437" s="664">
        <f t="shared" si="53"/>
        <v>0</v>
      </c>
      <c r="L437" s="609"/>
      <c r="M437" s="264" t="s">
        <v>242</v>
      </c>
      <c r="N437" s="11" t="s">
        <v>243</v>
      </c>
      <c r="O437" s="429"/>
      <c r="P437" s="427"/>
    </row>
    <row r="438" spans="1:17" ht="33" hidden="1">
      <c r="A438" s="421" t="s">
        <v>2301</v>
      </c>
      <c r="B438" s="422" t="s">
        <v>1148</v>
      </c>
      <c r="C438" s="423" t="s">
        <v>8</v>
      </c>
      <c r="D438" s="424">
        <v>1396.3</v>
      </c>
      <c r="E438" s="424">
        <f>估驗單!F431</f>
        <v>1396.3</v>
      </c>
      <c r="F438" s="478">
        <f t="shared" si="54"/>
        <v>0</v>
      </c>
      <c r="G438" s="424">
        <v>199.99</v>
      </c>
      <c r="H438" s="424"/>
      <c r="I438" s="424">
        <f t="shared" si="57"/>
        <v>279246.03999999998</v>
      </c>
      <c r="J438" s="424">
        <f t="shared" si="58"/>
        <v>279246.03999999998</v>
      </c>
      <c r="K438" s="664">
        <f t="shared" si="53"/>
        <v>0</v>
      </c>
      <c r="L438" s="609"/>
      <c r="M438" s="264" t="s">
        <v>242</v>
      </c>
      <c r="N438" s="11" t="s">
        <v>243</v>
      </c>
      <c r="O438" s="429"/>
      <c r="P438" s="427"/>
    </row>
    <row r="439" spans="1:17" ht="33" hidden="1">
      <c r="A439" s="421" t="s">
        <v>2302</v>
      </c>
      <c r="B439" s="422" t="s">
        <v>1151</v>
      </c>
      <c r="C439" s="423" t="s">
        <v>4</v>
      </c>
      <c r="D439" s="424">
        <v>1</v>
      </c>
      <c r="E439" s="424">
        <f>估驗單!F432</f>
        <v>1</v>
      </c>
      <c r="F439" s="478">
        <f t="shared" si="54"/>
        <v>0</v>
      </c>
      <c r="G439" s="424">
        <v>21835.68</v>
      </c>
      <c r="H439" s="424"/>
      <c r="I439" s="424">
        <f t="shared" si="57"/>
        <v>21835.68</v>
      </c>
      <c r="J439" s="424">
        <f t="shared" si="58"/>
        <v>21835.68</v>
      </c>
      <c r="K439" s="664">
        <f t="shared" si="53"/>
        <v>0</v>
      </c>
      <c r="L439" s="609"/>
      <c r="M439" s="264" t="s">
        <v>242</v>
      </c>
      <c r="N439" s="11" t="s">
        <v>243</v>
      </c>
      <c r="O439" s="429"/>
      <c r="P439" s="427"/>
    </row>
    <row r="440" spans="1:17" ht="42.75" hidden="1">
      <c r="A440" s="421" t="s">
        <v>2303</v>
      </c>
      <c r="B440" s="422" t="s">
        <v>1556</v>
      </c>
      <c r="C440" s="423" t="s">
        <v>8</v>
      </c>
      <c r="D440" s="424">
        <v>355</v>
      </c>
      <c r="E440" s="424">
        <f>估驗單!F433</f>
        <v>355</v>
      </c>
      <c r="F440" s="478">
        <f t="shared" si="54"/>
        <v>0</v>
      </c>
      <c r="G440" s="424">
        <v>1859.79</v>
      </c>
      <c r="H440" s="424"/>
      <c r="I440" s="424">
        <f t="shared" si="57"/>
        <v>660225.44999999995</v>
      </c>
      <c r="J440" s="424">
        <f t="shared" si="58"/>
        <v>660225.44999999995</v>
      </c>
      <c r="K440" s="664">
        <f t="shared" si="53"/>
        <v>0</v>
      </c>
      <c r="L440" s="609"/>
      <c r="M440" s="264" t="s">
        <v>2664</v>
      </c>
      <c r="N440" s="11" t="s">
        <v>243</v>
      </c>
      <c r="O440" s="429"/>
      <c r="P440" s="427"/>
    </row>
    <row r="441" spans="1:17" s="440" customFormat="1" ht="114" hidden="1">
      <c r="A441" s="431">
        <v>17</v>
      </c>
      <c r="B441" s="432" t="s">
        <v>29</v>
      </c>
      <c r="C441" s="433" t="s">
        <v>8</v>
      </c>
      <c r="D441" s="428">
        <v>465</v>
      </c>
      <c r="E441" s="424">
        <f>估驗單!F434</f>
        <v>465</v>
      </c>
      <c r="F441" s="478">
        <f t="shared" si="54"/>
        <v>0</v>
      </c>
      <c r="G441" s="428">
        <v>293.70999999999998</v>
      </c>
      <c r="H441" s="428"/>
      <c r="I441" s="424">
        <f t="shared" si="57"/>
        <v>136575.15</v>
      </c>
      <c r="J441" s="424">
        <f t="shared" si="58"/>
        <v>136575.15</v>
      </c>
      <c r="K441" s="664">
        <f t="shared" si="53"/>
        <v>0</v>
      </c>
      <c r="L441" s="609"/>
      <c r="M441" s="434" t="s">
        <v>2665</v>
      </c>
      <c r="N441" s="435" t="s">
        <v>243</v>
      </c>
      <c r="O441" s="436" t="s">
        <v>2666</v>
      </c>
      <c r="P441" s="437" t="s">
        <v>2667</v>
      </c>
      <c r="Q441" s="430" t="s">
        <v>2527</v>
      </c>
    </row>
    <row r="442" spans="1:17" s="440" customFormat="1" ht="78.75">
      <c r="A442" s="619" t="s">
        <v>2305</v>
      </c>
      <c r="B442" s="620" t="s">
        <v>2668</v>
      </c>
      <c r="C442" s="621" t="s">
        <v>16</v>
      </c>
      <c r="D442" s="622">
        <v>4920</v>
      </c>
      <c r="E442" s="613">
        <f>估驗單!F435</f>
        <v>7137</v>
      </c>
      <c r="F442" s="614">
        <f t="shared" si="54"/>
        <v>2217</v>
      </c>
      <c r="G442" s="622">
        <v>279.98</v>
      </c>
      <c r="H442" s="622"/>
      <c r="I442" s="613">
        <f t="shared" si="57"/>
        <v>1377501.6</v>
      </c>
      <c r="J442" s="613">
        <f t="shared" si="58"/>
        <v>1998217.26</v>
      </c>
      <c r="K442" s="665">
        <f t="shared" si="53"/>
        <v>620715.65999999992</v>
      </c>
      <c r="L442" s="617"/>
      <c r="M442" s="746" t="s">
        <v>2669</v>
      </c>
      <c r="N442" s="435" t="s">
        <v>243</v>
      </c>
      <c r="O442" s="436" t="s">
        <v>2670</v>
      </c>
      <c r="P442" s="437" t="s">
        <v>2671</v>
      </c>
      <c r="Q442" s="430" t="s">
        <v>2527</v>
      </c>
    </row>
    <row r="443" spans="1:17" s="440" customFormat="1" ht="28.5" hidden="1" customHeight="1">
      <c r="A443" s="602">
        <v>19</v>
      </c>
      <c r="B443" s="603" t="s">
        <v>2820</v>
      </c>
      <c r="C443" s="604" t="s">
        <v>4</v>
      </c>
      <c r="D443" s="605">
        <v>1</v>
      </c>
      <c r="E443" s="518">
        <v>1</v>
      </c>
      <c r="F443" s="519"/>
      <c r="G443" s="605">
        <v>217999.11</v>
      </c>
      <c r="H443" s="605"/>
      <c r="I443" s="424">
        <f t="shared" si="57"/>
        <v>217999.11</v>
      </c>
      <c r="J443" s="424">
        <f t="shared" si="58"/>
        <v>217999.11</v>
      </c>
      <c r="K443" s="664">
        <f t="shared" si="53"/>
        <v>0</v>
      </c>
      <c r="L443" s="654"/>
      <c r="M443" s="606"/>
      <c r="N443" s="435"/>
      <c r="O443" s="436"/>
      <c r="P443" s="437"/>
      <c r="Q443" s="430"/>
    </row>
    <row r="444" spans="1:17" ht="33">
      <c r="A444" s="494" t="s">
        <v>2389</v>
      </c>
      <c r="B444" s="495" t="s">
        <v>34</v>
      </c>
      <c r="C444" s="496" t="s">
        <v>4</v>
      </c>
      <c r="D444" s="497"/>
      <c r="E444" s="497"/>
      <c r="F444" s="498">
        <f t="shared" si="54"/>
        <v>0</v>
      </c>
      <c r="G444" s="497">
        <f>I444</f>
        <v>3112577.47</v>
      </c>
      <c r="H444" s="497"/>
      <c r="I444" s="497">
        <f t="shared" ref="I444:L444" si="59">SUM(I445:I463)</f>
        <v>3112577.47</v>
      </c>
      <c r="J444" s="497">
        <f t="shared" si="59"/>
        <v>3112577.47</v>
      </c>
      <c r="K444" s="660">
        <f t="shared" si="59"/>
        <v>0</v>
      </c>
      <c r="L444" s="547">
        <f t="shared" si="59"/>
        <v>0</v>
      </c>
      <c r="M444" s="356"/>
      <c r="N444" s="11" t="s">
        <v>243</v>
      </c>
      <c r="O444" s="429"/>
      <c r="P444" s="427"/>
    </row>
    <row r="445" spans="1:17" ht="33" hidden="1">
      <c r="A445" s="421" t="s">
        <v>2288</v>
      </c>
      <c r="B445" s="422" t="s">
        <v>146</v>
      </c>
      <c r="C445" s="423" t="s">
        <v>1007</v>
      </c>
      <c r="D445" s="424">
        <v>10</v>
      </c>
      <c r="E445" s="424">
        <f>估驗單!F438</f>
        <v>10</v>
      </c>
      <c r="F445" s="478">
        <f t="shared" si="54"/>
        <v>0</v>
      </c>
      <c r="G445" s="424">
        <v>770</v>
      </c>
      <c r="H445" s="424"/>
      <c r="I445" s="424">
        <f t="shared" ref="I445:I463" si="60">ROUND(D445*G445,2)</f>
        <v>7700</v>
      </c>
      <c r="J445" s="424">
        <f t="shared" ref="J445:J463" si="61">ROUND(E445*G445,2)</f>
        <v>7700</v>
      </c>
      <c r="K445" s="664">
        <f t="shared" si="53"/>
        <v>0</v>
      </c>
      <c r="L445" s="609"/>
      <c r="M445" s="264" t="s">
        <v>242</v>
      </c>
      <c r="N445" s="11" t="s">
        <v>243</v>
      </c>
      <c r="O445" s="429"/>
      <c r="P445" s="427"/>
    </row>
    <row r="446" spans="1:17" ht="33" hidden="1">
      <c r="A446" s="421" t="s">
        <v>2289</v>
      </c>
      <c r="B446" s="422" t="s">
        <v>145</v>
      </c>
      <c r="C446" s="423" t="s">
        <v>1</v>
      </c>
      <c r="D446" s="424">
        <v>100</v>
      </c>
      <c r="E446" s="424">
        <f>估驗單!F439</f>
        <v>100</v>
      </c>
      <c r="F446" s="478">
        <f t="shared" si="54"/>
        <v>0</v>
      </c>
      <c r="G446" s="424">
        <v>201</v>
      </c>
      <c r="H446" s="424"/>
      <c r="I446" s="424">
        <f t="shared" si="60"/>
        <v>20100</v>
      </c>
      <c r="J446" s="424">
        <f t="shared" si="61"/>
        <v>20100</v>
      </c>
      <c r="K446" s="664">
        <f t="shared" si="53"/>
        <v>0</v>
      </c>
      <c r="L446" s="609"/>
      <c r="M446" s="264" t="s">
        <v>242</v>
      </c>
      <c r="N446" s="11" t="s">
        <v>243</v>
      </c>
      <c r="O446" s="429"/>
      <c r="P446" s="427"/>
    </row>
    <row r="447" spans="1:17" ht="33" hidden="1">
      <c r="A447" s="421" t="s">
        <v>2290</v>
      </c>
      <c r="B447" s="422" t="s">
        <v>144</v>
      </c>
      <c r="C447" s="423" t="s">
        <v>9</v>
      </c>
      <c r="D447" s="424">
        <v>50</v>
      </c>
      <c r="E447" s="424">
        <f>估驗單!F440</f>
        <v>50</v>
      </c>
      <c r="F447" s="478">
        <f t="shared" si="54"/>
        <v>0</v>
      </c>
      <c r="G447" s="424">
        <v>300</v>
      </c>
      <c r="H447" s="424"/>
      <c r="I447" s="424">
        <f t="shared" si="60"/>
        <v>15000</v>
      </c>
      <c r="J447" s="424">
        <f t="shared" si="61"/>
        <v>15000</v>
      </c>
      <c r="K447" s="664">
        <f t="shared" si="53"/>
        <v>0</v>
      </c>
      <c r="L447" s="609"/>
      <c r="M447" s="264" t="s">
        <v>242</v>
      </c>
      <c r="N447" s="11" t="s">
        <v>243</v>
      </c>
      <c r="O447" s="429"/>
      <c r="P447" s="427"/>
    </row>
    <row r="448" spans="1:17" s="413" customFormat="1" ht="33" hidden="1">
      <c r="A448" s="421" t="s">
        <v>2291</v>
      </c>
      <c r="B448" s="422" t="s">
        <v>35</v>
      </c>
      <c r="C448" s="423" t="s">
        <v>15</v>
      </c>
      <c r="D448" s="424">
        <v>75</v>
      </c>
      <c r="E448" s="424">
        <f>估驗單!F441</f>
        <v>75</v>
      </c>
      <c r="F448" s="478">
        <f t="shared" si="54"/>
        <v>0</v>
      </c>
      <c r="G448" s="424">
        <v>650</v>
      </c>
      <c r="H448" s="424"/>
      <c r="I448" s="424">
        <f t="shared" si="60"/>
        <v>48750</v>
      </c>
      <c r="J448" s="424">
        <f t="shared" si="61"/>
        <v>48750</v>
      </c>
      <c r="K448" s="664">
        <f t="shared" si="53"/>
        <v>0</v>
      </c>
      <c r="L448" s="609"/>
      <c r="M448" s="264" t="s">
        <v>242</v>
      </c>
      <c r="N448" s="11" t="s">
        <v>243</v>
      </c>
      <c r="O448" s="429"/>
      <c r="P448" s="427"/>
    </row>
    <row r="449" spans="1:16" s="413" customFormat="1" ht="33" hidden="1">
      <c r="A449" s="421" t="s">
        <v>2292</v>
      </c>
      <c r="B449" s="422" t="s">
        <v>2689</v>
      </c>
      <c r="C449" s="423" t="s">
        <v>3</v>
      </c>
      <c r="D449" s="424">
        <v>200</v>
      </c>
      <c r="E449" s="424">
        <f>估驗單!F442</f>
        <v>200</v>
      </c>
      <c r="F449" s="478">
        <f t="shared" si="54"/>
        <v>0</v>
      </c>
      <c r="G449" s="424">
        <v>28</v>
      </c>
      <c r="H449" s="424"/>
      <c r="I449" s="424">
        <f t="shared" si="60"/>
        <v>5600</v>
      </c>
      <c r="J449" s="424">
        <f t="shared" si="61"/>
        <v>5600</v>
      </c>
      <c r="K449" s="664">
        <f t="shared" si="53"/>
        <v>0</v>
      </c>
      <c r="L449" s="609"/>
      <c r="M449" s="264"/>
      <c r="N449" s="11" t="s">
        <v>243</v>
      </c>
      <c r="O449" s="429" t="s">
        <v>2864</v>
      </c>
      <c r="P449" s="427"/>
    </row>
    <row r="450" spans="1:16" s="413" customFormat="1" ht="33" hidden="1">
      <c r="A450" s="421" t="s">
        <v>2293</v>
      </c>
      <c r="B450" s="422" t="s">
        <v>36</v>
      </c>
      <c r="C450" s="423" t="s">
        <v>3</v>
      </c>
      <c r="D450" s="424">
        <v>100</v>
      </c>
      <c r="E450" s="424">
        <f>估驗單!F443</f>
        <v>100</v>
      </c>
      <c r="F450" s="478">
        <f t="shared" si="54"/>
        <v>0</v>
      </c>
      <c r="G450" s="424">
        <v>500</v>
      </c>
      <c r="H450" s="424"/>
      <c r="I450" s="424">
        <f t="shared" si="60"/>
        <v>50000</v>
      </c>
      <c r="J450" s="424">
        <f t="shared" si="61"/>
        <v>50000</v>
      </c>
      <c r="K450" s="664">
        <f t="shared" si="53"/>
        <v>0</v>
      </c>
      <c r="L450" s="609"/>
      <c r="M450" s="264" t="s">
        <v>242</v>
      </c>
      <c r="N450" s="11" t="s">
        <v>243</v>
      </c>
      <c r="O450" s="429"/>
      <c r="P450" s="427"/>
    </row>
    <row r="451" spans="1:16" s="413" customFormat="1" ht="33" hidden="1">
      <c r="A451" s="421" t="s">
        <v>2294</v>
      </c>
      <c r="B451" s="422" t="s">
        <v>2688</v>
      </c>
      <c r="C451" s="423" t="s">
        <v>18</v>
      </c>
      <c r="D451" s="424">
        <v>75</v>
      </c>
      <c r="E451" s="424">
        <f>估驗單!F444</f>
        <v>75</v>
      </c>
      <c r="F451" s="506">
        <f t="shared" si="54"/>
        <v>0</v>
      </c>
      <c r="G451" s="424">
        <v>280</v>
      </c>
      <c r="H451" s="424"/>
      <c r="I451" s="424">
        <f t="shared" si="60"/>
        <v>21000</v>
      </c>
      <c r="J451" s="424">
        <f t="shared" si="61"/>
        <v>21000</v>
      </c>
      <c r="K451" s="664">
        <f t="shared" si="53"/>
        <v>0</v>
      </c>
      <c r="L451" s="548"/>
      <c r="M451" s="264" t="s">
        <v>242</v>
      </c>
      <c r="N451" s="11" t="s">
        <v>243</v>
      </c>
      <c r="O451" s="429"/>
      <c r="P451" s="427"/>
    </row>
    <row r="452" spans="1:16" s="413" customFormat="1" ht="42.75" hidden="1">
      <c r="A452" s="421" t="s">
        <v>2295</v>
      </c>
      <c r="B452" s="422" t="s">
        <v>37</v>
      </c>
      <c r="C452" s="423" t="s">
        <v>18</v>
      </c>
      <c r="D452" s="424">
        <v>50</v>
      </c>
      <c r="E452" s="424">
        <f>估驗單!F445</f>
        <v>50</v>
      </c>
      <c r="F452" s="478">
        <f t="shared" si="54"/>
        <v>0</v>
      </c>
      <c r="G452" s="424">
        <v>350</v>
      </c>
      <c r="H452" s="424"/>
      <c r="I452" s="424">
        <f t="shared" si="60"/>
        <v>17500</v>
      </c>
      <c r="J452" s="424">
        <f t="shared" si="61"/>
        <v>17500</v>
      </c>
      <c r="K452" s="664">
        <f t="shared" si="53"/>
        <v>0</v>
      </c>
      <c r="L452" s="609"/>
      <c r="M452" s="264" t="s">
        <v>242</v>
      </c>
      <c r="N452" s="11" t="s">
        <v>243</v>
      </c>
      <c r="O452" s="429"/>
      <c r="P452" s="427"/>
    </row>
    <row r="453" spans="1:16" s="413" customFormat="1" ht="33" hidden="1">
      <c r="A453" s="421" t="s">
        <v>2296</v>
      </c>
      <c r="B453" s="422" t="s">
        <v>1162</v>
      </c>
      <c r="C453" s="423" t="s">
        <v>15</v>
      </c>
      <c r="D453" s="424">
        <v>10</v>
      </c>
      <c r="E453" s="424">
        <f>估驗單!F446</f>
        <v>10</v>
      </c>
      <c r="F453" s="478">
        <f t="shared" si="54"/>
        <v>0</v>
      </c>
      <c r="G453" s="424">
        <v>560</v>
      </c>
      <c r="H453" s="424"/>
      <c r="I453" s="424">
        <f t="shared" si="60"/>
        <v>5600</v>
      </c>
      <c r="J453" s="424">
        <f t="shared" si="61"/>
        <v>5600</v>
      </c>
      <c r="K453" s="664">
        <f t="shared" si="53"/>
        <v>0</v>
      </c>
      <c r="L453" s="609"/>
      <c r="M453" s="264" t="s">
        <v>242</v>
      </c>
      <c r="N453" s="11" t="s">
        <v>243</v>
      </c>
      <c r="O453" s="429"/>
      <c r="P453" s="427"/>
    </row>
    <row r="454" spans="1:16" s="413" customFormat="1" ht="33" hidden="1">
      <c r="A454" s="421" t="s">
        <v>2297</v>
      </c>
      <c r="B454" s="422" t="s">
        <v>38</v>
      </c>
      <c r="C454" s="423" t="s">
        <v>7</v>
      </c>
      <c r="D454" s="424">
        <v>4</v>
      </c>
      <c r="E454" s="424">
        <f>估驗單!F447</f>
        <v>4</v>
      </c>
      <c r="F454" s="478">
        <f t="shared" si="54"/>
        <v>0</v>
      </c>
      <c r="G454" s="424">
        <v>250</v>
      </c>
      <c r="H454" s="424"/>
      <c r="I454" s="424">
        <f t="shared" si="60"/>
        <v>1000</v>
      </c>
      <c r="J454" s="424">
        <f t="shared" si="61"/>
        <v>1000</v>
      </c>
      <c r="K454" s="664">
        <f t="shared" si="53"/>
        <v>0</v>
      </c>
      <c r="L454" s="609"/>
      <c r="M454" s="264" t="s">
        <v>242</v>
      </c>
      <c r="N454" s="11" t="s">
        <v>243</v>
      </c>
      <c r="O454" s="429"/>
      <c r="P454" s="427"/>
    </row>
    <row r="455" spans="1:16" s="413" customFormat="1" ht="33" hidden="1">
      <c r="A455" s="421" t="s">
        <v>2298</v>
      </c>
      <c r="B455" s="422" t="s">
        <v>1165</v>
      </c>
      <c r="C455" s="423" t="s">
        <v>15</v>
      </c>
      <c r="D455" s="424">
        <v>5</v>
      </c>
      <c r="E455" s="424">
        <f>估驗單!F448</f>
        <v>5</v>
      </c>
      <c r="F455" s="478">
        <f t="shared" si="54"/>
        <v>0</v>
      </c>
      <c r="G455" s="424">
        <v>8300</v>
      </c>
      <c r="H455" s="424"/>
      <c r="I455" s="424">
        <f t="shared" si="60"/>
        <v>41500</v>
      </c>
      <c r="J455" s="424">
        <f t="shared" si="61"/>
        <v>41500</v>
      </c>
      <c r="K455" s="664">
        <f t="shared" si="53"/>
        <v>0</v>
      </c>
      <c r="L455" s="609"/>
      <c r="M455" s="264" t="s">
        <v>242</v>
      </c>
      <c r="N455" s="11" t="s">
        <v>243</v>
      </c>
      <c r="O455" s="429"/>
      <c r="P455" s="427"/>
    </row>
    <row r="456" spans="1:16" s="413" customFormat="1" ht="33" hidden="1">
      <c r="A456" s="421" t="s">
        <v>2299</v>
      </c>
      <c r="B456" s="422" t="s">
        <v>1168</v>
      </c>
      <c r="C456" s="423" t="s">
        <v>15</v>
      </c>
      <c r="D456" s="424">
        <v>5</v>
      </c>
      <c r="E456" s="424">
        <f>估驗單!F449</f>
        <v>5</v>
      </c>
      <c r="F456" s="478">
        <f t="shared" si="54"/>
        <v>0</v>
      </c>
      <c r="G456" s="424">
        <v>1160</v>
      </c>
      <c r="H456" s="424"/>
      <c r="I456" s="424">
        <f t="shared" si="60"/>
        <v>5800</v>
      </c>
      <c r="J456" s="424">
        <f t="shared" si="61"/>
        <v>5800</v>
      </c>
      <c r="K456" s="664">
        <f t="shared" si="53"/>
        <v>0</v>
      </c>
      <c r="L456" s="609"/>
      <c r="M456" s="264" t="s">
        <v>242</v>
      </c>
      <c r="N456" s="11" t="s">
        <v>243</v>
      </c>
      <c r="O456" s="429"/>
      <c r="P456" s="427"/>
    </row>
    <row r="457" spans="1:16" s="413" customFormat="1" ht="33" hidden="1">
      <c r="A457" s="421" t="s">
        <v>2300</v>
      </c>
      <c r="B457" s="422" t="s">
        <v>1171</v>
      </c>
      <c r="C457" s="423" t="s">
        <v>15</v>
      </c>
      <c r="D457" s="424">
        <v>5</v>
      </c>
      <c r="E457" s="424">
        <f>估驗單!F450</f>
        <v>5</v>
      </c>
      <c r="F457" s="478">
        <f t="shared" si="54"/>
        <v>0</v>
      </c>
      <c r="G457" s="424">
        <v>600</v>
      </c>
      <c r="H457" s="424"/>
      <c r="I457" s="424">
        <f t="shared" si="60"/>
        <v>3000</v>
      </c>
      <c r="J457" s="424">
        <f t="shared" si="61"/>
        <v>3000</v>
      </c>
      <c r="K457" s="664">
        <f t="shared" si="53"/>
        <v>0</v>
      </c>
      <c r="L457" s="609"/>
      <c r="M457" s="264" t="s">
        <v>242</v>
      </c>
      <c r="N457" s="11" t="s">
        <v>243</v>
      </c>
      <c r="O457" s="429"/>
      <c r="P457" s="427"/>
    </row>
    <row r="458" spans="1:16" s="413" customFormat="1" ht="33" hidden="1">
      <c r="A458" s="421" t="s">
        <v>2301</v>
      </c>
      <c r="B458" s="422" t="s">
        <v>1174</v>
      </c>
      <c r="C458" s="423" t="s">
        <v>15</v>
      </c>
      <c r="D458" s="424">
        <v>5</v>
      </c>
      <c r="E458" s="424">
        <f>估驗單!F451</f>
        <v>5</v>
      </c>
      <c r="F458" s="478">
        <f t="shared" si="54"/>
        <v>0</v>
      </c>
      <c r="G458" s="424">
        <v>1800</v>
      </c>
      <c r="H458" s="424"/>
      <c r="I458" s="424">
        <f t="shared" si="60"/>
        <v>9000</v>
      </c>
      <c r="J458" s="424">
        <f t="shared" si="61"/>
        <v>9000</v>
      </c>
      <c r="K458" s="664">
        <f t="shared" si="53"/>
        <v>0</v>
      </c>
      <c r="L458" s="609"/>
      <c r="M458" s="264" t="s">
        <v>242</v>
      </c>
      <c r="N458" s="11" t="s">
        <v>243</v>
      </c>
      <c r="O458" s="429"/>
      <c r="P458" s="427"/>
    </row>
    <row r="459" spans="1:16" s="413" customFormat="1" ht="33" hidden="1">
      <c r="A459" s="421" t="s">
        <v>2302</v>
      </c>
      <c r="B459" s="422" t="s">
        <v>1177</v>
      </c>
      <c r="C459" s="423" t="s">
        <v>15</v>
      </c>
      <c r="D459" s="424">
        <v>80</v>
      </c>
      <c r="E459" s="424">
        <f>估驗單!F452</f>
        <v>80</v>
      </c>
      <c r="F459" s="478">
        <f t="shared" si="54"/>
        <v>0</v>
      </c>
      <c r="G459" s="424">
        <v>2200</v>
      </c>
      <c r="H459" s="424"/>
      <c r="I459" s="424">
        <f t="shared" si="60"/>
        <v>176000</v>
      </c>
      <c r="J459" s="424">
        <f t="shared" si="61"/>
        <v>176000</v>
      </c>
      <c r="K459" s="664">
        <f t="shared" si="53"/>
        <v>0</v>
      </c>
      <c r="L459" s="609"/>
      <c r="M459" s="264" t="s">
        <v>242</v>
      </c>
      <c r="N459" s="11" t="s">
        <v>243</v>
      </c>
      <c r="O459" s="429"/>
      <c r="P459" s="427"/>
    </row>
    <row r="460" spans="1:16" s="413" customFormat="1" ht="33" hidden="1">
      <c r="A460" s="421" t="s">
        <v>2303</v>
      </c>
      <c r="B460" s="422" t="s">
        <v>39</v>
      </c>
      <c r="C460" s="423" t="s">
        <v>4</v>
      </c>
      <c r="D460" s="424">
        <v>1</v>
      </c>
      <c r="E460" s="424">
        <f>估驗單!F453</f>
        <v>1</v>
      </c>
      <c r="F460" s="478">
        <f t="shared" si="54"/>
        <v>0</v>
      </c>
      <c r="G460" s="424">
        <v>232697.98</v>
      </c>
      <c r="H460" s="424"/>
      <c r="I460" s="424">
        <f t="shared" si="60"/>
        <v>232697.98</v>
      </c>
      <c r="J460" s="424">
        <f t="shared" si="61"/>
        <v>232697.98</v>
      </c>
      <c r="K460" s="664">
        <f t="shared" si="53"/>
        <v>0</v>
      </c>
      <c r="L460" s="609"/>
      <c r="M460" s="264" t="s">
        <v>242</v>
      </c>
      <c r="N460" s="11" t="s">
        <v>243</v>
      </c>
      <c r="O460" s="429"/>
      <c r="P460" s="427"/>
    </row>
    <row r="461" spans="1:16" s="413" customFormat="1" ht="33" hidden="1">
      <c r="A461" s="421" t="s">
        <v>2304</v>
      </c>
      <c r="B461" s="422" t="s">
        <v>1182</v>
      </c>
      <c r="C461" s="423" t="s">
        <v>8</v>
      </c>
      <c r="D461" s="424">
        <v>5000</v>
      </c>
      <c r="E461" s="424">
        <f>估驗單!F454</f>
        <v>5000</v>
      </c>
      <c r="F461" s="478">
        <f t="shared" si="54"/>
        <v>0</v>
      </c>
      <c r="G461" s="424">
        <v>13</v>
      </c>
      <c r="H461" s="424"/>
      <c r="I461" s="424">
        <f t="shared" si="60"/>
        <v>65000</v>
      </c>
      <c r="J461" s="424">
        <f t="shared" si="61"/>
        <v>65000</v>
      </c>
      <c r="K461" s="664">
        <f t="shared" ref="K461:K467" si="62">J461-I461</f>
        <v>0</v>
      </c>
      <c r="L461" s="609"/>
      <c r="M461" s="264" t="s">
        <v>242</v>
      </c>
      <c r="N461" s="11" t="s">
        <v>243</v>
      </c>
      <c r="O461" s="429"/>
      <c r="P461" s="427"/>
    </row>
    <row r="462" spans="1:16" s="413" customFormat="1" ht="33" hidden="1">
      <c r="A462" s="421" t="s">
        <v>2305</v>
      </c>
      <c r="B462" s="422" t="s">
        <v>225</v>
      </c>
      <c r="C462" s="423" t="s">
        <v>226</v>
      </c>
      <c r="D462" s="424">
        <v>48</v>
      </c>
      <c r="E462" s="424">
        <f>估驗單!F455</f>
        <v>48</v>
      </c>
      <c r="F462" s="478">
        <f t="shared" si="54"/>
        <v>0</v>
      </c>
      <c r="G462" s="424">
        <v>47468</v>
      </c>
      <c r="H462" s="424"/>
      <c r="I462" s="424">
        <f t="shared" si="60"/>
        <v>2278464</v>
      </c>
      <c r="J462" s="424">
        <f t="shared" si="61"/>
        <v>2278464</v>
      </c>
      <c r="K462" s="664">
        <f t="shared" si="62"/>
        <v>0</v>
      </c>
      <c r="L462" s="609"/>
      <c r="M462" s="264" t="s">
        <v>2672</v>
      </c>
      <c r="N462" s="11" t="s">
        <v>243</v>
      </c>
      <c r="O462" s="429"/>
      <c r="P462" s="427"/>
    </row>
    <row r="463" spans="1:16" s="413" customFormat="1" ht="33" hidden="1">
      <c r="A463" s="421" t="s">
        <v>2306</v>
      </c>
      <c r="B463" s="422" t="s">
        <v>1187</v>
      </c>
      <c r="C463" s="423" t="s">
        <v>4</v>
      </c>
      <c r="D463" s="424">
        <v>1</v>
      </c>
      <c r="E463" s="424">
        <f>估驗單!F456</f>
        <v>1</v>
      </c>
      <c r="F463" s="478">
        <f t="shared" si="54"/>
        <v>0</v>
      </c>
      <c r="G463" s="424">
        <v>108865.49</v>
      </c>
      <c r="H463" s="424"/>
      <c r="I463" s="424">
        <f t="shared" si="60"/>
        <v>108865.49</v>
      </c>
      <c r="J463" s="424">
        <f t="shared" si="61"/>
        <v>108865.49</v>
      </c>
      <c r="K463" s="664">
        <f t="shared" si="62"/>
        <v>0</v>
      </c>
      <c r="L463" s="609"/>
      <c r="M463" s="264" t="s">
        <v>2673</v>
      </c>
      <c r="N463" s="11" t="s">
        <v>243</v>
      </c>
      <c r="O463" s="429"/>
      <c r="P463" s="427"/>
    </row>
    <row r="464" spans="1:16" s="413" customFormat="1" ht="33">
      <c r="A464" s="494" t="s">
        <v>2390</v>
      </c>
      <c r="B464" s="495" t="s">
        <v>227</v>
      </c>
      <c r="C464" s="496" t="s">
        <v>4</v>
      </c>
      <c r="D464" s="497"/>
      <c r="E464" s="497"/>
      <c r="F464" s="498">
        <f t="shared" si="54"/>
        <v>0</v>
      </c>
      <c r="G464" s="497">
        <f>I464</f>
        <v>2769229.16</v>
      </c>
      <c r="H464" s="497"/>
      <c r="I464" s="497">
        <f>SUM(I465:I466)</f>
        <v>2769229.16</v>
      </c>
      <c r="J464" s="497">
        <f>SUM(J465:J466)</f>
        <v>2769229.16</v>
      </c>
      <c r="K464" s="660">
        <f>SUM(K465:K466)</f>
        <v>0</v>
      </c>
      <c r="L464" s="650">
        <f>SUM(L465:L466)</f>
        <v>0</v>
      </c>
      <c r="M464" s="356" t="s">
        <v>242</v>
      </c>
      <c r="N464" s="11" t="s">
        <v>243</v>
      </c>
      <c r="O464" s="429"/>
      <c r="P464" s="427"/>
    </row>
    <row r="465" spans="1:16" s="413" customFormat="1" ht="33" hidden="1">
      <c r="A465" s="421" t="s">
        <v>2288</v>
      </c>
      <c r="B465" s="422" t="s">
        <v>228</v>
      </c>
      <c r="C465" s="423" t="s">
        <v>226</v>
      </c>
      <c r="D465" s="424">
        <v>48</v>
      </c>
      <c r="E465" s="424">
        <f>估驗單!F458</f>
        <v>48</v>
      </c>
      <c r="F465" s="478">
        <f t="shared" si="54"/>
        <v>0</v>
      </c>
      <c r="G465" s="424">
        <v>47468</v>
      </c>
      <c r="H465" s="424"/>
      <c r="I465" s="424">
        <f>ROUND(D465*G465,2)</f>
        <v>2278464</v>
      </c>
      <c r="J465" s="424">
        <f>ROUND(E465*G465,2)</f>
        <v>2278464</v>
      </c>
      <c r="K465" s="664">
        <f t="shared" si="62"/>
        <v>0</v>
      </c>
      <c r="L465" s="609"/>
      <c r="M465" s="264" t="s">
        <v>2672</v>
      </c>
      <c r="N465" s="11" t="s">
        <v>243</v>
      </c>
      <c r="O465" s="429"/>
      <c r="P465" s="427"/>
    </row>
    <row r="466" spans="1:16" s="413" customFormat="1" ht="33" hidden="1">
      <c r="A466" s="421" t="s">
        <v>2289</v>
      </c>
      <c r="B466" s="422" t="s">
        <v>1193</v>
      </c>
      <c r="C466" s="423" t="s">
        <v>4</v>
      </c>
      <c r="D466" s="424">
        <v>1</v>
      </c>
      <c r="E466" s="424">
        <f>估驗單!F459</f>
        <v>1</v>
      </c>
      <c r="F466" s="478">
        <f t="shared" si="54"/>
        <v>0</v>
      </c>
      <c r="G466" s="424">
        <v>490765.16</v>
      </c>
      <c r="H466" s="424"/>
      <c r="I466" s="424">
        <f>ROUND(D466*G466,2)</f>
        <v>490765.16</v>
      </c>
      <c r="J466" s="424">
        <f>ROUND(E466*G466,2)</f>
        <v>490765.16</v>
      </c>
      <c r="K466" s="664">
        <f t="shared" si="62"/>
        <v>0</v>
      </c>
      <c r="L466" s="609"/>
      <c r="M466" s="264" t="s">
        <v>2674</v>
      </c>
      <c r="N466" s="11" t="s">
        <v>243</v>
      </c>
      <c r="O466" s="429"/>
      <c r="P466" s="427"/>
    </row>
    <row r="467" spans="1:16" s="413" customFormat="1" ht="33">
      <c r="A467" s="610" t="s">
        <v>2391</v>
      </c>
      <c r="B467" s="611" t="s">
        <v>1196</v>
      </c>
      <c r="C467" s="612" t="s">
        <v>4</v>
      </c>
      <c r="D467" s="613">
        <v>1</v>
      </c>
      <c r="E467" s="613">
        <f>估驗單!F460</f>
        <v>1</v>
      </c>
      <c r="F467" s="614">
        <f t="shared" si="54"/>
        <v>0</v>
      </c>
      <c r="G467" s="613">
        <f>I467</f>
        <v>30205923.059999999</v>
      </c>
      <c r="H467" s="613"/>
      <c r="I467" s="644">
        <v>30205923.059999999</v>
      </c>
      <c r="J467" s="613">
        <f>ROUND((J10+J354+J380+J420+J424+J444+J464)*10.94944113%,2)</f>
        <v>32026032.329999998</v>
      </c>
      <c r="K467" s="665">
        <f t="shared" si="62"/>
        <v>1820109.2699999996</v>
      </c>
      <c r="L467" s="617"/>
      <c r="M467" s="615" t="s">
        <v>2392</v>
      </c>
      <c r="N467" s="11" t="s">
        <v>243</v>
      </c>
      <c r="O467" s="426">
        <f>ROUND((J464+J444+J424+J420+J380+J354+J10)*10.94944113%,2)</f>
        <v>32026032.329999998</v>
      </c>
      <c r="P467" s="427"/>
    </row>
    <row r="468" spans="1:16" s="413" customFormat="1" ht="33">
      <c r="A468" s="494" t="s">
        <v>2393</v>
      </c>
      <c r="B468" s="495" t="s">
        <v>1199</v>
      </c>
      <c r="C468" s="496" t="s">
        <v>4</v>
      </c>
      <c r="D468" s="497">
        <v>1</v>
      </c>
      <c r="E468" s="497">
        <f>估驗單!F461</f>
        <v>1</v>
      </c>
      <c r="F468" s="498">
        <f t="shared" si="54"/>
        <v>0</v>
      </c>
      <c r="G468" s="497">
        <v>1987650</v>
      </c>
      <c r="H468" s="497"/>
      <c r="I468" s="497">
        <f>ROUND(D468*G468,2)</f>
        <v>1987650</v>
      </c>
      <c r="J468" s="497">
        <f>ROUND(E468*G468,2)</f>
        <v>1987650</v>
      </c>
      <c r="K468" s="660"/>
      <c r="L468" s="650"/>
      <c r="M468" s="749" t="s">
        <v>1200</v>
      </c>
      <c r="N468" s="11" t="s">
        <v>243</v>
      </c>
      <c r="O468" s="429"/>
      <c r="P468" s="427"/>
    </row>
    <row r="469" spans="1:16" s="413" customFormat="1" ht="33">
      <c r="A469" s="421" t="s">
        <v>2288</v>
      </c>
      <c r="B469" s="422" t="s">
        <v>1199</v>
      </c>
      <c r="C469" s="423" t="s">
        <v>6</v>
      </c>
      <c r="D469" s="424">
        <v>13251</v>
      </c>
      <c r="E469" s="424">
        <f>估驗單!F462</f>
        <v>13251</v>
      </c>
      <c r="F469" s="478">
        <f t="shared" si="54"/>
        <v>0</v>
      </c>
      <c r="G469" s="424">
        <v>150</v>
      </c>
      <c r="H469" s="424"/>
      <c r="I469" s="424">
        <v>1987650</v>
      </c>
      <c r="J469" s="424">
        <f>ROUND(E469*G469,2)</f>
        <v>1987650</v>
      </c>
      <c r="K469" s="662"/>
      <c r="L469" s="609"/>
      <c r="M469" s="748" t="s">
        <v>242</v>
      </c>
      <c r="N469" s="11" t="s">
        <v>243</v>
      </c>
      <c r="O469" s="429"/>
      <c r="P469" s="427"/>
    </row>
    <row r="470" spans="1:16" s="413" customFormat="1" ht="33">
      <c r="A470" s="494" t="s">
        <v>2394</v>
      </c>
      <c r="B470" s="495" t="s">
        <v>1204</v>
      </c>
      <c r="C470" s="496" t="s">
        <v>4</v>
      </c>
      <c r="D470" s="497">
        <v>1</v>
      </c>
      <c r="E470" s="497">
        <v>1</v>
      </c>
      <c r="F470" s="498">
        <f t="shared" si="54"/>
        <v>0</v>
      </c>
      <c r="G470" s="497">
        <v>179691.68</v>
      </c>
      <c r="H470" s="497"/>
      <c r="I470" s="497">
        <v>179691.68</v>
      </c>
      <c r="J470" s="497">
        <f>ROUND(E470*G470,2)</f>
        <v>179691.68</v>
      </c>
      <c r="K470" s="660"/>
      <c r="L470" s="650"/>
      <c r="M470" s="749" t="s">
        <v>1205</v>
      </c>
      <c r="N470" s="11" t="s">
        <v>243</v>
      </c>
      <c r="O470" s="429"/>
      <c r="P470" s="427"/>
    </row>
    <row r="471" spans="1:16" s="413" customFormat="1" ht="33">
      <c r="A471" s="515" t="s">
        <v>2288</v>
      </c>
      <c r="B471" s="516" t="s">
        <v>1207</v>
      </c>
      <c r="C471" s="517" t="s">
        <v>13</v>
      </c>
      <c r="D471" s="518">
        <v>3208.78</v>
      </c>
      <c r="E471" s="518">
        <f>估驗單!F464</f>
        <v>3208.78</v>
      </c>
      <c r="F471" s="478">
        <f t="shared" si="54"/>
        <v>0</v>
      </c>
      <c r="G471" s="518">
        <v>56</v>
      </c>
      <c r="H471" s="518"/>
      <c r="I471" s="518">
        <v>179691.68</v>
      </c>
      <c r="J471" s="424">
        <f>ROUND(E471*G471,2)</f>
        <v>179691.68</v>
      </c>
      <c r="K471" s="662"/>
      <c r="L471" s="609"/>
      <c r="M471" s="520" t="s">
        <v>242</v>
      </c>
      <c r="N471" s="11" t="s">
        <v>243</v>
      </c>
      <c r="O471" s="468"/>
      <c r="P471" s="469"/>
    </row>
  </sheetData>
  <mergeCells count="27">
    <mergeCell ref="A4:I4"/>
    <mergeCell ref="L4:M4"/>
    <mergeCell ref="C1:K1"/>
    <mergeCell ref="A2:B2"/>
    <mergeCell ref="C2:K2"/>
    <mergeCell ref="A3:J3"/>
    <mergeCell ref="L3:M3"/>
    <mergeCell ref="A5:I5"/>
    <mergeCell ref="A6:I6"/>
    <mergeCell ref="L6:M6"/>
    <mergeCell ref="A7:A8"/>
    <mergeCell ref="B7:B8"/>
    <mergeCell ref="C7:C8"/>
    <mergeCell ref="D7:D8"/>
    <mergeCell ref="F7:F8"/>
    <mergeCell ref="E7:E8"/>
    <mergeCell ref="G7:G8"/>
    <mergeCell ref="H7:H8"/>
    <mergeCell ref="I7:I8"/>
    <mergeCell ref="L5:M5"/>
    <mergeCell ref="Q7:Q8"/>
    <mergeCell ref="J7:J8"/>
    <mergeCell ref="L7:L8"/>
    <mergeCell ref="M7:M8"/>
    <mergeCell ref="O7:O8"/>
    <mergeCell ref="P7:P8"/>
    <mergeCell ref="K7:K8"/>
  </mergeCells>
  <phoneticPr fontId="1" type="noConversion"/>
  <printOptions horizontalCentered="1"/>
  <pageMargins left="0.70866141732283472" right="0.70866141732283472" top="0.15748031496062992" bottom="0.15748031496062992" header="0.31496062992125984" footer="0.31496062992125984"/>
  <pageSetup paperSize="8" scale="105" orientation="landscape" r:id="rId1"/>
  <colBreaks count="1" manualBreakCount="1">
    <brk id="13" max="454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B302-93C7-4BAF-A9F9-5DF52B18A891}">
  <sheetPr>
    <tabColor theme="5" tint="0.39997558519241921"/>
  </sheetPr>
  <dimension ref="A1:P132"/>
  <sheetViews>
    <sheetView view="pageBreakPreview" zoomScale="85" zoomScaleNormal="100" zoomScaleSheetLayoutView="85" workbookViewId="0">
      <pane ySplit="5" topLeftCell="A32" activePane="bottomLeft" state="frozen"/>
      <selection pane="bottomLeft" activeCell="I44" sqref="I44"/>
    </sheetView>
  </sheetViews>
  <sheetFormatPr defaultColWidth="10.28515625" defaultRowHeight="16.5"/>
  <cols>
    <col min="1" max="1" width="6" style="78" customWidth="1"/>
    <col min="2" max="2" width="22.42578125" style="78" customWidth="1"/>
    <col min="3" max="3" width="6.28515625" style="78" customWidth="1"/>
    <col min="4" max="5" width="14.28515625" style="33" customWidth="1"/>
    <col min="6" max="6" width="35.85546875" style="27" customWidth="1"/>
    <col min="7" max="7" width="52.42578125" style="27" customWidth="1"/>
    <col min="8" max="8" width="14.28515625" style="29" customWidth="1"/>
    <col min="9" max="9" width="16.28515625" style="29" customWidth="1"/>
    <col min="10" max="10" width="18.42578125" style="25" customWidth="1"/>
    <col min="11" max="11" width="0.7109375" style="29" customWidth="1"/>
    <col min="12" max="12" width="0.5703125" style="29" customWidth="1"/>
    <col min="13" max="13" width="22.28515625" style="202" customWidth="1"/>
    <col min="14" max="14" width="12.7109375" style="25" customWidth="1"/>
    <col min="15" max="21" width="12.7109375" style="30" customWidth="1"/>
    <col min="22" max="257" width="10.28515625" style="30"/>
    <col min="258" max="258" width="6" style="30" customWidth="1"/>
    <col min="259" max="259" width="30" style="30" customWidth="1"/>
    <col min="260" max="260" width="6.28515625" style="30" customWidth="1"/>
    <col min="261" max="261" width="9.5703125" style="30" customWidth="1"/>
    <col min="262" max="263" width="12.42578125" style="30" customWidth="1"/>
    <col min="264" max="264" width="17.42578125" style="30" customWidth="1"/>
    <col min="265" max="265" width="0.85546875" style="30" customWidth="1"/>
    <col min="266" max="267" width="0.7109375" style="30" customWidth="1"/>
    <col min="268" max="268" width="0.5703125" style="30" customWidth="1"/>
    <col min="269" max="513" width="10.28515625" style="30"/>
    <col min="514" max="514" width="6" style="30" customWidth="1"/>
    <col min="515" max="515" width="30" style="30" customWidth="1"/>
    <col min="516" max="516" width="6.28515625" style="30" customWidth="1"/>
    <col min="517" max="517" width="9.5703125" style="30" customWidth="1"/>
    <col min="518" max="519" width="12.42578125" style="30" customWidth="1"/>
    <col min="520" max="520" width="17.42578125" style="30" customWidth="1"/>
    <col min="521" max="521" width="0.85546875" style="30" customWidth="1"/>
    <col min="522" max="523" width="0.7109375" style="30" customWidth="1"/>
    <col min="524" max="524" width="0.5703125" style="30" customWidth="1"/>
    <col min="525" max="769" width="10.28515625" style="30"/>
    <col min="770" max="770" width="6" style="30" customWidth="1"/>
    <col min="771" max="771" width="30" style="30" customWidth="1"/>
    <col min="772" max="772" width="6.28515625" style="30" customWidth="1"/>
    <col min="773" max="773" width="9.5703125" style="30" customWidth="1"/>
    <col min="774" max="775" width="12.42578125" style="30" customWidth="1"/>
    <col min="776" max="776" width="17.42578125" style="30" customWidth="1"/>
    <col min="777" max="777" width="0.85546875" style="30" customWidth="1"/>
    <col min="778" max="779" width="0.7109375" style="30" customWidth="1"/>
    <col min="780" max="780" width="0.5703125" style="30" customWidth="1"/>
    <col min="781" max="1025" width="10.28515625" style="30"/>
    <col min="1026" max="1026" width="6" style="30" customWidth="1"/>
    <col min="1027" max="1027" width="30" style="30" customWidth="1"/>
    <col min="1028" max="1028" width="6.28515625" style="30" customWidth="1"/>
    <col min="1029" max="1029" width="9.5703125" style="30" customWidth="1"/>
    <col min="1030" max="1031" width="12.42578125" style="30" customWidth="1"/>
    <col min="1032" max="1032" width="17.42578125" style="30" customWidth="1"/>
    <col min="1033" max="1033" width="0.85546875" style="30" customWidth="1"/>
    <col min="1034" max="1035" width="0.7109375" style="30" customWidth="1"/>
    <col min="1036" max="1036" width="0.5703125" style="30" customWidth="1"/>
    <col min="1037" max="1281" width="10.28515625" style="30"/>
    <col min="1282" max="1282" width="6" style="30" customWidth="1"/>
    <col min="1283" max="1283" width="30" style="30" customWidth="1"/>
    <col min="1284" max="1284" width="6.28515625" style="30" customWidth="1"/>
    <col min="1285" max="1285" width="9.5703125" style="30" customWidth="1"/>
    <col min="1286" max="1287" width="12.42578125" style="30" customWidth="1"/>
    <col min="1288" max="1288" width="17.42578125" style="30" customWidth="1"/>
    <col min="1289" max="1289" width="0.85546875" style="30" customWidth="1"/>
    <col min="1290" max="1291" width="0.7109375" style="30" customWidth="1"/>
    <col min="1292" max="1292" width="0.5703125" style="30" customWidth="1"/>
    <col min="1293" max="1537" width="10.28515625" style="30"/>
    <col min="1538" max="1538" width="6" style="30" customWidth="1"/>
    <col min="1539" max="1539" width="30" style="30" customWidth="1"/>
    <col min="1540" max="1540" width="6.28515625" style="30" customWidth="1"/>
    <col min="1541" max="1541" width="9.5703125" style="30" customWidth="1"/>
    <col min="1542" max="1543" width="12.42578125" style="30" customWidth="1"/>
    <col min="1544" max="1544" width="17.42578125" style="30" customWidth="1"/>
    <col min="1545" max="1545" width="0.85546875" style="30" customWidth="1"/>
    <col min="1546" max="1547" width="0.7109375" style="30" customWidth="1"/>
    <col min="1548" max="1548" width="0.5703125" style="30" customWidth="1"/>
    <col min="1549" max="1793" width="10.28515625" style="30"/>
    <col min="1794" max="1794" width="6" style="30" customWidth="1"/>
    <col min="1795" max="1795" width="30" style="30" customWidth="1"/>
    <col min="1796" max="1796" width="6.28515625" style="30" customWidth="1"/>
    <col min="1797" max="1797" width="9.5703125" style="30" customWidth="1"/>
    <col min="1798" max="1799" width="12.42578125" style="30" customWidth="1"/>
    <col min="1800" max="1800" width="17.42578125" style="30" customWidth="1"/>
    <col min="1801" max="1801" width="0.85546875" style="30" customWidth="1"/>
    <col min="1802" max="1803" width="0.7109375" style="30" customWidth="1"/>
    <col min="1804" max="1804" width="0.5703125" style="30" customWidth="1"/>
    <col min="1805" max="2049" width="10.28515625" style="30"/>
    <col min="2050" max="2050" width="6" style="30" customWidth="1"/>
    <col min="2051" max="2051" width="30" style="30" customWidth="1"/>
    <col min="2052" max="2052" width="6.28515625" style="30" customWidth="1"/>
    <col min="2053" max="2053" width="9.5703125" style="30" customWidth="1"/>
    <col min="2054" max="2055" width="12.42578125" style="30" customWidth="1"/>
    <col min="2056" max="2056" width="17.42578125" style="30" customWidth="1"/>
    <col min="2057" max="2057" width="0.85546875" style="30" customWidth="1"/>
    <col min="2058" max="2059" width="0.7109375" style="30" customWidth="1"/>
    <col min="2060" max="2060" width="0.5703125" style="30" customWidth="1"/>
    <col min="2061" max="2305" width="10.28515625" style="30"/>
    <col min="2306" max="2306" width="6" style="30" customWidth="1"/>
    <col min="2307" max="2307" width="30" style="30" customWidth="1"/>
    <col min="2308" max="2308" width="6.28515625" style="30" customWidth="1"/>
    <col min="2309" max="2309" width="9.5703125" style="30" customWidth="1"/>
    <col min="2310" max="2311" width="12.42578125" style="30" customWidth="1"/>
    <col min="2312" max="2312" width="17.42578125" style="30" customWidth="1"/>
    <col min="2313" max="2313" width="0.85546875" style="30" customWidth="1"/>
    <col min="2314" max="2315" width="0.7109375" style="30" customWidth="1"/>
    <col min="2316" max="2316" width="0.5703125" style="30" customWidth="1"/>
    <col min="2317" max="2561" width="10.28515625" style="30"/>
    <col min="2562" max="2562" width="6" style="30" customWidth="1"/>
    <col min="2563" max="2563" width="30" style="30" customWidth="1"/>
    <col min="2564" max="2564" width="6.28515625" style="30" customWidth="1"/>
    <col min="2565" max="2565" width="9.5703125" style="30" customWidth="1"/>
    <col min="2566" max="2567" width="12.42578125" style="30" customWidth="1"/>
    <col min="2568" max="2568" width="17.42578125" style="30" customWidth="1"/>
    <col min="2569" max="2569" width="0.85546875" style="30" customWidth="1"/>
    <col min="2570" max="2571" width="0.7109375" style="30" customWidth="1"/>
    <col min="2572" max="2572" width="0.5703125" style="30" customWidth="1"/>
    <col min="2573" max="2817" width="10.28515625" style="30"/>
    <col min="2818" max="2818" width="6" style="30" customWidth="1"/>
    <col min="2819" max="2819" width="30" style="30" customWidth="1"/>
    <col min="2820" max="2820" width="6.28515625" style="30" customWidth="1"/>
    <col min="2821" max="2821" width="9.5703125" style="30" customWidth="1"/>
    <col min="2822" max="2823" width="12.42578125" style="30" customWidth="1"/>
    <col min="2824" max="2824" width="17.42578125" style="30" customWidth="1"/>
    <col min="2825" max="2825" width="0.85546875" style="30" customWidth="1"/>
    <col min="2826" max="2827" width="0.7109375" style="30" customWidth="1"/>
    <col min="2828" max="2828" width="0.5703125" style="30" customWidth="1"/>
    <col min="2829" max="3073" width="10.28515625" style="30"/>
    <col min="3074" max="3074" width="6" style="30" customWidth="1"/>
    <col min="3075" max="3075" width="30" style="30" customWidth="1"/>
    <col min="3076" max="3076" width="6.28515625" style="30" customWidth="1"/>
    <col min="3077" max="3077" width="9.5703125" style="30" customWidth="1"/>
    <col min="3078" max="3079" width="12.42578125" style="30" customWidth="1"/>
    <col min="3080" max="3080" width="17.42578125" style="30" customWidth="1"/>
    <col min="3081" max="3081" width="0.85546875" style="30" customWidth="1"/>
    <col min="3082" max="3083" width="0.7109375" style="30" customWidth="1"/>
    <col min="3084" max="3084" width="0.5703125" style="30" customWidth="1"/>
    <col min="3085" max="3329" width="10.28515625" style="30"/>
    <col min="3330" max="3330" width="6" style="30" customWidth="1"/>
    <col min="3331" max="3331" width="30" style="30" customWidth="1"/>
    <col min="3332" max="3332" width="6.28515625" style="30" customWidth="1"/>
    <col min="3333" max="3333" width="9.5703125" style="30" customWidth="1"/>
    <col min="3334" max="3335" width="12.42578125" style="30" customWidth="1"/>
    <col min="3336" max="3336" width="17.42578125" style="30" customWidth="1"/>
    <col min="3337" max="3337" width="0.85546875" style="30" customWidth="1"/>
    <col min="3338" max="3339" width="0.7109375" style="30" customWidth="1"/>
    <col min="3340" max="3340" width="0.5703125" style="30" customWidth="1"/>
    <col min="3341" max="3585" width="10.28515625" style="30"/>
    <col min="3586" max="3586" width="6" style="30" customWidth="1"/>
    <col min="3587" max="3587" width="30" style="30" customWidth="1"/>
    <col min="3588" max="3588" width="6.28515625" style="30" customWidth="1"/>
    <col min="3589" max="3589" width="9.5703125" style="30" customWidth="1"/>
    <col min="3590" max="3591" width="12.42578125" style="30" customWidth="1"/>
    <col min="3592" max="3592" width="17.42578125" style="30" customWidth="1"/>
    <col min="3593" max="3593" width="0.85546875" style="30" customWidth="1"/>
    <col min="3594" max="3595" width="0.7109375" style="30" customWidth="1"/>
    <col min="3596" max="3596" width="0.5703125" style="30" customWidth="1"/>
    <col min="3597" max="3841" width="10.28515625" style="30"/>
    <col min="3842" max="3842" width="6" style="30" customWidth="1"/>
    <col min="3843" max="3843" width="30" style="30" customWidth="1"/>
    <col min="3844" max="3844" width="6.28515625" style="30" customWidth="1"/>
    <col min="3845" max="3845" width="9.5703125" style="30" customWidth="1"/>
    <col min="3846" max="3847" width="12.42578125" style="30" customWidth="1"/>
    <col min="3848" max="3848" width="17.42578125" style="30" customWidth="1"/>
    <col min="3849" max="3849" width="0.85546875" style="30" customWidth="1"/>
    <col min="3850" max="3851" width="0.7109375" style="30" customWidth="1"/>
    <col min="3852" max="3852" width="0.5703125" style="30" customWidth="1"/>
    <col min="3853" max="4097" width="10.28515625" style="30"/>
    <col min="4098" max="4098" width="6" style="30" customWidth="1"/>
    <col min="4099" max="4099" width="30" style="30" customWidth="1"/>
    <col min="4100" max="4100" width="6.28515625" style="30" customWidth="1"/>
    <col min="4101" max="4101" width="9.5703125" style="30" customWidth="1"/>
    <col min="4102" max="4103" width="12.42578125" style="30" customWidth="1"/>
    <col min="4104" max="4104" width="17.42578125" style="30" customWidth="1"/>
    <col min="4105" max="4105" width="0.85546875" style="30" customWidth="1"/>
    <col min="4106" max="4107" width="0.7109375" style="30" customWidth="1"/>
    <col min="4108" max="4108" width="0.5703125" style="30" customWidth="1"/>
    <col min="4109" max="4353" width="10.28515625" style="30"/>
    <col min="4354" max="4354" width="6" style="30" customWidth="1"/>
    <col min="4355" max="4355" width="30" style="30" customWidth="1"/>
    <col min="4356" max="4356" width="6.28515625" style="30" customWidth="1"/>
    <col min="4357" max="4357" width="9.5703125" style="30" customWidth="1"/>
    <col min="4358" max="4359" width="12.42578125" style="30" customWidth="1"/>
    <col min="4360" max="4360" width="17.42578125" style="30" customWidth="1"/>
    <col min="4361" max="4361" width="0.85546875" style="30" customWidth="1"/>
    <col min="4362" max="4363" width="0.7109375" style="30" customWidth="1"/>
    <col min="4364" max="4364" width="0.5703125" style="30" customWidth="1"/>
    <col min="4365" max="4609" width="10.28515625" style="30"/>
    <col min="4610" max="4610" width="6" style="30" customWidth="1"/>
    <col min="4611" max="4611" width="30" style="30" customWidth="1"/>
    <col min="4612" max="4612" width="6.28515625" style="30" customWidth="1"/>
    <col min="4613" max="4613" width="9.5703125" style="30" customWidth="1"/>
    <col min="4614" max="4615" width="12.42578125" style="30" customWidth="1"/>
    <col min="4616" max="4616" width="17.42578125" style="30" customWidth="1"/>
    <col min="4617" max="4617" width="0.85546875" style="30" customWidth="1"/>
    <col min="4618" max="4619" width="0.7109375" style="30" customWidth="1"/>
    <col min="4620" max="4620" width="0.5703125" style="30" customWidth="1"/>
    <col min="4621" max="4865" width="10.28515625" style="30"/>
    <col min="4866" max="4866" width="6" style="30" customWidth="1"/>
    <col min="4867" max="4867" width="30" style="30" customWidth="1"/>
    <col min="4868" max="4868" width="6.28515625" style="30" customWidth="1"/>
    <col min="4869" max="4869" width="9.5703125" style="30" customWidth="1"/>
    <col min="4870" max="4871" width="12.42578125" style="30" customWidth="1"/>
    <col min="4872" max="4872" width="17.42578125" style="30" customWidth="1"/>
    <col min="4873" max="4873" width="0.85546875" style="30" customWidth="1"/>
    <col min="4874" max="4875" width="0.7109375" style="30" customWidth="1"/>
    <col min="4876" max="4876" width="0.5703125" style="30" customWidth="1"/>
    <col min="4877" max="5121" width="10.28515625" style="30"/>
    <col min="5122" max="5122" width="6" style="30" customWidth="1"/>
    <col min="5123" max="5123" width="30" style="30" customWidth="1"/>
    <col min="5124" max="5124" width="6.28515625" style="30" customWidth="1"/>
    <col min="5125" max="5125" width="9.5703125" style="30" customWidth="1"/>
    <col min="5126" max="5127" width="12.42578125" style="30" customWidth="1"/>
    <col min="5128" max="5128" width="17.42578125" style="30" customWidth="1"/>
    <col min="5129" max="5129" width="0.85546875" style="30" customWidth="1"/>
    <col min="5130" max="5131" width="0.7109375" style="30" customWidth="1"/>
    <col min="5132" max="5132" width="0.5703125" style="30" customWidth="1"/>
    <col min="5133" max="5377" width="10.28515625" style="30"/>
    <col min="5378" max="5378" width="6" style="30" customWidth="1"/>
    <col min="5379" max="5379" width="30" style="30" customWidth="1"/>
    <col min="5380" max="5380" width="6.28515625" style="30" customWidth="1"/>
    <col min="5381" max="5381" width="9.5703125" style="30" customWidth="1"/>
    <col min="5382" max="5383" width="12.42578125" style="30" customWidth="1"/>
    <col min="5384" max="5384" width="17.42578125" style="30" customWidth="1"/>
    <col min="5385" max="5385" width="0.85546875" style="30" customWidth="1"/>
    <col min="5386" max="5387" width="0.7109375" style="30" customWidth="1"/>
    <col min="5388" max="5388" width="0.5703125" style="30" customWidth="1"/>
    <col min="5389" max="5633" width="10.28515625" style="30"/>
    <col min="5634" max="5634" width="6" style="30" customWidth="1"/>
    <col min="5635" max="5635" width="30" style="30" customWidth="1"/>
    <col min="5636" max="5636" width="6.28515625" style="30" customWidth="1"/>
    <col min="5637" max="5637" width="9.5703125" style="30" customWidth="1"/>
    <col min="5638" max="5639" width="12.42578125" style="30" customWidth="1"/>
    <col min="5640" max="5640" width="17.42578125" style="30" customWidth="1"/>
    <col min="5641" max="5641" width="0.85546875" style="30" customWidth="1"/>
    <col min="5642" max="5643" width="0.7109375" style="30" customWidth="1"/>
    <col min="5644" max="5644" width="0.5703125" style="30" customWidth="1"/>
    <col min="5645" max="5889" width="10.28515625" style="30"/>
    <col min="5890" max="5890" width="6" style="30" customWidth="1"/>
    <col min="5891" max="5891" width="30" style="30" customWidth="1"/>
    <col min="5892" max="5892" width="6.28515625" style="30" customWidth="1"/>
    <col min="5893" max="5893" width="9.5703125" style="30" customWidth="1"/>
    <col min="5894" max="5895" width="12.42578125" style="30" customWidth="1"/>
    <col min="5896" max="5896" width="17.42578125" style="30" customWidth="1"/>
    <col min="5897" max="5897" width="0.85546875" style="30" customWidth="1"/>
    <col min="5898" max="5899" width="0.7109375" style="30" customWidth="1"/>
    <col min="5900" max="5900" width="0.5703125" style="30" customWidth="1"/>
    <col min="5901" max="6145" width="10.28515625" style="30"/>
    <col min="6146" max="6146" width="6" style="30" customWidth="1"/>
    <col min="6147" max="6147" width="30" style="30" customWidth="1"/>
    <col min="6148" max="6148" width="6.28515625" style="30" customWidth="1"/>
    <col min="6149" max="6149" width="9.5703125" style="30" customWidth="1"/>
    <col min="6150" max="6151" width="12.42578125" style="30" customWidth="1"/>
    <col min="6152" max="6152" width="17.42578125" style="30" customWidth="1"/>
    <col min="6153" max="6153" width="0.85546875" style="30" customWidth="1"/>
    <col min="6154" max="6155" width="0.7109375" style="30" customWidth="1"/>
    <col min="6156" max="6156" width="0.5703125" style="30" customWidth="1"/>
    <col min="6157" max="6401" width="10.28515625" style="30"/>
    <col min="6402" max="6402" width="6" style="30" customWidth="1"/>
    <col min="6403" max="6403" width="30" style="30" customWidth="1"/>
    <col min="6404" max="6404" width="6.28515625" style="30" customWidth="1"/>
    <col min="6405" max="6405" width="9.5703125" style="30" customWidth="1"/>
    <col min="6406" max="6407" width="12.42578125" style="30" customWidth="1"/>
    <col min="6408" max="6408" width="17.42578125" style="30" customWidth="1"/>
    <col min="6409" max="6409" width="0.85546875" style="30" customWidth="1"/>
    <col min="6410" max="6411" width="0.7109375" style="30" customWidth="1"/>
    <col min="6412" max="6412" width="0.5703125" style="30" customWidth="1"/>
    <col min="6413" max="6657" width="10.28515625" style="30"/>
    <col min="6658" max="6658" width="6" style="30" customWidth="1"/>
    <col min="6659" max="6659" width="30" style="30" customWidth="1"/>
    <col min="6660" max="6660" width="6.28515625" style="30" customWidth="1"/>
    <col min="6661" max="6661" width="9.5703125" style="30" customWidth="1"/>
    <col min="6662" max="6663" width="12.42578125" style="30" customWidth="1"/>
    <col min="6664" max="6664" width="17.42578125" style="30" customWidth="1"/>
    <col min="6665" max="6665" width="0.85546875" style="30" customWidth="1"/>
    <col min="6666" max="6667" width="0.7109375" style="30" customWidth="1"/>
    <col min="6668" max="6668" width="0.5703125" style="30" customWidth="1"/>
    <col min="6669" max="6913" width="10.28515625" style="30"/>
    <col min="6914" max="6914" width="6" style="30" customWidth="1"/>
    <col min="6915" max="6915" width="30" style="30" customWidth="1"/>
    <col min="6916" max="6916" width="6.28515625" style="30" customWidth="1"/>
    <col min="6917" max="6917" width="9.5703125" style="30" customWidth="1"/>
    <col min="6918" max="6919" width="12.42578125" style="30" customWidth="1"/>
    <col min="6920" max="6920" width="17.42578125" style="30" customWidth="1"/>
    <col min="6921" max="6921" width="0.85546875" style="30" customWidth="1"/>
    <col min="6922" max="6923" width="0.7109375" style="30" customWidth="1"/>
    <col min="6924" max="6924" width="0.5703125" style="30" customWidth="1"/>
    <col min="6925" max="7169" width="10.28515625" style="30"/>
    <col min="7170" max="7170" width="6" style="30" customWidth="1"/>
    <col min="7171" max="7171" width="30" style="30" customWidth="1"/>
    <col min="7172" max="7172" width="6.28515625" style="30" customWidth="1"/>
    <col min="7173" max="7173" width="9.5703125" style="30" customWidth="1"/>
    <col min="7174" max="7175" width="12.42578125" style="30" customWidth="1"/>
    <col min="7176" max="7176" width="17.42578125" style="30" customWidth="1"/>
    <col min="7177" max="7177" width="0.85546875" style="30" customWidth="1"/>
    <col min="7178" max="7179" width="0.7109375" style="30" customWidth="1"/>
    <col min="7180" max="7180" width="0.5703125" style="30" customWidth="1"/>
    <col min="7181" max="7425" width="10.28515625" style="30"/>
    <col min="7426" max="7426" width="6" style="30" customWidth="1"/>
    <col min="7427" max="7427" width="30" style="30" customWidth="1"/>
    <col min="7428" max="7428" width="6.28515625" style="30" customWidth="1"/>
    <col min="7429" max="7429" width="9.5703125" style="30" customWidth="1"/>
    <col min="7430" max="7431" width="12.42578125" style="30" customWidth="1"/>
    <col min="7432" max="7432" width="17.42578125" style="30" customWidth="1"/>
    <col min="7433" max="7433" width="0.85546875" style="30" customWidth="1"/>
    <col min="7434" max="7435" width="0.7109375" style="30" customWidth="1"/>
    <col min="7436" max="7436" width="0.5703125" style="30" customWidth="1"/>
    <col min="7437" max="7681" width="10.28515625" style="30"/>
    <col min="7682" max="7682" width="6" style="30" customWidth="1"/>
    <col min="7683" max="7683" width="30" style="30" customWidth="1"/>
    <col min="7684" max="7684" width="6.28515625" style="30" customWidth="1"/>
    <col min="7685" max="7685" width="9.5703125" style="30" customWidth="1"/>
    <col min="7686" max="7687" width="12.42578125" style="30" customWidth="1"/>
    <col min="7688" max="7688" width="17.42578125" style="30" customWidth="1"/>
    <col min="7689" max="7689" width="0.85546875" style="30" customWidth="1"/>
    <col min="7690" max="7691" width="0.7109375" style="30" customWidth="1"/>
    <col min="7692" max="7692" width="0.5703125" style="30" customWidth="1"/>
    <col min="7693" max="7937" width="10.28515625" style="30"/>
    <col min="7938" max="7938" width="6" style="30" customWidth="1"/>
    <col min="7939" max="7939" width="30" style="30" customWidth="1"/>
    <col min="7940" max="7940" width="6.28515625" style="30" customWidth="1"/>
    <col min="7941" max="7941" width="9.5703125" style="30" customWidth="1"/>
    <col min="7942" max="7943" width="12.42578125" style="30" customWidth="1"/>
    <col min="7944" max="7944" width="17.42578125" style="30" customWidth="1"/>
    <col min="7945" max="7945" width="0.85546875" style="30" customWidth="1"/>
    <col min="7946" max="7947" width="0.7109375" style="30" customWidth="1"/>
    <col min="7948" max="7948" width="0.5703125" style="30" customWidth="1"/>
    <col min="7949" max="8193" width="10.28515625" style="30"/>
    <col min="8194" max="8194" width="6" style="30" customWidth="1"/>
    <col min="8195" max="8195" width="30" style="30" customWidth="1"/>
    <col min="8196" max="8196" width="6.28515625" style="30" customWidth="1"/>
    <col min="8197" max="8197" width="9.5703125" style="30" customWidth="1"/>
    <col min="8198" max="8199" width="12.42578125" style="30" customWidth="1"/>
    <col min="8200" max="8200" width="17.42578125" style="30" customWidth="1"/>
    <col min="8201" max="8201" width="0.85546875" style="30" customWidth="1"/>
    <col min="8202" max="8203" width="0.7109375" style="30" customWidth="1"/>
    <col min="8204" max="8204" width="0.5703125" style="30" customWidth="1"/>
    <col min="8205" max="8449" width="10.28515625" style="30"/>
    <col min="8450" max="8450" width="6" style="30" customWidth="1"/>
    <col min="8451" max="8451" width="30" style="30" customWidth="1"/>
    <col min="8452" max="8452" width="6.28515625" style="30" customWidth="1"/>
    <col min="8453" max="8453" width="9.5703125" style="30" customWidth="1"/>
    <col min="8454" max="8455" width="12.42578125" style="30" customWidth="1"/>
    <col min="8456" max="8456" width="17.42578125" style="30" customWidth="1"/>
    <col min="8457" max="8457" width="0.85546875" style="30" customWidth="1"/>
    <col min="8458" max="8459" width="0.7109375" style="30" customWidth="1"/>
    <col min="8460" max="8460" width="0.5703125" style="30" customWidth="1"/>
    <col min="8461" max="8705" width="10.28515625" style="30"/>
    <col min="8706" max="8706" width="6" style="30" customWidth="1"/>
    <col min="8707" max="8707" width="30" style="30" customWidth="1"/>
    <col min="8708" max="8708" width="6.28515625" style="30" customWidth="1"/>
    <col min="8709" max="8709" width="9.5703125" style="30" customWidth="1"/>
    <col min="8710" max="8711" width="12.42578125" style="30" customWidth="1"/>
    <col min="8712" max="8712" width="17.42578125" style="30" customWidth="1"/>
    <col min="8713" max="8713" width="0.85546875" style="30" customWidth="1"/>
    <col min="8714" max="8715" width="0.7109375" style="30" customWidth="1"/>
    <col min="8716" max="8716" width="0.5703125" style="30" customWidth="1"/>
    <col min="8717" max="8961" width="10.28515625" style="30"/>
    <col min="8962" max="8962" width="6" style="30" customWidth="1"/>
    <col min="8963" max="8963" width="30" style="30" customWidth="1"/>
    <col min="8964" max="8964" width="6.28515625" style="30" customWidth="1"/>
    <col min="8965" max="8965" width="9.5703125" style="30" customWidth="1"/>
    <col min="8966" max="8967" width="12.42578125" style="30" customWidth="1"/>
    <col min="8968" max="8968" width="17.42578125" style="30" customWidth="1"/>
    <col min="8969" max="8969" width="0.85546875" style="30" customWidth="1"/>
    <col min="8970" max="8971" width="0.7109375" style="30" customWidth="1"/>
    <col min="8972" max="8972" width="0.5703125" style="30" customWidth="1"/>
    <col min="8973" max="9217" width="10.28515625" style="30"/>
    <col min="9218" max="9218" width="6" style="30" customWidth="1"/>
    <col min="9219" max="9219" width="30" style="30" customWidth="1"/>
    <col min="9220" max="9220" width="6.28515625" style="30" customWidth="1"/>
    <col min="9221" max="9221" width="9.5703125" style="30" customWidth="1"/>
    <col min="9222" max="9223" width="12.42578125" style="30" customWidth="1"/>
    <col min="9224" max="9224" width="17.42578125" style="30" customWidth="1"/>
    <col min="9225" max="9225" width="0.85546875" style="30" customWidth="1"/>
    <col min="9226" max="9227" width="0.7109375" style="30" customWidth="1"/>
    <col min="9228" max="9228" width="0.5703125" style="30" customWidth="1"/>
    <col min="9229" max="9473" width="10.28515625" style="30"/>
    <col min="9474" max="9474" width="6" style="30" customWidth="1"/>
    <col min="9475" max="9475" width="30" style="30" customWidth="1"/>
    <col min="9476" max="9476" width="6.28515625" style="30" customWidth="1"/>
    <col min="9477" max="9477" width="9.5703125" style="30" customWidth="1"/>
    <col min="9478" max="9479" width="12.42578125" style="30" customWidth="1"/>
    <col min="9480" max="9480" width="17.42578125" style="30" customWidth="1"/>
    <col min="9481" max="9481" width="0.85546875" style="30" customWidth="1"/>
    <col min="9482" max="9483" width="0.7109375" style="30" customWidth="1"/>
    <col min="9484" max="9484" width="0.5703125" style="30" customWidth="1"/>
    <col min="9485" max="9729" width="10.28515625" style="30"/>
    <col min="9730" max="9730" width="6" style="30" customWidth="1"/>
    <col min="9731" max="9731" width="30" style="30" customWidth="1"/>
    <col min="9732" max="9732" width="6.28515625" style="30" customWidth="1"/>
    <col min="9733" max="9733" width="9.5703125" style="30" customWidth="1"/>
    <col min="9734" max="9735" width="12.42578125" style="30" customWidth="1"/>
    <col min="9736" max="9736" width="17.42578125" style="30" customWidth="1"/>
    <col min="9737" max="9737" width="0.85546875" style="30" customWidth="1"/>
    <col min="9738" max="9739" width="0.7109375" style="30" customWidth="1"/>
    <col min="9740" max="9740" width="0.5703125" style="30" customWidth="1"/>
    <col min="9741" max="9985" width="10.28515625" style="30"/>
    <col min="9986" max="9986" width="6" style="30" customWidth="1"/>
    <col min="9987" max="9987" width="30" style="30" customWidth="1"/>
    <col min="9988" max="9988" width="6.28515625" style="30" customWidth="1"/>
    <col min="9989" max="9989" width="9.5703125" style="30" customWidth="1"/>
    <col min="9990" max="9991" width="12.42578125" style="30" customWidth="1"/>
    <col min="9992" max="9992" width="17.42578125" style="30" customWidth="1"/>
    <col min="9993" max="9993" width="0.85546875" style="30" customWidth="1"/>
    <col min="9994" max="9995" width="0.7109375" style="30" customWidth="1"/>
    <col min="9996" max="9996" width="0.5703125" style="30" customWidth="1"/>
    <col min="9997" max="10241" width="10.28515625" style="30"/>
    <col min="10242" max="10242" width="6" style="30" customWidth="1"/>
    <col min="10243" max="10243" width="30" style="30" customWidth="1"/>
    <col min="10244" max="10244" width="6.28515625" style="30" customWidth="1"/>
    <col min="10245" max="10245" width="9.5703125" style="30" customWidth="1"/>
    <col min="10246" max="10247" width="12.42578125" style="30" customWidth="1"/>
    <col min="10248" max="10248" width="17.42578125" style="30" customWidth="1"/>
    <col min="10249" max="10249" width="0.85546875" style="30" customWidth="1"/>
    <col min="10250" max="10251" width="0.7109375" style="30" customWidth="1"/>
    <col min="10252" max="10252" width="0.5703125" style="30" customWidth="1"/>
    <col min="10253" max="10497" width="10.28515625" style="30"/>
    <col min="10498" max="10498" width="6" style="30" customWidth="1"/>
    <col min="10499" max="10499" width="30" style="30" customWidth="1"/>
    <col min="10500" max="10500" width="6.28515625" style="30" customWidth="1"/>
    <col min="10501" max="10501" width="9.5703125" style="30" customWidth="1"/>
    <col min="10502" max="10503" width="12.42578125" style="30" customWidth="1"/>
    <col min="10504" max="10504" width="17.42578125" style="30" customWidth="1"/>
    <col min="10505" max="10505" width="0.85546875" style="30" customWidth="1"/>
    <col min="10506" max="10507" width="0.7109375" style="30" customWidth="1"/>
    <col min="10508" max="10508" width="0.5703125" style="30" customWidth="1"/>
    <col min="10509" max="10753" width="10.28515625" style="30"/>
    <col min="10754" max="10754" width="6" style="30" customWidth="1"/>
    <col min="10755" max="10755" width="30" style="30" customWidth="1"/>
    <col min="10756" max="10756" width="6.28515625" style="30" customWidth="1"/>
    <col min="10757" max="10757" width="9.5703125" style="30" customWidth="1"/>
    <col min="10758" max="10759" width="12.42578125" style="30" customWidth="1"/>
    <col min="10760" max="10760" width="17.42578125" style="30" customWidth="1"/>
    <col min="10761" max="10761" width="0.85546875" style="30" customWidth="1"/>
    <col min="10762" max="10763" width="0.7109375" style="30" customWidth="1"/>
    <col min="10764" max="10764" width="0.5703125" style="30" customWidth="1"/>
    <col min="10765" max="11009" width="10.28515625" style="30"/>
    <col min="11010" max="11010" width="6" style="30" customWidth="1"/>
    <col min="11011" max="11011" width="30" style="30" customWidth="1"/>
    <col min="11012" max="11012" width="6.28515625" style="30" customWidth="1"/>
    <col min="11013" max="11013" width="9.5703125" style="30" customWidth="1"/>
    <col min="11014" max="11015" width="12.42578125" style="30" customWidth="1"/>
    <col min="11016" max="11016" width="17.42578125" style="30" customWidth="1"/>
    <col min="11017" max="11017" width="0.85546875" style="30" customWidth="1"/>
    <col min="11018" max="11019" width="0.7109375" style="30" customWidth="1"/>
    <col min="11020" max="11020" width="0.5703125" style="30" customWidth="1"/>
    <col min="11021" max="11265" width="10.28515625" style="30"/>
    <col min="11266" max="11266" width="6" style="30" customWidth="1"/>
    <col min="11267" max="11267" width="30" style="30" customWidth="1"/>
    <col min="11268" max="11268" width="6.28515625" style="30" customWidth="1"/>
    <col min="11269" max="11269" width="9.5703125" style="30" customWidth="1"/>
    <col min="11270" max="11271" width="12.42578125" style="30" customWidth="1"/>
    <col min="11272" max="11272" width="17.42578125" style="30" customWidth="1"/>
    <col min="11273" max="11273" width="0.85546875" style="30" customWidth="1"/>
    <col min="11274" max="11275" width="0.7109375" style="30" customWidth="1"/>
    <col min="11276" max="11276" width="0.5703125" style="30" customWidth="1"/>
    <col min="11277" max="11521" width="10.28515625" style="30"/>
    <col min="11522" max="11522" width="6" style="30" customWidth="1"/>
    <col min="11523" max="11523" width="30" style="30" customWidth="1"/>
    <col min="11524" max="11524" width="6.28515625" style="30" customWidth="1"/>
    <col min="11525" max="11525" width="9.5703125" style="30" customWidth="1"/>
    <col min="11526" max="11527" width="12.42578125" style="30" customWidth="1"/>
    <col min="11528" max="11528" width="17.42578125" style="30" customWidth="1"/>
    <col min="11529" max="11529" width="0.85546875" style="30" customWidth="1"/>
    <col min="11530" max="11531" width="0.7109375" style="30" customWidth="1"/>
    <col min="11532" max="11532" width="0.5703125" style="30" customWidth="1"/>
    <col min="11533" max="11777" width="10.28515625" style="30"/>
    <col min="11778" max="11778" width="6" style="30" customWidth="1"/>
    <col min="11779" max="11779" width="30" style="30" customWidth="1"/>
    <col min="11780" max="11780" width="6.28515625" style="30" customWidth="1"/>
    <col min="11781" max="11781" width="9.5703125" style="30" customWidth="1"/>
    <col min="11782" max="11783" width="12.42578125" style="30" customWidth="1"/>
    <col min="11784" max="11784" width="17.42578125" style="30" customWidth="1"/>
    <col min="11785" max="11785" width="0.85546875" style="30" customWidth="1"/>
    <col min="11786" max="11787" width="0.7109375" style="30" customWidth="1"/>
    <col min="11788" max="11788" width="0.5703125" style="30" customWidth="1"/>
    <col min="11789" max="12033" width="10.28515625" style="30"/>
    <col min="12034" max="12034" width="6" style="30" customWidth="1"/>
    <col min="12035" max="12035" width="30" style="30" customWidth="1"/>
    <col min="12036" max="12036" width="6.28515625" style="30" customWidth="1"/>
    <col min="12037" max="12037" width="9.5703125" style="30" customWidth="1"/>
    <col min="12038" max="12039" width="12.42578125" style="30" customWidth="1"/>
    <col min="12040" max="12040" width="17.42578125" style="30" customWidth="1"/>
    <col min="12041" max="12041" width="0.85546875" style="30" customWidth="1"/>
    <col min="12042" max="12043" width="0.7109375" style="30" customWidth="1"/>
    <col min="12044" max="12044" width="0.5703125" style="30" customWidth="1"/>
    <col min="12045" max="12289" width="10.28515625" style="30"/>
    <col min="12290" max="12290" width="6" style="30" customWidth="1"/>
    <col min="12291" max="12291" width="30" style="30" customWidth="1"/>
    <col min="12292" max="12292" width="6.28515625" style="30" customWidth="1"/>
    <col min="12293" max="12293" width="9.5703125" style="30" customWidth="1"/>
    <col min="12294" max="12295" width="12.42578125" style="30" customWidth="1"/>
    <col min="12296" max="12296" width="17.42578125" style="30" customWidth="1"/>
    <col min="12297" max="12297" width="0.85546875" style="30" customWidth="1"/>
    <col min="12298" max="12299" width="0.7109375" style="30" customWidth="1"/>
    <col min="12300" max="12300" width="0.5703125" style="30" customWidth="1"/>
    <col min="12301" max="12545" width="10.28515625" style="30"/>
    <col min="12546" max="12546" width="6" style="30" customWidth="1"/>
    <col min="12547" max="12547" width="30" style="30" customWidth="1"/>
    <col min="12548" max="12548" width="6.28515625" style="30" customWidth="1"/>
    <col min="12549" max="12549" width="9.5703125" style="30" customWidth="1"/>
    <col min="12550" max="12551" width="12.42578125" style="30" customWidth="1"/>
    <col min="12552" max="12552" width="17.42578125" style="30" customWidth="1"/>
    <col min="12553" max="12553" width="0.85546875" style="30" customWidth="1"/>
    <col min="12554" max="12555" width="0.7109375" style="30" customWidth="1"/>
    <col min="12556" max="12556" width="0.5703125" style="30" customWidth="1"/>
    <col min="12557" max="12801" width="10.28515625" style="30"/>
    <col min="12802" max="12802" width="6" style="30" customWidth="1"/>
    <col min="12803" max="12803" width="30" style="30" customWidth="1"/>
    <col min="12804" max="12804" width="6.28515625" style="30" customWidth="1"/>
    <col min="12805" max="12805" width="9.5703125" style="30" customWidth="1"/>
    <col min="12806" max="12807" width="12.42578125" style="30" customWidth="1"/>
    <col min="12808" max="12808" width="17.42578125" style="30" customWidth="1"/>
    <col min="12809" max="12809" width="0.85546875" style="30" customWidth="1"/>
    <col min="12810" max="12811" width="0.7109375" style="30" customWidth="1"/>
    <col min="12812" max="12812" width="0.5703125" style="30" customWidth="1"/>
    <col min="12813" max="13057" width="10.28515625" style="30"/>
    <col min="13058" max="13058" width="6" style="30" customWidth="1"/>
    <col min="13059" max="13059" width="30" style="30" customWidth="1"/>
    <col min="13060" max="13060" width="6.28515625" style="30" customWidth="1"/>
    <col min="13061" max="13061" width="9.5703125" style="30" customWidth="1"/>
    <col min="13062" max="13063" width="12.42578125" style="30" customWidth="1"/>
    <col min="13064" max="13064" width="17.42578125" style="30" customWidth="1"/>
    <col min="13065" max="13065" width="0.85546875" style="30" customWidth="1"/>
    <col min="13066" max="13067" width="0.7109375" style="30" customWidth="1"/>
    <col min="13068" max="13068" width="0.5703125" style="30" customWidth="1"/>
    <col min="13069" max="13313" width="10.28515625" style="30"/>
    <col min="13314" max="13314" width="6" style="30" customWidth="1"/>
    <col min="13315" max="13315" width="30" style="30" customWidth="1"/>
    <col min="13316" max="13316" width="6.28515625" style="30" customWidth="1"/>
    <col min="13317" max="13317" width="9.5703125" style="30" customWidth="1"/>
    <col min="13318" max="13319" width="12.42578125" style="30" customWidth="1"/>
    <col min="13320" max="13320" width="17.42578125" style="30" customWidth="1"/>
    <col min="13321" max="13321" width="0.85546875" style="30" customWidth="1"/>
    <col min="13322" max="13323" width="0.7109375" style="30" customWidth="1"/>
    <col min="13324" max="13324" width="0.5703125" style="30" customWidth="1"/>
    <col min="13325" max="13569" width="10.28515625" style="30"/>
    <col min="13570" max="13570" width="6" style="30" customWidth="1"/>
    <col min="13571" max="13571" width="30" style="30" customWidth="1"/>
    <col min="13572" max="13572" width="6.28515625" style="30" customWidth="1"/>
    <col min="13573" max="13573" width="9.5703125" style="30" customWidth="1"/>
    <col min="13574" max="13575" width="12.42578125" style="30" customWidth="1"/>
    <col min="13576" max="13576" width="17.42578125" style="30" customWidth="1"/>
    <col min="13577" max="13577" width="0.85546875" style="30" customWidth="1"/>
    <col min="13578" max="13579" width="0.7109375" style="30" customWidth="1"/>
    <col min="13580" max="13580" width="0.5703125" style="30" customWidth="1"/>
    <col min="13581" max="13825" width="10.28515625" style="30"/>
    <col min="13826" max="13826" width="6" style="30" customWidth="1"/>
    <col min="13827" max="13827" width="30" style="30" customWidth="1"/>
    <col min="13828" max="13828" width="6.28515625" style="30" customWidth="1"/>
    <col min="13829" max="13829" width="9.5703125" style="30" customWidth="1"/>
    <col min="13830" max="13831" width="12.42578125" style="30" customWidth="1"/>
    <col min="13832" max="13832" width="17.42578125" style="30" customWidth="1"/>
    <col min="13833" max="13833" width="0.85546875" style="30" customWidth="1"/>
    <col min="13834" max="13835" width="0.7109375" style="30" customWidth="1"/>
    <col min="13836" max="13836" width="0.5703125" style="30" customWidth="1"/>
    <col min="13837" max="14081" width="10.28515625" style="30"/>
    <col min="14082" max="14082" width="6" style="30" customWidth="1"/>
    <col min="14083" max="14083" width="30" style="30" customWidth="1"/>
    <col min="14084" max="14084" width="6.28515625" style="30" customWidth="1"/>
    <col min="14085" max="14085" width="9.5703125" style="30" customWidth="1"/>
    <col min="14086" max="14087" width="12.42578125" style="30" customWidth="1"/>
    <col min="14088" max="14088" width="17.42578125" style="30" customWidth="1"/>
    <col min="14089" max="14089" width="0.85546875" style="30" customWidth="1"/>
    <col min="14090" max="14091" width="0.7109375" style="30" customWidth="1"/>
    <col min="14092" max="14092" width="0.5703125" style="30" customWidth="1"/>
    <col min="14093" max="14337" width="10.28515625" style="30"/>
    <col min="14338" max="14338" width="6" style="30" customWidth="1"/>
    <col min="14339" max="14339" width="30" style="30" customWidth="1"/>
    <col min="14340" max="14340" width="6.28515625" style="30" customWidth="1"/>
    <col min="14341" max="14341" width="9.5703125" style="30" customWidth="1"/>
    <col min="14342" max="14343" width="12.42578125" style="30" customWidth="1"/>
    <col min="14344" max="14344" width="17.42578125" style="30" customWidth="1"/>
    <col min="14345" max="14345" width="0.85546875" style="30" customWidth="1"/>
    <col min="14346" max="14347" width="0.7109375" style="30" customWidth="1"/>
    <col min="14348" max="14348" width="0.5703125" style="30" customWidth="1"/>
    <col min="14349" max="14593" width="10.28515625" style="30"/>
    <col min="14594" max="14594" width="6" style="30" customWidth="1"/>
    <col min="14595" max="14595" width="30" style="30" customWidth="1"/>
    <col min="14596" max="14596" width="6.28515625" style="30" customWidth="1"/>
    <col min="14597" max="14597" width="9.5703125" style="30" customWidth="1"/>
    <col min="14598" max="14599" width="12.42578125" style="30" customWidth="1"/>
    <col min="14600" max="14600" width="17.42578125" style="30" customWidth="1"/>
    <col min="14601" max="14601" width="0.85546875" style="30" customWidth="1"/>
    <col min="14602" max="14603" width="0.7109375" style="30" customWidth="1"/>
    <col min="14604" max="14604" width="0.5703125" style="30" customWidth="1"/>
    <col min="14605" max="14849" width="10.28515625" style="30"/>
    <col min="14850" max="14850" width="6" style="30" customWidth="1"/>
    <col min="14851" max="14851" width="30" style="30" customWidth="1"/>
    <col min="14852" max="14852" width="6.28515625" style="30" customWidth="1"/>
    <col min="14853" max="14853" width="9.5703125" style="30" customWidth="1"/>
    <col min="14854" max="14855" width="12.42578125" style="30" customWidth="1"/>
    <col min="14856" max="14856" width="17.42578125" style="30" customWidth="1"/>
    <col min="14857" max="14857" width="0.85546875" style="30" customWidth="1"/>
    <col min="14858" max="14859" width="0.7109375" style="30" customWidth="1"/>
    <col min="14860" max="14860" width="0.5703125" style="30" customWidth="1"/>
    <col min="14861" max="15105" width="10.28515625" style="30"/>
    <col min="15106" max="15106" width="6" style="30" customWidth="1"/>
    <col min="15107" max="15107" width="30" style="30" customWidth="1"/>
    <col min="15108" max="15108" width="6.28515625" style="30" customWidth="1"/>
    <col min="15109" max="15109" width="9.5703125" style="30" customWidth="1"/>
    <col min="15110" max="15111" width="12.42578125" style="30" customWidth="1"/>
    <col min="15112" max="15112" width="17.42578125" style="30" customWidth="1"/>
    <col min="15113" max="15113" width="0.85546875" style="30" customWidth="1"/>
    <col min="15114" max="15115" width="0.7109375" style="30" customWidth="1"/>
    <col min="15116" max="15116" width="0.5703125" style="30" customWidth="1"/>
    <col min="15117" max="15361" width="10.28515625" style="30"/>
    <col min="15362" max="15362" width="6" style="30" customWidth="1"/>
    <col min="15363" max="15363" width="30" style="30" customWidth="1"/>
    <col min="15364" max="15364" width="6.28515625" style="30" customWidth="1"/>
    <col min="15365" max="15365" width="9.5703125" style="30" customWidth="1"/>
    <col min="15366" max="15367" width="12.42578125" style="30" customWidth="1"/>
    <col min="15368" max="15368" width="17.42578125" style="30" customWidth="1"/>
    <col min="15369" max="15369" width="0.85546875" style="30" customWidth="1"/>
    <col min="15370" max="15371" width="0.7109375" style="30" customWidth="1"/>
    <col min="15372" max="15372" width="0.5703125" style="30" customWidth="1"/>
    <col min="15373" max="15617" width="10.28515625" style="30"/>
    <col min="15618" max="15618" width="6" style="30" customWidth="1"/>
    <col min="15619" max="15619" width="30" style="30" customWidth="1"/>
    <col min="15620" max="15620" width="6.28515625" style="30" customWidth="1"/>
    <col min="15621" max="15621" width="9.5703125" style="30" customWidth="1"/>
    <col min="15622" max="15623" width="12.42578125" style="30" customWidth="1"/>
    <col min="15624" max="15624" width="17.42578125" style="30" customWidth="1"/>
    <col min="15625" max="15625" width="0.85546875" style="30" customWidth="1"/>
    <col min="15626" max="15627" width="0.7109375" style="30" customWidth="1"/>
    <col min="15628" max="15628" width="0.5703125" style="30" customWidth="1"/>
    <col min="15629" max="15873" width="10.28515625" style="30"/>
    <col min="15874" max="15874" width="6" style="30" customWidth="1"/>
    <col min="15875" max="15875" width="30" style="30" customWidth="1"/>
    <col min="15876" max="15876" width="6.28515625" style="30" customWidth="1"/>
    <col min="15877" max="15877" width="9.5703125" style="30" customWidth="1"/>
    <col min="15878" max="15879" width="12.42578125" style="30" customWidth="1"/>
    <col min="15880" max="15880" width="17.42578125" style="30" customWidth="1"/>
    <col min="15881" max="15881" width="0.85546875" style="30" customWidth="1"/>
    <col min="15882" max="15883" width="0.7109375" style="30" customWidth="1"/>
    <col min="15884" max="15884" width="0.5703125" style="30" customWidth="1"/>
    <col min="15885" max="16129" width="10.28515625" style="30"/>
    <col min="16130" max="16130" width="6" style="30" customWidth="1"/>
    <col min="16131" max="16131" width="30" style="30" customWidth="1"/>
    <col min="16132" max="16132" width="6.28515625" style="30" customWidth="1"/>
    <col min="16133" max="16133" width="9.5703125" style="30" customWidth="1"/>
    <col min="16134" max="16135" width="12.42578125" style="30" customWidth="1"/>
    <col min="16136" max="16136" width="17.42578125" style="30" customWidth="1"/>
    <col min="16137" max="16137" width="0.85546875" style="30" customWidth="1"/>
    <col min="16138" max="16139" width="0.7109375" style="30" customWidth="1"/>
    <col min="16140" max="16140" width="0.5703125" style="30" customWidth="1"/>
    <col min="16141" max="16384" width="10.28515625" style="30"/>
  </cols>
  <sheetData>
    <row r="1" spans="1:16" s="26" customFormat="1" ht="15.75" customHeight="1">
      <c r="A1" s="21" t="s">
        <v>230</v>
      </c>
      <c r="B1" s="21"/>
      <c r="C1" s="21"/>
      <c r="D1" s="21"/>
      <c r="E1" s="21"/>
      <c r="F1" s="22"/>
      <c r="G1" s="22"/>
      <c r="H1" s="21"/>
      <c r="I1" s="23"/>
      <c r="J1" s="311"/>
      <c r="K1" s="24"/>
      <c r="L1" s="24"/>
      <c r="M1" s="201"/>
      <c r="N1" s="25"/>
    </row>
    <row r="2" spans="1:16" s="26" customFormat="1" ht="15.75" customHeight="1">
      <c r="A2" s="21" t="s">
        <v>207</v>
      </c>
      <c r="B2" s="21"/>
      <c r="C2" s="21"/>
      <c r="D2" s="21"/>
      <c r="E2" s="21"/>
      <c r="F2" s="22"/>
      <c r="G2" s="22"/>
      <c r="H2" s="21"/>
      <c r="I2" s="23"/>
      <c r="J2" s="311"/>
      <c r="K2" s="24"/>
      <c r="L2" s="24"/>
      <c r="M2" s="201"/>
      <c r="N2" s="25"/>
    </row>
    <row r="3" spans="1:16" ht="13.5" customHeight="1">
      <c r="A3" s="682" t="s">
        <v>232</v>
      </c>
      <c r="B3" s="682"/>
      <c r="C3" s="682"/>
      <c r="D3" s="682"/>
      <c r="E3" s="682"/>
      <c r="F3" s="682"/>
      <c r="H3" s="27"/>
      <c r="I3" s="28"/>
    </row>
    <row r="4" spans="1:16" s="2" customFormat="1" ht="13.5" customHeight="1">
      <c r="A4" s="31" t="s">
        <v>1213</v>
      </c>
      <c r="B4" s="31"/>
      <c r="C4" s="32"/>
      <c r="D4" s="33"/>
      <c r="E4" s="33"/>
      <c r="F4" s="34" t="s">
        <v>1214</v>
      </c>
      <c r="G4" s="34"/>
      <c r="H4" s="29"/>
      <c r="J4" s="312"/>
      <c r="M4" s="203"/>
      <c r="N4" s="35"/>
    </row>
    <row r="5" spans="1:16" s="43" customFormat="1" ht="30" customHeight="1">
      <c r="A5" s="36" t="s">
        <v>235</v>
      </c>
      <c r="B5" s="37" t="s">
        <v>1577</v>
      </c>
      <c r="C5" s="37" t="s">
        <v>237</v>
      </c>
      <c r="D5" s="37" t="s">
        <v>1439</v>
      </c>
      <c r="E5" s="38" t="s">
        <v>1438</v>
      </c>
      <c r="F5" s="39" t="s">
        <v>221</v>
      </c>
      <c r="G5" s="39"/>
      <c r="H5" s="204" t="s">
        <v>1769</v>
      </c>
      <c r="I5" s="222" t="s">
        <v>1942</v>
      </c>
      <c r="J5" s="313" t="s">
        <v>2240</v>
      </c>
      <c r="K5" s="42"/>
      <c r="L5" s="42"/>
      <c r="M5" s="320"/>
      <c r="N5" s="320"/>
      <c r="O5" s="320"/>
      <c r="P5" s="320"/>
    </row>
    <row r="6" spans="1:16" ht="21.95" customHeight="1">
      <c r="A6" s="6" t="s">
        <v>10</v>
      </c>
      <c r="B6" s="7" t="s">
        <v>12</v>
      </c>
      <c r="C6" s="8" t="s">
        <v>4</v>
      </c>
      <c r="D6" s="44">
        <v>1</v>
      </c>
      <c r="E6" s="44"/>
      <c r="F6" s="45"/>
      <c r="G6" s="45"/>
      <c r="H6" s="44" t="s">
        <v>242</v>
      </c>
      <c r="I6" s="223" t="s">
        <v>243</v>
      </c>
      <c r="J6" s="232"/>
    </row>
    <row r="7" spans="1:16" ht="21.95" customHeight="1">
      <c r="A7" s="6" t="s">
        <v>206</v>
      </c>
      <c r="B7" s="7" t="s">
        <v>2</v>
      </c>
      <c r="C7" s="8" t="s">
        <v>4</v>
      </c>
      <c r="D7" s="44">
        <v>1</v>
      </c>
      <c r="E7" s="44"/>
      <c r="F7" s="45"/>
      <c r="G7" s="45"/>
      <c r="H7" s="44" t="s">
        <v>242</v>
      </c>
      <c r="I7" s="223" t="s">
        <v>243</v>
      </c>
      <c r="J7" s="232"/>
    </row>
    <row r="8" spans="1:16" ht="36.75" customHeight="1">
      <c r="A8" s="12" t="s">
        <v>49</v>
      </c>
      <c r="B8" s="7" t="s">
        <v>192</v>
      </c>
      <c r="C8" s="8" t="s">
        <v>17</v>
      </c>
      <c r="D8" s="44">
        <v>18865.759999999998</v>
      </c>
      <c r="E8" s="44"/>
      <c r="F8" s="80" t="s">
        <v>1963</v>
      </c>
      <c r="G8" s="45" t="s">
        <v>1812</v>
      </c>
      <c r="H8" s="44">
        <f>(1.65*236*2+6*60*2+3.95*236+2.9*236+6*282)*0.994</f>
        <v>4778.5555999999997</v>
      </c>
      <c r="I8" s="223" t="s">
        <v>243</v>
      </c>
      <c r="J8" s="347" t="s">
        <v>2241</v>
      </c>
      <c r="N8" s="49"/>
    </row>
    <row r="9" spans="1:16" ht="36.75" customHeight="1">
      <c r="A9" s="12" t="s">
        <v>82</v>
      </c>
      <c r="B9" s="7" t="s">
        <v>192</v>
      </c>
      <c r="C9" s="8" t="s">
        <v>17</v>
      </c>
      <c r="D9" s="44">
        <v>6240.88</v>
      </c>
      <c r="E9" s="44"/>
      <c r="F9" s="45" t="s">
        <v>1329</v>
      </c>
      <c r="G9" s="45"/>
      <c r="H9" s="44"/>
      <c r="I9" s="226"/>
      <c r="J9" s="122" t="s">
        <v>2243</v>
      </c>
      <c r="N9" s="49"/>
    </row>
    <row r="10" spans="1:16" ht="36.75" customHeight="1">
      <c r="A10" s="12" t="s">
        <v>189</v>
      </c>
      <c r="B10" s="7" t="s">
        <v>192</v>
      </c>
      <c r="C10" s="8" t="s">
        <v>17</v>
      </c>
      <c r="D10" s="44">
        <v>13138</v>
      </c>
      <c r="E10" s="44"/>
      <c r="F10" s="45" t="s">
        <v>2186</v>
      </c>
      <c r="G10" s="45" t="s">
        <v>2187</v>
      </c>
      <c r="H10" s="44">
        <v>16735.4076957</v>
      </c>
      <c r="I10" s="224">
        <v>32720.212175700006</v>
      </c>
      <c r="J10" s="314">
        <f>I10-D10</f>
        <v>19582.212175700006</v>
      </c>
      <c r="N10" s="49"/>
    </row>
    <row r="11" spans="1:16" ht="21.95" customHeight="1">
      <c r="A11" s="12"/>
      <c r="B11" s="7"/>
      <c r="C11" s="8"/>
      <c r="D11" s="44"/>
      <c r="E11" s="44"/>
      <c r="F11" s="80" t="s">
        <v>2188</v>
      </c>
      <c r="G11" s="45" t="s">
        <v>2189</v>
      </c>
      <c r="H11" s="44">
        <v>2258.9839999999995</v>
      </c>
      <c r="I11" s="224"/>
      <c r="J11" s="232"/>
      <c r="N11" s="49"/>
    </row>
    <row r="12" spans="1:16">
      <c r="A12" s="12"/>
      <c r="B12" s="7"/>
      <c r="C12" s="8"/>
      <c r="D12" s="44"/>
      <c r="E12" s="44"/>
      <c r="F12" s="45" t="s">
        <v>1823</v>
      </c>
      <c r="G12" s="45" t="s">
        <v>2187</v>
      </c>
      <c r="H12" s="44">
        <v>2194.92</v>
      </c>
      <c r="I12" s="224"/>
      <c r="J12" s="232"/>
      <c r="N12" s="319"/>
    </row>
    <row r="13" spans="1:16" ht="33">
      <c r="A13" s="272" t="s">
        <v>2039</v>
      </c>
      <c r="B13" s="7"/>
      <c r="C13" s="8"/>
      <c r="D13" s="44"/>
      <c r="E13" s="44"/>
      <c r="F13" s="80" t="s">
        <v>1687</v>
      </c>
      <c r="G13" s="45" t="s">
        <v>1689</v>
      </c>
      <c r="H13" s="44">
        <v>417.79807999999997</v>
      </c>
      <c r="I13" s="224"/>
      <c r="J13" s="232"/>
      <c r="N13" s="49"/>
    </row>
    <row r="14" spans="1:16" ht="36.75" customHeight="1">
      <c r="A14" s="272" t="s">
        <v>2039</v>
      </c>
      <c r="B14" s="7"/>
      <c r="C14" s="8"/>
      <c r="D14" s="44"/>
      <c r="E14" s="44"/>
      <c r="F14" s="80" t="s">
        <v>2190</v>
      </c>
      <c r="G14" s="45" t="s">
        <v>2191</v>
      </c>
      <c r="H14" s="44">
        <v>4778.5555999999997</v>
      </c>
      <c r="I14" s="224"/>
      <c r="J14" s="232"/>
      <c r="N14" s="49"/>
      <c r="O14" s="321"/>
    </row>
    <row r="15" spans="1:16">
      <c r="A15" s="272" t="s">
        <v>2039</v>
      </c>
      <c r="B15" s="7"/>
      <c r="C15" s="8"/>
      <c r="D15" s="44"/>
      <c r="E15" s="44"/>
      <c r="F15" s="45" t="s">
        <v>2192</v>
      </c>
      <c r="G15" s="45" t="s">
        <v>2193</v>
      </c>
      <c r="H15" s="44">
        <v>599.58000000000004</v>
      </c>
      <c r="I15" s="223"/>
      <c r="J15" s="232"/>
      <c r="N15" s="49"/>
    </row>
    <row r="16" spans="1:16" ht="48" customHeight="1">
      <c r="A16" s="272" t="s">
        <v>2039</v>
      </c>
      <c r="B16" s="260"/>
      <c r="C16" s="261"/>
      <c r="D16" s="262"/>
      <c r="E16" s="262"/>
      <c r="F16" s="268" t="s">
        <v>2194</v>
      </c>
      <c r="G16" s="263" t="s">
        <v>2195</v>
      </c>
      <c r="H16" s="262">
        <v>483.17880000000002</v>
      </c>
      <c r="I16" s="274"/>
      <c r="J16" s="315"/>
      <c r="N16" s="49"/>
    </row>
    <row r="17" spans="1:14" ht="28.5" customHeight="1">
      <c r="A17" s="272" t="s">
        <v>2039</v>
      </c>
      <c r="B17" s="210"/>
      <c r="C17" s="211"/>
      <c r="D17" s="212"/>
      <c r="E17" s="212"/>
      <c r="F17" s="213" t="s">
        <v>2196</v>
      </c>
      <c r="G17" s="213" t="s">
        <v>2197</v>
      </c>
      <c r="H17" s="212">
        <v>447.3</v>
      </c>
      <c r="I17" s="223"/>
      <c r="J17" s="232"/>
      <c r="N17" s="49"/>
    </row>
    <row r="18" spans="1:14" ht="42.75" customHeight="1">
      <c r="A18" s="284" t="s">
        <v>2039</v>
      </c>
      <c r="B18" s="285"/>
      <c r="C18" s="286"/>
      <c r="D18" s="139"/>
      <c r="E18" s="139"/>
      <c r="F18" s="287" t="s">
        <v>2198</v>
      </c>
      <c r="G18" s="45" t="s">
        <v>2187</v>
      </c>
      <c r="H18" s="262">
        <v>2609.5680000000002</v>
      </c>
      <c r="I18" s="274"/>
      <c r="J18" s="315"/>
      <c r="N18" s="49"/>
    </row>
    <row r="19" spans="1:14">
      <c r="A19" s="288" t="s">
        <v>2039</v>
      </c>
      <c r="B19" s="289"/>
      <c r="C19" s="290"/>
      <c r="D19" s="140"/>
      <c r="E19" s="140"/>
      <c r="F19" s="287" t="s">
        <v>2035</v>
      </c>
      <c r="G19" s="45" t="s">
        <v>2187</v>
      </c>
      <c r="H19" s="262">
        <v>2194.92</v>
      </c>
      <c r="I19" s="274"/>
      <c r="J19" s="315"/>
      <c r="N19" s="49"/>
    </row>
    <row r="20" spans="1:14">
      <c r="A20" s="284"/>
      <c r="B20" s="300"/>
      <c r="C20" s="301"/>
      <c r="D20" s="302"/>
      <c r="E20" s="302"/>
      <c r="F20" s="291" t="s">
        <v>2037</v>
      </c>
      <c r="G20" s="323" t="s">
        <v>1686</v>
      </c>
      <c r="H20" s="262"/>
      <c r="I20" s="274"/>
      <c r="J20" s="315"/>
      <c r="K20" s="25"/>
      <c r="L20" s="25"/>
      <c r="M20" s="206"/>
      <c r="N20" s="49"/>
    </row>
    <row r="21" spans="1:14">
      <c r="A21" s="12" t="s">
        <v>177</v>
      </c>
      <c r="B21" s="7" t="s">
        <v>192</v>
      </c>
      <c r="C21" s="8" t="s">
        <v>17</v>
      </c>
      <c r="D21" s="44">
        <v>137462</v>
      </c>
      <c r="E21" s="44"/>
      <c r="F21" s="80" t="s">
        <v>1461</v>
      </c>
      <c r="G21" s="45" t="s">
        <v>1345</v>
      </c>
      <c r="H21" s="44">
        <v>75613.2</v>
      </c>
      <c r="I21" s="230">
        <v>207085.17</v>
      </c>
      <c r="J21" s="314">
        <f>I21-D21</f>
        <v>69623.170000000013</v>
      </c>
      <c r="N21" s="49"/>
    </row>
    <row r="22" spans="1:14">
      <c r="A22" s="12"/>
      <c r="B22" s="7"/>
      <c r="C22" s="8"/>
      <c r="D22" s="44"/>
      <c r="E22" s="44"/>
      <c r="F22" s="80" t="s">
        <v>1489</v>
      </c>
      <c r="G22" s="45" t="s">
        <v>1345</v>
      </c>
      <c r="H22" s="44">
        <v>262.22000000000003</v>
      </c>
      <c r="I22" s="230"/>
      <c r="J22" s="232"/>
      <c r="N22" s="49"/>
    </row>
    <row r="23" spans="1:14">
      <c r="A23" s="12"/>
      <c r="B23" s="7"/>
      <c r="C23" s="8"/>
      <c r="D23" s="44"/>
      <c r="E23" s="44"/>
      <c r="F23" s="80" t="s">
        <v>1459</v>
      </c>
      <c r="G23" s="45" t="s">
        <v>1345</v>
      </c>
      <c r="H23" s="44">
        <v>130550.17</v>
      </c>
      <c r="I23" s="230"/>
      <c r="J23" s="232"/>
      <c r="N23" s="49"/>
    </row>
    <row r="24" spans="1:14" ht="53.25" customHeight="1">
      <c r="A24" s="12"/>
      <c r="B24" s="7"/>
      <c r="C24" s="8"/>
      <c r="D24" s="44"/>
      <c r="E24" s="44"/>
      <c r="F24" s="80" t="s">
        <v>1589</v>
      </c>
      <c r="G24" s="45" t="s">
        <v>2137</v>
      </c>
      <c r="H24" s="44">
        <f>(1.35*9*2*2*1.56+1.2*8*2*0.994)*4+(1.41+2.59+2.57+1.88)*13*1.56+0.6*3.14*(10+18+17+13)*0.994</f>
        <v>659.58556799999997</v>
      </c>
      <c r="I24" s="230"/>
      <c r="J24" s="232"/>
      <c r="N24" s="49"/>
    </row>
    <row r="25" spans="1:14">
      <c r="A25" s="12" t="s">
        <v>161</v>
      </c>
      <c r="B25" s="7" t="s">
        <v>192</v>
      </c>
      <c r="C25" s="8" t="s">
        <v>17</v>
      </c>
      <c r="D25" s="44">
        <v>12810</v>
      </c>
      <c r="E25" s="44"/>
      <c r="F25" s="45" t="s">
        <v>2199</v>
      </c>
      <c r="G25" s="45" t="s">
        <v>2200</v>
      </c>
      <c r="H25" s="44">
        <v>41151.39</v>
      </c>
      <c r="I25" s="224">
        <v>46353.229999999996</v>
      </c>
      <c r="J25" s="314">
        <v>33543.229999999996</v>
      </c>
      <c r="N25" s="49"/>
    </row>
    <row r="26" spans="1:14">
      <c r="A26" s="303"/>
      <c r="B26" s="304"/>
      <c r="C26" s="305"/>
      <c r="D26" s="306"/>
      <c r="E26" s="306"/>
      <c r="F26" s="263" t="s">
        <v>2153</v>
      </c>
      <c r="G26" s="45" t="s">
        <v>2200</v>
      </c>
      <c r="H26" s="306">
        <v>5201.84</v>
      </c>
      <c r="I26" s="308"/>
      <c r="J26" s="122"/>
      <c r="N26" s="49"/>
    </row>
    <row r="27" spans="1:14">
      <c r="A27" s="325"/>
      <c r="B27" s="326"/>
      <c r="C27" s="327"/>
      <c r="D27" s="328"/>
      <c r="E27" s="328"/>
      <c r="F27" s="329"/>
      <c r="G27" s="349" t="s">
        <v>2697</v>
      </c>
      <c r="H27" s="348"/>
      <c r="I27" s="535">
        <f>ROUND(SUM(J8:J26),2)</f>
        <v>122748.61</v>
      </c>
      <c r="J27" s="346">
        <f>ROUND(I27*36.4,2)</f>
        <v>4468049.4000000004</v>
      </c>
      <c r="M27" s="202">
        <f>J27+J40+J58+J73+J81+J92+J106+J122</f>
        <v>14615437.920000002</v>
      </c>
      <c r="N27" s="49"/>
    </row>
    <row r="28" spans="1:14" ht="33">
      <c r="A28" s="12" t="s">
        <v>83</v>
      </c>
      <c r="B28" s="7" t="s">
        <v>530</v>
      </c>
      <c r="C28" s="8" t="s">
        <v>17</v>
      </c>
      <c r="D28" s="44">
        <v>102796.95</v>
      </c>
      <c r="E28" s="44"/>
      <c r="F28" s="45" t="s">
        <v>2201</v>
      </c>
      <c r="G28" s="45" t="s">
        <v>2202</v>
      </c>
      <c r="H28" s="44">
        <v>19223.419999999998</v>
      </c>
      <c r="I28" s="309">
        <v>56143.837800000001</v>
      </c>
      <c r="J28" s="347" t="s">
        <v>2241</v>
      </c>
      <c r="N28" s="49"/>
    </row>
    <row r="29" spans="1:14">
      <c r="A29" s="12"/>
      <c r="B29" s="7"/>
      <c r="C29" s="8"/>
      <c r="D29" s="44"/>
      <c r="E29" s="44"/>
      <c r="F29" s="45" t="s">
        <v>2203</v>
      </c>
      <c r="G29" s="45" t="s">
        <v>2204</v>
      </c>
      <c r="H29" s="44">
        <v>3561.58</v>
      </c>
      <c r="I29" s="223"/>
      <c r="J29" s="232"/>
      <c r="N29" s="49"/>
    </row>
    <row r="30" spans="1:14" ht="33">
      <c r="A30" s="12"/>
      <c r="B30" s="7"/>
      <c r="C30" s="8"/>
      <c r="D30" s="44"/>
      <c r="E30" s="44"/>
      <c r="F30" s="45" t="s">
        <v>2205</v>
      </c>
      <c r="G30" s="45" t="s">
        <v>2206</v>
      </c>
      <c r="H30" s="44">
        <v>2609.5680000000002</v>
      </c>
      <c r="I30" s="223"/>
      <c r="J30" s="232"/>
      <c r="N30" s="49"/>
    </row>
    <row r="31" spans="1:14" ht="49.5">
      <c r="A31" s="12"/>
      <c r="B31" s="7"/>
      <c r="C31" s="8"/>
      <c r="D31" s="44"/>
      <c r="E31" s="44"/>
      <c r="F31" s="45" t="s">
        <v>2207</v>
      </c>
      <c r="G31" s="45" t="s">
        <v>2208</v>
      </c>
      <c r="H31" s="44">
        <v>19710</v>
      </c>
      <c r="I31" s="223"/>
      <c r="J31" s="232"/>
      <c r="N31" s="49"/>
    </row>
    <row r="32" spans="1:14" ht="49.5">
      <c r="A32" s="12"/>
      <c r="B32" s="7"/>
      <c r="C32" s="8"/>
      <c r="D32" s="44"/>
      <c r="E32" s="44"/>
      <c r="F32" s="56" t="s">
        <v>1767</v>
      </c>
      <c r="G32" s="45" t="s">
        <v>2209</v>
      </c>
      <c r="H32" s="44">
        <v>8622</v>
      </c>
      <c r="I32" s="223"/>
      <c r="J32" s="232"/>
      <c r="N32" s="49"/>
    </row>
    <row r="33" spans="1:15">
      <c r="A33" s="12"/>
      <c r="B33" s="7"/>
      <c r="C33" s="8"/>
      <c r="D33" s="44"/>
      <c r="E33" s="44"/>
      <c r="F33" s="45" t="s">
        <v>2210</v>
      </c>
      <c r="G33" s="45" t="s">
        <v>2211</v>
      </c>
      <c r="H33" s="44">
        <v>1653.2208000000001</v>
      </c>
      <c r="I33" s="223"/>
      <c r="J33" s="232"/>
      <c r="N33" s="49"/>
    </row>
    <row r="34" spans="1:15">
      <c r="A34" s="12"/>
      <c r="B34" s="7"/>
      <c r="C34" s="8"/>
      <c r="D34" s="44"/>
      <c r="E34" s="44"/>
      <c r="F34" s="45" t="s">
        <v>2212</v>
      </c>
      <c r="G34" s="45" t="s">
        <v>2213</v>
      </c>
      <c r="H34" s="44">
        <v>764.04899999999998</v>
      </c>
      <c r="I34" s="223"/>
      <c r="J34" s="232"/>
      <c r="N34" s="49"/>
    </row>
    <row r="35" spans="1:15">
      <c r="A35" s="12" t="s">
        <v>188</v>
      </c>
      <c r="B35" s="7" t="s">
        <v>530</v>
      </c>
      <c r="C35" s="8" t="s">
        <v>17</v>
      </c>
      <c r="D35" s="44">
        <v>15589</v>
      </c>
      <c r="E35" s="44"/>
      <c r="F35" s="45" t="s">
        <v>2214</v>
      </c>
      <c r="G35" s="45" t="s">
        <v>2187</v>
      </c>
      <c r="H35" s="44">
        <v>15565.554937500001</v>
      </c>
      <c r="I35" s="224">
        <v>23923.6749375</v>
      </c>
      <c r="J35" s="314">
        <v>8334.6749374999999</v>
      </c>
      <c r="N35" s="49"/>
    </row>
    <row r="36" spans="1:15">
      <c r="A36" s="272" t="s">
        <v>2039</v>
      </c>
      <c r="B36" s="7"/>
      <c r="C36" s="8"/>
      <c r="D36" s="44"/>
      <c r="E36" s="44"/>
      <c r="F36" s="50" t="s">
        <v>2215</v>
      </c>
      <c r="G36" s="50" t="s">
        <v>2216</v>
      </c>
      <c r="H36" s="44">
        <v>8358.119999999999</v>
      </c>
      <c r="I36" s="223"/>
      <c r="J36" s="232"/>
      <c r="M36" s="206"/>
      <c r="N36" s="49"/>
      <c r="O36" s="65"/>
    </row>
    <row r="37" spans="1:15">
      <c r="A37" s="288" t="s">
        <v>2039</v>
      </c>
      <c r="B37" s="289"/>
      <c r="C37" s="290"/>
      <c r="D37" s="140"/>
      <c r="E37" s="140"/>
      <c r="F37" s="291" t="s">
        <v>2037</v>
      </c>
      <c r="G37" s="122" t="s">
        <v>2242</v>
      </c>
      <c r="H37" s="262"/>
      <c r="I37" s="274"/>
      <c r="J37" s="315"/>
      <c r="M37" s="30"/>
      <c r="N37" s="49"/>
    </row>
    <row r="38" spans="1:15">
      <c r="A38" s="12" t="s">
        <v>176</v>
      </c>
      <c r="B38" s="7" t="s">
        <v>530</v>
      </c>
      <c r="C38" s="8" t="s">
        <v>17</v>
      </c>
      <c r="D38" s="44">
        <v>116638</v>
      </c>
      <c r="E38" s="44"/>
      <c r="F38" s="80" t="s">
        <v>2217</v>
      </c>
      <c r="G38" s="45" t="s">
        <v>2187</v>
      </c>
      <c r="H38" s="44">
        <v>5375.7860000000001</v>
      </c>
      <c r="I38" s="230">
        <v>168230.726</v>
      </c>
      <c r="J38" s="314">
        <v>51592.725999999995</v>
      </c>
      <c r="M38" s="30"/>
      <c r="N38" s="49"/>
    </row>
    <row r="39" spans="1:15">
      <c r="A39" s="12"/>
      <c r="B39" s="7"/>
      <c r="C39" s="8"/>
      <c r="D39" s="44"/>
      <c r="E39" s="44"/>
      <c r="F39" s="80" t="s">
        <v>2218</v>
      </c>
      <c r="G39" s="45" t="s">
        <v>2187</v>
      </c>
      <c r="H39" s="44">
        <v>162854.94</v>
      </c>
      <c r="I39" s="230"/>
      <c r="J39" s="232"/>
      <c r="M39" s="30"/>
      <c r="N39" s="49"/>
    </row>
    <row r="40" spans="1:15" s="334" customFormat="1">
      <c r="A40" s="325"/>
      <c r="B40" s="326"/>
      <c r="C40" s="327"/>
      <c r="D40" s="328"/>
      <c r="E40" s="328"/>
      <c r="F40" s="329"/>
      <c r="G40" s="349" t="s">
        <v>2698</v>
      </c>
      <c r="H40" s="328"/>
      <c r="I40" s="535">
        <f>ROUND(SUM(J28:J39),2)</f>
        <v>59927.4</v>
      </c>
      <c r="J40" s="346">
        <f>ROUND(I40*38.71,2)</f>
        <v>2319789.65</v>
      </c>
      <c r="K40" s="333"/>
      <c r="L40" s="333"/>
      <c r="N40" s="165"/>
    </row>
    <row r="41" spans="1:15" s="334" customFormat="1">
      <c r="A41" s="325"/>
      <c r="B41" s="558" t="s">
        <v>2748</v>
      </c>
      <c r="C41" s="327"/>
      <c r="D41" s="557">
        <f>SUM(D8:D39)</f>
        <v>423540.59</v>
      </c>
      <c r="E41" s="328"/>
      <c r="F41" s="329"/>
      <c r="G41" s="349" t="s">
        <v>2708</v>
      </c>
      <c r="H41" s="328"/>
      <c r="I41" s="346">
        <f>I40+I27</f>
        <v>182676.01</v>
      </c>
      <c r="J41" s="346">
        <f>J40+J27</f>
        <v>6787839.0500000007</v>
      </c>
      <c r="K41" s="333"/>
      <c r="L41" s="333"/>
      <c r="N41" s="165"/>
    </row>
    <row r="42" spans="1:15" ht="33">
      <c r="A42" s="303" t="s">
        <v>84</v>
      </c>
      <c r="B42" s="304" t="s">
        <v>2228</v>
      </c>
      <c r="C42" s="305" t="s">
        <v>13</v>
      </c>
      <c r="D42" s="306">
        <v>223.3</v>
      </c>
      <c r="E42" s="306"/>
      <c r="F42" s="322" t="s">
        <v>2227</v>
      </c>
      <c r="G42" s="307"/>
      <c r="H42" s="306"/>
      <c r="I42" s="324">
        <v>0</v>
      </c>
      <c r="J42" s="122" t="s">
        <v>2243</v>
      </c>
      <c r="M42" s="30"/>
      <c r="N42" s="49"/>
    </row>
    <row r="43" spans="1:15" s="334" customFormat="1">
      <c r="A43" s="325"/>
      <c r="B43" s="326"/>
      <c r="C43" s="327"/>
      <c r="D43" s="328"/>
      <c r="E43" s="328"/>
      <c r="F43" s="329"/>
      <c r="G43" s="330"/>
      <c r="H43" s="328"/>
      <c r="I43" s="332"/>
      <c r="J43" s="331"/>
      <c r="K43" s="333"/>
      <c r="L43" s="333"/>
      <c r="N43" s="165"/>
    </row>
    <row r="44" spans="1:15" ht="49.5">
      <c r="A44" s="12" t="s">
        <v>85</v>
      </c>
      <c r="B44" s="7" t="s">
        <v>2229</v>
      </c>
      <c r="C44" s="8" t="s">
        <v>13</v>
      </c>
      <c r="D44" s="44">
        <v>450.04</v>
      </c>
      <c r="E44" s="44"/>
      <c r="F44" s="45" t="s">
        <v>2201</v>
      </c>
      <c r="G44" s="45" t="s">
        <v>2234</v>
      </c>
      <c r="H44" s="44">
        <v>245.15600000000003</v>
      </c>
      <c r="I44" s="226">
        <v>562.97400000000005</v>
      </c>
      <c r="J44" s="314">
        <v>112.93400000000003</v>
      </c>
      <c r="N44" s="49"/>
    </row>
    <row r="45" spans="1:15" ht="49.5">
      <c r="A45" s="12"/>
      <c r="B45" s="7"/>
      <c r="C45" s="8"/>
      <c r="D45" s="44"/>
      <c r="E45" s="44"/>
      <c r="F45" s="45" t="s">
        <v>2235</v>
      </c>
      <c r="G45" s="56" t="s">
        <v>2236</v>
      </c>
      <c r="H45" s="55">
        <v>53.908000000000001</v>
      </c>
      <c r="I45" s="227"/>
      <c r="J45" s="232"/>
      <c r="N45" s="49"/>
    </row>
    <row r="46" spans="1:15" ht="33">
      <c r="A46" s="12"/>
      <c r="B46" s="7"/>
      <c r="C46" s="8"/>
      <c r="D46" s="44"/>
      <c r="E46" s="44"/>
      <c r="F46" s="45" t="s">
        <v>2207</v>
      </c>
      <c r="G46" s="45" t="s">
        <v>2237</v>
      </c>
      <c r="H46" s="44">
        <v>185.25000000000006</v>
      </c>
      <c r="I46" s="227"/>
      <c r="J46" s="232"/>
      <c r="N46" s="49"/>
    </row>
    <row r="47" spans="1:15">
      <c r="A47" s="12"/>
      <c r="B47" s="7"/>
      <c r="C47" s="8"/>
      <c r="D47" s="44"/>
      <c r="E47" s="44"/>
      <c r="F47" s="80" t="s">
        <v>2238</v>
      </c>
      <c r="G47" s="80" t="s">
        <v>2239</v>
      </c>
      <c r="H47" s="79">
        <v>78.66</v>
      </c>
      <c r="I47" s="227"/>
      <c r="J47" s="232"/>
      <c r="N47" s="49"/>
    </row>
    <row r="48" spans="1:15">
      <c r="A48" s="12" t="s">
        <v>191</v>
      </c>
      <c r="B48" s="7" t="s">
        <v>534</v>
      </c>
      <c r="C48" s="8" t="s">
        <v>13</v>
      </c>
      <c r="D48" s="44">
        <v>1203</v>
      </c>
      <c r="E48" s="44"/>
      <c r="F48" s="45" t="s">
        <v>1382</v>
      </c>
      <c r="G48" s="45" t="s">
        <v>1391</v>
      </c>
      <c r="H48" s="44">
        <f>(1.5*2*246.3+1.5*0.75*12)</f>
        <v>752.40000000000009</v>
      </c>
      <c r="I48" s="226">
        <f>SUM(H48:H58)</f>
        <v>6224.5962000000009</v>
      </c>
      <c r="J48" s="314">
        <f>I48-D48</f>
        <v>5021.5962000000009</v>
      </c>
      <c r="N48" s="49"/>
    </row>
    <row r="49" spans="1:14" ht="49.5">
      <c r="A49" s="12"/>
      <c r="B49" s="7"/>
      <c r="C49" s="8"/>
      <c r="D49" s="44"/>
      <c r="E49" s="44"/>
      <c r="F49" s="45" t="s">
        <v>1398</v>
      </c>
      <c r="G49" s="45" t="s">
        <v>1401</v>
      </c>
      <c r="H49" s="44">
        <f>(3.63*41.1*1+(1.1+0.5)/2*3.6*3)+(2.1*16.5*1)+(3.95*11.2*1+(1.1+0.5)/2*3.95*2)</f>
        <v>243.04300000000003</v>
      </c>
      <c r="I49" s="228"/>
      <c r="J49" s="232"/>
      <c r="N49" s="49"/>
    </row>
    <row r="50" spans="1:14" s="334" customFormat="1" ht="33">
      <c r="A50" s="12"/>
      <c r="B50" s="7"/>
      <c r="C50" s="8"/>
      <c r="D50" s="44"/>
      <c r="E50" s="44"/>
      <c r="F50" s="45" t="s">
        <v>1399</v>
      </c>
      <c r="G50" s="45" t="s">
        <v>1393</v>
      </c>
      <c r="H50" s="44">
        <f>((4.79+3.4)/2*17*2+(0.3+0.5)/2*(4.79+3.4)/2*2)</f>
        <v>142.506</v>
      </c>
      <c r="I50" s="223"/>
      <c r="J50" s="232"/>
      <c r="K50" s="333"/>
      <c r="L50" s="333"/>
      <c r="M50" s="340"/>
      <c r="N50" s="165"/>
    </row>
    <row r="51" spans="1:14">
      <c r="A51" s="12"/>
      <c r="B51" s="7"/>
      <c r="C51" s="8"/>
      <c r="D51" s="44"/>
      <c r="E51" s="44"/>
      <c r="F51" s="45" t="s">
        <v>2135</v>
      </c>
      <c r="G51" s="45" t="s">
        <v>1392</v>
      </c>
      <c r="H51" s="44">
        <f>(15.8*3.45-7.05*2.6)*2</f>
        <v>72.360000000000014</v>
      </c>
      <c r="I51" s="223"/>
      <c r="J51" s="232"/>
      <c r="M51" s="30"/>
      <c r="N51" s="49"/>
    </row>
    <row r="52" spans="1:14">
      <c r="A52" s="12"/>
      <c r="B52" s="7"/>
      <c r="C52" s="8"/>
      <c r="D52" s="44"/>
      <c r="E52" s="44"/>
      <c r="F52" s="45" t="s">
        <v>1394</v>
      </c>
      <c r="G52" s="45" t="s">
        <v>1396</v>
      </c>
      <c r="H52" s="44">
        <f>(9.8*3.3*2)</f>
        <v>64.680000000000007</v>
      </c>
      <c r="I52" s="223"/>
      <c r="J52" s="232"/>
      <c r="M52" s="30"/>
      <c r="N52" s="49"/>
    </row>
    <row r="53" spans="1:14">
      <c r="A53" s="272" t="s">
        <v>1962</v>
      </c>
      <c r="B53" s="210"/>
      <c r="C53" s="211"/>
      <c r="D53" s="212"/>
      <c r="E53" s="212"/>
      <c r="F53" s="214" t="s">
        <v>2036</v>
      </c>
      <c r="G53" s="263"/>
      <c r="H53" s="262"/>
      <c r="I53" s="274"/>
      <c r="J53" s="315"/>
      <c r="M53" s="30"/>
      <c r="N53" s="49"/>
    </row>
    <row r="54" spans="1:14">
      <c r="A54" s="272" t="s">
        <v>1962</v>
      </c>
      <c r="B54" s="260"/>
      <c r="C54" s="261"/>
      <c r="D54" s="262"/>
      <c r="E54" s="262"/>
      <c r="F54" s="268" t="s">
        <v>2038</v>
      </c>
      <c r="G54" s="45"/>
      <c r="H54" s="44"/>
      <c r="I54" s="223"/>
      <c r="J54" s="232"/>
      <c r="M54" s="30"/>
      <c r="N54" s="49"/>
    </row>
    <row r="55" spans="1:14">
      <c r="A55" s="12" t="s">
        <v>102</v>
      </c>
      <c r="B55" s="7" t="s">
        <v>534</v>
      </c>
      <c r="C55" s="8" t="s">
        <v>13</v>
      </c>
      <c r="D55" s="44">
        <v>3740</v>
      </c>
      <c r="E55" s="44">
        <v>4240</v>
      </c>
      <c r="F55" s="45" t="s">
        <v>1475</v>
      </c>
      <c r="G55" s="47" t="s">
        <v>1480</v>
      </c>
      <c r="H55" s="44">
        <f>(1.3*4+2.3*2+0.495*8)*280</f>
        <v>3852.8000000000006</v>
      </c>
      <c r="I55" s="230">
        <f>SUM(H55:H57)</f>
        <v>4949.6072000000013</v>
      </c>
      <c r="J55" s="314">
        <f>I55-E55</f>
        <v>709.60720000000128</v>
      </c>
      <c r="M55" s="30"/>
      <c r="N55" s="49"/>
    </row>
    <row r="56" spans="1:14" s="334" customFormat="1">
      <c r="A56" s="12"/>
      <c r="B56" s="7"/>
      <c r="C56" s="8"/>
      <c r="D56" s="44"/>
      <c r="E56" s="44"/>
      <c r="F56" s="45" t="s">
        <v>1476</v>
      </c>
      <c r="G56" s="47" t="s">
        <v>1481</v>
      </c>
      <c r="H56" s="44">
        <f>1.2*3*300</f>
        <v>1080</v>
      </c>
      <c r="I56" s="230"/>
      <c r="J56" s="232"/>
      <c r="K56" s="333"/>
      <c r="L56" s="333"/>
      <c r="N56" s="165"/>
    </row>
    <row r="57" spans="1:14" ht="33">
      <c r="A57" s="12"/>
      <c r="B57" s="7"/>
      <c r="C57" s="8"/>
      <c r="D57" s="44"/>
      <c r="E57" s="44"/>
      <c r="F57" s="45" t="s">
        <v>2129</v>
      </c>
      <c r="G57" s="47" t="s">
        <v>2131</v>
      </c>
      <c r="H57" s="44">
        <f>((1.41-0.2)+(2.59-0.2)+(2.57-0.2)+(1.88-0.2))*2+(0.6*3.14*0.2*4)</f>
        <v>16.807199999999998</v>
      </c>
      <c r="I57" s="230"/>
      <c r="J57" s="232"/>
      <c r="M57" s="30"/>
      <c r="N57" s="49"/>
    </row>
    <row r="58" spans="1:14" s="334" customFormat="1">
      <c r="A58" s="325"/>
      <c r="B58" s="326"/>
      <c r="C58" s="327"/>
      <c r="D58" s="328"/>
      <c r="E58" s="328"/>
      <c r="F58" s="329"/>
      <c r="G58" s="350" t="s">
        <v>2699</v>
      </c>
      <c r="H58" s="341"/>
      <c r="I58" s="536">
        <f>ROUND(SUM(J44:J57),2)</f>
        <v>5844.14</v>
      </c>
      <c r="J58" s="346">
        <f>ROUND(I58*982.93,2)</f>
        <v>5744380.5300000003</v>
      </c>
      <c r="K58" s="333"/>
      <c r="L58" s="333"/>
      <c r="N58" s="165"/>
    </row>
    <row r="59" spans="1:14" ht="33">
      <c r="A59" s="12" t="s">
        <v>180</v>
      </c>
      <c r="B59" s="7" t="s">
        <v>626</v>
      </c>
      <c r="C59" s="8" t="s">
        <v>13</v>
      </c>
      <c r="D59" s="44">
        <v>38</v>
      </c>
      <c r="E59" s="44"/>
      <c r="F59" s="45" t="s">
        <v>1478</v>
      </c>
      <c r="G59" s="45" t="s">
        <v>1483</v>
      </c>
      <c r="H59" s="44">
        <f>(4.1*2.7+2.8*2.7)*2-(1.2*1.2*2)+4.1*2.8+1.75*2</f>
        <v>49.359999999999992</v>
      </c>
      <c r="I59" s="230">
        <f>H59</f>
        <v>49.359999999999992</v>
      </c>
      <c r="J59" s="314">
        <f>I59-D59</f>
        <v>11.359999999999992</v>
      </c>
      <c r="M59" s="30"/>
      <c r="N59" s="49"/>
    </row>
    <row r="60" spans="1:14">
      <c r="A60" s="12" t="s">
        <v>163</v>
      </c>
      <c r="B60" s="7" t="s">
        <v>626</v>
      </c>
      <c r="C60" s="8" t="s">
        <v>13</v>
      </c>
      <c r="D60" s="44">
        <v>867</v>
      </c>
      <c r="E60" s="44"/>
      <c r="F60" s="45" t="s">
        <v>2158</v>
      </c>
      <c r="G60" s="45" t="s">
        <v>2200</v>
      </c>
      <c r="H60" s="44">
        <v>819.75</v>
      </c>
      <c r="I60" s="224">
        <v>888.10199999999998</v>
      </c>
      <c r="J60" s="314">
        <v>21.101999999999975</v>
      </c>
      <c r="M60" s="30"/>
      <c r="N60" s="49"/>
    </row>
    <row r="61" spans="1:14">
      <c r="A61" s="259"/>
      <c r="B61" s="260"/>
      <c r="C61" s="261"/>
      <c r="D61" s="262"/>
      <c r="E61" s="262"/>
      <c r="F61" s="263" t="s">
        <v>2160</v>
      </c>
      <c r="G61" s="45" t="s">
        <v>2200</v>
      </c>
      <c r="H61" s="262">
        <v>68.352000000000018</v>
      </c>
      <c r="I61" s="274"/>
      <c r="J61" s="315"/>
      <c r="M61" s="30"/>
      <c r="N61" s="49"/>
    </row>
    <row r="62" spans="1:14" s="334" customFormat="1">
      <c r="A62" s="325"/>
      <c r="B62" s="326"/>
      <c r="C62" s="327"/>
      <c r="D62" s="328"/>
      <c r="E62" s="328"/>
      <c r="F62" s="330"/>
      <c r="G62" s="350" t="s">
        <v>2700</v>
      </c>
      <c r="H62" s="341"/>
      <c r="I62" s="536">
        <f>ROUND(SUM(J59:J60),2)</f>
        <v>32.46</v>
      </c>
      <c r="J62" s="346">
        <f>ROUND(I62*698.28,2)</f>
        <v>22666.17</v>
      </c>
      <c r="K62" s="333"/>
      <c r="L62" s="333"/>
      <c r="N62" s="165"/>
    </row>
    <row r="63" spans="1:14" ht="33">
      <c r="A63" s="12" t="s">
        <v>86</v>
      </c>
      <c r="B63" s="7" t="s">
        <v>2230</v>
      </c>
      <c r="C63" s="8" t="s">
        <v>13</v>
      </c>
      <c r="D63" s="44">
        <v>28.27</v>
      </c>
      <c r="E63" s="44"/>
      <c r="F63" s="45" t="s">
        <v>1349</v>
      </c>
      <c r="G63" s="45" t="s">
        <v>1353</v>
      </c>
      <c r="H63" s="44">
        <v>27.01</v>
      </c>
      <c r="I63" s="226">
        <v>41.875</v>
      </c>
      <c r="J63" s="314">
        <f>I63-D63</f>
        <v>13.605</v>
      </c>
      <c r="N63" s="49"/>
    </row>
    <row r="64" spans="1:14">
      <c r="A64" s="12"/>
      <c r="B64" s="7"/>
      <c r="C64" s="8"/>
      <c r="D64" s="44"/>
      <c r="E64" s="44"/>
      <c r="F64" s="45" t="s">
        <v>1767</v>
      </c>
      <c r="G64" s="45" t="s">
        <v>1768</v>
      </c>
      <c r="H64" s="44">
        <v>14.864999999999998</v>
      </c>
      <c r="I64" s="223"/>
      <c r="J64" s="232"/>
      <c r="N64" s="49"/>
    </row>
    <row r="65" spans="1:14" ht="66">
      <c r="A65" s="12" t="s">
        <v>190</v>
      </c>
      <c r="B65" s="7" t="s">
        <v>536</v>
      </c>
      <c r="C65" s="8" t="s">
        <v>13</v>
      </c>
      <c r="D65" s="44">
        <v>393</v>
      </c>
      <c r="E65" s="44"/>
      <c r="F65" s="45" t="s">
        <v>1397</v>
      </c>
      <c r="G65" s="45" t="s">
        <v>1400</v>
      </c>
      <c r="H65" s="55">
        <f>((0.6*41.1*2)+(0.6*1.7*3))+(1.7*16.5+0.6*16.5+0.6*2.2*2)+(3.63*41.1*1+(2.1*16.5*1))+(3.95*11.2*1+(0.6*11.2*2)+(0.6*1.7*1))+(41.1*2+1.7*4+11.2*2)*0.1</f>
        <v>346.65299999999996</v>
      </c>
      <c r="I65" s="226">
        <f>SUM(H65:H72)</f>
        <v>2197.7235999999998</v>
      </c>
      <c r="J65" s="314">
        <f>I65-D65</f>
        <v>1804.7235999999998</v>
      </c>
      <c r="N65" s="49"/>
    </row>
    <row r="66" spans="1:14">
      <c r="A66" s="12"/>
      <c r="B66" s="7"/>
      <c r="C66" s="8"/>
      <c r="D66" s="44"/>
      <c r="E66" s="44"/>
      <c r="F66" s="45" t="s">
        <v>1389</v>
      </c>
      <c r="G66" s="45" t="s">
        <v>1395</v>
      </c>
      <c r="H66" s="44">
        <f>(0.45*17)*2+(2.5*0.45*2)</f>
        <v>17.55</v>
      </c>
      <c r="I66" s="223"/>
      <c r="J66" s="232"/>
      <c r="N66" s="49"/>
    </row>
    <row r="67" spans="1:14">
      <c r="A67" s="272" t="s">
        <v>1962</v>
      </c>
      <c r="B67" s="7"/>
      <c r="C67" s="8"/>
      <c r="D67" s="44"/>
      <c r="E67" s="44"/>
      <c r="F67" s="50" t="s">
        <v>1402</v>
      </c>
      <c r="G67" s="50" t="s">
        <v>1404</v>
      </c>
      <c r="H67" s="54">
        <f>(2.85+0.5)*7.6*2+(2.85+0.5)*6.35*2</f>
        <v>93.465000000000003</v>
      </c>
      <c r="I67" s="223"/>
      <c r="J67" s="232"/>
      <c r="N67" s="49"/>
    </row>
    <row r="68" spans="1:14">
      <c r="A68" s="272" t="s">
        <v>1962</v>
      </c>
      <c r="B68" s="7"/>
      <c r="C68" s="8"/>
      <c r="D68" s="44"/>
      <c r="E68" s="44"/>
      <c r="F68" s="50" t="s">
        <v>1964</v>
      </c>
      <c r="G68" s="50" t="s">
        <v>1441</v>
      </c>
      <c r="H68" s="54">
        <f>0.6*(23.8+19.8)*2+0.6*0.4*4</f>
        <v>53.28</v>
      </c>
      <c r="I68" s="223"/>
      <c r="J68" s="232"/>
      <c r="N68" s="49"/>
    </row>
    <row r="69" spans="1:14">
      <c r="A69" s="272" t="s">
        <v>1962</v>
      </c>
      <c r="B69" s="210"/>
      <c r="C69" s="211"/>
      <c r="D69" s="212"/>
      <c r="E69" s="212"/>
      <c r="F69" s="50" t="s">
        <v>1829</v>
      </c>
      <c r="G69" s="50" t="s">
        <v>1839</v>
      </c>
      <c r="H69" s="271">
        <v>115.54</v>
      </c>
      <c r="I69" s="223"/>
      <c r="J69" s="232"/>
      <c r="N69" s="49"/>
    </row>
    <row r="70" spans="1:14">
      <c r="A70" s="272" t="s">
        <v>1962</v>
      </c>
      <c r="B70" s="210"/>
      <c r="C70" s="211"/>
      <c r="D70" s="212"/>
      <c r="E70" s="212"/>
      <c r="F70" s="214" t="s">
        <v>1840</v>
      </c>
      <c r="G70" s="214" t="s">
        <v>1842</v>
      </c>
      <c r="H70" s="271">
        <f>0.25*2*250</f>
        <v>125</v>
      </c>
      <c r="I70" s="223"/>
      <c r="J70" s="232"/>
      <c r="N70" s="49"/>
    </row>
    <row r="71" spans="1:14" ht="33.75" customHeight="1">
      <c r="A71" s="272" t="s">
        <v>1962</v>
      </c>
      <c r="B71" s="260"/>
      <c r="C71" s="261"/>
      <c r="D71" s="262"/>
      <c r="E71" s="262"/>
      <c r="F71" s="268" t="s">
        <v>1966</v>
      </c>
      <c r="G71" s="268" t="s">
        <v>1965</v>
      </c>
      <c r="H71" s="270">
        <f>(0.2+0.55+0.4+0.225+0.212+0.375)*18.8</f>
        <v>36.885600000000004</v>
      </c>
      <c r="I71" s="223"/>
      <c r="J71" s="232"/>
      <c r="N71" s="49"/>
    </row>
    <row r="72" spans="1:14" ht="35.25" customHeight="1">
      <c r="A72" s="343" t="s">
        <v>179</v>
      </c>
      <c r="B72" s="285" t="s">
        <v>536</v>
      </c>
      <c r="C72" s="286" t="s">
        <v>13</v>
      </c>
      <c r="D72" s="139">
        <v>783</v>
      </c>
      <c r="E72" s="139"/>
      <c r="F72" s="138" t="s">
        <v>2231</v>
      </c>
      <c r="G72" s="138" t="s">
        <v>2232</v>
      </c>
      <c r="H72" s="139">
        <v>1409.35</v>
      </c>
      <c r="I72" s="344">
        <v>1409.35</v>
      </c>
      <c r="J72" s="345">
        <v>626.35</v>
      </c>
      <c r="N72" s="49"/>
    </row>
    <row r="73" spans="1:14" s="334" customFormat="1">
      <c r="A73" s="325"/>
      <c r="B73" s="326"/>
      <c r="C73" s="327"/>
      <c r="D73" s="328"/>
      <c r="E73" s="328"/>
      <c r="F73" s="330"/>
      <c r="G73" s="350" t="s">
        <v>2701</v>
      </c>
      <c r="H73" s="341"/>
      <c r="I73" s="536">
        <f>ROUND(SUM(J63:J72),2)</f>
        <v>2444.6799999999998</v>
      </c>
      <c r="J73" s="346">
        <f>ROUND(I73*626.35,2)</f>
        <v>1531225.32</v>
      </c>
      <c r="K73" s="333"/>
      <c r="L73" s="333"/>
      <c r="M73" s="340"/>
      <c r="N73" s="165"/>
    </row>
    <row r="74" spans="1:14">
      <c r="A74" s="303" t="s">
        <v>52</v>
      </c>
      <c r="B74" s="304" t="s">
        <v>193</v>
      </c>
      <c r="C74" s="305" t="s">
        <v>13</v>
      </c>
      <c r="D74" s="306">
        <v>1926.87</v>
      </c>
      <c r="E74" s="306"/>
      <c r="F74" s="322" t="s">
        <v>2219</v>
      </c>
      <c r="G74" s="307" t="s">
        <v>2220</v>
      </c>
      <c r="H74" s="306">
        <v>218.24000000000004</v>
      </c>
      <c r="I74" s="324">
        <v>218.24000000000004</v>
      </c>
      <c r="J74" s="122"/>
      <c r="N74" s="49"/>
    </row>
    <row r="75" spans="1:14">
      <c r="A75" s="303"/>
      <c r="B75" s="304"/>
      <c r="C75" s="305"/>
      <c r="D75" s="306"/>
      <c r="E75" s="306"/>
      <c r="F75" s="322"/>
      <c r="G75" s="307"/>
      <c r="H75" s="306"/>
      <c r="I75" s="324"/>
      <c r="J75" s="122"/>
      <c r="N75" s="49"/>
    </row>
    <row r="76" spans="1:14">
      <c r="A76" s="303" t="s">
        <v>178</v>
      </c>
      <c r="B76" s="304" t="s">
        <v>193</v>
      </c>
      <c r="C76" s="305" t="s">
        <v>13</v>
      </c>
      <c r="D76" s="306">
        <v>300</v>
      </c>
      <c r="E76" s="306"/>
      <c r="F76" s="322" t="s">
        <v>2221</v>
      </c>
      <c r="G76" s="307" t="s">
        <v>2222</v>
      </c>
      <c r="H76" s="306">
        <v>53.64</v>
      </c>
      <c r="I76" s="324">
        <v>761.34</v>
      </c>
      <c r="J76" s="122">
        <v>461.34000000000003</v>
      </c>
      <c r="N76" s="49"/>
    </row>
    <row r="77" spans="1:14">
      <c r="A77" s="303"/>
      <c r="B77" s="304"/>
      <c r="C77" s="305"/>
      <c r="D77" s="306"/>
      <c r="E77" s="306"/>
      <c r="F77" s="322" t="s">
        <v>2223</v>
      </c>
      <c r="G77" s="307" t="s">
        <v>2224</v>
      </c>
      <c r="H77" s="306">
        <v>687.6</v>
      </c>
      <c r="I77" s="324"/>
      <c r="J77" s="122"/>
      <c r="N77" s="49"/>
    </row>
    <row r="78" spans="1:14" ht="33">
      <c r="A78" s="303"/>
      <c r="B78" s="304"/>
      <c r="C78" s="305"/>
      <c r="D78" s="306"/>
      <c r="E78" s="306"/>
      <c r="F78" s="322" t="s">
        <v>2225</v>
      </c>
      <c r="G78" s="307" t="s">
        <v>2226</v>
      </c>
      <c r="H78" s="306">
        <v>20.099999999999998</v>
      </c>
      <c r="I78" s="324"/>
      <c r="J78" s="122"/>
      <c r="N78" s="49"/>
    </row>
    <row r="79" spans="1:14">
      <c r="A79" s="12" t="s">
        <v>162</v>
      </c>
      <c r="B79" s="7" t="s">
        <v>193</v>
      </c>
      <c r="C79" s="8" t="s">
        <v>13</v>
      </c>
      <c r="D79" s="44">
        <v>1257</v>
      </c>
      <c r="E79" s="44"/>
      <c r="F79" s="45" t="s">
        <v>2162</v>
      </c>
      <c r="G79" s="45" t="s">
        <v>2200</v>
      </c>
      <c r="H79" s="44">
        <v>1046.3800000000001</v>
      </c>
      <c r="I79" s="224">
        <v>1205.9000000000001</v>
      </c>
      <c r="J79" s="314">
        <v>-51.099999999999909</v>
      </c>
      <c r="N79" s="49"/>
    </row>
    <row r="80" spans="1:14">
      <c r="A80" s="259"/>
      <c r="B80" s="260"/>
      <c r="C80" s="261"/>
      <c r="D80" s="262"/>
      <c r="E80" s="262"/>
      <c r="F80" s="263" t="s">
        <v>2164</v>
      </c>
      <c r="G80" s="45" t="s">
        <v>2200</v>
      </c>
      <c r="H80" s="262">
        <v>159.5199999999999</v>
      </c>
      <c r="I80" s="274"/>
      <c r="J80" s="315"/>
      <c r="N80" s="49"/>
    </row>
    <row r="81" spans="1:14">
      <c r="A81" s="325"/>
      <c r="B81" s="326"/>
      <c r="C81" s="327"/>
      <c r="D81" s="328"/>
      <c r="E81" s="328"/>
      <c r="F81" s="329"/>
      <c r="G81" s="351" t="s">
        <v>2702</v>
      </c>
      <c r="H81" s="352"/>
      <c r="I81" s="353">
        <f>ROUND(SUM(J74:J80),2)</f>
        <v>410.24</v>
      </c>
      <c r="J81" s="346">
        <f>ROUND(I81*461.34,2)</f>
        <v>189260.12</v>
      </c>
      <c r="N81" s="49"/>
    </row>
    <row r="82" spans="1:14">
      <c r="A82" s="325"/>
      <c r="B82" s="326"/>
      <c r="C82" s="327"/>
      <c r="D82" s="328"/>
      <c r="E82" s="328"/>
      <c r="F82" s="329"/>
      <c r="G82" s="541" t="s">
        <v>2709</v>
      </c>
      <c r="H82" s="542"/>
      <c r="I82" s="543"/>
      <c r="J82" s="346">
        <f>J81+J73+J62+J58</f>
        <v>7487532.1400000006</v>
      </c>
      <c r="N82" s="49"/>
    </row>
    <row r="83" spans="1:14" ht="28.5">
      <c r="A83" s="12" t="s">
        <v>50</v>
      </c>
      <c r="B83" s="10" t="s">
        <v>1383</v>
      </c>
      <c r="C83" s="8" t="s">
        <v>6</v>
      </c>
      <c r="D83" s="44">
        <v>107.91</v>
      </c>
      <c r="E83" s="44"/>
      <c r="F83" s="80" t="s">
        <v>1963</v>
      </c>
      <c r="G83" s="45" t="s">
        <v>1773</v>
      </c>
      <c r="H83" s="44">
        <f>1.35*35.2*0.1</f>
        <v>4.7520000000000016</v>
      </c>
      <c r="I83" s="224">
        <f>H83</f>
        <v>4.7520000000000016</v>
      </c>
      <c r="J83" s="122" t="s">
        <v>2169</v>
      </c>
      <c r="N83" s="49"/>
    </row>
    <row r="84" spans="1:14" ht="28.5">
      <c r="A84" s="12" t="s">
        <v>79</v>
      </c>
      <c r="B84" s="10" t="s">
        <v>315</v>
      </c>
      <c r="C84" s="8" t="s">
        <v>6</v>
      </c>
      <c r="D84" s="44">
        <v>26.33</v>
      </c>
      <c r="E84" s="44"/>
      <c r="F84" s="45" t="s">
        <v>1325</v>
      </c>
      <c r="G84" s="45" t="s">
        <v>1332</v>
      </c>
      <c r="H84" s="44">
        <f>(15.2*1.9*0.1)+(14.55*1.9*0.1)</f>
        <v>5.6524999999999999</v>
      </c>
      <c r="I84" s="225"/>
      <c r="J84" s="122" t="s">
        <v>2169</v>
      </c>
      <c r="N84" s="49"/>
    </row>
    <row r="85" spans="1:14">
      <c r="A85" s="12"/>
      <c r="B85" s="10"/>
      <c r="C85" s="8"/>
      <c r="D85" s="44"/>
      <c r="E85" s="44"/>
      <c r="F85" s="45" t="s">
        <v>1326</v>
      </c>
      <c r="G85" s="45" t="s">
        <v>1333</v>
      </c>
      <c r="H85" s="44">
        <f>(3.08*4.87*0.1)+(3.7*1.7*0.1)</f>
        <v>2.1289600000000002</v>
      </c>
      <c r="I85" s="223"/>
      <c r="J85" s="232"/>
      <c r="N85" s="49"/>
    </row>
    <row r="86" spans="1:14" s="334" customFormat="1">
      <c r="A86" s="12"/>
      <c r="B86" s="10"/>
      <c r="C86" s="8"/>
      <c r="D86" s="44"/>
      <c r="E86" s="44"/>
      <c r="F86" s="45" t="s">
        <v>1388</v>
      </c>
      <c r="G86" s="45" t="s">
        <v>1385</v>
      </c>
      <c r="H86" s="44">
        <f>16.2*1.5*0.1</f>
        <v>2.4299999999999997</v>
      </c>
      <c r="I86" s="223"/>
      <c r="J86" s="232"/>
      <c r="K86" s="333"/>
      <c r="L86" s="333"/>
      <c r="M86" s="340"/>
      <c r="N86" s="165"/>
    </row>
    <row r="87" spans="1:14">
      <c r="A87" s="12"/>
      <c r="B87" s="10"/>
      <c r="C87" s="8"/>
      <c r="D87" s="44"/>
      <c r="E87" s="44"/>
      <c r="F87" s="50" t="s">
        <v>1327</v>
      </c>
      <c r="G87" s="45"/>
      <c r="H87" s="44"/>
      <c r="I87" s="223"/>
      <c r="J87" s="232"/>
      <c r="M87" s="206"/>
      <c r="N87" s="49"/>
    </row>
    <row r="88" spans="1:14" ht="28.5">
      <c r="A88" s="259" t="s">
        <v>93</v>
      </c>
      <c r="B88" s="264" t="s">
        <v>315</v>
      </c>
      <c r="C88" s="261" t="s">
        <v>6</v>
      </c>
      <c r="D88" s="262">
        <v>22</v>
      </c>
      <c r="E88" s="262"/>
      <c r="F88" s="265" t="s">
        <v>2244</v>
      </c>
      <c r="G88" s="263" t="s">
        <v>2245</v>
      </c>
      <c r="H88" s="262">
        <v>22.16375</v>
      </c>
      <c r="I88" s="354">
        <v>22.16375</v>
      </c>
      <c r="J88" s="122"/>
      <c r="M88" s="206"/>
      <c r="N88" s="49"/>
    </row>
    <row r="89" spans="1:14" ht="33">
      <c r="A89" s="12" t="s">
        <v>98</v>
      </c>
      <c r="B89" s="10" t="s">
        <v>1383</v>
      </c>
      <c r="C89" s="8" t="s">
        <v>6</v>
      </c>
      <c r="D89" s="44">
        <v>252</v>
      </c>
      <c r="E89" s="44"/>
      <c r="F89" s="45" t="s">
        <v>2173</v>
      </c>
      <c r="G89" s="45" t="s">
        <v>1472</v>
      </c>
      <c r="H89" s="44">
        <f>(2.1*0.1*300)+(5*3.7*0.1+1.8*2.1*0.1)+(7.35*0.1*60)</f>
        <v>109.328</v>
      </c>
      <c r="I89" s="224">
        <f>H89</f>
        <v>109.328</v>
      </c>
      <c r="J89" s="314">
        <f>I89-D89</f>
        <v>-142.672</v>
      </c>
      <c r="M89" s="206"/>
      <c r="N89" s="49"/>
    </row>
    <row r="90" spans="1:14" ht="28.5">
      <c r="A90" s="12" t="s">
        <v>166</v>
      </c>
      <c r="B90" s="10" t="s">
        <v>315</v>
      </c>
      <c r="C90" s="8" t="s">
        <v>6</v>
      </c>
      <c r="D90" s="44">
        <v>49</v>
      </c>
      <c r="E90" s="44"/>
      <c r="F90" s="45" t="s">
        <v>2139</v>
      </c>
      <c r="G90" s="45" t="s">
        <v>2156</v>
      </c>
      <c r="H90" s="44">
        <f>0.8*731.4*0.05+0.9*1.1*0.05*57</f>
        <v>32.077500000000001</v>
      </c>
      <c r="I90" s="224">
        <f>H90</f>
        <v>32.077500000000001</v>
      </c>
      <c r="J90" s="122" t="s">
        <v>2169</v>
      </c>
      <c r="M90" s="206"/>
      <c r="N90" s="49"/>
    </row>
    <row r="91" spans="1:14">
      <c r="A91" s="259"/>
      <c r="B91" s="264"/>
      <c r="C91" s="261"/>
      <c r="D91" s="262"/>
      <c r="E91" s="262"/>
      <c r="F91" s="265"/>
      <c r="G91" s="263"/>
      <c r="H91" s="262"/>
      <c r="I91" s="354"/>
      <c r="J91" s="122"/>
      <c r="M91" s="206"/>
      <c r="N91" s="49"/>
    </row>
    <row r="92" spans="1:14">
      <c r="A92" s="355"/>
      <c r="B92" s="356"/>
      <c r="C92" s="357"/>
      <c r="D92" s="358"/>
      <c r="E92" s="358"/>
      <c r="F92" s="359"/>
      <c r="G92" s="351" t="s">
        <v>2703</v>
      </c>
      <c r="H92" s="358"/>
      <c r="I92" s="353">
        <f>ROUND(SUM(J83:J91),2)</f>
        <v>-142.66999999999999</v>
      </c>
      <c r="J92" s="346">
        <f>ROUND(I92*3114.97,2)</f>
        <v>-444412.77</v>
      </c>
      <c r="M92" s="206"/>
      <c r="N92" s="49"/>
    </row>
    <row r="93" spans="1:14" ht="28.5">
      <c r="A93" s="12" t="s">
        <v>51</v>
      </c>
      <c r="B93" s="10" t="s">
        <v>24</v>
      </c>
      <c r="C93" s="8" t="s">
        <v>6</v>
      </c>
      <c r="D93" s="44">
        <v>564.01</v>
      </c>
      <c r="E93" s="44"/>
      <c r="F93" s="80" t="s">
        <v>1963</v>
      </c>
      <c r="G93" s="56" t="s">
        <v>1783</v>
      </c>
      <c r="H93" s="44">
        <f>(1.35+2.05)*35.2*0.3+0.8*0.35*35.2</f>
        <v>45.760000000000005</v>
      </c>
      <c r="I93" s="224">
        <f>SUM(H93:H94)</f>
        <v>45.760000000000005</v>
      </c>
      <c r="J93" s="232"/>
      <c r="M93" s="206"/>
      <c r="N93" s="49"/>
    </row>
    <row r="94" spans="1:14" ht="33">
      <c r="A94" s="259" t="s">
        <v>80</v>
      </c>
      <c r="B94" s="264" t="s">
        <v>24</v>
      </c>
      <c r="C94" s="261" t="s">
        <v>6</v>
      </c>
      <c r="D94" s="262">
        <v>36.86</v>
      </c>
      <c r="E94" s="262"/>
      <c r="F94" s="265" t="s">
        <v>2246</v>
      </c>
      <c r="G94" s="266"/>
      <c r="H94" s="262"/>
      <c r="I94" s="223"/>
      <c r="J94" s="232" t="s">
        <v>2169</v>
      </c>
      <c r="N94" s="49"/>
    </row>
    <row r="95" spans="1:14" ht="33">
      <c r="A95" s="12" t="s">
        <v>94</v>
      </c>
      <c r="B95" s="10" t="s">
        <v>24</v>
      </c>
      <c r="C95" s="8" t="s">
        <v>6</v>
      </c>
      <c r="D95" s="44">
        <v>302</v>
      </c>
      <c r="E95" s="44"/>
      <c r="F95" s="208" t="s">
        <v>1843</v>
      </c>
      <c r="G95" s="208" t="s">
        <v>1958</v>
      </c>
      <c r="H95" s="44">
        <f>58*8*(0.25*0.25*3.14)</f>
        <v>91.06</v>
      </c>
      <c r="I95" s="225">
        <f>H95+H96+H97+H98+H99</f>
        <v>150.04532142857144</v>
      </c>
      <c r="J95" s="314">
        <f>I95-D95</f>
        <v>-151.95467857142856</v>
      </c>
      <c r="N95" s="49"/>
    </row>
    <row r="96" spans="1:14">
      <c r="A96" s="12"/>
      <c r="B96" s="7"/>
      <c r="C96" s="8"/>
      <c r="D96" s="44"/>
      <c r="E96" s="44"/>
      <c r="F96" s="50" t="s">
        <v>1964</v>
      </c>
      <c r="G96" s="50" t="s">
        <v>1440</v>
      </c>
      <c r="H96" s="54">
        <f>0.6*0.4*(23.8+19.8)</f>
        <v>10.464</v>
      </c>
      <c r="I96" s="224"/>
      <c r="J96" s="232"/>
      <c r="N96" s="49"/>
    </row>
    <row r="97" spans="1:14" ht="66">
      <c r="A97" s="12"/>
      <c r="B97" s="7"/>
      <c r="C97" s="8"/>
      <c r="D97" s="44"/>
      <c r="E97" s="44"/>
      <c r="F97" s="50" t="s">
        <v>1837</v>
      </c>
      <c r="G97" s="50" t="s">
        <v>1838</v>
      </c>
      <c r="H97" s="54">
        <f>(0.25*0.15*250)+((0.08+0.46+0.44+0.42+0.39+0.3+0.24+0.18+0.13+0.13+0.12+0.1+0.05+0.02)/14*0.2*250)+((0.2*0.55)+(0.2*0.4)+(0.375*0.2)+(0.225+0.375)*0.15/2)*18.8</f>
        <v>26.13157142857143</v>
      </c>
      <c r="I97" s="224"/>
      <c r="J97" s="232"/>
      <c r="N97" s="49"/>
    </row>
    <row r="98" spans="1:14" ht="31.5" customHeight="1">
      <c r="A98" s="272" t="s">
        <v>1962</v>
      </c>
      <c r="B98" s="210"/>
      <c r="C98" s="211"/>
      <c r="D98" s="212"/>
      <c r="E98" s="212"/>
      <c r="F98" s="214" t="s">
        <v>2036</v>
      </c>
      <c r="G98" s="214" t="s">
        <v>1406</v>
      </c>
      <c r="H98" s="271">
        <f>(2.85*(7.6+6.35)*0.3)+(0.5*(7.6+6.35)*1.5)</f>
        <v>22.389749999999999</v>
      </c>
      <c r="I98" s="224"/>
      <c r="J98" s="232"/>
      <c r="N98" s="49"/>
    </row>
    <row r="99" spans="1:14" ht="27" customHeight="1">
      <c r="A99" s="272" t="s">
        <v>1962</v>
      </c>
      <c r="B99" s="260"/>
      <c r="C99" s="261"/>
      <c r="D99" s="262"/>
      <c r="E99" s="262"/>
      <c r="F99" s="268" t="s">
        <v>2247</v>
      </c>
      <c r="G99" s="282" t="s">
        <v>1686</v>
      </c>
      <c r="H99" s="262"/>
      <c r="I99" s="283"/>
      <c r="J99" s="315"/>
      <c r="N99" s="49"/>
    </row>
    <row r="100" spans="1:14" ht="28.5">
      <c r="A100" s="12" t="s">
        <v>99</v>
      </c>
      <c r="B100" s="10" t="s">
        <v>24</v>
      </c>
      <c r="C100" s="8" t="s">
        <v>6</v>
      </c>
      <c r="D100" s="44">
        <v>2490</v>
      </c>
      <c r="E100" s="44"/>
      <c r="F100" s="80" t="s">
        <v>1693</v>
      </c>
      <c r="G100" s="80" t="s">
        <v>1474</v>
      </c>
      <c r="H100" s="44">
        <f>(1.8*0.3*2+1.2*0.3*2)*300</f>
        <v>540</v>
      </c>
      <c r="I100" s="229">
        <f>SUM(H100:H103)</f>
        <v>2673.7048824999997</v>
      </c>
      <c r="J100" s="314">
        <f>I100-D100</f>
        <v>183.70488249999971</v>
      </c>
      <c r="N100" s="49"/>
    </row>
    <row r="101" spans="1:14" ht="49.5">
      <c r="A101" s="12"/>
      <c r="B101" s="10"/>
      <c r="C101" s="8"/>
      <c r="D101" s="44"/>
      <c r="E101" s="44"/>
      <c r="F101" s="80" t="s">
        <v>1489</v>
      </c>
      <c r="G101" s="80" t="s">
        <v>1482</v>
      </c>
      <c r="H101" s="44">
        <f>(4.7*3.4*0.3*2)+(2.7*4.7*0.3*2)+(1.75*0.2*2.8+2.8*2.45*0.2)+(2.7*2.8*0.3*2)-(2.4*1.5+1.2*1.2*2)*0.3</f>
        <v>22.145999999999997</v>
      </c>
      <c r="I101" s="230"/>
      <c r="J101" s="232"/>
      <c r="N101" s="49"/>
    </row>
    <row r="102" spans="1:14">
      <c r="A102" s="12"/>
      <c r="B102" s="10"/>
      <c r="C102" s="8"/>
      <c r="D102" s="44"/>
      <c r="E102" s="44"/>
      <c r="F102" s="80" t="s">
        <v>1694</v>
      </c>
      <c r="G102" s="80" t="s">
        <v>1587</v>
      </c>
      <c r="H102" s="44">
        <f>(7.05*2.7-3*2*2+0.35*0.35*4)*280</f>
        <v>2107</v>
      </c>
      <c r="I102" s="230"/>
      <c r="J102" s="232"/>
      <c r="N102" s="49"/>
    </row>
    <row r="103" spans="1:14" ht="49.5">
      <c r="A103" s="12"/>
      <c r="B103" s="10"/>
      <c r="C103" s="8"/>
      <c r="D103" s="44"/>
      <c r="E103" s="44"/>
      <c r="F103" s="80" t="s">
        <v>2004</v>
      </c>
      <c r="G103" s="80" t="s">
        <v>2248</v>
      </c>
      <c r="H103" s="44">
        <f>(0.45*0.45-0.3*0.3)*3.14*(1.41+2.59+2.57+1.88)+(1.5*1.5-(0.3*0.3*3.14))*0.2*4</f>
        <v>4.5588825000000011</v>
      </c>
      <c r="I103" s="230"/>
      <c r="J103" s="232"/>
      <c r="N103" s="49"/>
    </row>
    <row r="104" spans="1:14" ht="28.5">
      <c r="A104" s="12" t="s">
        <v>165</v>
      </c>
      <c r="B104" s="10" t="s">
        <v>24</v>
      </c>
      <c r="C104" s="8" t="s">
        <v>6</v>
      </c>
      <c r="D104" s="44">
        <v>328</v>
      </c>
      <c r="E104" s="44"/>
      <c r="F104" s="45" t="s">
        <v>2199</v>
      </c>
      <c r="G104" s="45" t="s">
        <v>2200</v>
      </c>
      <c r="H104" s="44">
        <v>467.51</v>
      </c>
      <c r="I104" s="224">
        <f>H104+H105</f>
        <v>494.18</v>
      </c>
      <c r="J104" s="314">
        <f>I104-D104</f>
        <v>166.18</v>
      </c>
      <c r="N104" s="49"/>
    </row>
    <row r="105" spans="1:14" s="334" customFormat="1">
      <c r="A105" s="259"/>
      <c r="B105" s="264"/>
      <c r="C105" s="261"/>
      <c r="D105" s="262"/>
      <c r="E105" s="262"/>
      <c r="F105" s="263" t="s">
        <v>2153</v>
      </c>
      <c r="G105" s="45" t="s">
        <v>2200</v>
      </c>
      <c r="H105" s="262">
        <v>26.669999999999995</v>
      </c>
      <c r="I105" s="274"/>
      <c r="J105" s="315"/>
      <c r="K105" s="333"/>
      <c r="L105" s="333"/>
      <c r="M105" s="340"/>
      <c r="N105" s="165"/>
    </row>
    <row r="106" spans="1:14">
      <c r="A106" s="335"/>
      <c r="B106" s="336"/>
      <c r="C106" s="337"/>
      <c r="D106" s="338"/>
      <c r="E106" s="338"/>
      <c r="F106" s="361"/>
      <c r="G106" s="351" t="s">
        <v>2704</v>
      </c>
      <c r="H106" s="358"/>
      <c r="I106" s="353">
        <f>ROUND(SUM(J93:J105),2)</f>
        <v>197.93</v>
      </c>
      <c r="J106" s="346">
        <f>ROUND(I106*3320.96,2)</f>
        <v>657317.61</v>
      </c>
      <c r="N106" s="49"/>
    </row>
    <row r="107" spans="1:14" ht="45" customHeight="1">
      <c r="A107" s="12" t="s">
        <v>81</v>
      </c>
      <c r="B107" s="10" t="s">
        <v>528</v>
      </c>
      <c r="C107" s="8" t="s">
        <v>6</v>
      </c>
      <c r="D107" s="44">
        <v>654.83000000000004</v>
      </c>
      <c r="E107" s="44"/>
      <c r="F107" s="45" t="s">
        <v>1330</v>
      </c>
      <c r="G107" s="45" t="s">
        <v>1339</v>
      </c>
      <c r="H107" s="44">
        <f>((14.35+15.2)*1.15*1.5)+((14.35+15.2)*1.5*0.5)+((14.35+15.2)*(0.42*0.3+0.4*0.42/2))+(2.2*0.45*0.75*14)</f>
        <v>89.736749999999986</v>
      </c>
      <c r="I107" s="224">
        <f>SUM(H107:H112)</f>
        <v>262.77191500000004</v>
      </c>
      <c r="J107" s="122" t="s">
        <v>2169</v>
      </c>
      <c r="N107" s="49"/>
    </row>
    <row r="108" spans="1:14" ht="49.5">
      <c r="A108" s="12"/>
      <c r="B108" s="7"/>
      <c r="C108" s="8"/>
      <c r="D108" s="44"/>
      <c r="E108" s="44"/>
      <c r="F108" s="45" t="s">
        <v>1331</v>
      </c>
      <c r="G108" s="45" t="s">
        <v>1338</v>
      </c>
      <c r="H108" s="44">
        <f>((2.88*4.67*1.15)+(0.5*1*(1.88+1+1.8+2.67)))+((1.5*3.5*1.15)+(0.5*3.5*1)+(0.3*1*2)+(3.5*(0.42*0.3+0.4*0.42/2))+(2.1*0.45*0.75*4))</f>
        <v>31.099539999999998</v>
      </c>
      <c r="I108" s="223"/>
      <c r="J108" s="232"/>
      <c r="N108" s="49"/>
    </row>
    <row r="109" spans="1:14">
      <c r="A109" s="12"/>
      <c r="B109" s="7"/>
      <c r="C109" s="8"/>
      <c r="D109" s="44"/>
      <c r="E109" s="44"/>
      <c r="F109" s="45" t="s">
        <v>1388</v>
      </c>
      <c r="G109" s="45" t="s">
        <v>1386</v>
      </c>
      <c r="H109" s="44">
        <f>(15.8*0.3*3.45)+(1.2*0.4*15.8)</f>
        <v>23.937000000000001</v>
      </c>
      <c r="I109" s="223"/>
      <c r="J109" s="232"/>
      <c r="N109" s="49"/>
    </row>
    <row r="110" spans="1:14">
      <c r="A110" s="12"/>
      <c r="B110" s="7"/>
      <c r="C110" s="8"/>
      <c r="D110" s="44"/>
      <c r="E110" s="44"/>
      <c r="F110" s="45" t="s">
        <v>1334</v>
      </c>
      <c r="G110" s="45" t="s">
        <v>1337</v>
      </c>
      <c r="H110" s="44">
        <f>(((16.55+15.7)/2*13.3*0.25)-(12.6*0.6*0.05))</f>
        <v>53.237625000000001</v>
      </c>
      <c r="I110" s="223"/>
      <c r="J110" s="232"/>
      <c r="N110" s="49"/>
    </row>
    <row r="111" spans="1:14" ht="40.5" customHeight="1">
      <c r="A111" s="12"/>
      <c r="B111" s="7"/>
      <c r="C111" s="8"/>
      <c r="D111" s="44"/>
      <c r="E111" s="44"/>
      <c r="F111" s="80" t="s">
        <v>1335</v>
      </c>
      <c r="G111" s="80" t="s">
        <v>1810</v>
      </c>
      <c r="H111" s="44">
        <f>(16+15.75)*5*0.3</f>
        <v>47.625</v>
      </c>
      <c r="I111" s="223"/>
      <c r="J111" s="232"/>
      <c r="N111" s="49"/>
    </row>
    <row r="112" spans="1:14">
      <c r="A112" s="12"/>
      <c r="B112" s="7"/>
      <c r="C112" s="8"/>
      <c r="D112" s="44"/>
      <c r="E112" s="44"/>
      <c r="F112" s="80" t="s">
        <v>1336</v>
      </c>
      <c r="G112" s="80" t="s">
        <v>1811</v>
      </c>
      <c r="H112" s="44">
        <f>1.2*0.4*(16.87+18.83)</f>
        <v>17.135999999999999</v>
      </c>
      <c r="I112" s="223"/>
      <c r="J112" s="232"/>
      <c r="N112" s="49"/>
    </row>
    <row r="113" spans="1:14" ht="28.5">
      <c r="A113" s="12" t="s">
        <v>95</v>
      </c>
      <c r="B113" s="10" t="s">
        <v>528</v>
      </c>
      <c r="C113" s="8" t="s">
        <v>6</v>
      </c>
      <c r="D113" s="44">
        <v>766</v>
      </c>
      <c r="E113" s="54">
        <v>0</v>
      </c>
      <c r="F113" s="45" t="s">
        <v>2250</v>
      </c>
      <c r="G113" s="68"/>
      <c r="H113" s="44"/>
      <c r="I113" s="225"/>
      <c r="J113" s="232"/>
    </row>
    <row r="114" spans="1:14" s="334" customFormat="1">
      <c r="A114" s="355"/>
      <c r="B114" s="356"/>
      <c r="C114" s="357"/>
      <c r="D114" s="358"/>
      <c r="E114" s="362"/>
      <c r="F114" s="360"/>
      <c r="G114" s="351" t="s">
        <v>2705</v>
      </c>
      <c r="H114" s="358"/>
      <c r="I114" s="353"/>
      <c r="J114" s="331" t="s">
        <v>2169</v>
      </c>
      <c r="K114" s="333"/>
      <c r="L114" s="333"/>
      <c r="M114" s="340"/>
      <c r="N114" s="363"/>
    </row>
    <row r="115" spans="1:14" ht="36.75" customHeight="1">
      <c r="A115" s="12" t="s">
        <v>1378</v>
      </c>
      <c r="B115" s="10" t="s">
        <v>1365</v>
      </c>
      <c r="C115" s="8" t="s">
        <v>6</v>
      </c>
      <c r="D115" s="44"/>
      <c r="E115" s="44">
        <v>1177.9000000000001</v>
      </c>
      <c r="F115" s="45" t="s">
        <v>1864</v>
      </c>
      <c r="G115" s="45" t="s">
        <v>2251</v>
      </c>
      <c r="H115" s="44">
        <v>277.08750000000003</v>
      </c>
      <c r="I115" s="224">
        <v>1216.9940000000001</v>
      </c>
      <c r="J115" s="314">
        <v>39.094000000000051</v>
      </c>
      <c r="N115" s="49"/>
    </row>
    <row r="116" spans="1:14" ht="33">
      <c r="A116" s="12"/>
      <c r="B116" s="7"/>
      <c r="C116" s="8"/>
      <c r="D116" s="44"/>
      <c r="E116" s="44"/>
      <c r="F116" s="45" t="s">
        <v>2252</v>
      </c>
      <c r="G116" s="45" t="s">
        <v>2253</v>
      </c>
      <c r="H116" s="44">
        <v>69.053999999999988</v>
      </c>
      <c r="I116" s="223"/>
      <c r="J116" s="232"/>
      <c r="N116" s="49"/>
    </row>
    <row r="117" spans="1:14" ht="66.75" customHeight="1">
      <c r="A117" s="12"/>
      <c r="B117" s="7"/>
      <c r="C117" s="8"/>
      <c r="D117" s="44"/>
      <c r="E117" s="44"/>
      <c r="F117" s="45" t="s">
        <v>2254</v>
      </c>
      <c r="G117" s="45" t="s">
        <v>2255</v>
      </c>
      <c r="H117" s="44">
        <v>211.89015000000003</v>
      </c>
      <c r="I117" s="223"/>
      <c r="J117" s="232"/>
      <c r="N117" s="49"/>
    </row>
    <row r="118" spans="1:14" ht="33">
      <c r="A118" s="12"/>
      <c r="B118" s="7"/>
      <c r="C118" s="8"/>
      <c r="D118" s="44"/>
      <c r="E118" s="44"/>
      <c r="F118" s="56" t="s">
        <v>2256</v>
      </c>
      <c r="G118" s="45" t="s">
        <v>2257</v>
      </c>
      <c r="H118" s="44">
        <v>432.39125000000001</v>
      </c>
      <c r="I118" s="223"/>
      <c r="J118" s="232"/>
      <c r="N118" s="49"/>
    </row>
    <row r="119" spans="1:14" ht="33">
      <c r="A119" s="12"/>
      <c r="B119" s="7"/>
      <c r="C119" s="8"/>
      <c r="D119" s="44"/>
      <c r="E119" s="44"/>
      <c r="F119" s="56" t="s">
        <v>2258</v>
      </c>
      <c r="G119" s="50" t="s">
        <v>2259</v>
      </c>
      <c r="H119" s="44">
        <v>95.153599999999997</v>
      </c>
      <c r="I119" s="223"/>
      <c r="J119" s="232"/>
      <c r="N119" s="49"/>
    </row>
    <row r="120" spans="1:14" ht="35.25" customHeight="1">
      <c r="A120" s="12"/>
      <c r="B120" s="7"/>
      <c r="C120" s="8"/>
      <c r="D120" s="44"/>
      <c r="E120" s="44"/>
      <c r="F120" s="50" t="s">
        <v>2260</v>
      </c>
      <c r="G120" s="50" t="s">
        <v>2261</v>
      </c>
      <c r="H120" s="44">
        <v>123.15</v>
      </c>
      <c r="I120" s="223"/>
      <c r="J120" s="232"/>
      <c r="N120" s="49"/>
    </row>
    <row r="121" spans="1:14">
      <c r="A121" s="12"/>
      <c r="B121" s="7"/>
      <c r="C121" s="8"/>
      <c r="D121" s="44"/>
      <c r="E121" s="44"/>
      <c r="F121" s="45" t="s">
        <v>2262</v>
      </c>
      <c r="G121" s="45" t="s">
        <v>2263</v>
      </c>
      <c r="H121" s="44">
        <v>8.2674999999999983</v>
      </c>
      <c r="I121" s="223"/>
      <c r="J121" s="232"/>
      <c r="N121" s="49"/>
    </row>
    <row r="122" spans="1:14" s="334" customFormat="1">
      <c r="A122" s="335"/>
      <c r="B122" s="336"/>
      <c r="C122" s="337"/>
      <c r="D122" s="338"/>
      <c r="E122" s="338"/>
      <c r="F122" s="339"/>
      <c r="G122" s="351" t="s">
        <v>2706</v>
      </c>
      <c r="H122" s="338"/>
      <c r="I122" s="537">
        <f>ROUND(SUM(J115:J121),2)</f>
        <v>39.090000000000003</v>
      </c>
      <c r="J122" s="364">
        <f>ROUND(I122*3832.9,2)</f>
        <v>149828.06</v>
      </c>
      <c r="K122" s="333"/>
      <c r="L122" s="333"/>
      <c r="M122" s="340"/>
      <c r="N122" s="165"/>
    </row>
    <row r="123" spans="1:14" s="334" customFormat="1">
      <c r="A123" s="325"/>
      <c r="B123" s="326"/>
      <c r="C123" s="327"/>
      <c r="D123" s="328"/>
      <c r="E123" s="328"/>
      <c r="F123" s="330"/>
      <c r="G123" s="541" t="s">
        <v>2710</v>
      </c>
      <c r="H123" s="328"/>
      <c r="I123" s="544"/>
      <c r="J123" s="346">
        <f>J122+J106+J92</f>
        <v>362732.89999999991</v>
      </c>
      <c r="K123" s="333"/>
      <c r="L123" s="333"/>
      <c r="M123" s="340"/>
      <c r="N123" s="165"/>
    </row>
    <row r="124" spans="1:14" ht="31.5">
      <c r="A124" s="12" t="s">
        <v>100</v>
      </c>
      <c r="B124" s="7" t="s">
        <v>624</v>
      </c>
      <c r="C124" s="8" t="s">
        <v>6</v>
      </c>
      <c r="D124" s="44">
        <v>998</v>
      </c>
      <c r="E124" s="44"/>
      <c r="F124" s="45" t="s">
        <v>2264</v>
      </c>
      <c r="G124" s="56" t="s">
        <v>2265</v>
      </c>
      <c r="H124" s="55">
        <v>92.944500000000005</v>
      </c>
      <c r="I124" s="365">
        <v>776.5883</v>
      </c>
      <c r="J124" s="232"/>
      <c r="N124" s="49"/>
    </row>
    <row r="125" spans="1:14" ht="42.75" customHeight="1">
      <c r="A125" s="12"/>
      <c r="B125" s="7"/>
      <c r="C125" s="8"/>
      <c r="D125" s="44"/>
      <c r="E125" s="44"/>
      <c r="F125" s="45" t="s">
        <v>2266</v>
      </c>
      <c r="G125" s="45" t="s">
        <v>2267</v>
      </c>
      <c r="H125" s="44">
        <v>5.096000000000001</v>
      </c>
      <c r="I125" s="227"/>
      <c r="J125" s="232"/>
      <c r="N125" s="49"/>
    </row>
    <row r="126" spans="1:14">
      <c r="A126" s="12"/>
      <c r="B126" s="7"/>
      <c r="C126" s="8"/>
      <c r="D126" s="44"/>
      <c r="E126" s="44"/>
      <c r="F126" s="80" t="s">
        <v>2268</v>
      </c>
      <c r="G126" s="80" t="s">
        <v>2269</v>
      </c>
      <c r="H126" s="79">
        <v>508.59899999999993</v>
      </c>
      <c r="I126" s="227"/>
      <c r="J126" s="232"/>
      <c r="N126" s="49"/>
    </row>
    <row r="127" spans="1:14">
      <c r="A127" s="12"/>
      <c r="B127" s="7"/>
      <c r="C127" s="8"/>
      <c r="D127" s="44"/>
      <c r="E127" s="44"/>
      <c r="F127" s="50" t="s">
        <v>2270</v>
      </c>
      <c r="G127" s="45" t="s">
        <v>2271</v>
      </c>
      <c r="H127" s="44">
        <v>169.94880000000001</v>
      </c>
      <c r="I127" s="227"/>
      <c r="J127" s="232"/>
      <c r="N127" s="49"/>
    </row>
    <row r="128" spans="1:14">
      <c r="A128" s="12"/>
      <c r="B128" s="7"/>
      <c r="C128" s="8"/>
      <c r="D128" s="44"/>
      <c r="E128" s="44"/>
      <c r="F128" s="45" t="s">
        <v>2272</v>
      </c>
      <c r="G128" s="45" t="s">
        <v>2273</v>
      </c>
      <c r="H128" s="44"/>
      <c r="I128" s="227"/>
      <c r="J128" s="232"/>
      <c r="N128" s="49"/>
    </row>
    <row r="129" spans="1:14" s="334" customFormat="1">
      <c r="A129" s="335"/>
      <c r="B129" s="336"/>
      <c r="C129" s="337"/>
      <c r="D129" s="338"/>
      <c r="E129" s="338"/>
      <c r="F129" s="339"/>
      <c r="G129" s="339"/>
      <c r="H129" s="338"/>
      <c r="I129" s="366"/>
      <c r="J129" s="331" t="s">
        <v>2169</v>
      </c>
      <c r="K129" s="333"/>
      <c r="L129" s="333"/>
      <c r="M129" s="340"/>
      <c r="N129" s="165"/>
    </row>
    <row r="130" spans="1:14" ht="71.25">
      <c r="A130" s="12" t="s">
        <v>91</v>
      </c>
      <c r="B130" s="10" t="s">
        <v>325</v>
      </c>
      <c r="C130" s="8" t="s">
        <v>17</v>
      </c>
      <c r="D130" s="44">
        <v>95900</v>
      </c>
      <c r="E130" s="44"/>
      <c r="F130" s="45" t="s">
        <v>1234</v>
      </c>
      <c r="G130" s="56" t="s">
        <v>1358</v>
      </c>
      <c r="H130" s="55">
        <v>47258</v>
      </c>
      <c r="I130" s="224">
        <f>SUM(H130:H131)</f>
        <v>96604.35</v>
      </c>
      <c r="J130" s="314">
        <f>I130-D130</f>
        <v>704.35000000000582</v>
      </c>
      <c r="N130" s="49"/>
    </row>
    <row r="131" spans="1:14">
      <c r="A131" s="367"/>
      <c r="B131" s="368"/>
      <c r="C131" s="369"/>
      <c r="D131" s="370"/>
      <c r="E131" s="370"/>
      <c r="F131" s="371" t="s">
        <v>1324</v>
      </c>
      <c r="G131" s="372" t="s">
        <v>1344</v>
      </c>
      <c r="H131" s="373">
        <v>49346.35</v>
      </c>
      <c r="I131" s="374"/>
      <c r="J131" s="375"/>
      <c r="N131" s="49"/>
    </row>
    <row r="132" spans="1:14">
      <c r="A132" s="335"/>
      <c r="B132" s="336"/>
      <c r="C132" s="337"/>
      <c r="D132" s="338"/>
      <c r="E132" s="338"/>
      <c r="F132" s="339"/>
      <c r="G132" s="351" t="s">
        <v>2707</v>
      </c>
      <c r="H132" s="338"/>
      <c r="I132" s="537">
        <f>J130</f>
        <v>704.35000000000582</v>
      </c>
      <c r="J132" s="364">
        <f>ROUND(I132*107.3,2)</f>
        <v>75576.759999999995</v>
      </c>
    </row>
  </sheetData>
  <autoFilter ref="A5:L131" xr:uid="{E21CD539-3EB1-4D8C-9974-633841A871FF}"/>
  <mergeCells count="1">
    <mergeCell ref="A3:F3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535C-9AB7-4DF5-A53B-6BEE44975B7B}">
  <sheetPr>
    <tabColor theme="5" tint="0.39997558519241921"/>
  </sheetPr>
  <dimension ref="A1:X452"/>
  <sheetViews>
    <sheetView view="pageBreakPreview" zoomScale="91" zoomScaleNormal="100" zoomScaleSheetLayoutView="91" workbookViewId="0">
      <pane ySplit="8" topLeftCell="A162" activePane="bottomLeft" state="frozen"/>
      <selection pane="bottomLeft" activeCell="R74" sqref="R74"/>
    </sheetView>
  </sheetViews>
  <sheetFormatPr defaultRowHeight="12.75"/>
  <cols>
    <col min="1" max="1" width="3.28515625" style="82" customWidth="1"/>
    <col min="2" max="2" width="31.140625" style="82" customWidth="1"/>
    <col min="3" max="3" width="4.140625" style="82" customWidth="1"/>
    <col min="4" max="7" width="8.42578125" style="82" customWidth="1"/>
    <col min="8" max="8" width="9.5703125" style="82" customWidth="1"/>
    <col min="9" max="9" width="0" style="82" hidden="1" customWidth="1"/>
    <col min="10" max="10" width="8.42578125" style="82" customWidth="1"/>
    <col min="11" max="11" width="14.7109375" style="82" bestFit="1" customWidth="1"/>
    <col min="12" max="13" width="12.5703125" style="82" customWidth="1"/>
    <col min="14" max="14" width="11.7109375" style="82" customWidth="1"/>
    <col min="15" max="15" width="11.7109375" style="393" customWidth="1"/>
    <col min="16" max="16" width="12.42578125" style="82" customWidth="1"/>
    <col min="17" max="17" width="0.5703125" style="82" customWidth="1"/>
    <col min="18" max="18" width="24.140625" style="575" customWidth="1"/>
    <col min="19" max="19" width="26.42578125" style="413" customWidth="1"/>
    <col min="20" max="20" width="21.7109375" style="82" customWidth="1"/>
    <col min="21" max="21" width="28.5703125" style="82" customWidth="1"/>
    <col min="22" max="22" width="25" style="82" customWidth="1"/>
    <col min="23" max="23" width="16.140625" style="82" customWidth="1"/>
    <col min="24" max="16384" width="9.140625" style="82"/>
  </cols>
  <sheetData>
    <row r="1" spans="1:20" ht="25.5">
      <c r="A1" s="411"/>
      <c r="B1" s="411"/>
      <c r="C1" s="710" t="s">
        <v>230</v>
      </c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525"/>
      <c r="P1" s="412"/>
      <c r="Q1" s="1"/>
    </row>
    <row r="2" spans="1:20" ht="19.5">
      <c r="A2" s="711" t="s">
        <v>242</v>
      </c>
      <c r="B2" s="711"/>
      <c r="C2" s="712" t="s">
        <v>2507</v>
      </c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526"/>
      <c r="P2" s="29"/>
      <c r="Q2" s="1"/>
      <c r="R2" s="575">
        <v>-4483155.42</v>
      </c>
    </row>
    <row r="3" spans="1:20" ht="16.5">
      <c r="A3" s="713" t="s">
        <v>2274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28"/>
      <c r="N3" s="414" t="s">
        <v>2508</v>
      </c>
      <c r="O3" s="714">
        <v>45621</v>
      </c>
      <c r="P3" s="714"/>
      <c r="Q3" s="415"/>
      <c r="S3" s="416"/>
    </row>
    <row r="4" spans="1:20" ht="16.5">
      <c r="A4" s="698" t="s">
        <v>2696</v>
      </c>
      <c r="B4" s="699"/>
      <c r="C4" s="699"/>
      <c r="D4" s="699"/>
      <c r="E4" s="699"/>
      <c r="F4" s="699"/>
      <c r="G4" s="699"/>
      <c r="H4" s="699"/>
      <c r="I4" s="699"/>
      <c r="J4" s="699"/>
      <c r="K4" s="700"/>
      <c r="L4" s="417" t="s">
        <v>2509</v>
      </c>
      <c r="M4" s="418"/>
      <c r="N4" s="418"/>
      <c r="O4" s="708">
        <v>257600000</v>
      </c>
      <c r="P4" s="709"/>
      <c r="Q4" s="415"/>
      <c r="R4" s="576"/>
    </row>
    <row r="5" spans="1:20" ht="16.5">
      <c r="A5" s="698" t="s">
        <v>2679</v>
      </c>
      <c r="B5" s="699"/>
      <c r="C5" s="699"/>
      <c r="D5" s="699"/>
      <c r="E5" s="699"/>
      <c r="F5" s="699"/>
      <c r="G5" s="699"/>
      <c r="H5" s="699"/>
      <c r="I5" s="699"/>
      <c r="J5" s="699"/>
      <c r="K5" s="700"/>
      <c r="L5" s="475" t="s">
        <v>2510</v>
      </c>
      <c r="M5" s="476"/>
      <c r="N5" s="476"/>
      <c r="O5" s="527"/>
      <c r="P5" s="477"/>
      <c r="Q5" s="415"/>
    </row>
    <row r="6" spans="1:20" ht="16.5">
      <c r="A6" s="698" t="s">
        <v>2695</v>
      </c>
      <c r="B6" s="699"/>
      <c r="C6" s="699"/>
      <c r="D6" s="699"/>
      <c r="E6" s="699"/>
      <c r="F6" s="699"/>
      <c r="G6" s="699"/>
      <c r="H6" s="699"/>
      <c r="I6" s="699"/>
      <c r="J6" s="699"/>
      <c r="K6" s="700"/>
      <c r="L6" s="417" t="s">
        <v>2511</v>
      </c>
      <c r="M6" s="418"/>
      <c r="N6" s="418"/>
      <c r="O6" s="718"/>
      <c r="P6" s="719"/>
      <c r="Q6" s="415"/>
      <c r="R6" s="577"/>
      <c r="S6" s="419"/>
    </row>
    <row r="7" spans="1:20" ht="14.25">
      <c r="A7" s="688" t="s">
        <v>235</v>
      </c>
      <c r="B7" s="692" t="s">
        <v>2512</v>
      </c>
      <c r="C7" s="692" t="s">
        <v>237</v>
      </c>
      <c r="D7" s="688" t="s">
        <v>2513</v>
      </c>
      <c r="E7" s="688" t="s">
        <v>2675</v>
      </c>
      <c r="F7" s="688" t="s">
        <v>2676</v>
      </c>
      <c r="G7" s="706" t="s">
        <v>2514</v>
      </c>
      <c r="H7" s="688" t="s">
        <v>2515</v>
      </c>
      <c r="I7" s="688" t="s">
        <v>2516</v>
      </c>
      <c r="J7" s="688" t="s">
        <v>2516</v>
      </c>
      <c r="K7" s="688" t="s">
        <v>2517</v>
      </c>
      <c r="L7" s="688" t="s">
        <v>2678</v>
      </c>
      <c r="M7" s="688" t="s">
        <v>2677</v>
      </c>
      <c r="N7" s="692" t="s">
        <v>2518</v>
      </c>
      <c r="O7" s="715" t="s">
        <v>2519</v>
      </c>
      <c r="P7" s="692" t="s">
        <v>2520</v>
      </c>
      <c r="Q7" s="420"/>
      <c r="R7" s="717" t="s">
        <v>2521</v>
      </c>
      <c r="S7" s="695" t="s">
        <v>2522</v>
      </c>
      <c r="T7" s="687" t="s">
        <v>2523</v>
      </c>
    </row>
    <row r="8" spans="1:20" ht="14.25">
      <c r="A8" s="689"/>
      <c r="B8" s="693"/>
      <c r="C8" s="693"/>
      <c r="D8" s="689"/>
      <c r="E8" s="689"/>
      <c r="F8" s="689"/>
      <c r="G8" s="707"/>
      <c r="H8" s="689"/>
      <c r="I8" s="689"/>
      <c r="J8" s="689"/>
      <c r="K8" s="689"/>
      <c r="L8" s="689"/>
      <c r="M8" s="689"/>
      <c r="N8" s="693"/>
      <c r="O8" s="716"/>
      <c r="P8" s="693"/>
      <c r="Q8" s="420"/>
      <c r="R8" s="717"/>
      <c r="S8" s="695"/>
      <c r="T8" s="687"/>
    </row>
    <row r="9" spans="1:20" ht="33">
      <c r="A9" s="421" t="s">
        <v>10</v>
      </c>
      <c r="B9" s="422" t="s">
        <v>12</v>
      </c>
      <c r="C9" s="423" t="s">
        <v>4</v>
      </c>
      <c r="D9" s="424">
        <v>1</v>
      </c>
      <c r="E9" s="424"/>
      <c r="F9" s="424"/>
      <c r="G9" s="424"/>
      <c r="H9" s="424">
        <v>271134529</v>
      </c>
      <c r="I9" s="424"/>
      <c r="J9" s="424"/>
      <c r="K9" s="424">
        <v>271134529</v>
      </c>
      <c r="L9" s="507">
        <f>L10+L351+L362+L402+L406+L425+L445+L448+L449+L451</f>
        <v>304975279.00000006</v>
      </c>
      <c r="M9" s="507">
        <f>M10+M351+M362+M402+M406+M425+M445+M448+M449+M451</f>
        <v>322183690.72000009</v>
      </c>
      <c r="N9" s="507">
        <f>N10+N351+N362+N402+N406+N425+N445+N448+N449+N451</f>
        <v>18734760.02</v>
      </c>
      <c r="O9" s="425">
        <f>O10+O351+O362+O402+O406+O425+O445+O448+O449+O451</f>
        <v>-1490274.3399999999</v>
      </c>
      <c r="P9" s="507">
        <f>N9+O9</f>
        <v>17244485.68</v>
      </c>
      <c r="Q9" s="11" t="s">
        <v>243</v>
      </c>
      <c r="R9" s="578"/>
      <c r="S9" s="427"/>
    </row>
    <row r="10" spans="1:20" ht="33">
      <c r="A10" s="421" t="s">
        <v>2286</v>
      </c>
      <c r="B10" s="422" t="s">
        <v>2</v>
      </c>
      <c r="C10" s="423" t="s">
        <v>4</v>
      </c>
      <c r="D10" s="424">
        <v>1</v>
      </c>
      <c r="E10" s="424"/>
      <c r="F10" s="424"/>
      <c r="G10" s="424"/>
      <c r="H10" s="424">
        <v>211367142.78999999</v>
      </c>
      <c r="I10" s="424"/>
      <c r="J10" s="424"/>
      <c r="K10" s="424">
        <v>211367142.78999999</v>
      </c>
      <c r="L10" s="507">
        <f>L11+L37+L123+L163+L192+L212+L229+L307+L341</f>
        <v>232868088.52999997</v>
      </c>
      <c r="M10" s="507">
        <f>M11+M37+M123+M163+M192+M212+M229+M307+M341</f>
        <v>246809049.41000003</v>
      </c>
      <c r="N10" s="507">
        <f>N11+N37+N123+N163+N192+N212+N229+N307+N341</f>
        <v>15467309.18</v>
      </c>
      <c r="O10" s="425">
        <f>O11+O37+O123+O163+O192+O212+O229+O307+O341</f>
        <v>-1490274.3399999999</v>
      </c>
      <c r="P10" s="264" t="s">
        <v>242</v>
      </c>
      <c r="Q10" s="11" t="s">
        <v>243</v>
      </c>
      <c r="R10" s="578"/>
      <c r="S10" s="427"/>
    </row>
    <row r="11" spans="1:20" ht="33">
      <c r="A11" s="494" t="s">
        <v>2287</v>
      </c>
      <c r="B11" s="495" t="s">
        <v>244</v>
      </c>
      <c r="C11" s="496" t="s">
        <v>4</v>
      </c>
      <c r="D11" s="497">
        <v>1</v>
      </c>
      <c r="E11" s="497"/>
      <c r="F11" s="497"/>
      <c r="G11" s="497"/>
      <c r="H11" s="497">
        <v>58934657.579999998</v>
      </c>
      <c r="I11" s="497"/>
      <c r="J11" s="497"/>
      <c r="K11" s="497">
        <v>58934657.579999998</v>
      </c>
      <c r="L11" s="499">
        <f>SUM(L12:L36)</f>
        <v>61233815.539999984</v>
      </c>
      <c r="M11" s="499">
        <f t="shared" ref="M11:O11" si="0">SUM(M12:M36)</f>
        <v>61250848.129999988</v>
      </c>
      <c r="N11" s="499">
        <f t="shared" si="0"/>
        <v>17032.589999999997</v>
      </c>
      <c r="O11" s="529">
        <f t="shared" si="0"/>
        <v>0</v>
      </c>
      <c r="P11" s="356" t="s">
        <v>242</v>
      </c>
      <c r="Q11" s="11" t="s">
        <v>243</v>
      </c>
      <c r="R11" s="578"/>
      <c r="S11" s="427"/>
    </row>
    <row r="12" spans="1:20" ht="33">
      <c r="A12" s="421" t="s">
        <v>2288</v>
      </c>
      <c r="B12" s="422" t="s">
        <v>245</v>
      </c>
      <c r="C12" s="423" t="s">
        <v>6</v>
      </c>
      <c r="D12" s="424">
        <v>720.24</v>
      </c>
      <c r="E12" s="424">
        <v>720.24</v>
      </c>
      <c r="F12" s="424">
        <f>估驗單!F8</f>
        <v>720.24</v>
      </c>
      <c r="G12" s="478"/>
      <c r="H12" s="424">
        <v>193.11</v>
      </c>
      <c r="I12" s="424"/>
      <c r="J12" s="424"/>
      <c r="K12" s="424">
        <v>139085.54999999999</v>
      </c>
      <c r="L12" s="424">
        <f>ROUND(E12*H12,2)</f>
        <v>139085.54999999999</v>
      </c>
      <c r="M12" s="424">
        <f>ROUND(F12*H12,2)</f>
        <v>139085.54999999999</v>
      </c>
      <c r="N12" s="478">
        <f>IF(L12-M12&lt;0+AND(L12&lt;&gt;0),M12-L12,"      ")</f>
        <v>0</v>
      </c>
      <c r="O12" s="530"/>
      <c r="P12" s="264" t="s">
        <v>242</v>
      </c>
      <c r="Q12" s="11" t="s">
        <v>243</v>
      </c>
      <c r="R12" s="574"/>
      <c r="S12" s="427"/>
    </row>
    <row r="13" spans="1:20" ht="33">
      <c r="A13" s="421" t="s">
        <v>2289</v>
      </c>
      <c r="B13" s="422" t="s">
        <v>247</v>
      </c>
      <c r="C13" s="423" t="s">
        <v>6</v>
      </c>
      <c r="D13" s="424">
        <v>4813.4399999999996</v>
      </c>
      <c r="E13" s="424">
        <v>4813.4399999999996</v>
      </c>
      <c r="F13" s="424">
        <f>估驗單!F9</f>
        <v>4813.4399999999996</v>
      </c>
      <c r="G13" s="478"/>
      <c r="H13" s="424">
        <v>1046.1600000000001</v>
      </c>
      <c r="I13" s="424"/>
      <c r="J13" s="424"/>
      <c r="K13" s="424">
        <v>5035628.3899999997</v>
      </c>
      <c r="L13" s="424">
        <f t="shared" ref="L13:L76" si="1">ROUND(E13*H13,2)</f>
        <v>5035628.3899999997</v>
      </c>
      <c r="M13" s="424">
        <f t="shared" ref="M13:M77" si="2">ROUND(F13*H13,2)</f>
        <v>5035628.3899999997</v>
      </c>
      <c r="N13" s="478">
        <f t="shared" ref="N13:N36" si="3">IF(L13-M13&lt;0+AND(L13&lt;&gt;0),M13-L13,"      ")</f>
        <v>0</v>
      </c>
      <c r="O13" s="530"/>
      <c r="P13" s="264" t="s">
        <v>242</v>
      </c>
      <c r="Q13" s="11" t="s">
        <v>243</v>
      </c>
      <c r="R13" s="574"/>
      <c r="S13" s="427"/>
    </row>
    <row r="14" spans="1:20" ht="71.25">
      <c r="A14" s="421" t="s">
        <v>2290</v>
      </c>
      <c r="B14" s="422" t="s">
        <v>249</v>
      </c>
      <c r="C14" s="423" t="s">
        <v>8</v>
      </c>
      <c r="D14" s="424">
        <v>1743</v>
      </c>
      <c r="E14" s="424">
        <v>1743</v>
      </c>
      <c r="F14" s="424">
        <f>估驗單!F10</f>
        <v>1743</v>
      </c>
      <c r="G14" s="478"/>
      <c r="H14" s="424">
        <v>6199.66</v>
      </c>
      <c r="I14" s="424"/>
      <c r="J14" s="424"/>
      <c r="K14" s="424">
        <v>10806007.380000001</v>
      </c>
      <c r="L14" s="424">
        <f t="shared" si="1"/>
        <v>10806007.380000001</v>
      </c>
      <c r="M14" s="424">
        <f t="shared" si="2"/>
        <v>10806007.380000001</v>
      </c>
      <c r="N14" s="478">
        <f t="shared" si="3"/>
        <v>0</v>
      </c>
      <c r="O14" s="530"/>
      <c r="P14" s="264" t="s">
        <v>2524</v>
      </c>
      <c r="Q14" s="11" t="s">
        <v>243</v>
      </c>
      <c r="R14" s="574"/>
      <c r="S14" s="427"/>
    </row>
    <row r="15" spans="1:20" ht="56.25">
      <c r="A15" s="421" t="s">
        <v>2291</v>
      </c>
      <c r="B15" s="422" t="s">
        <v>194</v>
      </c>
      <c r="C15" s="423" t="s">
        <v>23</v>
      </c>
      <c r="D15" s="424">
        <v>26370</v>
      </c>
      <c r="E15" s="424">
        <v>28009.56</v>
      </c>
      <c r="F15" s="424">
        <f>估驗單!F11</f>
        <v>28009.56</v>
      </c>
      <c r="G15" s="478"/>
      <c r="H15" s="424">
        <v>48.28</v>
      </c>
      <c r="I15" s="424"/>
      <c r="J15" s="424"/>
      <c r="K15" s="424">
        <v>1273143.6000000001</v>
      </c>
      <c r="L15" s="424">
        <f t="shared" si="1"/>
        <v>1352301.56</v>
      </c>
      <c r="M15" s="424">
        <f t="shared" si="2"/>
        <v>1352301.56</v>
      </c>
      <c r="N15" s="478">
        <f t="shared" si="3"/>
        <v>0</v>
      </c>
      <c r="O15" s="530"/>
      <c r="P15" s="264" t="s">
        <v>242</v>
      </c>
      <c r="Q15" s="11" t="s">
        <v>243</v>
      </c>
      <c r="R15" s="574" t="s">
        <v>2525</v>
      </c>
      <c r="S15" s="427" t="s">
        <v>2526</v>
      </c>
      <c r="T15" s="430" t="s">
        <v>2527</v>
      </c>
    </row>
    <row r="16" spans="1:20" ht="33">
      <c r="A16" s="421" t="s">
        <v>2292</v>
      </c>
      <c r="B16" s="422" t="s">
        <v>252</v>
      </c>
      <c r="C16" s="423" t="s">
        <v>6</v>
      </c>
      <c r="D16" s="424">
        <v>4726.67</v>
      </c>
      <c r="E16" s="424">
        <v>4726.67</v>
      </c>
      <c r="F16" s="424">
        <f>估驗單!F12</f>
        <v>4726.67</v>
      </c>
      <c r="G16" s="478"/>
      <c r="H16" s="424">
        <v>599.71</v>
      </c>
      <c r="I16" s="424"/>
      <c r="J16" s="424"/>
      <c r="K16" s="424">
        <v>2834631.27</v>
      </c>
      <c r="L16" s="424">
        <f t="shared" si="1"/>
        <v>2834631.27</v>
      </c>
      <c r="M16" s="424">
        <f t="shared" si="2"/>
        <v>2834631.27</v>
      </c>
      <c r="N16" s="478">
        <f t="shared" si="3"/>
        <v>0</v>
      </c>
      <c r="O16" s="530"/>
      <c r="P16" s="264" t="s">
        <v>242</v>
      </c>
      <c r="Q16" s="11" t="s">
        <v>243</v>
      </c>
      <c r="R16" s="574"/>
      <c r="S16" s="427"/>
    </row>
    <row r="17" spans="1:19" ht="33">
      <c r="A17" s="421" t="s">
        <v>2293</v>
      </c>
      <c r="B17" s="422" t="s">
        <v>255</v>
      </c>
      <c r="C17" s="423" t="s">
        <v>6</v>
      </c>
      <c r="D17" s="424">
        <v>13120</v>
      </c>
      <c r="E17" s="424">
        <v>13120</v>
      </c>
      <c r="F17" s="424">
        <f>估驗單!F13</f>
        <v>13120</v>
      </c>
      <c r="G17" s="478"/>
      <c r="H17" s="424">
        <v>104.64</v>
      </c>
      <c r="I17" s="424"/>
      <c r="J17" s="424"/>
      <c r="K17" s="424">
        <v>1372876.8</v>
      </c>
      <c r="L17" s="424">
        <f t="shared" si="1"/>
        <v>1372876.8</v>
      </c>
      <c r="M17" s="424">
        <f t="shared" si="2"/>
        <v>1372876.8</v>
      </c>
      <c r="N17" s="478">
        <f t="shared" si="3"/>
        <v>0</v>
      </c>
      <c r="O17" s="530"/>
      <c r="P17" s="264" t="s">
        <v>242</v>
      </c>
      <c r="Q17" s="11" t="s">
        <v>243</v>
      </c>
      <c r="R17" s="574"/>
      <c r="S17" s="427"/>
    </row>
    <row r="18" spans="1:19" ht="71.25">
      <c r="A18" s="421" t="s">
        <v>2294</v>
      </c>
      <c r="B18" s="422" t="s">
        <v>258</v>
      </c>
      <c r="C18" s="423" t="s">
        <v>23</v>
      </c>
      <c r="D18" s="424">
        <v>13251</v>
      </c>
      <c r="E18" s="424">
        <v>13251</v>
      </c>
      <c r="F18" s="424">
        <f>估驗單!F14</f>
        <v>13251</v>
      </c>
      <c r="G18" s="478"/>
      <c r="H18" s="424">
        <v>1027.3699999999999</v>
      </c>
      <c r="I18" s="424"/>
      <c r="J18" s="424"/>
      <c r="K18" s="424">
        <v>13613679.869999999</v>
      </c>
      <c r="L18" s="424">
        <f t="shared" si="1"/>
        <v>13613679.869999999</v>
      </c>
      <c r="M18" s="424">
        <f t="shared" si="2"/>
        <v>13613679.869999999</v>
      </c>
      <c r="N18" s="478">
        <f t="shared" si="3"/>
        <v>0</v>
      </c>
      <c r="O18" s="530"/>
      <c r="P18" s="264" t="s">
        <v>2528</v>
      </c>
      <c r="Q18" s="11" t="s">
        <v>243</v>
      </c>
      <c r="R18" s="574"/>
      <c r="S18" s="427"/>
    </row>
    <row r="19" spans="1:19" ht="33">
      <c r="A19" s="421" t="s">
        <v>2295</v>
      </c>
      <c r="B19" s="422" t="s">
        <v>261</v>
      </c>
      <c r="C19" s="423" t="s">
        <v>6</v>
      </c>
      <c r="D19" s="424">
        <v>4601.4399999999996</v>
      </c>
      <c r="E19" s="424">
        <v>4601.4399999999996</v>
      </c>
      <c r="F19" s="424">
        <f>估驗單!F15</f>
        <v>4601.4399999999996</v>
      </c>
      <c r="G19" s="478"/>
      <c r="H19" s="424">
        <v>1084.98</v>
      </c>
      <c r="I19" s="424"/>
      <c r="J19" s="424"/>
      <c r="K19" s="424">
        <v>4992470.37</v>
      </c>
      <c r="L19" s="424">
        <f t="shared" si="1"/>
        <v>4992470.37</v>
      </c>
      <c r="M19" s="424">
        <f t="shared" si="2"/>
        <v>4992470.37</v>
      </c>
      <c r="N19" s="478">
        <f t="shared" si="3"/>
        <v>0</v>
      </c>
      <c r="O19" s="530"/>
      <c r="P19" s="264" t="s">
        <v>242</v>
      </c>
      <c r="Q19" s="11" t="s">
        <v>243</v>
      </c>
      <c r="R19" s="574"/>
      <c r="S19" s="427"/>
    </row>
    <row r="20" spans="1:19" ht="42.75">
      <c r="A20" s="421" t="s">
        <v>2296</v>
      </c>
      <c r="B20" s="422" t="s">
        <v>264</v>
      </c>
      <c r="C20" s="423" t="s">
        <v>13</v>
      </c>
      <c r="D20" s="424">
        <v>2588.5</v>
      </c>
      <c r="E20" s="424">
        <v>2588.5</v>
      </c>
      <c r="F20" s="424">
        <f>估驗單!F16</f>
        <v>2588.5</v>
      </c>
      <c r="G20" s="478"/>
      <c r="H20" s="424">
        <v>30.45</v>
      </c>
      <c r="I20" s="424"/>
      <c r="J20" s="424"/>
      <c r="K20" s="424">
        <v>78819.83</v>
      </c>
      <c r="L20" s="424">
        <f t="shared" si="1"/>
        <v>78819.83</v>
      </c>
      <c r="M20" s="424">
        <f t="shared" si="2"/>
        <v>78819.83</v>
      </c>
      <c r="N20" s="478">
        <f t="shared" si="3"/>
        <v>0</v>
      </c>
      <c r="O20" s="530"/>
      <c r="P20" s="264" t="s">
        <v>2529</v>
      </c>
      <c r="Q20" s="11" t="s">
        <v>243</v>
      </c>
      <c r="R20" s="574"/>
      <c r="S20" s="427"/>
    </row>
    <row r="21" spans="1:19" ht="33">
      <c r="A21" s="421" t="s">
        <v>2297</v>
      </c>
      <c r="B21" s="422" t="s">
        <v>267</v>
      </c>
      <c r="C21" s="423" t="s">
        <v>13</v>
      </c>
      <c r="D21" s="424">
        <v>9177</v>
      </c>
      <c r="E21" s="424">
        <v>9177</v>
      </c>
      <c r="F21" s="424">
        <f>估驗單!F17</f>
        <v>9177</v>
      </c>
      <c r="G21" s="478"/>
      <c r="H21" s="424">
        <v>28.48</v>
      </c>
      <c r="I21" s="424"/>
      <c r="J21" s="424"/>
      <c r="K21" s="424">
        <v>261360.96</v>
      </c>
      <c r="L21" s="424">
        <f t="shared" si="1"/>
        <v>261360.96</v>
      </c>
      <c r="M21" s="424">
        <f t="shared" si="2"/>
        <v>261360.96</v>
      </c>
      <c r="N21" s="478">
        <f t="shared" si="3"/>
        <v>0</v>
      </c>
      <c r="O21" s="530"/>
      <c r="P21" s="264" t="s">
        <v>242</v>
      </c>
      <c r="Q21" s="11" t="s">
        <v>243</v>
      </c>
      <c r="R21" s="574"/>
      <c r="S21" s="427"/>
    </row>
    <row r="22" spans="1:19" ht="33">
      <c r="A22" s="421" t="s">
        <v>2298</v>
      </c>
      <c r="B22" s="422" t="s">
        <v>270</v>
      </c>
      <c r="C22" s="423" t="s">
        <v>8</v>
      </c>
      <c r="D22" s="424">
        <v>162.5</v>
      </c>
      <c r="E22" s="424">
        <v>162.5</v>
      </c>
      <c r="F22" s="424">
        <f>估驗單!F18</f>
        <v>162.5</v>
      </c>
      <c r="G22" s="478"/>
      <c r="H22" s="424">
        <v>65.400000000000006</v>
      </c>
      <c r="I22" s="424"/>
      <c r="J22" s="424"/>
      <c r="K22" s="424">
        <v>10627.5</v>
      </c>
      <c r="L22" s="424">
        <f t="shared" si="1"/>
        <v>10627.5</v>
      </c>
      <c r="M22" s="424">
        <f t="shared" si="2"/>
        <v>10627.5</v>
      </c>
      <c r="N22" s="478">
        <f t="shared" si="3"/>
        <v>0</v>
      </c>
      <c r="O22" s="530"/>
      <c r="P22" s="264" t="s">
        <v>242</v>
      </c>
      <c r="Q22" s="11" t="s">
        <v>243</v>
      </c>
      <c r="R22" s="574"/>
      <c r="S22" s="427"/>
    </row>
    <row r="23" spans="1:19" ht="33">
      <c r="A23" s="421" t="s">
        <v>2299</v>
      </c>
      <c r="B23" s="422" t="s">
        <v>273</v>
      </c>
      <c r="C23" s="423" t="s">
        <v>13</v>
      </c>
      <c r="D23" s="424">
        <v>5217.7</v>
      </c>
      <c r="E23" s="424">
        <v>5217.7</v>
      </c>
      <c r="F23" s="424">
        <f>估驗單!F19</f>
        <v>5217.7</v>
      </c>
      <c r="G23" s="478"/>
      <c r="H23" s="424">
        <v>20.190000000000001</v>
      </c>
      <c r="I23" s="424"/>
      <c r="J23" s="424"/>
      <c r="K23" s="424">
        <v>105345.36</v>
      </c>
      <c r="L23" s="424">
        <f t="shared" si="1"/>
        <v>105345.36</v>
      </c>
      <c r="M23" s="424">
        <f t="shared" si="2"/>
        <v>105345.36</v>
      </c>
      <c r="N23" s="478">
        <f t="shared" si="3"/>
        <v>0</v>
      </c>
      <c r="O23" s="530"/>
      <c r="P23" s="264" t="s">
        <v>242</v>
      </c>
      <c r="Q23" s="11" t="s">
        <v>243</v>
      </c>
      <c r="R23" s="574"/>
      <c r="S23" s="427"/>
    </row>
    <row r="24" spans="1:19" ht="33">
      <c r="A24" s="431" t="s">
        <v>2300</v>
      </c>
      <c r="B24" s="432" t="s">
        <v>276</v>
      </c>
      <c r="C24" s="433" t="s">
        <v>6</v>
      </c>
      <c r="D24" s="428">
        <v>782.66</v>
      </c>
      <c r="E24" s="428">
        <v>782.66</v>
      </c>
      <c r="F24" s="424">
        <f>估驗單!F20</f>
        <v>782.66</v>
      </c>
      <c r="G24" s="478"/>
      <c r="H24" s="428">
        <v>2286.6799999999998</v>
      </c>
      <c r="I24" s="428"/>
      <c r="J24" s="428"/>
      <c r="K24" s="428">
        <v>1789692.97</v>
      </c>
      <c r="L24" s="424">
        <f t="shared" si="1"/>
        <v>1789692.97</v>
      </c>
      <c r="M24" s="424">
        <f t="shared" si="2"/>
        <v>1789692.97</v>
      </c>
      <c r="N24" s="478">
        <f t="shared" si="3"/>
        <v>0</v>
      </c>
      <c r="O24" s="530"/>
      <c r="P24" s="434" t="s">
        <v>2530</v>
      </c>
      <c r="Q24" s="435" t="s">
        <v>243</v>
      </c>
      <c r="R24" s="465"/>
      <c r="S24" s="437"/>
    </row>
    <row r="25" spans="1:19" ht="42.75">
      <c r="A25" s="421" t="s">
        <v>2301</v>
      </c>
      <c r="B25" s="422" t="s">
        <v>279</v>
      </c>
      <c r="C25" s="423" t="s">
        <v>14</v>
      </c>
      <c r="D25" s="424">
        <v>425</v>
      </c>
      <c r="E25" s="424">
        <v>425</v>
      </c>
      <c r="F25" s="424">
        <f>估驗單!F21</f>
        <v>425</v>
      </c>
      <c r="G25" s="478"/>
      <c r="H25" s="424">
        <v>521.15</v>
      </c>
      <c r="I25" s="424"/>
      <c r="J25" s="424"/>
      <c r="K25" s="424">
        <v>221488.75</v>
      </c>
      <c r="L25" s="424">
        <f t="shared" si="1"/>
        <v>221488.75</v>
      </c>
      <c r="M25" s="424">
        <f t="shared" si="2"/>
        <v>221488.75</v>
      </c>
      <c r="N25" s="478">
        <f t="shared" si="3"/>
        <v>0</v>
      </c>
      <c r="O25" s="530"/>
      <c r="P25" s="264" t="s">
        <v>2531</v>
      </c>
      <c r="Q25" s="11" t="s">
        <v>243</v>
      </c>
      <c r="R25" s="574"/>
      <c r="S25" s="427"/>
    </row>
    <row r="26" spans="1:19" ht="33">
      <c r="A26" s="470" t="s">
        <v>2302</v>
      </c>
      <c r="B26" s="471" t="s">
        <v>282</v>
      </c>
      <c r="C26" s="472" t="s">
        <v>8</v>
      </c>
      <c r="D26" s="473">
        <v>255.5</v>
      </c>
      <c r="E26" s="473">
        <v>255.5</v>
      </c>
      <c r="F26" s="473">
        <f>估驗單!F22</f>
        <v>314.3</v>
      </c>
      <c r="G26" s="479">
        <f t="shared" ref="G26:G89" si="4">F26-E26</f>
        <v>58.800000000000011</v>
      </c>
      <c r="H26" s="473">
        <v>289.67</v>
      </c>
      <c r="I26" s="473"/>
      <c r="J26" s="473"/>
      <c r="K26" s="473">
        <v>74010.69</v>
      </c>
      <c r="L26" s="473">
        <f t="shared" si="1"/>
        <v>74010.69</v>
      </c>
      <c r="M26" s="473">
        <f t="shared" si="2"/>
        <v>91043.28</v>
      </c>
      <c r="N26" s="479">
        <f t="shared" si="3"/>
        <v>17032.589999999997</v>
      </c>
      <c r="O26" s="531"/>
      <c r="P26" s="474" t="s">
        <v>242</v>
      </c>
      <c r="Q26" s="11" t="s">
        <v>243</v>
      </c>
      <c r="R26" s="574" t="s">
        <v>2758</v>
      </c>
      <c r="S26" s="427"/>
    </row>
    <row r="27" spans="1:19" ht="33">
      <c r="A27" s="421" t="s">
        <v>2303</v>
      </c>
      <c r="B27" s="422" t="s">
        <v>285</v>
      </c>
      <c r="C27" s="423" t="s">
        <v>286</v>
      </c>
      <c r="D27" s="424">
        <v>2204</v>
      </c>
      <c r="E27" s="424">
        <v>2204</v>
      </c>
      <c r="F27" s="424">
        <f>估驗單!F23</f>
        <v>2204</v>
      </c>
      <c r="G27" s="478"/>
      <c r="H27" s="424">
        <v>3082.11</v>
      </c>
      <c r="I27" s="424"/>
      <c r="J27" s="424"/>
      <c r="K27" s="424">
        <v>6792970.4400000004</v>
      </c>
      <c r="L27" s="424">
        <f t="shared" si="1"/>
        <v>6792970.4400000004</v>
      </c>
      <c r="M27" s="424">
        <f t="shared" si="2"/>
        <v>6792970.4400000004</v>
      </c>
      <c r="N27" s="478">
        <f t="shared" si="3"/>
        <v>0</v>
      </c>
      <c r="O27" s="530"/>
      <c r="P27" s="264" t="s">
        <v>242</v>
      </c>
      <c r="Q27" s="11" t="s">
        <v>243</v>
      </c>
      <c r="R27" s="574"/>
      <c r="S27" s="427"/>
    </row>
    <row r="28" spans="1:19" ht="33">
      <c r="A28" s="421" t="s">
        <v>2304</v>
      </c>
      <c r="B28" s="422" t="s">
        <v>289</v>
      </c>
      <c r="C28" s="423" t="s">
        <v>290</v>
      </c>
      <c r="D28" s="424">
        <v>66</v>
      </c>
      <c r="E28" s="424">
        <v>66</v>
      </c>
      <c r="F28" s="424">
        <f>估驗單!F24</f>
        <v>66</v>
      </c>
      <c r="G28" s="478"/>
      <c r="H28" s="424">
        <v>3311.26</v>
      </c>
      <c r="I28" s="424"/>
      <c r="J28" s="424"/>
      <c r="K28" s="424">
        <v>218543.16</v>
      </c>
      <c r="L28" s="424">
        <f t="shared" si="1"/>
        <v>218543.16</v>
      </c>
      <c r="M28" s="424">
        <f t="shared" si="2"/>
        <v>218543.16</v>
      </c>
      <c r="N28" s="478">
        <f t="shared" si="3"/>
        <v>0</v>
      </c>
      <c r="O28" s="530"/>
      <c r="P28" s="264" t="s">
        <v>2532</v>
      </c>
      <c r="Q28" s="11" t="s">
        <v>243</v>
      </c>
      <c r="R28" s="574"/>
      <c r="S28" s="427"/>
    </row>
    <row r="29" spans="1:19" ht="33">
      <c r="A29" s="421" t="s">
        <v>2305</v>
      </c>
      <c r="B29" s="422" t="s">
        <v>293</v>
      </c>
      <c r="C29" s="423" t="s">
        <v>0</v>
      </c>
      <c r="D29" s="424">
        <v>18</v>
      </c>
      <c r="E29" s="424">
        <v>18</v>
      </c>
      <c r="F29" s="424">
        <f>估驗單!F25</f>
        <v>18</v>
      </c>
      <c r="G29" s="478"/>
      <c r="H29" s="424">
        <v>1199.93</v>
      </c>
      <c r="I29" s="424"/>
      <c r="J29" s="424"/>
      <c r="K29" s="424">
        <v>21598.74</v>
      </c>
      <c r="L29" s="424">
        <f t="shared" si="1"/>
        <v>21598.74</v>
      </c>
      <c r="M29" s="424">
        <f t="shared" si="2"/>
        <v>21598.74</v>
      </c>
      <c r="N29" s="478">
        <f t="shared" si="3"/>
        <v>0</v>
      </c>
      <c r="O29" s="530"/>
      <c r="P29" s="264" t="s">
        <v>2532</v>
      </c>
      <c r="Q29" s="11" t="s">
        <v>243</v>
      </c>
      <c r="R29" s="574"/>
      <c r="S29" s="427"/>
    </row>
    <row r="30" spans="1:19" ht="33">
      <c r="A30" s="421" t="s">
        <v>2306</v>
      </c>
      <c r="B30" s="422" t="s">
        <v>296</v>
      </c>
      <c r="C30" s="423" t="s">
        <v>0</v>
      </c>
      <c r="D30" s="424">
        <v>4</v>
      </c>
      <c r="E30" s="424">
        <v>4</v>
      </c>
      <c r="F30" s="424">
        <f>估驗單!F26</f>
        <v>4</v>
      </c>
      <c r="G30" s="478"/>
      <c r="H30" s="424">
        <v>2999.84</v>
      </c>
      <c r="I30" s="424"/>
      <c r="J30" s="424"/>
      <c r="K30" s="424">
        <v>11999.36</v>
      </c>
      <c r="L30" s="424">
        <f t="shared" si="1"/>
        <v>11999.36</v>
      </c>
      <c r="M30" s="424">
        <f t="shared" si="2"/>
        <v>11999.36</v>
      </c>
      <c r="N30" s="478">
        <f t="shared" si="3"/>
        <v>0</v>
      </c>
      <c r="O30" s="530"/>
      <c r="P30" s="264" t="s">
        <v>2532</v>
      </c>
      <c r="Q30" s="11" t="s">
        <v>243</v>
      </c>
      <c r="R30" s="574"/>
      <c r="S30" s="427"/>
    </row>
    <row r="31" spans="1:19" ht="33">
      <c r="A31" s="421" t="s">
        <v>2307</v>
      </c>
      <c r="B31" s="422" t="s">
        <v>299</v>
      </c>
      <c r="C31" s="423" t="s">
        <v>0</v>
      </c>
      <c r="D31" s="424">
        <v>20</v>
      </c>
      <c r="E31" s="424">
        <v>20</v>
      </c>
      <c r="F31" s="424">
        <f>估驗單!F27</f>
        <v>20</v>
      </c>
      <c r="G31" s="478"/>
      <c r="H31" s="424">
        <v>2999.84</v>
      </c>
      <c r="I31" s="424"/>
      <c r="J31" s="424"/>
      <c r="K31" s="424">
        <v>59996.800000000003</v>
      </c>
      <c r="L31" s="424">
        <f t="shared" si="1"/>
        <v>59996.800000000003</v>
      </c>
      <c r="M31" s="424">
        <f t="shared" si="2"/>
        <v>59996.800000000003</v>
      </c>
      <c r="N31" s="478">
        <f t="shared" si="3"/>
        <v>0</v>
      </c>
      <c r="O31" s="530"/>
      <c r="P31" s="264" t="s">
        <v>2532</v>
      </c>
      <c r="Q31" s="11" t="s">
        <v>243</v>
      </c>
      <c r="R31" s="574"/>
      <c r="S31" s="427"/>
    </row>
    <row r="32" spans="1:19" ht="33">
      <c r="A32" s="421" t="s">
        <v>2308</v>
      </c>
      <c r="B32" s="422" t="s">
        <v>302</v>
      </c>
      <c r="C32" s="423" t="s">
        <v>0</v>
      </c>
      <c r="D32" s="424">
        <v>15</v>
      </c>
      <c r="E32" s="424">
        <v>15</v>
      </c>
      <c r="F32" s="424">
        <f>估驗單!F28</f>
        <v>15</v>
      </c>
      <c r="G32" s="478"/>
      <c r="H32" s="424">
        <v>2999.84</v>
      </c>
      <c r="I32" s="424"/>
      <c r="J32" s="424"/>
      <c r="K32" s="424">
        <v>44997.599999999999</v>
      </c>
      <c r="L32" s="424">
        <f t="shared" si="1"/>
        <v>44997.599999999999</v>
      </c>
      <c r="M32" s="424">
        <f t="shared" si="2"/>
        <v>44997.599999999999</v>
      </c>
      <c r="N32" s="478">
        <f t="shared" si="3"/>
        <v>0</v>
      </c>
      <c r="O32" s="530"/>
      <c r="P32" s="264" t="s">
        <v>2532</v>
      </c>
      <c r="Q32" s="11" t="s">
        <v>243</v>
      </c>
      <c r="R32" s="574"/>
      <c r="S32" s="427"/>
    </row>
    <row r="33" spans="1:22" ht="33">
      <c r="A33" s="421" t="s">
        <v>2309</v>
      </c>
      <c r="B33" s="422" t="s">
        <v>305</v>
      </c>
      <c r="C33" s="423" t="s">
        <v>4</v>
      </c>
      <c r="D33" s="424">
        <v>1</v>
      </c>
      <c r="E33" s="424">
        <v>1</v>
      </c>
      <c r="F33" s="424">
        <f>估驗單!F29</f>
        <v>1</v>
      </c>
      <c r="G33" s="478"/>
      <c r="H33" s="424">
        <v>399978.19</v>
      </c>
      <c r="I33" s="424"/>
      <c r="J33" s="424"/>
      <c r="K33" s="424">
        <v>399978.19</v>
      </c>
      <c r="L33" s="424">
        <f t="shared" si="1"/>
        <v>399978.19</v>
      </c>
      <c r="M33" s="424">
        <f t="shared" si="2"/>
        <v>399978.19</v>
      </c>
      <c r="N33" s="478">
        <f t="shared" si="3"/>
        <v>0</v>
      </c>
      <c r="O33" s="530"/>
      <c r="P33" s="264" t="s">
        <v>2533</v>
      </c>
      <c r="Q33" s="11" t="s">
        <v>243</v>
      </c>
      <c r="R33" s="574"/>
      <c r="S33" s="427"/>
    </row>
    <row r="34" spans="1:22" ht="33">
      <c r="A34" s="421" t="s">
        <v>2311</v>
      </c>
      <c r="B34" s="422" t="s">
        <v>31</v>
      </c>
      <c r="C34" s="423" t="s">
        <v>16</v>
      </c>
      <c r="D34" s="424">
        <v>30800</v>
      </c>
      <c r="E34" s="424">
        <v>30800</v>
      </c>
      <c r="F34" s="424">
        <f>估驗單!F30</f>
        <v>30800</v>
      </c>
      <c r="G34" s="478">
        <f t="shared" si="4"/>
        <v>0</v>
      </c>
      <c r="H34" s="424">
        <v>280</v>
      </c>
      <c r="I34" s="424"/>
      <c r="J34" s="424"/>
      <c r="K34" s="424">
        <v>8624000</v>
      </c>
      <c r="L34" s="424">
        <f t="shared" si="1"/>
        <v>8624000</v>
      </c>
      <c r="M34" s="424">
        <f t="shared" si="2"/>
        <v>8624000</v>
      </c>
      <c r="N34" s="478">
        <f t="shared" si="3"/>
        <v>0</v>
      </c>
      <c r="O34" s="530"/>
      <c r="P34" s="264" t="s">
        <v>2534</v>
      </c>
      <c r="Q34" s="11" t="s">
        <v>243</v>
      </c>
      <c r="R34" s="574"/>
      <c r="S34" s="427"/>
    </row>
    <row r="35" spans="1:22" ht="33">
      <c r="A35" s="421" t="s">
        <v>2312</v>
      </c>
      <c r="B35" s="422" t="s">
        <v>1312</v>
      </c>
      <c r="C35" s="423" t="s">
        <v>13</v>
      </c>
      <c r="D35" s="424">
        <v>2150</v>
      </c>
      <c r="E35" s="424">
        <v>2150</v>
      </c>
      <c r="F35" s="424">
        <f>估驗單!F31</f>
        <v>2150</v>
      </c>
      <c r="G35" s="478">
        <f t="shared" si="4"/>
        <v>0</v>
      </c>
      <c r="H35" s="424">
        <v>70.56</v>
      </c>
      <c r="I35" s="424"/>
      <c r="J35" s="424"/>
      <c r="K35" s="424">
        <v>151704</v>
      </c>
      <c r="L35" s="424">
        <f t="shared" si="1"/>
        <v>151704</v>
      </c>
      <c r="M35" s="424">
        <f t="shared" si="2"/>
        <v>151704</v>
      </c>
      <c r="N35" s="478">
        <f t="shared" si="3"/>
        <v>0</v>
      </c>
      <c r="O35" s="530"/>
      <c r="P35" s="264" t="s">
        <v>2535</v>
      </c>
      <c r="Q35" s="11" t="s">
        <v>243</v>
      </c>
      <c r="R35" s="574"/>
      <c r="S35" s="427"/>
    </row>
    <row r="36" spans="1:22" s="440" customFormat="1" ht="33.75">
      <c r="A36" s="431">
        <v>25</v>
      </c>
      <c r="B36" s="432" t="s">
        <v>2536</v>
      </c>
      <c r="C36" s="423" t="s">
        <v>2537</v>
      </c>
      <c r="D36" s="428">
        <v>0</v>
      </c>
      <c r="E36" s="428">
        <v>111</v>
      </c>
      <c r="F36" s="424">
        <f>估驗單!F32</f>
        <v>111</v>
      </c>
      <c r="G36" s="478">
        <f t="shared" si="4"/>
        <v>0</v>
      </c>
      <c r="H36" s="428">
        <v>0</v>
      </c>
      <c r="I36" s="428"/>
      <c r="J36" s="428">
        <v>20000</v>
      </c>
      <c r="K36" s="428">
        <v>0</v>
      </c>
      <c r="L36" s="424">
        <f>ROUND(E36*J36,2)</f>
        <v>2220000</v>
      </c>
      <c r="M36" s="424">
        <f>ROUND(F36*J36,2)</f>
        <v>2220000</v>
      </c>
      <c r="N36" s="478">
        <f t="shared" si="3"/>
        <v>0</v>
      </c>
      <c r="O36" s="530"/>
      <c r="P36" s="438" t="s">
        <v>2538</v>
      </c>
      <c r="Q36" s="435" t="s">
        <v>243</v>
      </c>
      <c r="R36" s="465" t="s">
        <v>2539</v>
      </c>
      <c r="S36" s="439" t="s">
        <v>2540</v>
      </c>
      <c r="T36" s="413" t="s">
        <v>2541</v>
      </c>
      <c r="V36" s="441" t="s">
        <v>2542</v>
      </c>
    </row>
    <row r="37" spans="1:22" ht="33">
      <c r="A37" s="494" t="s">
        <v>2314</v>
      </c>
      <c r="B37" s="495" t="s">
        <v>309</v>
      </c>
      <c r="C37" s="496" t="s">
        <v>4</v>
      </c>
      <c r="D37" s="497">
        <v>1</v>
      </c>
      <c r="E37" s="497"/>
      <c r="F37" s="497">
        <f>估驗單!F33</f>
        <v>0</v>
      </c>
      <c r="G37" s="498">
        <f t="shared" si="4"/>
        <v>0</v>
      </c>
      <c r="H37" s="497">
        <v>30807124.300000001</v>
      </c>
      <c r="I37" s="497"/>
      <c r="J37" s="497"/>
      <c r="K37" s="497">
        <v>30807124.300000001</v>
      </c>
      <c r="L37" s="497">
        <f>SUM(L38:L122)</f>
        <v>30807124.299999997</v>
      </c>
      <c r="M37" s="497">
        <f>SUM(M38:M122)</f>
        <v>32740379.699999992</v>
      </c>
      <c r="N37" s="497">
        <f>SUM(N38:N122)</f>
        <v>1933255.3999999997</v>
      </c>
      <c r="O37" s="549">
        <f>SUM(O38:O122)</f>
        <v>0</v>
      </c>
      <c r="P37" s="356" t="s">
        <v>242</v>
      </c>
      <c r="Q37" s="11" t="s">
        <v>243</v>
      </c>
      <c r="R37" s="578"/>
      <c r="S37" s="427"/>
    </row>
    <row r="38" spans="1:22" ht="33">
      <c r="A38" s="421" t="s">
        <v>2288</v>
      </c>
      <c r="B38" s="422" t="s">
        <v>310</v>
      </c>
      <c r="C38" s="423" t="s">
        <v>223</v>
      </c>
      <c r="D38" s="424">
        <v>1887.64</v>
      </c>
      <c r="E38" s="424">
        <v>1887.64</v>
      </c>
      <c r="F38" s="424">
        <f>估驗單!F34</f>
        <v>1887.64</v>
      </c>
      <c r="G38" s="478">
        <f t="shared" si="4"/>
        <v>0</v>
      </c>
      <c r="H38" s="424">
        <v>320.72000000000003</v>
      </c>
      <c r="I38" s="424"/>
      <c r="J38" s="424"/>
      <c r="K38" s="424">
        <v>605403.9</v>
      </c>
      <c r="L38" s="424">
        <f t="shared" si="1"/>
        <v>605403.9</v>
      </c>
      <c r="M38" s="424">
        <f t="shared" si="2"/>
        <v>605403.9</v>
      </c>
      <c r="N38" s="478">
        <f t="shared" ref="N38:N101" si="5">IF(L38-M38&lt;0+AND(L38&lt;&gt;0),M38-L38,"      ")</f>
        <v>0</v>
      </c>
      <c r="O38" s="530"/>
      <c r="P38" s="264" t="s">
        <v>242</v>
      </c>
      <c r="Q38" s="11" t="s">
        <v>243</v>
      </c>
      <c r="R38" s="574"/>
      <c r="S38" s="427"/>
    </row>
    <row r="39" spans="1:22" ht="33">
      <c r="A39" s="421" t="s">
        <v>2289</v>
      </c>
      <c r="B39" s="422" t="s">
        <v>312</v>
      </c>
      <c r="C39" s="423" t="s">
        <v>223</v>
      </c>
      <c r="D39" s="424">
        <v>402.21</v>
      </c>
      <c r="E39" s="424">
        <v>402.21</v>
      </c>
      <c r="F39" s="424">
        <f>估驗單!F35</f>
        <v>402.21</v>
      </c>
      <c r="G39" s="478">
        <f t="shared" si="4"/>
        <v>0</v>
      </c>
      <c r="H39" s="424">
        <v>346.06</v>
      </c>
      <c r="I39" s="424"/>
      <c r="J39" s="424"/>
      <c r="K39" s="424">
        <v>139188.79</v>
      </c>
      <c r="L39" s="424">
        <f t="shared" si="1"/>
        <v>139188.79</v>
      </c>
      <c r="M39" s="424">
        <f t="shared" si="2"/>
        <v>139188.79</v>
      </c>
      <c r="N39" s="478">
        <f t="shared" si="5"/>
        <v>0</v>
      </c>
      <c r="O39" s="530"/>
      <c r="P39" s="264" t="s">
        <v>242</v>
      </c>
      <c r="Q39" s="11" t="s">
        <v>243</v>
      </c>
      <c r="R39" s="574"/>
      <c r="S39" s="427"/>
    </row>
    <row r="40" spans="1:22" ht="42.75">
      <c r="A40" s="421" t="s">
        <v>2290</v>
      </c>
      <c r="B40" s="422" t="s">
        <v>192</v>
      </c>
      <c r="C40" s="423" t="s">
        <v>17</v>
      </c>
      <c r="D40" s="424">
        <v>18865.759999999998</v>
      </c>
      <c r="E40" s="424">
        <v>18865.759999999998</v>
      </c>
      <c r="F40" s="424">
        <f>估驗單!F36</f>
        <v>18865.759999999998</v>
      </c>
      <c r="G40" s="478">
        <f t="shared" si="4"/>
        <v>0</v>
      </c>
      <c r="H40" s="424">
        <v>36.4</v>
      </c>
      <c r="I40" s="424"/>
      <c r="J40" s="424"/>
      <c r="K40" s="424">
        <v>686713.66</v>
      </c>
      <c r="L40" s="424">
        <f t="shared" si="1"/>
        <v>686713.66</v>
      </c>
      <c r="M40" s="424">
        <f t="shared" si="2"/>
        <v>686713.66</v>
      </c>
      <c r="N40" s="478">
        <f t="shared" si="5"/>
        <v>0</v>
      </c>
      <c r="O40" s="530"/>
      <c r="P40" s="264" t="s">
        <v>2543</v>
      </c>
      <c r="Q40" s="11" t="s">
        <v>243</v>
      </c>
      <c r="R40" s="574"/>
      <c r="S40" s="427"/>
    </row>
    <row r="41" spans="1:22" ht="33">
      <c r="A41" s="421" t="s">
        <v>2291</v>
      </c>
      <c r="B41" s="422" t="s">
        <v>315</v>
      </c>
      <c r="C41" s="423" t="s">
        <v>6</v>
      </c>
      <c r="D41" s="424">
        <v>107.91</v>
      </c>
      <c r="E41" s="424">
        <v>107.91</v>
      </c>
      <c r="F41" s="424">
        <f>估驗單!F37</f>
        <v>107.91</v>
      </c>
      <c r="G41" s="478">
        <f t="shared" si="4"/>
        <v>0</v>
      </c>
      <c r="H41" s="424">
        <v>3114.97</v>
      </c>
      <c r="I41" s="424"/>
      <c r="J41" s="424"/>
      <c r="K41" s="424">
        <v>336136.41</v>
      </c>
      <c r="L41" s="424">
        <f t="shared" si="1"/>
        <v>336136.41</v>
      </c>
      <c r="M41" s="424">
        <f t="shared" si="2"/>
        <v>336136.41</v>
      </c>
      <c r="N41" s="478">
        <f t="shared" si="5"/>
        <v>0</v>
      </c>
      <c r="O41" s="530"/>
      <c r="P41" s="264" t="s">
        <v>242</v>
      </c>
      <c r="Q41" s="11" t="s">
        <v>243</v>
      </c>
      <c r="R41" s="574"/>
      <c r="S41" s="427"/>
    </row>
    <row r="42" spans="1:22" ht="33">
      <c r="A42" s="421" t="s">
        <v>2292</v>
      </c>
      <c r="B42" s="422" t="s">
        <v>24</v>
      </c>
      <c r="C42" s="423" t="s">
        <v>6</v>
      </c>
      <c r="D42" s="424">
        <v>564.01</v>
      </c>
      <c r="E42" s="424">
        <v>564.01</v>
      </c>
      <c r="F42" s="424">
        <f>估驗單!F38</f>
        <v>564.01</v>
      </c>
      <c r="G42" s="478">
        <f t="shared" si="4"/>
        <v>0</v>
      </c>
      <c r="H42" s="424">
        <v>3320.96</v>
      </c>
      <c r="I42" s="424"/>
      <c r="J42" s="424"/>
      <c r="K42" s="424">
        <v>1873054.65</v>
      </c>
      <c r="L42" s="424">
        <f t="shared" si="1"/>
        <v>1873054.65</v>
      </c>
      <c r="M42" s="424">
        <f t="shared" si="2"/>
        <v>1873054.65</v>
      </c>
      <c r="N42" s="478">
        <f t="shared" si="5"/>
        <v>0</v>
      </c>
      <c r="O42" s="530"/>
      <c r="P42" s="264" t="s">
        <v>242</v>
      </c>
      <c r="Q42" s="11" t="s">
        <v>243</v>
      </c>
      <c r="R42" s="574"/>
      <c r="S42" s="427"/>
    </row>
    <row r="43" spans="1:22" ht="85.5">
      <c r="A43" s="421" t="s">
        <v>2293</v>
      </c>
      <c r="B43" s="422" t="s">
        <v>193</v>
      </c>
      <c r="C43" s="423" t="s">
        <v>13</v>
      </c>
      <c r="D43" s="424">
        <v>1926.87</v>
      </c>
      <c r="E43" s="424">
        <v>1926.87</v>
      </c>
      <c r="F43" s="424">
        <f>估驗單!F39</f>
        <v>1926.87</v>
      </c>
      <c r="G43" s="478">
        <f t="shared" si="4"/>
        <v>0</v>
      </c>
      <c r="H43" s="424">
        <v>533.61</v>
      </c>
      <c r="I43" s="424"/>
      <c r="J43" s="424"/>
      <c r="K43" s="424">
        <v>1028197.1</v>
      </c>
      <c r="L43" s="424">
        <f t="shared" si="1"/>
        <v>1028197.1</v>
      </c>
      <c r="M43" s="424">
        <f t="shared" si="2"/>
        <v>1028197.1</v>
      </c>
      <c r="N43" s="478">
        <f t="shared" si="5"/>
        <v>0</v>
      </c>
      <c r="O43" s="530"/>
      <c r="P43" s="264" t="s">
        <v>2544</v>
      </c>
      <c r="Q43" s="11" t="s">
        <v>243</v>
      </c>
      <c r="R43" s="574"/>
      <c r="S43" s="427"/>
    </row>
    <row r="44" spans="1:22" ht="57">
      <c r="A44" s="421" t="s">
        <v>2294</v>
      </c>
      <c r="B44" s="422" t="s">
        <v>319</v>
      </c>
      <c r="C44" s="423" t="s">
        <v>13</v>
      </c>
      <c r="D44" s="424">
        <v>301.33</v>
      </c>
      <c r="E44" s="424">
        <v>301.33</v>
      </c>
      <c r="F44" s="424">
        <f>估驗單!F40</f>
        <v>301.33</v>
      </c>
      <c r="G44" s="478">
        <f t="shared" si="4"/>
        <v>0</v>
      </c>
      <c r="H44" s="424">
        <v>1299.82</v>
      </c>
      <c r="I44" s="424"/>
      <c r="J44" s="424"/>
      <c r="K44" s="424">
        <v>391674.76</v>
      </c>
      <c r="L44" s="424">
        <f t="shared" si="1"/>
        <v>391674.76</v>
      </c>
      <c r="M44" s="424">
        <f t="shared" si="2"/>
        <v>391674.76</v>
      </c>
      <c r="N44" s="478">
        <f t="shared" si="5"/>
        <v>0</v>
      </c>
      <c r="O44" s="530"/>
      <c r="P44" s="264" t="s">
        <v>2545</v>
      </c>
      <c r="Q44" s="11" t="s">
        <v>243</v>
      </c>
      <c r="R44" s="574"/>
      <c r="S44" s="427"/>
    </row>
    <row r="45" spans="1:22" ht="57">
      <c r="A45" s="421" t="s">
        <v>2295</v>
      </c>
      <c r="B45" s="422" t="s">
        <v>321</v>
      </c>
      <c r="C45" s="423" t="s">
        <v>17</v>
      </c>
      <c r="D45" s="424">
        <v>5991.34</v>
      </c>
      <c r="E45" s="424">
        <v>5991.34</v>
      </c>
      <c r="F45" s="424">
        <f>估驗單!F41</f>
        <v>14260.384600000001</v>
      </c>
      <c r="G45" s="478">
        <f t="shared" si="4"/>
        <v>8269.0446000000011</v>
      </c>
      <c r="H45" s="424">
        <v>60</v>
      </c>
      <c r="I45" s="424"/>
      <c r="J45" s="424"/>
      <c r="K45" s="424">
        <v>359480.4</v>
      </c>
      <c r="L45" s="424">
        <f t="shared" si="1"/>
        <v>359480.4</v>
      </c>
      <c r="M45" s="424">
        <f t="shared" si="2"/>
        <v>855623.08</v>
      </c>
      <c r="N45" s="478">
        <f t="shared" si="5"/>
        <v>496142.67999999993</v>
      </c>
      <c r="O45" s="530"/>
      <c r="P45" s="264" t="s">
        <v>2546</v>
      </c>
      <c r="Q45" s="11" t="s">
        <v>243</v>
      </c>
      <c r="R45" s="574"/>
      <c r="S45" s="427"/>
    </row>
    <row r="46" spans="1:22" ht="33">
      <c r="A46" s="421" t="s">
        <v>2296</v>
      </c>
      <c r="B46" s="422" t="s">
        <v>323</v>
      </c>
      <c r="C46" s="423" t="s">
        <v>17</v>
      </c>
      <c r="D46" s="424">
        <v>5991.34</v>
      </c>
      <c r="E46" s="424">
        <v>5991.34</v>
      </c>
      <c r="F46" s="424">
        <f>估驗單!F42</f>
        <v>14260.384600000001</v>
      </c>
      <c r="G46" s="478">
        <f t="shared" si="4"/>
        <v>8269.0446000000011</v>
      </c>
      <c r="H46" s="424">
        <v>31.9</v>
      </c>
      <c r="I46" s="424"/>
      <c r="J46" s="424"/>
      <c r="K46" s="424">
        <v>191123.75</v>
      </c>
      <c r="L46" s="424">
        <f t="shared" si="1"/>
        <v>191123.75</v>
      </c>
      <c r="M46" s="424">
        <f t="shared" si="2"/>
        <v>454906.27</v>
      </c>
      <c r="N46" s="478">
        <f t="shared" si="5"/>
        <v>263782.52</v>
      </c>
      <c r="O46" s="530"/>
      <c r="P46" s="264" t="s">
        <v>242</v>
      </c>
      <c r="Q46" s="11" t="s">
        <v>243</v>
      </c>
      <c r="R46" s="574"/>
      <c r="S46" s="427"/>
    </row>
    <row r="47" spans="1:22" ht="57">
      <c r="A47" s="421" t="s">
        <v>2297</v>
      </c>
      <c r="B47" s="422" t="s">
        <v>325</v>
      </c>
      <c r="C47" s="423" t="s">
        <v>17</v>
      </c>
      <c r="D47" s="424">
        <v>1180.03</v>
      </c>
      <c r="E47" s="424">
        <v>1180.03</v>
      </c>
      <c r="F47" s="424">
        <f>估驗單!F43</f>
        <v>1180.03</v>
      </c>
      <c r="G47" s="478">
        <f t="shared" si="4"/>
        <v>0</v>
      </c>
      <c r="H47" s="424">
        <v>107.3</v>
      </c>
      <c r="I47" s="424"/>
      <c r="J47" s="424"/>
      <c r="K47" s="424">
        <v>126617.22</v>
      </c>
      <c r="L47" s="424">
        <f t="shared" si="1"/>
        <v>126617.22</v>
      </c>
      <c r="M47" s="424">
        <f t="shared" si="2"/>
        <v>126617.22</v>
      </c>
      <c r="N47" s="478">
        <f t="shared" si="5"/>
        <v>0</v>
      </c>
      <c r="O47" s="530"/>
      <c r="P47" s="264" t="s">
        <v>2546</v>
      </c>
      <c r="Q47" s="11" t="s">
        <v>243</v>
      </c>
      <c r="R47" s="574"/>
      <c r="S47" s="427"/>
    </row>
    <row r="48" spans="1:22" ht="33">
      <c r="A48" s="421" t="s">
        <v>2298</v>
      </c>
      <c r="B48" s="422" t="s">
        <v>327</v>
      </c>
      <c r="C48" s="423" t="s">
        <v>13</v>
      </c>
      <c r="D48" s="424">
        <v>3879.21</v>
      </c>
      <c r="E48" s="424">
        <v>3879.21</v>
      </c>
      <c r="F48" s="424">
        <f>估驗單!F44</f>
        <v>3879.21</v>
      </c>
      <c r="G48" s="478">
        <f t="shared" si="4"/>
        <v>0</v>
      </c>
      <c r="H48" s="424">
        <v>3092.69</v>
      </c>
      <c r="I48" s="424"/>
      <c r="J48" s="424"/>
      <c r="K48" s="424">
        <v>11997193.970000001</v>
      </c>
      <c r="L48" s="424">
        <f t="shared" si="1"/>
        <v>11997193.970000001</v>
      </c>
      <c r="M48" s="424">
        <f t="shared" si="2"/>
        <v>11997193.970000001</v>
      </c>
      <c r="N48" s="478">
        <f t="shared" si="5"/>
        <v>0</v>
      </c>
      <c r="O48" s="530"/>
      <c r="P48" s="264" t="s">
        <v>242</v>
      </c>
      <c r="Q48" s="11" t="s">
        <v>243</v>
      </c>
      <c r="R48" s="574"/>
      <c r="S48" s="427"/>
    </row>
    <row r="49" spans="1:19" ht="33">
      <c r="A49" s="421" t="s">
        <v>2299</v>
      </c>
      <c r="B49" s="422" t="s">
        <v>329</v>
      </c>
      <c r="C49" s="423" t="s">
        <v>13</v>
      </c>
      <c r="D49" s="424">
        <v>462.9</v>
      </c>
      <c r="E49" s="424">
        <v>462.9</v>
      </c>
      <c r="F49" s="424">
        <f>估驗單!F45</f>
        <v>462.9</v>
      </c>
      <c r="G49" s="478">
        <f t="shared" si="4"/>
        <v>0</v>
      </c>
      <c r="H49" s="424">
        <v>3961.37</v>
      </c>
      <c r="I49" s="424"/>
      <c r="J49" s="424"/>
      <c r="K49" s="424">
        <v>1833718.17</v>
      </c>
      <c r="L49" s="424">
        <f t="shared" si="1"/>
        <v>1833718.17</v>
      </c>
      <c r="M49" s="424">
        <f t="shared" si="2"/>
        <v>1833718.17</v>
      </c>
      <c r="N49" s="478">
        <f t="shared" si="5"/>
        <v>0</v>
      </c>
      <c r="O49" s="530"/>
      <c r="P49" s="264" t="s">
        <v>242</v>
      </c>
      <c r="Q49" s="11" t="s">
        <v>243</v>
      </c>
      <c r="R49" s="574"/>
      <c r="S49" s="427"/>
    </row>
    <row r="50" spans="1:19" ht="33">
      <c r="A50" s="470" t="s">
        <v>2300</v>
      </c>
      <c r="B50" s="471" t="s">
        <v>331</v>
      </c>
      <c r="C50" s="472" t="s">
        <v>13</v>
      </c>
      <c r="D50" s="473">
        <v>5.09</v>
      </c>
      <c r="E50" s="473">
        <v>5.09</v>
      </c>
      <c r="F50" s="473">
        <f>估驗單!F46</f>
        <v>280.3</v>
      </c>
      <c r="G50" s="479">
        <f t="shared" si="4"/>
        <v>275.21000000000004</v>
      </c>
      <c r="H50" s="473">
        <v>3965.59</v>
      </c>
      <c r="I50" s="473"/>
      <c r="J50" s="473"/>
      <c r="K50" s="473">
        <v>20184.849999999999</v>
      </c>
      <c r="L50" s="473">
        <f t="shared" si="1"/>
        <v>20184.849999999999</v>
      </c>
      <c r="M50" s="473">
        <f t="shared" si="2"/>
        <v>1111554.8799999999</v>
      </c>
      <c r="N50" s="479">
        <f t="shared" si="5"/>
        <v>1091370.0299999998</v>
      </c>
      <c r="O50" s="531"/>
      <c r="P50" s="474" t="s">
        <v>242</v>
      </c>
      <c r="Q50" s="11" t="s">
        <v>243</v>
      </c>
      <c r="R50" s="574" t="s">
        <v>2759</v>
      </c>
      <c r="S50" s="427"/>
    </row>
    <row r="51" spans="1:19" ht="33">
      <c r="A51" s="421" t="s">
        <v>2301</v>
      </c>
      <c r="B51" s="422" t="s">
        <v>333</v>
      </c>
      <c r="C51" s="423" t="s">
        <v>13</v>
      </c>
      <c r="D51" s="424">
        <v>18.760000000000002</v>
      </c>
      <c r="E51" s="424">
        <v>18.760000000000002</v>
      </c>
      <c r="F51" s="424">
        <f>估驗單!F47</f>
        <v>18.760000000000002</v>
      </c>
      <c r="G51" s="478">
        <f t="shared" si="4"/>
        <v>0</v>
      </c>
      <c r="H51" s="424">
        <v>3391.22</v>
      </c>
      <c r="I51" s="424"/>
      <c r="J51" s="424"/>
      <c r="K51" s="424">
        <v>63619.29</v>
      </c>
      <c r="L51" s="424">
        <f t="shared" si="1"/>
        <v>63619.29</v>
      </c>
      <c r="M51" s="424">
        <f t="shared" si="2"/>
        <v>63619.29</v>
      </c>
      <c r="N51" s="478">
        <f t="shared" si="5"/>
        <v>0</v>
      </c>
      <c r="O51" s="530"/>
      <c r="P51" s="264" t="s">
        <v>242</v>
      </c>
      <c r="Q51" s="11" t="s">
        <v>243</v>
      </c>
      <c r="R51" s="574"/>
      <c r="S51" s="427"/>
    </row>
    <row r="52" spans="1:19" ht="33">
      <c r="A52" s="421" t="s">
        <v>2302</v>
      </c>
      <c r="B52" s="422" t="s">
        <v>335</v>
      </c>
      <c r="C52" s="423" t="s">
        <v>13</v>
      </c>
      <c r="D52" s="424">
        <v>118.92</v>
      </c>
      <c r="E52" s="424">
        <v>118.92</v>
      </c>
      <c r="F52" s="424">
        <f>估驗單!F48</f>
        <v>118.92</v>
      </c>
      <c r="G52" s="478">
        <f t="shared" si="4"/>
        <v>0</v>
      </c>
      <c r="H52" s="424">
        <v>773.85</v>
      </c>
      <c r="I52" s="424"/>
      <c r="J52" s="424"/>
      <c r="K52" s="424">
        <v>92026.240000000005</v>
      </c>
      <c r="L52" s="424">
        <f t="shared" si="1"/>
        <v>92026.240000000005</v>
      </c>
      <c r="M52" s="424">
        <f t="shared" si="2"/>
        <v>92026.240000000005</v>
      </c>
      <c r="N52" s="478">
        <f t="shared" si="5"/>
        <v>0</v>
      </c>
      <c r="O52" s="530"/>
      <c r="P52" s="264" t="s">
        <v>242</v>
      </c>
      <c r="Q52" s="11" t="s">
        <v>243</v>
      </c>
      <c r="R52" s="574"/>
      <c r="S52" s="427"/>
    </row>
    <row r="53" spans="1:19" ht="33">
      <c r="A53" s="421" t="s">
        <v>2303</v>
      </c>
      <c r="B53" s="422" t="s">
        <v>337</v>
      </c>
      <c r="C53" s="423" t="s">
        <v>13</v>
      </c>
      <c r="D53" s="424">
        <v>173.3</v>
      </c>
      <c r="E53" s="424">
        <v>173.3</v>
      </c>
      <c r="F53" s="424">
        <f>估驗單!F49</f>
        <v>173.3</v>
      </c>
      <c r="G53" s="478">
        <f t="shared" si="4"/>
        <v>0</v>
      </c>
      <c r="H53" s="424">
        <v>948.34</v>
      </c>
      <c r="I53" s="424"/>
      <c r="J53" s="424"/>
      <c r="K53" s="424">
        <v>164347.32</v>
      </c>
      <c r="L53" s="424">
        <f t="shared" si="1"/>
        <v>164347.32</v>
      </c>
      <c r="M53" s="424">
        <f t="shared" si="2"/>
        <v>164347.32</v>
      </c>
      <c r="N53" s="478">
        <f t="shared" si="5"/>
        <v>0</v>
      </c>
      <c r="O53" s="530"/>
      <c r="P53" s="264" t="s">
        <v>242</v>
      </c>
      <c r="Q53" s="11" t="s">
        <v>243</v>
      </c>
      <c r="R53" s="574"/>
      <c r="S53" s="427"/>
    </row>
    <row r="54" spans="1:19" ht="33">
      <c r="A54" s="421" t="s">
        <v>2304</v>
      </c>
      <c r="B54" s="422" t="s">
        <v>339</v>
      </c>
      <c r="C54" s="423" t="s">
        <v>0</v>
      </c>
      <c r="D54" s="424">
        <v>1</v>
      </c>
      <c r="E54" s="424">
        <v>1</v>
      </c>
      <c r="F54" s="424">
        <f>估驗單!F50</f>
        <v>1</v>
      </c>
      <c r="G54" s="478">
        <f t="shared" si="4"/>
        <v>0</v>
      </c>
      <c r="H54" s="424">
        <v>144378.63</v>
      </c>
      <c r="I54" s="424"/>
      <c r="J54" s="424"/>
      <c r="K54" s="424">
        <v>144378.63</v>
      </c>
      <c r="L54" s="424">
        <f t="shared" si="1"/>
        <v>144378.63</v>
      </c>
      <c r="M54" s="424">
        <f t="shared" si="2"/>
        <v>144378.63</v>
      </c>
      <c r="N54" s="478">
        <f t="shared" si="5"/>
        <v>0</v>
      </c>
      <c r="O54" s="530"/>
      <c r="P54" s="264" t="s">
        <v>242</v>
      </c>
      <c r="Q54" s="11" t="s">
        <v>243</v>
      </c>
      <c r="R54" s="574"/>
      <c r="S54" s="427"/>
    </row>
    <row r="55" spans="1:19" ht="33">
      <c r="A55" s="421" t="s">
        <v>2305</v>
      </c>
      <c r="B55" s="422" t="s">
        <v>341</v>
      </c>
      <c r="C55" s="423" t="s">
        <v>223</v>
      </c>
      <c r="D55" s="424">
        <v>156.68</v>
      </c>
      <c r="E55" s="424">
        <v>156.68</v>
      </c>
      <c r="F55" s="424">
        <f>估驗單!F51</f>
        <v>156.68</v>
      </c>
      <c r="G55" s="478">
        <f t="shared" si="4"/>
        <v>0</v>
      </c>
      <c r="H55" s="424">
        <v>145.21</v>
      </c>
      <c r="I55" s="424"/>
      <c r="J55" s="424"/>
      <c r="K55" s="424">
        <v>22751.5</v>
      </c>
      <c r="L55" s="424">
        <f t="shared" si="1"/>
        <v>22751.5</v>
      </c>
      <c r="M55" s="424">
        <f t="shared" si="2"/>
        <v>22751.5</v>
      </c>
      <c r="N55" s="478">
        <f t="shared" si="5"/>
        <v>0</v>
      </c>
      <c r="O55" s="530"/>
      <c r="P55" s="264" t="s">
        <v>242</v>
      </c>
      <c r="Q55" s="11" t="s">
        <v>243</v>
      </c>
      <c r="R55" s="574"/>
      <c r="S55" s="427"/>
    </row>
    <row r="56" spans="1:19" ht="33">
      <c r="A56" s="421" t="s">
        <v>2306</v>
      </c>
      <c r="B56" s="422" t="s">
        <v>343</v>
      </c>
      <c r="C56" s="423" t="s">
        <v>8</v>
      </c>
      <c r="D56" s="424">
        <v>689.86</v>
      </c>
      <c r="E56" s="424">
        <v>689.86</v>
      </c>
      <c r="F56" s="424">
        <f>估驗單!F52</f>
        <v>689.86</v>
      </c>
      <c r="G56" s="478">
        <f t="shared" si="4"/>
        <v>0</v>
      </c>
      <c r="H56" s="424">
        <v>2755.78</v>
      </c>
      <c r="I56" s="424"/>
      <c r="J56" s="424"/>
      <c r="K56" s="424">
        <v>1901102.39</v>
      </c>
      <c r="L56" s="424">
        <f t="shared" si="1"/>
        <v>1901102.39</v>
      </c>
      <c r="M56" s="424">
        <f t="shared" si="2"/>
        <v>1901102.39</v>
      </c>
      <c r="N56" s="478">
        <f t="shared" si="5"/>
        <v>0</v>
      </c>
      <c r="O56" s="530"/>
      <c r="P56" s="264" t="s">
        <v>2530</v>
      </c>
      <c r="Q56" s="11" t="s">
        <v>243</v>
      </c>
      <c r="R56" s="574"/>
      <c r="S56" s="427"/>
    </row>
    <row r="57" spans="1:19" ht="33">
      <c r="A57" s="421" t="s">
        <v>2307</v>
      </c>
      <c r="B57" s="422" t="s">
        <v>345</v>
      </c>
      <c r="C57" s="423" t="s">
        <v>8</v>
      </c>
      <c r="D57" s="424">
        <v>12.91</v>
      </c>
      <c r="E57" s="424">
        <v>12.91</v>
      </c>
      <c r="F57" s="424">
        <f>估驗單!F53</f>
        <v>12.91</v>
      </c>
      <c r="G57" s="478">
        <f t="shared" si="4"/>
        <v>0</v>
      </c>
      <c r="H57" s="424">
        <v>576.77</v>
      </c>
      <c r="I57" s="424"/>
      <c r="J57" s="424"/>
      <c r="K57" s="424">
        <v>7446.1</v>
      </c>
      <c r="L57" s="424">
        <f t="shared" si="1"/>
        <v>7446.1</v>
      </c>
      <c r="M57" s="424">
        <f t="shared" si="2"/>
        <v>7446.1</v>
      </c>
      <c r="N57" s="478">
        <f t="shared" si="5"/>
        <v>0</v>
      </c>
      <c r="O57" s="530"/>
      <c r="P57" s="264" t="s">
        <v>2530</v>
      </c>
      <c r="Q57" s="11" t="s">
        <v>243</v>
      </c>
      <c r="R57" s="574"/>
      <c r="S57" s="427"/>
    </row>
    <row r="58" spans="1:19" ht="33">
      <c r="A58" s="421" t="s">
        <v>2308</v>
      </c>
      <c r="B58" s="422" t="s">
        <v>347</v>
      </c>
      <c r="C58" s="423" t="s">
        <v>8</v>
      </c>
      <c r="D58" s="424">
        <v>56.09</v>
      </c>
      <c r="E58" s="424">
        <v>56.09</v>
      </c>
      <c r="F58" s="424">
        <f>估驗單!F54</f>
        <v>56.09</v>
      </c>
      <c r="G58" s="478">
        <f t="shared" si="4"/>
        <v>0</v>
      </c>
      <c r="H58" s="424">
        <v>615.30999999999995</v>
      </c>
      <c r="I58" s="424"/>
      <c r="J58" s="424"/>
      <c r="K58" s="424">
        <v>34512.74</v>
      </c>
      <c r="L58" s="424">
        <f t="shared" si="1"/>
        <v>34512.74</v>
      </c>
      <c r="M58" s="424">
        <f t="shared" si="2"/>
        <v>34512.74</v>
      </c>
      <c r="N58" s="478">
        <f t="shared" si="5"/>
        <v>0</v>
      </c>
      <c r="O58" s="530"/>
      <c r="P58" s="264" t="s">
        <v>242</v>
      </c>
      <c r="Q58" s="11" t="s">
        <v>243</v>
      </c>
      <c r="R58" s="574"/>
      <c r="S58" s="427"/>
    </row>
    <row r="59" spans="1:19" ht="33">
      <c r="A59" s="421" t="s">
        <v>2309</v>
      </c>
      <c r="B59" s="422" t="s">
        <v>349</v>
      </c>
      <c r="C59" s="423" t="s">
        <v>8</v>
      </c>
      <c r="D59" s="424">
        <v>656.91</v>
      </c>
      <c r="E59" s="424">
        <v>656.91</v>
      </c>
      <c r="F59" s="424">
        <f>估驗單!F55</f>
        <v>656.91</v>
      </c>
      <c r="G59" s="478">
        <f t="shared" si="4"/>
        <v>0</v>
      </c>
      <c r="H59" s="424">
        <v>685.27</v>
      </c>
      <c r="I59" s="424"/>
      <c r="J59" s="424"/>
      <c r="K59" s="424">
        <v>450160.72</v>
      </c>
      <c r="L59" s="424">
        <f t="shared" si="1"/>
        <v>450160.72</v>
      </c>
      <c r="M59" s="424">
        <f t="shared" si="2"/>
        <v>450160.72</v>
      </c>
      <c r="N59" s="478">
        <f t="shared" si="5"/>
        <v>0</v>
      </c>
      <c r="O59" s="530"/>
      <c r="P59" s="264" t="s">
        <v>2530</v>
      </c>
      <c r="Q59" s="11" t="s">
        <v>243</v>
      </c>
      <c r="R59" s="574"/>
      <c r="S59" s="427"/>
    </row>
    <row r="60" spans="1:19" ht="33">
      <c r="A60" s="421" t="s">
        <v>2311</v>
      </c>
      <c r="B60" s="422" t="s">
        <v>351</v>
      </c>
      <c r="C60" s="423" t="s">
        <v>8</v>
      </c>
      <c r="D60" s="424">
        <v>1254.1300000000001</v>
      </c>
      <c r="E60" s="424">
        <v>1254.1300000000001</v>
      </c>
      <c r="F60" s="424">
        <f>估驗單!F56</f>
        <v>1254.1300000000001</v>
      </c>
      <c r="G60" s="478">
        <f t="shared" si="4"/>
        <v>0</v>
      </c>
      <c r="H60" s="424">
        <v>699.69</v>
      </c>
      <c r="I60" s="424"/>
      <c r="J60" s="424"/>
      <c r="K60" s="424">
        <v>877502.22</v>
      </c>
      <c r="L60" s="424">
        <f t="shared" si="1"/>
        <v>877502.22</v>
      </c>
      <c r="M60" s="424">
        <f t="shared" si="2"/>
        <v>877502.22</v>
      </c>
      <c r="N60" s="478">
        <f t="shared" si="5"/>
        <v>0</v>
      </c>
      <c r="O60" s="530"/>
      <c r="P60" s="264" t="s">
        <v>2530</v>
      </c>
      <c r="Q60" s="11" t="s">
        <v>243</v>
      </c>
      <c r="R60" s="574"/>
      <c r="S60" s="427"/>
    </row>
    <row r="61" spans="1:19" ht="33">
      <c r="A61" s="421" t="s">
        <v>2312</v>
      </c>
      <c r="B61" s="422" t="s">
        <v>353</v>
      </c>
      <c r="C61" s="423" t="s">
        <v>8</v>
      </c>
      <c r="D61" s="424">
        <v>44.64</v>
      </c>
      <c r="E61" s="424">
        <v>44.64</v>
      </c>
      <c r="F61" s="424">
        <f>估驗單!F57</f>
        <v>44.64</v>
      </c>
      <c r="G61" s="478">
        <f t="shared" si="4"/>
        <v>0</v>
      </c>
      <c r="H61" s="424">
        <v>1199.27</v>
      </c>
      <c r="I61" s="424"/>
      <c r="J61" s="424"/>
      <c r="K61" s="424">
        <v>53535.41</v>
      </c>
      <c r="L61" s="424">
        <f t="shared" si="1"/>
        <v>53535.41</v>
      </c>
      <c r="M61" s="424">
        <f t="shared" si="2"/>
        <v>53535.41</v>
      </c>
      <c r="N61" s="478">
        <f t="shared" si="5"/>
        <v>0</v>
      </c>
      <c r="O61" s="530"/>
      <c r="P61" s="264" t="s">
        <v>2530</v>
      </c>
      <c r="Q61" s="11" t="s">
        <v>243</v>
      </c>
      <c r="R61" s="574"/>
      <c r="S61" s="427"/>
    </row>
    <row r="62" spans="1:19" ht="33">
      <c r="A62" s="421" t="s">
        <v>2313</v>
      </c>
      <c r="B62" s="422" t="s">
        <v>355</v>
      </c>
      <c r="C62" s="423" t="s">
        <v>8</v>
      </c>
      <c r="D62" s="424">
        <v>142.26</v>
      </c>
      <c r="E62" s="424">
        <v>142.26</v>
      </c>
      <c r="F62" s="424">
        <f>估驗單!F58</f>
        <v>142.26</v>
      </c>
      <c r="G62" s="478">
        <f t="shared" si="4"/>
        <v>0</v>
      </c>
      <c r="H62" s="424">
        <v>57.68</v>
      </c>
      <c r="I62" s="424"/>
      <c r="J62" s="424"/>
      <c r="K62" s="424">
        <v>8205.56</v>
      </c>
      <c r="L62" s="424">
        <f t="shared" si="1"/>
        <v>8205.56</v>
      </c>
      <c r="M62" s="424">
        <f t="shared" si="2"/>
        <v>8205.56</v>
      </c>
      <c r="N62" s="478">
        <f t="shared" si="5"/>
        <v>0</v>
      </c>
      <c r="O62" s="530"/>
      <c r="P62" s="264" t="s">
        <v>2530</v>
      </c>
      <c r="Q62" s="11" t="s">
        <v>243</v>
      </c>
      <c r="R62" s="574"/>
      <c r="S62" s="427"/>
    </row>
    <row r="63" spans="1:19" ht="33">
      <c r="A63" s="421" t="s">
        <v>2315</v>
      </c>
      <c r="B63" s="422" t="s">
        <v>357</v>
      </c>
      <c r="C63" s="423" t="s">
        <v>8</v>
      </c>
      <c r="D63" s="424">
        <v>8.5</v>
      </c>
      <c r="E63" s="424">
        <v>8.5</v>
      </c>
      <c r="F63" s="424">
        <f>估驗單!F59</f>
        <v>8.5</v>
      </c>
      <c r="G63" s="478">
        <f t="shared" si="4"/>
        <v>0</v>
      </c>
      <c r="H63" s="424">
        <v>138.84</v>
      </c>
      <c r="I63" s="424"/>
      <c r="J63" s="424"/>
      <c r="K63" s="424">
        <v>1180.1400000000001</v>
      </c>
      <c r="L63" s="424">
        <f t="shared" si="1"/>
        <v>1180.1400000000001</v>
      </c>
      <c r="M63" s="424">
        <f t="shared" si="2"/>
        <v>1180.1400000000001</v>
      </c>
      <c r="N63" s="478">
        <f t="shared" si="5"/>
        <v>0</v>
      </c>
      <c r="O63" s="530"/>
      <c r="P63" s="264" t="s">
        <v>242</v>
      </c>
      <c r="Q63" s="11" t="s">
        <v>243</v>
      </c>
      <c r="R63" s="574"/>
      <c r="S63" s="427"/>
    </row>
    <row r="64" spans="1:19" ht="33">
      <c r="A64" s="421" t="s">
        <v>2316</v>
      </c>
      <c r="B64" s="422" t="s">
        <v>359</v>
      </c>
      <c r="C64" s="423" t="s">
        <v>13</v>
      </c>
      <c r="D64" s="424">
        <v>20.48</v>
      </c>
      <c r="E64" s="424">
        <v>20.48</v>
      </c>
      <c r="F64" s="424">
        <f>估驗單!F60</f>
        <v>20.48</v>
      </c>
      <c r="G64" s="478">
        <f t="shared" si="4"/>
        <v>0</v>
      </c>
      <c r="H64" s="424">
        <v>2145.31</v>
      </c>
      <c r="I64" s="424"/>
      <c r="J64" s="424"/>
      <c r="K64" s="424">
        <v>43935.95</v>
      </c>
      <c r="L64" s="424">
        <f t="shared" si="1"/>
        <v>43935.95</v>
      </c>
      <c r="M64" s="424">
        <f t="shared" si="2"/>
        <v>43935.95</v>
      </c>
      <c r="N64" s="478">
        <f t="shared" si="5"/>
        <v>0</v>
      </c>
      <c r="O64" s="530"/>
      <c r="P64" s="264" t="s">
        <v>2530</v>
      </c>
      <c r="Q64" s="11" t="s">
        <v>243</v>
      </c>
      <c r="R64" s="574"/>
      <c r="S64" s="427"/>
    </row>
    <row r="65" spans="1:19" ht="33">
      <c r="A65" s="421" t="s">
        <v>2317</v>
      </c>
      <c r="B65" s="422" t="s">
        <v>361</v>
      </c>
      <c r="C65" s="423" t="s">
        <v>8</v>
      </c>
      <c r="D65" s="424">
        <v>56.1</v>
      </c>
      <c r="E65" s="424">
        <v>56.1</v>
      </c>
      <c r="F65" s="424">
        <f>估驗單!F61</f>
        <v>56.1</v>
      </c>
      <c r="G65" s="478">
        <f t="shared" si="4"/>
        <v>0</v>
      </c>
      <c r="H65" s="424">
        <v>511.36</v>
      </c>
      <c r="I65" s="424"/>
      <c r="J65" s="424"/>
      <c r="K65" s="424">
        <v>28687.3</v>
      </c>
      <c r="L65" s="424">
        <f t="shared" si="1"/>
        <v>28687.3</v>
      </c>
      <c r="M65" s="424">
        <f t="shared" si="2"/>
        <v>28687.3</v>
      </c>
      <c r="N65" s="478">
        <f t="shared" si="5"/>
        <v>0</v>
      </c>
      <c r="O65" s="530"/>
      <c r="P65" s="264" t="s">
        <v>242</v>
      </c>
      <c r="Q65" s="11" t="s">
        <v>243</v>
      </c>
      <c r="R65" s="574"/>
      <c r="S65" s="427"/>
    </row>
    <row r="66" spans="1:19" ht="33">
      <c r="A66" s="421" t="s">
        <v>2318</v>
      </c>
      <c r="B66" s="422" t="s">
        <v>363</v>
      </c>
      <c r="C66" s="423" t="s">
        <v>8</v>
      </c>
      <c r="D66" s="424">
        <v>16.600000000000001</v>
      </c>
      <c r="E66" s="424">
        <v>16.600000000000001</v>
      </c>
      <c r="F66" s="424">
        <f>估驗單!F62</f>
        <v>16.600000000000001</v>
      </c>
      <c r="G66" s="478">
        <f t="shared" si="4"/>
        <v>0</v>
      </c>
      <c r="H66" s="424">
        <v>829.1</v>
      </c>
      <c r="I66" s="424"/>
      <c r="J66" s="424"/>
      <c r="K66" s="424">
        <v>13763.06</v>
      </c>
      <c r="L66" s="424">
        <f t="shared" si="1"/>
        <v>13763.06</v>
      </c>
      <c r="M66" s="424">
        <f t="shared" si="2"/>
        <v>13763.06</v>
      </c>
      <c r="N66" s="478">
        <f t="shared" si="5"/>
        <v>0</v>
      </c>
      <c r="O66" s="530"/>
      <c r="P66" s="264" t="s">
        <v>242</v>
      </c>
      <c r="Q66" s="11" t="s">
        <v>243</v>
      </c>
      <c r="R66" s="574"/>
      <c r="S66" s="427"/>
    </row>
    <row r="67" spans="1:19" ht="33">
      <c r="A67" s="421" t="s">
        <v>2319</v>
      </c>
      <c r="B67" s="422" t="s">
        <v>365</v>
      </c>
      <c r="C67" s="423" t="s">
        <v>8</v>
      </c>
      <c r="D67" s="424">
        <v>2</v>
      </c>
      <c r="E67" s="424">
        <v>2</v>
      </c>
      <c r="F67" s="424">
        <f>估驗單!F63</f>
        <v>2</v>
      </c>
      <c r="G67" s="478">
        <f t="shared" si="4"/>
        <v>0</v>
      </c>
      <c r="H67" s="424">
        <v>443.91</v>
      </c>
      <c r="I67" s="424"/>
      <c r="J67" s="424"/>
      <c r="K67" s="424">
        <v>887.82</v>
      </c>
      <c r="L67" s="424">
        <f t="shared" si="1"/>
        <v>887.82</v>
      </c>
      <c r="M67" s="424">
        <f t="shared" si="2"/>
        <v>887.82</v>
      </c>
      <c r="N67" s="478">
        <f t="shared" si="5"/>
        <v>0</v>
      </c>
      <c r="O67" s="530"/>
      <c r="P67" s="264" t="s">
        <v>242</v>
      </c>
      <c r="Q67" s="11" t="s">
        <v>243</v>
      </c>
      <c r="R67" s="574"/>
      <c r="S67" s="427"/>
    </row>
    <row r="68" spans="1:19" ht="33">
      <c r="A68" s="421" t="s">
        <v>2320</v>
      </c>
      <c r="B68" s="422" t="s">
        <v>367</v>
      </c>
      <c r="C68" s="423" t="s">
        <v>0</v>
      </c>
      <c r="D68" s="424">
        <v>7</v>
      </c>
      <c r="E68" s="424">
        <v>7</v>
      </c>
      <c r="F68" s="424">
        <f>估驗單!F64</f>
        <v>7</v>
      </c>
      <c r="G68" s="478">
        <f t="shared" si="4"/>
        <v>0</v>
      </c>
      <c r="H68" s="424">
        <v>26450.3</v>
      </c>
      <c r="I68" s="424"/>
      <c r="J68" s="424"/>
      <c r="K68" s="424">
        <v>185152.1</v>
      </c>
      <c r="L68" s="424">
        <f t="shared" si="1"/>
        <v>185152.1</v>
      </c>
      <c r="M68" s="424">
        <f t="shared" si="2"/>
        <v>185152.1</v>
      </c>
      <c r="N68" s="478">
        <f t="shared" si="5"/>
        <v>0</v>
      </c>
      <c r="O68" s="530"/>
      <c r="P68" s="264" t="s">
        <v>242</v>
      </c>
      <c r="Q68" s="11" t="s">
        <v>243</v>
      </c>
      <c r="R68" s="574"/>
      <c r="S68" s="427"/>
    </row>
    <row r="69" spans="1:19" ht="33">
      <c r="A69" s="421" t="s">
        <v>2321</v>
      </c>
      <c r="B69" s="422" t="s">
        <v>369</v>
      </c>
      <c r="C69" s="423" t="s">
        <v>8</v>
      </c>
      <c r="D69" s="424">
        <v>19.2</v>
      </c>
      <c r="E69" s="424">
        <v>19.2</v>
      </c>
      <c r="F69" s="424">
        <f>估驗單!F65</f>
        <v>19.2</v>
      </c>
      <c r="G69" s="478">
        <f t="shared" si="4"/>
        <v>0</v>
      </c>
      <c r="H69" s="424">
        <v>443.91</v>
      </c>
      <c r="I69" s="424"/>
      <c r="J69" s="424"/>
      <c r="K69" s="424">
        <v>8523.07</v>
      </c>
      <c r="L69" s="424">
        <f t="shared" si="1"/>
        <v>8523.07</v>
      </c>
      <c r="M69" s="424">
        <f t="shared" si="2"/>
        <v>8523.07</v>
      </c>
      <c r="N69" s="478">
        <f t="shared" si="5"/>
        <v>0</v>
      </c>
      <c r="O69" s="530"/>
      <c r="P69" s="264" t="s">
        <v>2530</v>
      </c>
      <c r="Q69" s="11" t="s">
        <v>243</v>
      </c>
      <c r="R69" s="574"/>
      <c r="S69" s="427"/>
    </row>
    <row r="70" spans="1:19" ht="33">
      <c r="A70" s="421" t="s">
        <v>2322</v>
      </c>
      <c r="B70" s="422" t="s">
        <v>372</v>
      </c>
      <c r="C70" s="423" t="s">
        <v>0</v>
      </c>
      <c r="D70" s="424">
        <v>2</v>
      </c>
      <c r="E70" s="424">
        <v>2</v>
      </c>
      <c r="F70" s="424">
        <f>估驗單!F66</f>
        <v>2</v>
      </c>
      <c r="G70" s="478">
        <f t="shared" si="4"/>
        <v>0</v>
      </c>
      <c r="H70" s="424">
        <v>23899.56</v>
      </c>
      <c r="I70" s="424"/>
      <c r="J70" s="424"/>
      <c r="K70" s="424">
        <v>47799.12</v>
      </c>
      <c r="L70" s="424">
        <f t="shared" si="1"/>
        <v>47799.12</v>
      </c>
      <c r="M70" s="424">
        <f t="shared" si="2"/>
        <v>47799.12</v>
      </c>
      <c r="N70" s="478">
        <f t="shared" si="5"/>
        <v>0</v>
      </c>
      <c r="O70" s="530"/>
      <c r="P70" s="264" t="s">
        <v>242</v>
      </c>
      <c r="Q70" s="11" t="s">
        <v>243</v>
      </c>
      <c r="R70" s="574"/>
      <c r="S70" s="427"/>
    </row>
    <row r="71" spans="1:19" ht="33">
      <c r="A71" s="421" t="s">
        <v>2323</v>
      </c>
      <c r="B71" s="422" t="s">
        <v>374</v>
      </c>
      <c r="C71" s="423" t="s">
        <v>0</v>
      </c>
      <c r="D71" s="424">
        <v>8</v>
      </c>
      <c r="E71" s="424">
        <v>8</v>
      </c>
      <c r="F71" s="424">
        <f>估驗單!F67</f>
        <v>8</v>
      </c>
      <c r="G71" s="478">
        <f t="shared" si="4"/>
        <v>0</v>
      </c>
      <c r="H71" s="424">
        <v>25125.57</v>
      </c>
      <c r="I71" s="424"/>
      <c r="J71" s="424"/>
      <c r="K71" s="424">
        <v>201004.56</v>
      </c>
      <c r="L71" s="424">
        <f t="shared" si="1"/>
        <v>201004.56</v>
      </c>
      <c r="M71" s="424">
        <f t="shared" si="2"/>
        <v>201004.56</v>
      </c>
      <c r="N71" s="478">
        <f t="shared" si="5"/>
        <v>0</v>
      </c>
      <c r="O71" s="530"/>
      <c r="P71" s="264" t="s">
        <v>2530</v>
      </c>
      <c r="Q71" s="11" t="s">
        <v>243</v>
      </c>
      <c r="R71" s="574"/>
      <c r="S71" s="427"/>
    </row>
    <row r="72" spans="1:19" ht="33">
      <c r="A72" s="421" t="s">
        <v>2324</v>
      </c>
      <c r="B72" s="422" t="s">
        <v>376</v>
      </c>
      <c r="C72" s="423" t="s">
        <v>0</v>
      </c>
      <c r="D72" s="424">
        <v>3</v>
      </c>
      <c r="E72" s="424">
        <v>3</v>
      </c>
      <c r="F72" s="424">
        <f>估驗單!F68</f>
        <v>3</v>
      </c>
      <c r="G72" s="478">
        <f t="shared" si="4"/>
        <v>0</v>
      </c>
      <c r="H72" s="424">
        <v>24022.04</v>
      </c>
      <c r="I72" s="424"/>
      <c r="J72" s="424"/>
      <c r="K72" s="424">
        <v>72066.12</v>
      </c>
      <c r="L72" s="424">
        <f t="shared" si="1"/>
        <v>72066.12</v>
      </c>
      <c r="M72" s="424">
        <f t="shared" si="2"/>
        <v>72066.12</v>
      </c>
      <c r="N72" s="478">
        <f t="shared" si="5"/>
        <v>0</v>
      </c>
      <c r="O72" s="530"/>
      <c r="P72" s="264" t="s">
        <v>242</v>
      </c>
      <c r="Q72" s="11" t="s">
        <v>243</v>
      </c>
      <c r="R72" s="574"/>
      <c r="S72" s="427"/>
    </row>
    <row r="73" spans="1:19" ht="33">
      <c r="A73" s="421" t="s">
        <v>2325</v>
      </c>
      <c r="B73" s="422" t="s">
        <v>378</v>
      </c>
      <c r="C73" s="423" t="s">
        <v>8</v>
      </c>
      <c r="D73" s="424">
        <v>30.1</v>
      </c>
      <c r="E73" s="424">
        <v>30.1</v>
      </c>
      <c r="F73" s="424">
        <f>估驗單!F69</f>
        <v>30.1</v>
      </c>
      <c r="G73" s="478">
        <f t="shared" si="4"/>
        <v>0</v>
      </c>
      <c r="H73" s="424">
        <v>545.1</v>
      </c>
      <c r="I73" s="424"/>
      <c r="J73" s="424"/>
      <c r="K73" s="424">
        <v>16407.509999999998</v>
      </c>
      <c r="L73" s="424">
        <f t="shared" si="1"/>
        <v>16407.509999999998</v>
      </c>
      <c r="M73" s="424">
        <f t="shared" si="2"/>
        <v>16407.509999999998</v>
      </c>
      <c r="N73" s="478">
        <f t="shared" si="5"/>
        <v>0</v>
      </c>
      <c r="O73" s="530"/>
      <c r="P73" s="264" t="s">
        <v>2530</v>
      </c>
      <c r="Q73" s="11" t="s">
        <v>243</v>
      </c>
      <c r="R73" s="574"/>
      <c r="S73" s="427"/>
    </row>
    <row r="74" spans="1:19" ht="33">
      <c r="A74" s="470" t="s">
        <v>2326</v>
      </c>
      <c r="B74" s="471" t="s">
        <v>380</v>
      </c>
      <c r="C74" s="472" t="s">
        <v>8</v>
      </c>
      <c r="D74" s="473">
        <v>31.2</v>
      </c>
      <c r="E74" s="473">
        <v>31.2</v>
      </c>
      <c r="F74" s="473">
        <f>估驗單!F70</f>
        <v>35.200000000000003</v>
      </c>
      <c r="G74" s="479">
        <f t="shared" si="4"/>
        <v>4.0000000000000036</v>
      </c>
      <c r="H74" s="473">
        <v>8355.11</v>
      </c>
      <c r="I74" s="473"/>
      <c r="J74" s="473"/>
      <c r="K74" s="473">
        <v>260679.43</v>
      </c>
      <c r="L74" s="473">
        <f t="shared" si="1"/>
        <v>260679.43</v>
      </c>
      <c r="M74" s="473">
        <f t="shared" si="2"/>
        <v>294099.87</v>
      </c>
      <c r="N74" s="479">
        <f t="shared" si="5"/>
        <v>33420.44</v>
      </c>
      <c r="O74" s="531"/>
      <c r="P74" s="474" t="s">
        <v>242</v>
      </c>
      <c r="Q74" s="11" t="s">
        <v>243</v>
      </c>
      <c r="R74" s="574"/>
      <c r="S74" s="427"/>
    </row>
    <row r="75" spans="1:19" ht="33">
      <c r="A75" s="470" t="s">
        <v>2327</v>
      </c>
      <c r="B75" s="471" t="s">
        <v>383</v>
      </c>
      <c r="C75" s="472" t="s">
        <v>8</v>
      </c>
      <c r="D75" s="473">
        <v>17.899999999999999</v>
      </c>
      <c r="E75" s="473">
        <v>17.899999999999999</v>
      </c>
      <c r="F75" s="473">
        <f>估驗單!F71</f>
        <v>24.3</v>
      </c>
      <c r="G75" s="479">
        <f t="shared" si="4"/>
        <v>6.4000000000000021</v>
      </c>
      <c r="H75" s="473">
        <v>5394.64</v>
      </c>
      <c r="I75" s="473"/>
      <c r="J75" s="473"/>
      <c r="K75" s="473">
        <v>96564.06</v>
      </c>
      <c r="L75" s="473">
        <f t="shared" si="1"/>
        <v>96564.06</v>
      </c>
      <c r="M75" s="473">
        <f t="shared" si="2"/>
        <v>131089.75</v>
      </c>
      <c r="N75" s="479">
        <f t="shared" si="5"/>
        <v>34525.69</v>
      </c>
      <c r="O75" s="531"/>
      <c r="P75" s="474" t="s">
        <v>242</v>
      </c>
      <c r="Q75" s="11" t="s">
        <v>243</v>
      </c>
      <c r="R75" s="574"/>
      <c r="S75" s="427"/>
    </row>
    <row r="76" spans="1:19" ht="33">
      <c r="A76" s="421" t="s">
        <v>2328</v>
      </c>
      <c r="B76" s="422" t="s">
        <v>386</v>
      </c>
      <c r="C76" s="423" t="s">
        <v>8</v>
      </c>
      <c r="D76" s="424">
        <v>19.600000000000001</v>
      </c>
      <c r="E76" s="424">
        <v>19.600000000000001</v>
      </c>
      <c r="F76" s="424">
        <f>估驗單!F72</f>
        <v>19.600000000000001</v>
      </c>
      <c r="G76" s="478">
        <f t="shared" si="4"/>
        <v>0</v>
      </c>
      <c r="H76" s="424">
        <v>432.57</v>
      </c>
      <c r="I76" s="424"/>
      <c r="J76" s="424"/>
      <c r="K76" s="424">
        <v>8478.3700000000008</v>
      </c>
      <c r="L76" s="424">
        <f t="shared" si="1"/>
        <v>8478.3700000000008</v>
      </c>
      <c r="M76" s="424">
        <f t="shared" si="2"/>
        <v>8478.3700000000008</v>
      </c>
      <c r="N76" s="478">
        <f t="shared" si="5"/>
        <v>0</v>
      </c>
      <c r="O76" s="530"/>
      <c r="P76" s="264" t="s">
        <v>242</v>
      </c>
      <c r="Q76" s="11" t="s">
        <v>243</v>
      </c>
      <c r="R76" s="574"/>
      <c r="S76" s="427"/>
    </row>
    <row r="77" spans="1:19" ht="33">
      <c r="A77" s="421" t="s">
        <v>2329</v>
      </c>
      <c r="B77" s="422" t="s">
        <v>389</v>
      </c>
      <c r="C77" s="423" t="s">
        <v>8</v>
      </c>
      <c r="D77" s="424">
        <v>24.9</v>
      </c>
      <c r="E77" s="424">
        <v>24.9</v>
      </c>
      <c r="F77" s="424">
        <f>估驗單!F73</f>
        <v>24.9</v>
      </c>
      <c r="G77" s="478">
        <f t="shared" si="4"/>
        <v>0</v>
      </c>
      <c r="H77" s="424">
        <v>1224.22</v>
      </c>
      <c r="I77" s="424"/>
      <c r="J77" s="424"/>
      <c r="K77" s="424">
        <v>30483.08</v>
      </c>
      <c r="L77" s="424">
        <f t="shared" ref="L77:L122" si="6">ROUND(E77*H77,2)</f>
        <v>30483.08</v>
      </c>
      <c r="M77" s="424">
        <f t="shared" si="2"/>
        <v>30483.08</v>
      </c>
      <c r="N77" s="478">
        <f t="shared" si="5"/>
        <v>0</v>
      </c>
      <c r="O77" s="530"/>
      <c r="P77" s="264" t="s">
        <v>242</v>
      </c>
      <c r="Q77" s="11" t="s">
        <v>243</v>
      </c>
      <c r="R77" s="574"/>
      <c r="S77" s="427"/>
    </row>
    <row r="78" spans="1:19" ht="33">
      <c r="A78" s="421" t="s">
        <v>2330</v>
      </c>
      <c r="B78" s="422" t="s">
        <v>392</v>
      </c>
      <c r="C78" s="423" t="s">
        <v>8</v>
      </c>
      <c r="D78" s="424">
        <v>3.5</v>
      </c>
      <c r="E78" s="424">
        <v>3.5</v>
      </c>
      <c r="F78" s="424">
        <f>估驗單!F74</f>
        <v>3.5</v>
      </c>
      <c r="G78" s="478">
        <f t="shared" si="4"/>
        <v>0</v>
      </c>
      <c r="H78" s="424">
        <v>1148.6300000000001</v>
      </c>
      <c r="I78" s="424"/>
      <c r="J78" s="424"/>
      <c r="K78" s="424">
        <v>4020.21</v>
      </c>
      <c r="L78" s="424">
        <f t="shared" si="6"/>
        <v>4020.21</v>
      </c>
      <c r="M78" s="424">
        <f t="shared" ref="M78:M122" si="7">ROUND(F78*H78,2)</f>
        <v>4020.21</v>
      </c>
      <c r="N78" s="478">
        <f t="shared" si="5"/>
        <v>0</v>
      </c>
      <c r="O78" s="530"/>
      <c r="P78" s="264" t="s">
        <v>242</v>
      </c>
      <c r="Q78" s="11" t="s">
        <v>243</v>
      </c>
      <c r="R78" s="574"/>
      <c r="S78" s="427"/>
    </row>
    <row r="79" spans="1:19" ht="33">
      <c r="A79" s="421" t="s">
        <v>2331</v>
      </c>
      <c r="B79" s="422" t="s">
        <v>395</v>
      </c>
      <c r="C79" s="423" t="s">
        <v>0</v>
      </c>
      <c r="D79" s="424">
        <v>1</v>
      </c>
      <c r="E79" s="424">
        <v>1</v>
      </c>
      <c r="F79" s="424">
        <f>估驗單!F75</f>
        <v>1</v>
      </c>
      <c r="G79" s="478">
        <f t="shared" si="4"/>
        <v>0</v>
      </c>
      <c r="H79" s="424">
        <v>5698.63</v>
      </c>
      <c r="I79" s="424"/>
      <c r="J79" s="424"/>
      <c r="K79" s="424">
        <v>5698.63</v>
      </c>
      <c r="L79" s="424">
        <f t="shared" si="6"/>
        <v>5698.63</v>
      </c>
      <c r="M79" s="424">
        <f t="shared" si="7"/>
        <v>5698.63</v>
      </c>
      <c r="N79" s="478">
        <f t="shared" si="5"/>
        <v>0</v>
      </c>
      <c r="O79" s="530"/>
      <c r="P79" s="264" t="s">
        <v>242</v>
      </c>
      <c r="Q79" s="11" t="s">
        <v>243</v>
      </c>
      <c r="R79" s="574"/>
      <c r="S79" s="427"/>
    </row>
    <row r="80" spans="1:19" ht="33">
      <c r="A80" s="421" t="s">
        <v>2332</v>
      </c>
      <c r="B80" s="422" t="s">
        <v>398</v>
      </c>
      <c r="C80" s="423" t="s">
        <v>0</v>
      </c>
      <c r="D80" s="424">
        <v>1</v>
      </c>
      <c r="E80" s="424">
        <v>1</v>
      </c>
      <c r="F80" s="424">
        <f>估驗單!F76</f>
        <v>1</v>
      </c>
      <c r="G80" s="478">
        <f t="shared" si="4"/>
        <v>0</v>
      </c>
      <c r="H80" s="424">
        <v>5963.22</v>
      </c>
      <c r="I80" s="424"/>
      <c r="J80" s="424"/>
      <c r="K80" s="424">
        <v>5963.22</v>
      </c>
      <c r="L80" s="424">
        <f t="shared" si="6"/>
        <v>5963.22</v>
      </c>
      <c r="M80" s="424">
        <f t="shared" si="7"/>
        <v>5963.22</v>
      </c>
      <c r="N80" s="478">
        <f t="shared" si="5"/>
        <v>0</v>
      </c>
      <c r="O80" s="530"/>
      <c r="P80" s="264" t="s">
        <v>242</v>
      </c>
      <c r="Q80" s="11" t="s">
        <v>243</v>
      </c>
      <c r="R80" s="574"/>
      <c r="S80" s="427"/>
    </row>
    <row r="81" spans="1:19" ht="33">
      <c r="A81" s="421" t="s">
        <v>2333</v>
      </c>
      <c r="B81" s="422" t="s">
        <v>401</v>
      </c>
      <c r="C81" s="423" t="s">
        <v>0</v>
      </c>
      <c r="D81" s="424">
        <v>1</v>
      </c>
      <c r="E81" s="424">
        <v>1</v>
      </c>
      <c r="F81" s="424">
        <f>估驗單!F77</f>
        <v>1</v>
      </c>
      <c r="G81" s="478">
        <f t="shared" si="4"/>
        <v>0</v>
      </c>
      <c r="H81" s="424">
        <v>1421.11</v>
      </c>
      <c r="I81" s="424"/>
      <c r="J81" s="424"/>
      <c r="K81" s="424">
        <v>1421.11</v>
      </c>
      <c r="L81" s="424">
        <f t="shared" si="6"/>
        <v>1421.11</v>
      </c>
      <c r="M81" s="424">
        <f t="shared" si="7"/>
        <v>1421.11</v>
      </c>
      <c r="N81" s="478">
        <f t="shared" si="5"/>
        <v>0</v>
      </c>
      <c r="O81" s="530"/>
      <c r="P81" s="264" t="s">
        <v>242</v>
      </c>
      <c r="Q81" s="11" t="s">
        <v>243</v>
      </c>
      <c r="R81" s="574"/>
      <c r="S81" s="427"/>
    </row>
    <row r="82" spans="1:19" ht="33">
      <c r="A82" s="421" t="s">
        <v>2334</v>
      </c>
      <c r="B82" s="422" t="s">
        <v>404</v>
      </c>
      <c r="C82" s="423" t="s">
        <v>0</v>
      </c>
      <c r="D82" s="424">
        <v>1</v>
      </c>
      <c r="E82" s="424">
        <v>1</v>
      </c>
      <c r="F82" s="424">
        <f>估驗單!F78</f>
        <v>1</v>
      </c>
      <c r="G82" s="478">
        <f t="shared" si="4"/>
        <v>0</v>
      </c>
      <c r="H82" s="424">
        <v>4031.83</v>
      </c>
      <c r="I82" s="424"/>
      <c r="J82" s="424"/>
      <c r="K82" s="424">
        <v>4031.83</v>
      </c>
      <c r="L82" s="424">
        <f t="shared" si="6"/>
        <v>4031.83</v>
      </c>
      <c r="M82" s="424">
        <f t="shared" si="7"/>
        <v>4031.83</v>
      </c>
      <c r="N82" s="478">
        <f t="shared" si="5"/>
        <v>0</v>
      </c>
      <c r="O82" s="530"/>
      <c r="P82" s="264" t="s">
        <v>242</v>
      </c>
      <c r="Q82" s="11" t="s">
        <v>243</v>
      </c>
      <c r="R82" s="574"/>
      <c r="S82" s="427"/>
    </row>
    <row r="83" spans="1:19" ht="33">
      <c r="A83" s="421" t="s">
        <v>2335</v>
      </c>
      <c r="B83" s="422" t="s">
        <v>407</v>
      </c>
      <c r="C83" s="423" t="s">
        <v>0</v>
      </c>
      <c r="D83" s="424">
        <v>1</v>
      </c>
      <c r="E83" s="424">
        <v>1</v>
      </c>
      <c r="F83" s="424">
        <f>估驗單!F79</f>
        <v>1</v>
      </c>
      <c r="G83" s="478">
        <f t="shared" si="4"/>
        <v>0</v>
      </c>
      <c r="H83" s="424">
        <v>3313.67</v>
      </c>
      <c r="I83" s="424"/>
      <c r="J83" s="424"/>
      <c r="K83" s="424">
        <v>3313.67</v>
      </c>
      <c r="L83" s="424">
        <f t="shared" si="6"/>
        <v>3313.67</v>
      </c>
      <c r="M83" s="424">
        <f t="shared" si="7"/>
        <v>3313.67</v>
      </c>
      <c r="N83" s="478">
        <f t="shared" si="5"/>
        <v>0</v>
      </c>
      <c r="O83" s="530"/>
      <c r="P83" s="264" t="s">
        <v>242</v>
      </c>
      <c r="Q83" s="11" t="s">
        <v>243</v>
      </c>
      <c r="R83" s="574"/>
      <c r="S83" s="427"/>
    </row>
    <row r="84" spans="1:19" ht="33">
      <c r="A84" s="421" t="s">
        <v>2336</v>
      </c>
      <c r="B84" s="422" t="s">
        <v>410</v>
      </c>
      <c r="C84" s="423" t="s">
        <v>8</v>
      </c>
      <c r="D84" s="424">
        <v>149.5</v>
      </c>
      <c r="E84" s="424">
        <v>149.5</v>
      </c>
      <c r="F84" s="424">
        <f>估驗單!F80</f>
        <v>149.5</v>
      </c>
      <c r="G84" s="478">
        <f t="shared" si="4"/>
        <v>0</v>
      </c>
      <c r="H84" s="424">
        <v>1975.94</v>
      </c>
      <c r="I84" s="424"/>
      <c r="J84" s="424"/>
      <c r="K84" s="424">
        <v>295403.03000000003</v>
      </c>
      <c r="L84" s="424">
        <f t="shared" si="6"/>
        <v>295403.03000000003</v>
      </c>
      <c r="M84" s="424">
        <f t="shared" si="7"/>
        <v>295403.03000000003</v>
      </c>
      <c r="N84" s="478">
        <f t="shared" si="5"/>
        <v>0</v>
      </c>
      <c r="O84" s="530"/>
      <c r="P84" s="264" t="s">
        <v>242</v>
      </c>
      <c r="Q84" s="11" t="s">
        <v>243</v>
      </c>
      <c r="R84" s="574"/>
      <c r="S84" s="427"/>
    </row>
    <row r="85" spans="1:19" ht="33">
      <c r="A85" s="421" t="s">
        <v>2337</v>
      </c>
      <c r="B85" s="422" t="s">
        <v>413</v>
      </c>
      <c r="C85" s="423" t="s">
        <v>8</v>
      </c>
      <c r="D85" s="424">
        <v>39.299999999999997</v>
      </c>
      <c r="E85" s="424">
        <v>39.299999999999997</v>
      </c>
      <c r="F85" s="424">
        <f>估驗單!F81</f>
        <v>39.299999999999997</v>
      </c>
      <c r="G85" s="478">
        <f t="shared" si="4"/>
        <v>0</v>
      </c>
      <c r="H85" s="424">
        <v>4874.2299999999996</v>
      </c>
      <c r="I85" s="424"/>
      <c r="J85" s="424"/>
      <c r="K85" s="424">
        <v>191557.24</v>
      </c>
      <c r="L85" s="424">
        <f t="shared" si="6"/>
        <v>191557.24</v>
      </c>
      <c r="M85" s="424">
        <f t="shared" si="7"/>
        <v>191557.24</v>
      </c>
      <c r="N85" s="478">
        <f t="shared" si="5"/>
        <v>0</v>
      </c>
      <c r="O85" s="530"/>
      <c r="P85" s="264" t="s">
        <v>242</v>
      </c>
      <c r="Q85" s="11" t="s">
        <v>243</v>
      </c>
      <c r="R85" s="574"/>
      <c r="S85" s="427"/>
    </row>
    <row r="86" spans="1:19" ht="33">
      <c r="A86" s="421" t="s">
        <v>2338</v>
      </c>
      <c r="B86" s="422" t="s">
        <v>416</v>
      </c>
      <c r="C86" s="423" t="s">
        <v>8</v>
      </c>
      <c r="D86" s="424">
        <v>51.3</v>
      </c>
      <c r="E86" s="424">
        <v>51.3</v>
      </c>
      <c r="F86" s="424">
        <f>估驗單!F82</f>
        <v>51.3</v>
      </c>
      <c r="G86" s="478">
        <f t="shared" si="4"/>
        <v>0</v>
      </c>
      <c r="H86" s="424">
        <v>2938.96</v>
      </c>
      <c r="I86" s="424"/>
      <c r="J86" s="424"/>
      <c r="K86" s="424">
        <v>150768.65</v>
      </c>
      <c r="L86" s="424">
        <f t="shared" si="6"/>
        <v>150768.65</v>
      </c>
      <c r="M86" s="424">
        <f t="shared" si="7"/>
        <v>150768.65</v>
      </c>
      <c r="N86" s="478">
        <f t="shared" si="5"/>
        <v>0</v>
      </c>
      <c r="O86" s="530"/>
      <c r="P86" s="264" t="s">
        <v>242</v>
      </c>
      <c r="Q86" s="11" t="s">
        <v>243</v>
      </c>
      <c r="R86" s="574"/>
      <c r="S86" s="427"/>
    </row>
    <row r="87" spans="1:19" ht="33">
      <c r="A87" s="421" t="s">
        <v>2339</v>
      </c>
      <c r="B87" s="422" t="s">
        <v>419</v>
      </c>
      <c r="C87" s="423" t="s">
        <v>0</v>
      </c>
      <c r="D87" s="424">
        <v>1</v>
      </c>
      <c r="E87" s="424">
        <v>1</v>
      </c>
      <c r="F87" s="424">
        <f>估驗單!F83</f>
        <v>1</v>
      </c>
      <c r="G87" s="478">
        <f t="shared" si="4"/>
        <v>0</v>
      </c>
      <c r="H87" s="424">
        <v>23029.53</v>
      </c>
      <c r="I87" s="424"/>
      <c r="J87" s="424"/>
      <c r="K87" s="424">
        <v>23029.53</v>
      </c>
      <c r="L87" s="424">
        <f t="shared" si="6"/>
        <v>23029.53</v>
      </c>
      <c r="M87" s="424">
        <f t="shared" si="7"/>
        <v>23029.53</v>
      </c>
      <c r="N87" s="478">
        <f t="shared" si="5"/>
        <v>0</v>
      </c>
      <c r="O87" s="530"/>
      <c r="P87" s="264" t="s">
        <v>2530</v>
      </c>
      <c r="Q87" s="11" t="s">
        <v>243</v>
      </c>
      <c r="R87" s="574"/>
      <c r="S87" s="427"/>
    </row>
    <row r="88" spans="1:19" ht="33">
      <c r="A88" s="421" t="s">
        <v>2340</v>
      </c>
      <c r="B88" s="422" t="s">
        <v>422</v>
      </c>
      <c r="C88" s="423" t="s">
        <v>0</v>
      </c>
      <c r="D88" s="424">
        <v>2</v>
      </c>
      <c r="E88" s="424">
        <v>2</v>
      </c>
      <c r="F88" s="424">
        <f>估驗單!F84</f>
        <v>2</v>
      </c>
      <c r="G88" s="478">
        <f t="shared" si="4"/>
        <v>0</v>
      </c>
      <c r="H88" s="424">
        <v>18604.87</v>
      </c>
      <c r="I88" s="424"/>
      <c r="J88" s="424"/>
      <c r="K88" s="424">
        <v>37209.74</v>
      </c>
      <c r="L88" s="424">
        <f t="shared" si="6"/>
        <v>37209.74</v>
      </c>
      <c r="M88" s="424">
        <f t="shared" si="7"/>
        <v>37209.74</v>
      </c>
      <c r="N88" s="478">
        <f t="shared" si="5"/>
        <v>0</v>
      </c>
      <c r="O88" s="530"/>
      <c r="P88" s="264" t="s">
        <v>2530</v>
      </c>
      <c r="Q88" s="11" t="s">
        <v>243</v>
      </c>
      <c r="R88" s="574"/>
      <c r="S88" s="427"/>
    </row>
    <row r="89" spans="1:19" ht="33">
      <c r="A89" s="421" t="s">
        <v>2341</v>
      </c>
      <c r="B89" s="422" t="s">
        <v>425</v>
      </c>
      <c r="C89" s="423" t="s">
        <v>0</v>
      </c>
      <c r="D89" s="424">
        <v>1</v>
      </c>
      <c r="E89" s="424">
        <v>1</v>
      </c>
      <c r="F89" s="424">
        <f>估驗單!F85</f>
        <v>1</v>
      </c>
      <c r="G89" s="478">
        <f t="shared" si="4"/>
        <v>0</v>
      </c>
      <c r="H89" s="424">
        <v>18604.87</v>
      </c>
      <c r="I89" s="424"/>
      <c r="J89" s="424"/>
      <c r="K89" s="424">
        <v>18604.87</v>
      </c>
      <c r="L89" s="424">
        <f t="shared" si="6"/>
        <v>18604.87</v>
      </c>
      <c r="M89" s="424">
        <f t="shared" si="7"/>
        <v>18604.87</v>
      </c>
      <c r="N89" s="478">
        <f t="shared" si="5"/>
        <v>0</v>
      </c>
      <c r="O89" s="530"/>
      <c r="P89" s="264" t="s">
        <v>242</v>
      </c>
      <c r="Q89" s="11" t="s">
        <v>243</v>
      </c>
      <c r="R89" s="574"/>
      <c r="S89" s="427"/>
    </row>
    <row r="90" spans="1:19" ht="33">
      <c r="A90" s="421" t="s">
        <v>2342</v>
      </c>
      <c r="B90" s="422" t="s">
        <v>428</v>
      </c>
      <c r="C90" s="423" t="s">
        <v>0</v>
      </c>
      <c r="D90" s="424">
        <v>2</v>
      </c>
      <c r="E90" s="424">
        <v>2</v>
      </c>
      <c r="F90" s="424">
        <f>估驗單!F86</f>
        <v>2</v>
      </c>
      <c r="G90" s="478">
        <f t="shared" ref="G90:G153" si="8">F90-E90</f>
        <v>0</v>
      </c>
      <c r="H90" s="424">
        <v>11654.82</v>
      </c>
      <c r="I90" s="424"/>
      <c r="J90" s="424"/>
      <c r="K90" s="424">
        <v>23309.64</v>
      </c>
      <c r="L90" s="424">
        <f t="shared" si="6"/>
        <v>23309.64</v>
      </c>
      <c r="M90" s="424">
        <f t="shared" si="7"/>
        <v>23309.64</v>
      </c>
      <c r="N90" s="478">
        <f t="shared" si="5"/>
        <v>0</v>
      </c>
      <c r="O90" s="530"/>
      <c r="P90" s="264" t="s">
        <v>242</v>
      </c>
      <c r="Q90" s="11" t="s">
        <v>243</v>
      </c>
      <c r="R90" s="574"/>
      <c r="S90" s="427"/>
    </row>
    <row r="91" spans="1:19" ht="33">
      <c r="A91" s="421" t="s">
        <v>2343</v>
      </c>
      <c r="B91" s="422" t="s">
        <v>431</v>
      </c>
      <c r="C91" s="423" t="s">
        <v>0</v>
      </c>
      <c r="D91" s="424">
        <v>2</v>
      </c>
      <c r="E91" s="424">
        <v>2</v>
      </c>
      <c r="F91" s="424">
        <f>估驗單!F87</f>
        <v>2</v>
      </c>
      <c r="G91" s="478">
        <f t="shared" si="8"/>
        <v>0</v>
      </c>
      <c r="H91" s="424">
        <v>25107.48</v>
      </c>
      <c r="I91" s="424"/>
      <c r="J91" s="424"/>
      <c r="K91" s="424">
        <v>50214.96</v>
      </c>
      <c r="L91" s="424">
        <f t="shared" si="6"/>
        <v>50214.96</v>
      </c>
      <c r="M91" s="424">
        <f t="shared" si="7"/>
        <v>50214.96</v>
      </c>
      <c r="N91" s="478">
        <f t="shared" si="5"/>
        <v>0</v>
      </c>
      <c r="O91" s="530"/>
      <c r="P91" s="264" t="s">
        <v>242</v>
      </c>
      <c r="Q91" s="11" t="s">
        <v>243</v>
      </c>
      <c r="R91" s="574"/>
      <c r="S91" s="427"/>
    </row>
    <row r="92" spans="1:19" ht="33">
      <c r="A92" s="421" t="s">
        <v>2344</v>
      </c>
      <c r="B92" s="422" t="s">
        <v>434</v>
      </c>
      <c r="C92" s="423" t="s">
        <v>0</v>
      </c>
      <c r="D92" s="424">
        <v>1</v>
      </c>
      <c r="E92" s="424">
        <v>1</v>
      </c>
      <c r="F92" s="424">
        <f>估驗單!F88</f>
        <v>1</v>
      </c>
      <c r="G92" s="478">
        <f t="shared" si="8"/>
        <v>0</v>
      </c>
      <c r="H92" s="424">
        <v>22415.66</v>
      </c>
      <c r="I92" s="424"/>
      <c r="J92" s="424"/>
      <c r="K92" s="424">
        <v>22415.66</v>
      </c>
      <c r="L92" s="424">
        <f t="shared" si="6"/>
        <v>22415.66</v>
      </c>
      <c r="M92" s="424">
        <f t="shared" si="7"/>
        <v>22415.66</v>
      </c>
      <c r="N92" s="478">
        <f t="shared" si="5"/>
        <v>0</v>
      </c>
      <c r="O92" s="530"/>
      <c r="P92" s="264" t="s">
        <v>242</v>
      </c>
      <c r="Q92" s="11" t="s">
        <v>243</v>
      </c>
      <c r="R92" s="574"/>
      <c r="S92" s="427"/>
    </row>
    <row r="93" spans="1:19" ht="33">
      <c r="A93" s="421" t="s">
        <v>2345</v>
      </c>
      <c r="B93" s="422" t="s">
        <v>437</v>
      </c>
      <c r="C93" s="423" t="s">
        <v>0</v>
      </c>
      <c r="D93" s="424">
        <v>1</v>
      </c>
      <c r="E93" s="424">
        <v>1</v>
      </c>
      <c r="F93" s="424">
        <f>估驗單!F89</f>
        <v>1</v>
      </c>
      <c r="G93" s="478">
        <f t="shared" si="8"/>
        <v>0</v>
      </c>
      <c r="H93" s="424">
        <v>21723.54</v>
      </c>
      <c r="I93" s="424"/>
      <c r="J93" s="424"/>
      <c r="K93" s="424">
        <v>21723.54</v>
      </c>
      <c r="L93" s="424">
        <f t="shared" si="6"/>
        <v>21723.54</v>
      </c>
      <c r="M93" s="424">
        <f t="shared" si="7"/>
        <v>21723.54</v>
      </c>
      <c r="N93" s="478">
        <f t="shared" si="5"/>
        <v>0</v>
      </c>
      <c r="O93" s="530"/>
      <c r="P93" s="264" t="s">
        <v>242</v>
      </c>
      <c r="Q93" s="11" t="s">
        <v>243</v>
      </c>
      <c r="R93" s="574"/>
      <c r="S93" s="427"/>
    </row>
    <row r="94" spans="1:19" ht="33">
      <c r="A94" s="421" t="s">
        <v>2346</v>
      </c>
      <c r="B94" s="422" t="s">
        <v>440</v>
      </c>
      <c r="C94" s="423" t="s">
        <v>0</v>
      </c>
      <c r="D94" s="424">
        <v>1</v>
      </c>
      <c r="E94" s="424">
        <v>1</v>
      </c>
      <c r="F94" s="424">
        <f>估驗單!F90</f>
        <v>1</v>
      </c>
      <c r="G94" s="478">
        <f t="shared" si="8"/>
        <v>0</v>
      </c>
      <c r="H94" s="424">
        <v>22646.36</v>
      </c>
      <c r="I94" s="424"/>
      <c r="J94" s="424"/>
      <c r="K94" s="424">
        <v>22646.36</v>
      </c>
      <c r="L94" s="424">
        <f t="shared" si="6"/>
        <v>22646.36</v>
      </c>
      <c r="M94" s="424">
        <f t="shared" si="7"/>
        <v>22646.36</v>
      </c>
      <c r="N94" s="478">
        <f t="shared" si="5"/>
        <v>0</v>
      </c>
      <c r="O94" s="530"/>
      <c r="P94" s="264" t="s">
        <v>242</v>
      </c>
      <c r="Q94" s="11" t="s">
        <v>243</v>
      </c>
      <c r="R94" s="574"/>
      <c r="S94" s="427"/>
    </row>
    <row r="95" spans="1:19" ht="33">
      <c r="A95" s="421" t="s">
        <v>2347</v>
      </c>
      <c r="B95" s="422" t="s">
        <v>443</v>
      </c>
      <c r="C95" s="423" t="s">
        <v>0</v>
      </c>
      <c r="D95" s="424">
        <v>4</v>
      </c>
      <c r="E95" s="424">
        <v>4</v>
      </c>
      <c r="F95" s="424">
        <f>估驗單!F91</f>
        <v>4</v>
      </c>
      <c r="G95" s="478">
        <f t="shared" si="8"/>
        <v>0</v>
      </c>
      <c r="H95" s="424">
        <v>17340.05</v>
      </c>
      <c r="I95" s="424"/>
      <c r="J95" s="424"/>
      <c r="K95" s="424">
        <v>69360.2</v>
      </c>
      <c r="L95" s="424">
        <f t="shared" si="6"/>
        <v>69360.2</v>
      </c>
      <c r="M95" s="424">
        <f t="shared" si="7"/>
        <v>69360.2</v>
      </c>
      <c r="N95" s="478">
        <f t="shared" si="5"/>
        <v>0</v>
      </c>
      <c r="O95" s="530"/>
      <c r="P95" s="264" t="s">
        <v>242</v>
      </c>
      <c r="Q95" s="11" t="s">
        <v>243</v>
      </c>
      <c r="R95" s="574"/>
      <c r="S95" s="427"/>
    </row>
    <row r="96" spans="1:19" ht="33">
      <c r="A96" s="421" t="s">
        <v>2348</v>
      </c>
      <c r="B96" s="422" t="s">
        <v>446</v>
      </c>
      <c r="C96" s="423" t="s">
        <v>0</v>
      </c>
      <c r="D96" s="424">
        <v>6</v>
      </c>
      <c r="E96" s="424">
        <v>6</v>
      </c>
      <c r="F96" s="424">
        <f>估驗單!F92</f>
        <v>6</v>
      </c>
      <c r="G96" s="478">
        <f t="shared" si="8"/>
        <v>0</v>
      </c>
      <c r="H96" s="424">
        <v>17340.05</v>
      </c>
      <c r="I96" s="424"/>
      <c r="J96" s="424"/>
      <c r="K96" s="424">
        <v>104040.3</v>
      </c>
      <c r="L96" s="424">
        <f t="shared" si="6"/>
        <v>104040.3</v>
      </c>
      <c r="M96" s="424">
        <f t="shared" si="7"/>
        <v>104040.3</v>
      </c>
      <c r="N96" s="478">
        <f t="shared" si="5"/>
        <v>0</v>
      </c>
      <c r="O96" s="530"/>
      <c r="P96" s="264" t="s">
        <v>242</v>
      </c>
      <c r="Q96" s="11" t="s">
        <v>243</v>
      </c>
      <c r="R96" s="574"/>
      <c r="S96" s="427"/>
    </row>
    <row r="97" spans="1:19" ht="33">
      <c r="A97" s="421" t="s">
        <v>2349</v>
      </c>
      <c r="B97" s="422" t="s">
        <v>449</v>
      </c>
      <c r="C97" s="423" t="s">
        <v>0</v>
      </c>
      <c r="D97" s="424">
        <v>1</v>
      </c>
      <c r="E97" s="424">
        <v>1</v>
      </c>
      <c r="F97" s="424">
        <f>估驗單!F93</f>
        <v>1</v>
      </c>
      <c r="G97" s="478">
        <f t="shared" si="8"/>
        <v>0</v>
      </c>
      <c r="H97" s="424">
        <v>17496.650000000001</v>
      </c>
      <c r="I97" s="424"/>
      <c r="J97" s="424"/>
      <c r="K97" s="424">
        <v>17496.650000000001</v>
      </c>
      <c r="L97" s="424">
        <f t="shared" si="6"/>
        <v>17496.650000000001</v>
      </c>
      <c r="M97" s="424">
        <f t="shared" si="7"/>
        <v>17496.650000000001</v>
      </c>
      <c r="N97" s="478">
        <f t="shared" si="5"/>
        <v>0</v>
      </c>
      <c r="O97" s="530"/>
      <c r="P97" s="264" t="s">
        <v>242</v>
      </c>
      <c r="Q97" s="11" t="s">
        <v>243</v>
      </c>
      <c r="R97" s="574"/>
      <c r="S97" s="427"/>
    </row>
    <row r="98" spans="1:19" ht="33">
      <c r="A98" s="421" t="s">
        <v>2350</v>
      </c>
      <c r="B98" s="422" t="s">
        <v>452</v>
      </c>
      <c r="C98" s="423" t="s">
        <v>0</v>
      </c>
      <c r="D98" s="424">
        <v>1</v>
      </c>
      <c r="E98" s="424">
        <v>1</v>
      </c>
      <c r="F98" s="424">
        <f>估驗單!F94</f>
        <v>1</v>
      </c>
      <c r="G98" s="478">
        <f t="shared" si="8"/>
        <v>0</v>
      </c>
      <c r="H98" s="424">
        <v>1501.66</v>
      </c>
      <c r="I98" s="424"/>
      <c r="J98" s="424"/>
      <c r="K98" s="424">
        <v>1501.66</v>
      </c>
      <c r="L98" s="424">
        <f t="shared" si="6"/>
        <v>1501.66</v>
      </c>
      <c r="M98" s="424">
        <f t="shared" si="7"/>
        <v>1501.66</v>
      </c>
      <c r="N98" s="478">
        <f t="shared" si="5"/>
        <v>0</v>
      </c>
      <c r="O98" s="530"/>
      <c r="P98" s="264" t="s">
        <v>242</v>
      </c>
      <c r="Q98" s="11" t="s">
        <v>243</v>
      </c>
      <c r="R98" s="574"/>
      <c r="S98" s="427"/>
    </row>
    <row r="99" spans="1:19" ht="33">
      <c r="A99" s="421" t="s">
        <v>2351</v>
      </c>
      <c r="B99" s="422" t="s">
        <v>455</v>
      </c>
      <c r="C99" s="423" t="s">
        <v>0</v>
      </c>
      <c r="D99" s="424">
        <v>1</v>
      </c>
      <c r="E99" s="424">
        <v>1</v>
      </c>
      <c r="F99" s="424">
        <f>估驗單!F95</f>
        <v>1</v>
      </c>
      <c r="G99" s="478">
        <f t="shared" si="8"/>
        <v>0</v>
      </c>
      <c r="H99" s="424">
        <v>1240.05</v>
      </c>
      <c r="I99" s="424"/>
      <c r="J99" s="424"/>
      <c r="K99" s="424">
        <v>1240.05</v>
      </c>
      <c r="L99" s="424">
        <f t="shared" si="6"/>
        <v>1240.05</v>
      </c>
      <c r="M99" s="424">
        <f t="shared" si="7"/>
        <v>1240.05</v>
      </c>
      <c r="N99" s="478">
        <f t="shared" si="5"/>
        <v>0</v>
      </c>
      <c r="O99" s="530"/>
      <c r="P99" s="264" t="s">
        <v>242</v>
      </c>
      <c r="Q99" s="11" t="s">
        <v>243</v>
      </c>
      <c r="R99" s="574"/>
      <c r="S99" s="427"/>
    </row>
    <row r="100" spans="1:19" ht="33">
      <c r="A100" s="421" t="s">
        <v>2352</v>
      </c>
      <c r="B100" s="422" t="s">
        <v>458</v>
      </c>
      <c r="C100" s="423" t="s">
        <v>0</v>
      </c>
      <c r="D100" s="424">
        <v>1</v>
      </c>
      <c r="E100" s="424">
        <v>1</v>
      </c>
      <c r="F100" s="424">
        <f>估驗單!F96</f>
        <v>1</v>
      </c>
      <c r="G100" s="478">
        <f t="shared" si="8"/>
        <v>0</v>
      </c>
      <c r="H100" s="424">
        <v>1470.75</v>
      </c>
      <c r="I100" s="424"/>
      <c r="J100" s="424"/>
      <c r="K100" s="424">
        <v>1470.75</v>
      </c>
      <c r="L100" s="424">
        <f t="shared" si="6"/>
        <v>1470.75</v>
      </c>
      <c r="M100" s="424">
        <f t="shared" si="7"/>
        <v>1470.75</v>
      </c>
      <c r="N100" s="478">
        <f t="shared" si="5"/>
        <v>0</v>
      </c>
      <c r="O100" s="530"/>
      <c r="P100" s="264" t="s">
        <v>242</v>
      </c>
      <c r="Q100" s="11" t="s">
        <v>243</v>
      </c>
      <c r="R100" s="574"/>
      <c r="S100" s="427"/>
    </row>
    <row r="101" spans="1:19" ht="33">
      <c r="A101" s="421" t="s">
        <v>2353</v>
      </c>
      <c r="B101" s="422" t="s">
        <v>461</v>
      </c>
      <c r="C101" s="423" t="s">
        <v>0</v>
      </c>
      <c r="D101" s="424">
        <v>1</v>
      </c>
      <c r="E101" s="424">
        <v>1</v>
      </c>
      <c r="F101" s="424">
        <f>估驗單!F97</f>
        <v>1</v>
      </c>
      <c r="G101" s="478">
        <f t="shared" si="8"/>
        <v>0</v>
      </c>
      <c r="H101" s="424">
        <v>1326.56</v>
      </c>
      <c r="I101" s="424"/>
      <c r="J101" s="424"/>
      <c r="K101" s="424">
        <v>1326.56</v>
      </c>
      <c r="L101" s="424">
        <f t="shared" si="6"/>
        <v>1326.56</v>
      </c>
      <c r="M101" s="424">
        <f t="shared" si="7"/>
        <v>1326.56</v>
      </c>
      <c r="N101" s="478">
        <f t="shared" si="5"/>
        <v>0</v>
      </c>
      <c r="O101" s="530"/>
      <c r="P101" s="264" t="s">
        <v>242</v>
      </c>
      <c r="Q101" s="11" t="s">
        <v>243</v>
      </c>
      <c r="R101" s="574"/>
      <c r="S101" s="427"/>
    </row>
    <row r="102" spans="1:19" ht="33">
      <c r="A102" s="421" t="s">
        <v>2354</v>
      </c>
      <c r="B102" s="422" t="s">
        <v>464</v>
      </c>
      <c r="C102" s="423" t="s">
        <v>0</v>
      </c>
      <c r="D102" s="424">
        <v>3</v>
      </c>
      <c r="E102" s="424">
        <v>3</v>
      </c>
      <c r="F102" s="424">
        <f>估驗單!F98</f>
        <v>3</v>
      </c>
      <c r="G102" s="478">
        <f t="shared" si="8"/>
        <v>0</v>
      </c>
      <c r="H102" s="424">
        <v>331.64</v>
      </c>
      <c r="I102" s="424"/>
      <c r="J102" s="424"/>
      <c r="K102" s="424">
        <v>994.92</v>
      </c>
      <c r="L102" s="424">
        <f t="shared" si="6"/>
        <v>994.92</v>
      </c>
      <c r="M102" s="424">
        <f t="shared" si="7"/>
        <v>994.92</v>
      </c>
      <c r="N102" s="478">
        <f t="shared" ref="N102:N122" si="9">IF(L102-M102&lt;0+AND(L102&lt;&gt;0),M102-L102,"      ")</f>
        <v>0</v>
      </c>
      <c r="O102" s="530"/>
      <c r="P102" s="264" t="s">
        <v>242</v>
      </c>
      <c r="Q102" s="11" t="s">
        <v>243</v>
      </c>
      <c r="R102" s="574"/>
      <c r="S102" s="427"/>
    </row>
    <row r="103" spans="1:19" ht="33">
      <c r="A103" s="421" t="s">
        <v>2355</v>
      </c>
      <c r="B103" s="422" t="s">
        <v>467</v>
      </c>
      <c r="C103" s="423" t="s">
        <v>0</v>
      </c>
      <c r="D103" s="424">
        <v>7</v>
      </c>
      <c r="E103" s="424">
        <v>7</v>
      </c>
      <c r="F103" s="424">
        <f>估驗單!F99</f>
        <v>7</v>
      </c>
      <c r="G103" s="478">
        <f t="shared" si="8"/>
        <v>0</v>
      </c>
      <c r="H103" s="424">
        <v>952.18</v>
      </c>
      <c r="I103" s="424"/>
      <c r="J103" s="424"/>
      <c r="K103" s="424">
        <v>6665.26</v>
      </c>
      <c r="L103" s="424">
        <f t="shared" si="6"/>
        <v>6665.26</v>
      </c>
      <c r="M103" s="424">
        <f t="shared" si="7"/>
        <v>6665.26</v>
      </c>
      <c r="N103" s="478">
        <f t="shared" si="9"/>
        <v>0</v>
      </c>
      <c r="O103" s="530"/>
      <c r="P103" s="264" t="s">
        <v>242</v>
      </c>
      <c r="Q103" s="11" t="s">
        <v>243</v>
      </c>
      <c r="R103" s="574"/>
      <c r="S103" s="427"/>
    </row>
    <row r="104" spans="1:19" ht="33">
      <c r="A104" s="421" t="s">
        <v>2356</v>
      </c>
      <c r="B104" s="422" t="s">
        <v>470</v>
      </c>
      <c r="C104" s="423" t="s">
        <v>0</v>
      </c>
      <c r="D104" s="424">
        <v>1</v>
      </c>
      <c r="E104" s="424">
        <v>1</v>
      </c>
      <c r="F104" s="424">
        <f>估驗單!F100</f>
        <v>1</v>
      </c>
      <c r="G104" s="478">
        <f t="shared" si="8"/>
        <v>0</v>
      </c>
      <c r="H104" s="424">
        <v>272825.21000000002</v>
      </c>
      <c r="I104" s="424"/>
      <c r="J104" s="424"/>
      <c r="K104" s="424">
        <v>272825.21000000002</v>
      </c>
      <c r="L104" s="424">
        <f t="shared" si="6"/>
        <v>272825.21000000002</v>
      </c>
      <c r="M104" s="424">
        <f t="shared" si="7"/>
        <v>272825.21000000002</v>
      </c>
      <c r="N104" s="478">
        <f t="shared" si="9"/>
        <v>0</v>
      </c>
      <c r="O104" s="530"/>
      <c r="P104" s="264" t="s">
        <v>242</v>
      </c>
      <c r="Q104" s="11" t="s">
        <v>243</v>
      </c>
      <c r="R104" s="574"/>
      <c r="S104" s="427"/>
    </row>
    <row r="105" spans="1:19" ht="33">
      <c r="A105" s="421" t="s">
        <v>2357</v>
      </c>
      <c r="B105" s="422" t="s">
        <v>473</v>
      </c>
      <c r="C105" s="423" t="s">
        <v>13</v>
      </c>
      <c r="D105" s="424">
        <v>759.43</v>
      </c>
      <c r="E105" s="424">
        <v>759.43</v>
      </c>
      <c r="F105" s="424">
        <f>估驗單!F101</f>
        <v>759.43</v>
      </c>
      <c r="G105" s="478">
        <f t="shared" si="8"/>
        <v>0</v>
      </c>
      <c r="H105" s="424">
        <v>647.65</v>
      </c>
      <c r="I105" s="424"/>
      <c r="J105" s="424"/>
      <c r="K105" s="424">
        <v>491844.84</v>
      </c>
      <c r="L105" s="424">
        <f t="shared" si="6"/>
        <v>491844.84</v>
      </c>
      <c r="M105" s="424">
        <f t="shared" si="7"/>
        <v>491844.84</v>
      </c>
      <c r="N105" s="478">
        <f t="shared" si="9"/>
        <v>0</v>
      </c>
      <c r="O105" s="530"/>
      <c r="P105" s="264" t="s">
        <v>242</v>
      </c>
      <c r="Q105" s="11" t="s">
        <v>243</v>
      </c>
      <c r="R105" s="574"/>
      <c r="S105" s="427"/>
    </row>
    <row r="106" spans="1:19" ht="33">
      <c r="A106" s="421" t="s">
        <v>2358</v>
      </c>
      <c r="B106" s="422" t="s">
        <v>476</v>
      </c>
      <c r="C106" s="423" t="s">
        <v>15</v>
      </c>
      <c r="D106" s="424">
        <v>1</v>
      </c>
      <c r="E106" s="424">
        <v>1</v>
      </c>
      <c r="F106" s="424">
        <f>估驗單!F102</f>
        <v>1</v>
      </c>
      <c r="G106" s="478">
        <f t="shared" si="8"/>
        <v>0</v>
      </c>
      <c r="H106" s="424">
        <v>10412.73</v>
      </c>
      <c r="I106" s="424"/>
      <c r="J106" s="424"/>
      <c r="K106" s="424">
        <v>10412.73</v>
      </c>
      <c r="L106" s="424">
        <f t="shared" si="6"/>
        <v>10412.73</v>
      </c>
      <c r="M106" s="424">
        <f t="shared" si="7"/>
        <v>10412.73</v>
      </c>
      <c r="N106" s="478">
        <f t="shared" si="9"/>
        <v>0</v>
      </c>
      <c r="O106" s="530"/>
      <c r="P106" s="264" t="s">
        <v>2530</v>
      </c>
      <c r="Q106" s="11" t="s">
        <v>243</v>
      </c>
      <c r="R106" s="574"/>
      <c r="S106" s="427"/>
    </row>
    <row r="107" spans="1:19" ht="33">
      <c r="A107" s="421" t="s">
        <v>2359</v>
      </c>
      <c r="B107" s="422" t="s">
        <v>479</v>
      </c>
      <c r="C107" s="423" t="s">
        <v>15</v>
      </c>
      <c r="D107" s="424">
        <v>3</v>
      </c>
      <c r="E107" s="424">
        <v>3</v>
      </c>
      <c r="F107" s="424">
        <f>估驗單!F103</f>
        <v>3</v>
      </c>
      <c r="G107" s="478">
        <f t="shared" si="8"/>
        <v>0</v>
      </c>
      <c r="H107" s="424">
        <v>4575.03</v>
      </c>
      <c r="I107" s="424"/>
      <c r="J107" s="424"/>
      <c r="K107" s="424">
        <v>13725.09</v>
      </c>
      <c r="L107" s="424">
        <f t="shared" si="6"/>
        <v>13725.09</v>
      </c>
      <c r="M107" s="424">
        <f t="shared" si="7"/>
        <v>13725.09</v>
      </c>
      <c r="N107" s="478">
        <f t="shared" si="9"/>
        <v>0</v>
      </c>
      <c r="O107" s="530"/>
      <c r="P107" s="264" t="s">
        <v>2547</v>
      </c>
      <c r="Q107" s="11" t="s">
        <v>243</v>
      </c>
      <c r="R107" s="574"/>
      <c r="S107" s="427"/>
    </row>
    <row r="108" spans="1:19" ht="33">
      <c r="A108" s="470" t="s">
        <v>2360</v>
      </c>
      <c r="B108" s="471" t="s">
        <v>482</v>
      </c>
      <c r="C108" s="472" t="s">
        <v>483</v>
      </c>
      <c r="D108" s="473">
        <v>88.17</v>
      </c>
      <c r="E108" s="473">
        <v>88.17</v>
      </c>
      <c r="F108" s="473">
        <f>估驗單!F104</f>
        <v>89.085999999999999</v>
      </c>
      <c r="G108" s="479">
        <f t="shared" si="8"/>
        <v>0.91599999999999682</v>
      </c>
      <c r="H108" s="473">
        <v>15299.17</v>
      </c>
      <c r="I108" s="473"/>
      <c r="J108" s="473"/>
      <c r="K108" s="473">
        <v>1348927.82</v>
      </c>
      <c r="L108" s="473">
        <f t="shared" si="6"/>
        <v>1348927.82</v>
      </c>
      <c r="M108" s="473">
        <f t="shared" si="7"/>
        <v>1362941.86</v>
      </c>
      <c r="N108" s="479">
        <f t="shared" si="9"/>
        <v>14014.040000000037</v>
      </c>
      <c r="O108" s="531"/>
      <c r="P108" s="474" t="s">
        <v>2548</v>
      </c>
      <c r="Q108" s="11" t="s">
        <v>243</v>
      </c>
      <c r="R108" s="574"/>
      <c r="S108" s="427"/>
    </row>
    <row r="109" spans="1:19" ht="33">
      <c r="A109" s="421" t="s">
        <v>2361</v>
      </c>
      <c r="B109" s="422" t="s">
        <v>486</v>
      </c>
      <c r="C109" s="423" t="s">
        <v>0</v>
      </c>
      <c r="D109" s="424">
        <v>25</v>
      </c>
      <c r="E109" s="424">
        <v>25</v>
      </c>
      <c r="F109" s="424">
        <f>估驗單!F105</f>
        <v>25</v>
      </c>
      <c r="G109" s="478">
        <f t="shared" si="8"/>
        <v>0</v>
      </c>
      <c r="H109" s="424">
        <v>4498.3100000000004</v>
      </c>
      <c r="I109" s="424"/>
      <c r="J109" s="424"/>
      <c r="K109" s="424">
        <v>112457.75</v>
      </c>
      <c r="L109" s="424">
        <f t="shared" si="6"/>
        <v>112457.75</v>
      </c>
      <c r="M109" s="424">
        <f t="shared" si="7"/>
        <v>112457.75</v>
      </c>
      <c r="N109" s="478">
        <f t="shared" si="9"/>
        <v>0</v>
      </c>
      <c r="O109" s="530"/>
      <c r="P109" s="264" t="s">
        <v>242</v>
      </c>
      <c r="Q109" s="11" t="s">
        <v>243</v>
      </c>
      <c r="R109" s="574"/>
      <c r="S109" s="427"/>
    </row>
    <row r="110" spans="1:19" ht="33">
      <c r="A110" s="421" t="s">
        <v>2362</v>
      </c>
      <c r="B110" s="422" t="s">
        <v>489</v>
      </c>
      <c r="C110" s="423" t="s">
        <v>0</v>
      </c>
      <c r="D110" s="424">
        <v>13</v>
      </c>
      <c r="E110" s="424">
        <v>13</v>
      </c>
      <c r="F110" s="424">
        <f>估驗單!F106</f>
        <v>13</v>
      </c>
      <c r="G110" s="478">
        <f t="shared" si="8"/>
        <v>0</v>
      </c>
      <c r="H110" s="424">
        <v>3353.5</v>
      </c>
      <c r="I110" s="424"/>
      <c r="J110" s="424"/>
      <c r="K110" s="424">
        <v>43595.5</v>
      </c>
      <c r="L110" s="424">
        <f t="shared" si="6"/>
        <v>43595.5</v>
      </c>
      <c r="M110" s="424">
        <f t="shared" si="7"/>
        <v>43595.5</v>
      </c>
      <c r="N110" s="478">
        <f t="shared" si="9"/>
        <v>0</v>
      </c>
      <c r="O110" s="530"/>
      <c r="P110" s="264" t="s">
        <v>242</v>
      </c>
      <c r="Q110" s="11" t="s">
        <v>243</v>
      </c>
      <c r="R110" s="574"/>
      <c r="S110" s="427"/>
    </row>
    <row r="111" spans="1:19" ht="33">
      <c r="A111" s="421" t="s">
        <v>2363</v>
      </c>
      <c r="B111" s="422" t="s">
        <v>492</v>
      </c>
      <c r="C111" s="423" t="s">
        <v>8</v>
      </c>
      <c r="D111" s="424">
        <v>9.8000000000000007</v>
      </c>
      <c r="E111" s="424">
        <v>9.8000000000000007</v>
      </c>
      <c r="F111" s="424">
        <f>估驗單!F107</f>
        <v>9.8000000000000007</v>
      </c>
      <c r="G111" s="478">
        <f t="shared" si="8"/>
        <v>0</v>
      </c>
      <c r="H111" s="424">
        <v>9873.85</v>
      </c>
      <c r="I111" s="424"/>
      <c r="J111" s="424"/>
      <c r="K111" s="424">
        <v>96763.73</v>
      </c>
      <c r="L111" s="424">
        <f t="shared" si="6"/>
        <v>96763.73</v>
      </c>
      <c r="M111" s="424">
        <f t="shared" si="7"/>
        <v>96763.73</v>
      </c>
      <c r="N111" s="478">
        <f t="shared" si="9"/>
        <v>0</v>
      </c>
      <c r="O111" s="530"/>
      <c r="P111" s="264" t="s">
        <v>242</v>
      </c>
      <c r="Q111" s="11" t="s">
        <v>243</v>
      </c>
      <c r="R111" s="574"/>
      <c r="S111" s="427"/>
    </row>
    <row r="112" spans="1:19" ht="33">
      <c r="A112" s="421" t="s">
        <v>2364</v>
      </c>
      <c r="B112" s="422" t="s">
        <v>495</v>
      </c>
      <c r="C112" s="423" t="s">
        <v>8</v>
      </c>
      <c r="D112" s="424">
        <v>6.2</v>
      </c>
      <c r="E112" s="424">
        <v>6.2</v>
      </c>
      <c r="F112" s="424">
        <f>估驗單!F108</f>
        <v>6.2</v>
      </c>
      <c r="G112" s="478">
        <f t="shared" si="8"/>
        <v>0</v>
      </c>
      <c r="H112" s="424">
        <v>6554</v>
      </c>
      <c r="I112" s="424"/>
      <c r="J112" s="424"/>
      <c r="K112" s="424">
        <v>40634.800000000003</v>
      </c>
      <c r="L112" s="424">
        <f t="shared" si="6"/>
        <v>40634.800000000003</v>
      </c>
      <c r="M112" s="424">
        <f t="shared" si="7"/>
        <v>40634.800000000003</v>
      </c>
      <c r="N112" s="478">
        <f t="shared" si="9"/>
        <v>0</v>
      </c>
      <c r="O112" s="530"/>
      <c r="P112" s="264" t="s">
        <v>242</v>
      </c>
      <c r="Q112" s="11" t="s">
        <v>243</v>
      </c>
      <c r="R112" s="574"/>
      <c r="S112" s="427"/>
    </row>
    <row r="113" spans="1:20" ht="33">
      <c r="A113" s="421" t="s">
        <v>2365</v>
      </c>
      <c r="B113" s="422" t="s">
        <v>498</v>
      </c>
      <c r="C113" s="423" t="s">
        <v>8</v>
      </c>
      <c r="D113" s="424">
        <v>3.3</v>
      </c>
      <c r="E113" s="424">
        <v>3.3</v>
      </c>
      <c r="F113" s="424">
        <f>估驗單!F109</f>
        <v>3.3</v>
      </c>
      <c r="G113" s="478">
        <f t="shared" si="8"/>
        <v>0</v>
      </c>
      <c r="H113" s="424">
        <v>8390.27</v>
      </c>
      <c r="I113" s="424"/>
      <c r="J113" s="424"/>
      <c r="K113" s="424">
        <v>27687.89</v>
      </c>
      <c r="L113" s="424">
        <f t="shared" si="6"/>
        <v>27687.89</v>
      </c>
      <c r="M113" s="424">
        <f t="shared" si="7"/>
        <v>27687.89</v>
      </c>
      <c r="N113" s="478">
        <f t="shared" si="9"/>
        <v>0</v>
      </c>
      <c r="O113" s="530"/>
      <c r="P113" s="264" t="s">
        <v>242</v>
      </c>
      <c r="Q113" s="11" t="s">
        <v>243</v>
      </c>
      <c r="R113" s="574"/>
      <c r="S113" s="427"/>
    </row>
    <row r="114" spans="1:20" ht="33">
      <c r="A114" s="421" t="s">
        <v>2366</v>
      </c>
      <c r="B114" s="422" t="s">
        <v>501</v>
      </c>
      <c r="C114" s="423" t="s">
        <v>8</v>
      </c>
      <c r="D114" s="424">
        <v>40.6</v>
      </c>
      <c r="E114" s="424">
        <v>40.6</v>
      </c>
      <c r="F114" s="424">
        <f>估驗單!F110</f>
        <v>40.6</v>
      </c>
      <c r="G114" s="478">
        <f t="shared" si="8"/>
        <v>0</v>
      </c>
      <c r="H114" s="424">
        <v>671.95</v>
      </c>
      <c r="I114" s="424"/>
      <c r="J114" s="424"/>
      <c r="K114" s="424">
        <v>27281.17</v>
      </c>
      <c r="L114" s="424">
        <f t="shared" si="6"/>
        <v>27281.17</v>
      </c>
      <c r="M114" s="424">
        <f t="shared" si="7"/>
        <v>27281.17</v>
      </c>
      <c r="N114" s="478">
        <f t="shared" si="9"/>
        <v>0</v>
      </c>
      <c r="O114" s="530"/>
      <c r="P114" s="264" t="s">
        <v>2530</v>
      </c>
      <c r="Q114" s="11" t="s">
        <v>243</v>
      </c>
      <c r="R114" s="574"/>
      <c r="S114" s="427"/>
    </row>
    <row r="115" spans="1:20" ht="33">
      <c r="A115" s="421" t="s">
        <v>2367</v>
      </c>
      <c r="B115" s="422" t="s">
        <v>504</v>
      </c>
      <c r="C115" s="423" t="s">
        <v>8</v>
      </c>
      <c r="D115" s="424">
        <v>176.7</v>
      </c>
      <c r="E115" s="424">
        <v>176.7</v>
      </c>
      <c r="F115" s="424">
        <f>估驗單!F111</f>
        <v>176.7</v>
      </c>
      <c r="G115" s="478">
        <f t="shared" si="8"/>
        <v>0</v>
      </c>
      <c r="H115" s="424">
        <v>658.27</v>
      </c>
      <c r="I115" s="424"/>
      <c r="J115" s="424"/>
      <c r="K115" s="424">
        <v>116316.31</v>
      </c>
      <c r="L115" s="424">
        <f t="shared" si="6"/>
        <v>116316.31</v>
      </c>
      <c r="M115" s="424">
        <f t="shared" si="7"/>
        <v>116316.31</v>
      </c>
      <c r="N115" s="478">
        <f t="shared" si="9"/>
        <v>0</v>
      </c>
      <c r="O115" s="530"/>
      <c r="P115" s="264" t="s">
        <v>242</v>
      </c>
      <c r="Q115" s="11" t="s">
        <v>243</v>
      </c>
      <c r="R115" s="574"/>
      <c r="S115" s="427"/>
    </row>
    <row r="116" spans="1:20" ht="33">
      <c r="A116" s="421" t="s">
        <v>2368</v>
      </c>
      <c r="B116" s="422" t="s">
        <v>507</v>
      </c>
      <c r="C116" s="423" t="s">
        <v>8</v>
      </c>
      <c r="D116" s="424">
        <v>251.7</v>
      </c>
      <c r="E116" s="424">
        <v>251.7</v>
      </c>
      <c r="F116" s="424">
        <f>估驗單!F112</f>
        <v>251.7</v>
      </c>
      <c r="G116" s="478">
        <f t="shared" si="8"/>
        <v>0</v>
      </c>
      <c r="H116" s="424">
        <v>730.37</v>
      </c>
      <c r="I116" s="424"/>
      <c r="J116" s="424"/>
      <c r="K116" s="424">
        <v>183834.13</v>
      </c>
      <c r="L116" s="424">
        <f t="shared" si="6"/>
        <v>183834.13</v>
      </c>
      <c r="M116" s="424">
        <f t="shared" si="7"/>
        <v>183834.13</v>
      </c>
      <c r="N116" s="478">
        <f t="shared" si="9"/>
        <v>0</v>
      </c>
      <c r="O116" s="530"/>
      <c r="P116" s="264" t="s">
        <v>242</v>
      </c>
      <c r="Q116" s="11" t="s">
        <v>243</v>
      </c>
      <c r="R116" s="574"/>
      <c r="S116" s="427"/>
    </row>
    <row r="117" spans="1:20" ht="33">
      <c r="A117" s="421" t="s">
        <v>2369</v>
      </c>
      <c r="B117" s="422" t="s">
        <v>510</v>
      </c>
      <c r="C117" s="423" t="s">
        <v>8</v>
      </c>
      <c r="D117" s="424">
        <v>6.8</v>
      </c>
      <c r="E117" s="424">
        <v>6.8</v>
      </c>
      <c r="F117" s="424">
        <f>估驗單!F113</f>
        <v>6.8</v>
      </c>
      <c r="G117" s="478">
        <f t="shared" si="8"/>
        <v>0</v>
      </c>
      <c r="H117" s="424">
        <v>406.38</v>
      </c>
      <c r="I117" s="424"/>
      <c r="J117" s="424"/>
      <c r="K117" s="424">
        <v>2763.38</v>
      </c>
      <c r="L117" s="424">
        <f t="shared" si="6"/>
        <v>2763.38</v>
      </c>
      <c r="M117" s="424">
        <f t="shared" si="7"/>
        <v>2763.38</v>
      </c>
      <c r="N117" s="478">
        <f t="shared" si="9"/>
        <v>0</v>
      </c>
      <c r="O117" s="530"/>
      <c r="P117" s="264" t="s">
        <v>242</v>
      </c>
      <c r="Q117" s="11" t="s">
        <v>243</v>
      </c>
      <c r="R117" s="574"/>
      <c r="S117" s="427"/>
    </row>
    <row r="118" spans="1:20" ht="33">
      <c r="A118" s="421" t="s">
        <v>2370</v>
      </c>
      <c r="B118" s="422" t="s">
        <v>513</v>
      </c>
      <c r="C118" s="423" t="s">
        <v>8</v>
      </c>
      <c r="D118" s="424">
        <v>44.2</v>
      </c>
      <c r="E118" s="424">
        <v>44.2</v>
      </c>
      <c r="F118" s="424">
        <f>估驗單!F114</f>
        <v>44.2</v>
      </c>
      <c r="G118" s="478">
        <f t="shared" si="8"/>
        <v>0</v>
      </c>
      <c r="H118" s="424">
        <v>457.88</v>
      </c>
      <c r="I118" s="424"/>
      <c r="J118" s="424"/>
      <c r="K118" s="424">
        <v>20238.3</v>
      </c>
      <c r="L118" s="424">
        <f t="shared" si="6"/>
        <v>20238.3</v>
      </c>
      <c r="M118" s="424">
        <f t="shared" si="7"/>
        <v>20238.3</v>
      </c>
      <c r="N118" s="478">
        <f t="shared" si="9"/>
        <v>0</v>
      </c>
      <c r="O118" s="530"/>
      <c r="P118" s="264" t="s">
        <v>2530</v>
      </c>
      <c r="Q118" s="11" t="s">
        <v>243</v>
      </c>
      <c r="R118" s="574"/>
      <c r="S118" s="427"/>
    </row>
    <row r="119" spans="1:20" ht="33">
      <c r="A119" s="421" t="s">
        <v>2371</v>
      </c>
      <c r="B119" s="422" t="s">
        <v>516</v>
      </c>
      <c r="C119" s="423" t="s">
        <v>8</v>
      </c>
      <c r="D119" s="424">
        <v>10.7</v>
      </c>
      <c r="E119" s="424">
        <v>10.7</v>
      </c>
      <c r="F119" s="424">
        <f>估驗單!F115</f>
        <v>10.7</v>
      </c>
      <c r="G119" s="478">
        <f t="shared" si="8"/>
        <v>0</v>
      </c>
      <c r="H119" s="424">
        <v>499.08</v>
      </c>
      <c r="I119" s="424"/>
      <c r="J119" s="424"/>
      <c r="K119" s="424">
        <v>5340.16</v>
      </c>
      <c r="L119" s="424">
        <f t="shared" si="6"/>
        <v>5340.16</v>
      </c>
      <c r="M119" s="424">
        <f t="shared" si="7"/>
        <v>5340.16</v>
      </c>
      <c r="N119" s="478">
        <f t="shared" si="9"/>
        <v>0</v>
      </c>
      <c r="O119" s="530"/>
      <c r="P119" s="264" t="s">
        <v>2530</v>
      </c>
      <c r="Q119" s="11" t="s">
        <v>243</v>
      </c>
      <c r="R119" s="574"/>
      <c r="S119" s="427"/>
    </row>
    <row r="120" spans="1:20" ht="33">
      <c r="A120" s="421" t="s">
        <v>2372</v>
      </c>
      <c r="B120" s="422" t="s">
        <v>519</v>
      </c>
      <c r="C120" s="423" t="s">
        <v>8</v>
      </c>
      <c r="D120" s="424">
        <v>62.5</v>
      </c>
      <c r="E120" s="424">
        <v>62.5</v>
      </c>
      <c r="F120" s="424">
        <f>估驗單!F116</f>
        <v>62.5</v>
      </c>
      <c r="G120" s="478">
        <f t="shared" si="8"/>
        <v>0</v>
      </c>
      <c r="H120" s="424">
        <v>545.82000000000005</v>
      </c>
      <c r="I120" s="424"/>
      <c r="J120" s="424"/>
      <c r="K120" s="424">
        <v>34113.75</v>
      </c>
      <c r="L120" s="424">
        <f t="shared" si="6"/>
        <v>34113.75</v>
      </c>
      <c r="M120" s="424">
        <f t="shared" si="7"/>
        <v>34113.75</v>
      </c>
      <c r="N120" s="478">
        <f t="shared" si="9"/>
        <v>0</v>
      </c>
      <c r="O120" s="530"/>
      <c r="P120" s="264" t="s">
        <v>2530</v>
      </c>
      <c r="Q120" s="11" t="s">
        <v>243</v>
      </c>
      <c r="R120" s="574"/>
      <c r="S120" s="427"/>
    </row>
    <row r="121" spans="1:20" ht="57">
      <c r="A121" s="421" t="s">
        <v>2373</v>
      </c>
      <c r="B121" s="422" t="s">
        <v>522</v>
      </c>
      <c r="C121" s="423" t="s">
        <v>8</v>
      </c>
      <c r="D121" s="424">
        <v>84.8</v>
      </c>
      <c r="E121" s="424">
        <v>84.8</v>
      </c>
      <c r="F121" s="424">
        <f>估驗單!F117</f>
        <v>84.8</v>
      </c>
      <c r="G121" s="478">
        <f t="shared" si="8"/>
        <v>0</v>
      </c>
      <c r="H121" s="424">
        <v>7340.02</v>
      </c>
      <c r="I121" s="424"/>
      <c r="J121" s="424"/>
      <c r="K121" s="424">
        <v>622433.69999999995</v>
      </c>
      <c r="L121" s="424">
        <f t="shared" si="6"/>
        <v>622433.69999999995</v>
      </c>
      <c r="M121" s="424">
        <f t="shared" si="7"/>
        <v>622433.69999999995</v>
      </c>
      <c r="N121" s="478">
        <f t="shared" si="9"/>
        <v>0</v>
      </c>
      <c r="O121" s="530"/>
      <c r="P121" s="264" t="s">
        <v>2545</v>
      </c>
      <c r="Q121" s="11" t="s">
        <v>243</v>
      </c>
      <c r="R121" s="574"/>
      <c r="S121" s="427"/>
    </row>
    <row r="122" spans="1:20" ht="33">
      <c r="A122" s="421" t="s">
        <v>2374</v>
      </c>
      <c r="B122" s="422" t="s">
        <v>525</v>
      </c>
      <c r="C122" s="423" t="s">
        <v>0</v>
      </c>
      <c r="D122" s="424">
        <v>2</v>
      </c>
      <c r="E122" s="424">
        <v>2</v>
      </c>
      <c r="F122" s="424">
        <f>估驗單!F118</f>
        <v>2</v>
      </c>
      <c r="G122" s="478">
        <f t="shared" si="8"/>
        <v>0</v>
      </c>
      <c r="H122" s="424">
        <v>913306.18</v>
      </c>
      <c r="I122" s="424"/>
      <c r="J122" s="424"/>
      <c r="K122" s="424">
        <v>1826612.36</v>
      </c>
      <c r="L122" s="424">
        <f t="shared" si="6"/>
        <v>1826612.36</v>
      </c>
      <c r="M122" s="424">
        <f t="shared" si="7"/>
        <v>1826612.36</v>
      </c>
      <c r="N122" s="478">
        <f t="shared" si="9"/>
        <v>0</v>
      </c>
      <c r="O122" s="530"/>
      <c r="P122" s="264" t="s">
        <v>2530</v>
      </c>
      <c r="Q122" s="11" t="s">
        <v>243</v>
      </c>
      <c r="R122" s="574"/>
      <c r="S122" s="427"/>
    </row>
    <row r="123" spans="1:20" ht="33">
      <c r="A123" s="494" t="s">
        <v>2375</v>
      </c>
      <c r="B123" s="495" t="s">
        <v>527</v>
      </c>
      <c r="C123" s="496" t="s">
        <v>4</v>
      </c>
      <c r="D123" s="497">
        <v>1</v>
      </c>
      <c r="E123" s="497"/>
      <c r="F123" s="497">
        <f>估驗單!F119</f>
        <v>0</v>
      </c>
      <c r="G123" s="498">
        <f t="shared" si="8"/>
        <v>0</v>
      </c>
      <c r="H123" s="497">
        <v>42128482.740000002</v>
      </c>
      <c r="I123" s="497"/>
      <c r="J123" s="497"/>
      <c r="K123" s="497">
        <v>42128482.740000002</v>
      </c>
      <c r="L123" s="497">
        <f>SUM(L124:L162)</f>
        <v>45369259.610000014</v>
      </c>
      <c r="M123" s="497">
        <f t="shared" ref="M123:O123" si="10">SUM(M124:M162)</f>
        <v>45825828.780000016</v>
      </c>
      <c r="N123" s="497">
        <f t="shared" si="10"/>
        <v>456569.16999999987</v>
      </c>
      <c r="O123" s="497">
        <f t="shared" si="10"/>
        <v>0</v>
      </c>
      <c r="P123" s="356" t="s">
        <v>242</v>
      </c>
      <c r="Q123" s="11" t="s">
        <v>243</v>
      </c>
      <c r="R123" s="578"/>
      <c r="S123" s="427"/>
    </row>
    <row r="124" spans="1:20" ht="33.75">
      <c r="A124" s="421" t="s">
        <v>2288</v>
      </c>
      <c r="B124" s="422" t="s">
        <v>310</v>
      </c>
      <c r="C124" s="423" t="s">
        <v>223</v>
      </c>
      <c r="D124" s="424">
        <v>185.59</v>
      </c>
      <c r="E124" s="424">
        <v>928.51</v>
      </c>
      <c r="F124" s="424">
        <f>估驗單!F120</f>
        <v>928.51</v>
      </c>
      <c r="G124" s="478">
        <f t="shared" si="8"/>
        <v>0</v>
      </c>
      <c r="H124" s="424">
        <v>320.72000000000003</v>
      </c>
      <c r="I124" s="424"/>
      <c r="J124" s="424"/>
      <c r="K124" s="424">
        <v>59522.42</v>
      </c>
      <c r="L124" s="424">
        <f t="shared" ref="L124:L160" si="11">ROUND(E124*H124,2)</f>
        <v>297791.73</v>
      </c>
      <c r="M124" s="424">
        <f>ROUND(F124*H124,2)</f>
        <v>297791.73</v>
      </c>
      <c r="N124" s="478">
        <f t="shared" ref="N124:N162" si="12">IF(L124-M124&lt;0+AND(L124&lt;&gt;0),M124-L124,"      ")</f>
        <v>0</v>
      </c>
      <c r="O124" s="530"/>
      <c r="P124" s="264" t="s">
        <v>242</v>
      </c>
      <c r="Q124" s="11" t="s">
        <v>243</v>
      </c>
      <c r="R124" s="574" t="s">
        <v>2525</v>
      </c>
      <c r="S124" s="427" t="s">
        <v>2549</v>
      </c>
      <c r="T124" s="430" t="s">
        <v>2550</v>
      </c>
    </row>
    <row r="125" spans="1:20" ht="33">
      <c r="A125" s="421" t="s">
        <v>2289</v>
      </c>
      <c r="B125" s="422" t="s">
        <v>315</v>
      </c>
      <c r="C125" s="423" t="s">
        <v>6</v>
      </c>
      <c r="D125" s="424">
        <v>26.33</v>
      </c>
      <c r="E125" s="424">
        <v>26.33</v>
      </c>
      <c r="F125" s="424">
        <f>估驗單!F121</f>
        <v>26.33</v>
      </c>
      <c r="G125" s="478">
        <f t="shared" si="8"/>
        <v>0</v>
      </c>
      <c r="H125" s="424">
        <v>3114.97</v>
      </c>
      <c r="I125" s="424"/>
      <c r="J125" s="424"/>
      <c r="K125" s="424">
        <v>82017.16</v>
      </c>
      <c r="L125" s="424">
        <f t="shared" si="11"/>
        <v>82017.16</v>
      </c>
      <c r="M125" s="424">
        <f t="shared" ref="M125:M160" si="13">ROUND(F125*H125,2)</f>
        <v>82017.16</v>
      </c>
      <c r="N125" s="478">
        <f t="shared" si="12"/>
        <v>0</v>
      </c>
      <c r="O125" s="530"/>
      <c r="P125" s="264" t="s">
        <v>242</v>
      </c>
      <c r="Q125" s="11" t="s">
        <v>243</v>
      </c>
      <c r="R125" s="574"/>
      <c r="S125" s="427"/>
    </row>
    <row r="126" spans="1:20" ht="33">
      <c r="A126" s="421" t="s">
        <v>2290</v>
      </c>
      <c r="B126" s="422" t="s">
        <v>24</v>
      </c>
      <c r="C126" s="423" t="s">
        <v>6</v>
      </c>
      <c r="D126" s="424">
        <v>36.86</v>
      </c>
      <c r="E126" s="424">
        <v>36.86</v>
      </c>
      <c r="F126" s="424">
        <f>估驗單!F122</f>
        <v>36.86</v>
      </c>
      <c r="G126" s="478">
        <f t="shared" si="8"/>
        <v>0</v>
      </c>
      <c r="H126" s="424">
        <v>3320.96</v>
      </c>
      <c r="I126" s="424"/>
      <c r="J126" s="424"/>
      <c r="K126" s="424">
        <v>122410.59</v>
      </c>
      <c r="L126" s="424">
        <f t="shared" si="11"/>
        <v>122410.59</v>
      </c>
      <c r="M126" s="424">
        <f t="shared" si="13"/>
        <v>122410.59</v>
      </c>
      <c r="N126" s="478">
        <f t="shared" si="12"/>
        <v>0</v>
      </c>
      <c r="O126" s="530"/>
      <c r="P126" s="264" t="s">
        <v>242</v>
      </c>
      <c r="Q126" s="11" t="s">
        <v>243</v>
      </c>
      <c r="R126" s="574"/>
      <c r="S126" s="427"/>
    </row>
    <row r="127" spans="1:20" ht="33">
      <c r="A127" s="421" t="s">
        <v>2291</v>
      </c>
      <c r="B127" s="422" t="s">
        <v>528</v>
      </c>
      <c r="C127" s="423" t="s">
        <v>6</v>
      </c>
      <c r="D127" s="424">
        <v>654.83000000000004</v>
      </c>
      <c r="E127" s="424">
        <v>654.83000000000004</v>
      </c>
      <c r="F127" s="424">
        <f>估驗單!F123</f>
        <v>654.83000000000004</v>
      </c>
      <c r="G127" s="478">
        <f t="shared" si="8"/>
        <v>0</v>
      </c>
      <c r="H127" s="424">
        <v>3643.53</v>
      </c>
      <c r="I127" s="424"/>
      <c r="J127" s="424"/>
      <c r="K127" s="424">
        <v>2385892.75</v>
      </c>
      <c r="L127" s="424">
        <f t="shared" si="11"/>
        <v>2385892.75</v>
      </c>
      <c r="M127" s="424">
        <f t="shared" si="13"/>
        <v>2385892.75</v>
      </c>
      <c r="N127" s="478">
        <f t="shared" si="12"/>
        <v>0</v>
      </c>
      <c r="O127" s="530"/>
      <c r="P127" s="264" t="s">
        <v>242</v>
      </c>
      <c r="Q127" s="11" t="s">
        <v>243</v>
      </c>
      <c r="R127" s="574"/>
      <c r="S127" s="427"/>
    </row>
    <row r="128" spans="1:20" ht="42.75">
      <c r="A128" s="421" t="s">
        <v>2292</v>
      </c>
      <c r="B128" s="422" t="s">
        <v>192</v>
      </c>
      <c r="C128" s="423" t="s">
        <v>17</v>
      </c>
      <c r="D128" s="424">
        <v>6240.88</v>
      </c>
      <c r="E128" s="424">
        <v>6240.88</v>
      </c>
      <c r="F128" s="424">
        <f>估驗單!F124</f>
        <v>6240.88</v>
      </c>
      <c r="G128" s="478">
        <f t="shared" si="8"/>
        <v>0</v>
      </c>
      <c r="H128" s="424">
        <v>36.4</v>
      </c>
      <c r="I128" s="424"/>
      <c r="J128" s="424"/>
      <c r="K128" s="424">
        <v>227168.03</v>
      </c>
      <c r="L128" s="424">
        <f t="shared" si="11"/>
        <v>227168.03</v>
      </c>
      <c r="M128" s="424">
        <f t="shared" si="13"/>
        <v>227168.03</v>
      </c>
      <c r="N128" s="478">
        <f t="shared" si="12"/>
        <v>0</v>
      </c>
      <c r="O128" s="530"/>
      <c r="P128" s="264" t="s">
        <v>2543</v>
      </c>
      <c r="Q128" s="11" t="s">
        <v>243</v>
      </c>
      <c r="R128" s="574"/>
      <c r="S128" s="427"/>
    </row>
    <row r="129" spans="1:19" ht="42.75">
      <c r="A129" s="421" t="s">
        <v>2293</v>
      </c>
      <c r="B129" s="422" t="s">
        <v>530</v>
      </c>
      <c r="C129" s="423" t="s">
        <v>17</v>
      </c>
      <c r="D129" s="424">
        <v>102796.95</v>
      </c>
      <c r="E129" s="424">
        <v>102796.95</v>
      </c>
      <c r="F129" s="424">
        <f>估驗單!F125</f>
        <v>102796.95</v>
      </c>
      <c r="G129" s="478">
        <f t="shared" si="8"/>
        <v>0</v>
      </c>
      <c r="H129" s="424">
        <v>38.71</v>
      </c>
      <c r="I129" s="424"/>
      <c r="J129" s="424"/>
      <c r="K129" s="424">
        <v>3979269.93</v>
      </c>
      <c r="L129" s="424">
        <f t="shared" si="11"/>
        <v>3979269.93</v>
      </c>
      <c r="M129" s="424">
        <f t="shared" si="13"/>
        <v>3979269.93</v>
      </c>
      <c r="N129" s="478">
        <f t="shared" si="12"/>
        <v>0</v>
      </c>
      <c r="O129" s="530"/>
      <c r="P129" s="264" t="s">
        <v>2543</v>
      </c>
      <c r="Q129" s="11" t="s">
        <v>243</v>
      </c>
      <c r="R129" s="574"/>
      <c r="S129" s="427"/>
    </row>
    <row r="130" spans="1:19" ht="57">
      <c r="A130" s="421" t="s">
        <v>2294</v>
      </c>
      <c r="B130" s="422" t="s">
        <v>532</v>
      </c>
      <c r="C130" s="423" t="s">
        <v>13</v>
      </c>
      <c r="D130" s="424">
        <v>223.3</v>
      </c>
      <c r="E130" s="424">
        <v>223.3</v>
      </c>
      <c r="F130" s="424">
        <f>估驗單!F126</f>
        <v>223.3</v>
      </c>
      <c r="G130" s="478">
        <f t="shared" si="8"/>
        <v>0</v>
      </c>
      <c r="H130" s="424">
        <v>1154.9100000000001</v>
      </c>
      <c r="I130" s="424"/>
      <c r="J130" s="424"/>
      <c r="K130" s="424">
        <v>257891.4</v>
      </c>
      <c r="L130" s="424">
        <f t="shared" si="11"/>
        <v>257891.4</v>
      </c>
      <c r="M130" s="424">
        <f t="shared" si="13"/>
        <v>257891.4</v>
      </c>
      <c r="N130" s="478">
        <f t="shared" si="12"/>
        <v>0</v>
      </c>
      <c r="O130" s="530"/>
      <c r="P130" s="264" t="s">
        <v>2551</v>
      </c>
      <c r="Q130" s="11" t="s">
        <v>243</v>
      </c>
      <c r="R130" s="574"/>
      <c r="S130" s="427"/>
    </row>
    <row r="131" spans="1:19" ht="128.25">
      <c r="A131" s="470" t="s">
        <v>2295</v>
      </c>
      <c r="B131" s="471" t="s">
        <v>534</v>
      </c>
      <c r="C131" s="472" t="s">
        <v>13</v>
      </c>
      <c r="D131" s="473">
        <v>450.04</v>
      </c>
      <c r="E131" s="473">
        <v>450.04</v>
      </c>
      <c r="F131" s="473">
        <f>估驗單!F127</f>
        <v>484.31400000000008</v>
      </c>
      <c r="G131" s="479">
        <f t="shared" si="8"/>
        <v>34.274000000000058</v>
      </c>
      <c r="H131" s="473">
        <v>982.93</v>
      </c>
      <c r="I131" s="473"/>
      <c r="J131" s="473"/>
      <c r="K131" s="473">
        <v>442357.82</v>
      </c>
      <c r="L131" s="473">
        <f t="shared" si="11"/>
        <v>442357.82</v>
      </c>
      <c r="M131" s="473">
        <f t="shared" si="13"/>
        <v>476046.76</v>
      </c>
      <c r="N131" s="479">
        <f t="shared" si="12"/>
        <v>33688.94</v>
      </c>
      <c r="O131" s="531"/>
      <c r="P131" s="474" t="s">
        <v>2552</v>
      </c>
      <c r="Q131" s="11" t="s">
        <v>243</v>
      </c>
      <c r="R131" s="574"/>
      <c r="S131" s="427"/>
    </row>
    <row r="132" spans="1:19" ht="85.5">
      <c r="A132" s="470" t="s">
        <v>2296</v>
      </c>
      <c r="B132" s="471" t="s">
        <v>536</v>
      </c>
      <c r="C132" s="472" t="s">
        <v>13</v>
      </c>
      <c r="D132" s="473">
        <v>28.27</v>
      </c>
      <c r="E132" s="473">
        <v>28.27</v>
      </c>
      <c r="F132" s="473">
        <f>估驗單!F128</f>
        <v>42.534999999999997</v>
      </c>
      <c r="G132" s="479">
        <f t="shared" si="8"/>
        <v>14.264999999999997</v>
      </c>
      <c r="H132" s="473">
        <v>804.75</v>
      </c>
      <c r="I132" s="473"/>
      <c r="J132" s="473"/>
      <c r="K132" s="473">
        <v>22750.28</v>
      </c>
      <c r="L132" s="473">
        <f t="shared" si="11"/>
        <v>22750.28</v>
      </c>
      <c r="M132" s="473">
        <f t="shared" si="13"/>
        <v>34230.04</v>
      </c>
      <c r="N132" s="479">
        <f t="shared" si="12"/>
        <v>11479.760000000002</v>
      </c>
      <c r="O132" s="531"/>
      <c r="P132" s="474" t="s">
        <v>2553</v>
      </c>
      <c r="Q132" s="11" t="s">
        <v>243</v>
      </c>
      <c r="R132" s="574"/>
      <c r="S132" s="427"/>
    </row>
    <row r="133" spans="1:19" ht="33">
      <c r="A133" s="421" t="s">
        <v>2297</v>
      </c>
      <c r="B133" s="422" t="s">
        <v>538</v>
      </c>
      <c r="C133" s="423" t="s">
        <v>539</v>
      </c>
      <c r="D133" s="424">
        <v>25655</v>
      </c>
      <c r="E133" s="424">
        <v>25655</v>
      </c>
      <c r="F133" s="424">
        <f>估驗單!F129</f>
        <v>25655</v>
      </c>
      <c r="G133" s="478">
        <f t="shared" si="8"/>
        <v>0</v>
      </c>
      <c r="H133" s="424">
        <v>75</v>
      </c>
      <c r="I133" s="424"/>
      <c r="J133" s="424"/>
      <c r="K133" s="424">
        <v>1924125</v>
      </c>
      <c r="L133" s="424">
        <f t="shared" si="11"/>
        <v>1924125</v>
      </c>
      <c r="M133" s="424">
        <f t="shared" si="13"/>
        <v>1924125</v>
      </c>
      <c r="N133" s="478">
        <f t="shared" si="12"/>
        <v>0</v>
      </c>
      <c r="O133" s="530"/>
      <c r="P133" s="264" t="s">
        <v>242</v>
      </c>
      <c r="Q133" s="11" t="s">
        <v>243</v>
      </c>
      <c r="R133" s="574"/>
      <c r="S133" s="427"/>
    </row>
    <row r="134" spans="1:19" ht="57">
      <c r="A134" s="421" t="s">
        <v>2298</v>
      </c>
      <c r="B134" s="422" t="s">
        <v>321</v>
      </c>
      <c r="C134" s="423" t="s">
        <v>17</v>
      </c>
      <c r="D134" s="424">
        <v>3691</v>
      </c>
      <c r="E134" s="424">
        <v>3691</v>
      </c>
      <c r="F134" s="424">
        <f>估驗單!F130</f>
        <v>3691</v>
      </c>
      <c r="G134" s="478">
        <f t="shared" si="8"/>
        <v>0</v>
      </c>
      <c r="H134" s="424">
        <v>60</v>
      </c>
      <c r="I134" s="424"/>
      <c r="J134" s="424"/>
      <c r="K134" s="424">
        <v>221460</v>
      </c>
      <c r="L134" s="424">
        <f t="shared" si="11"/>
        <v>221460</v>
      </c>
      <c r="M134" s="424">
        <f t="shared" si="13"/>
        <v>221460</v>
      </c>
      <c r="N134" s="478">
        <f t="shared" si="12"/>
        <v>0</v>
      </c>
      <c r="O134" s="530"/>
      <c r="P134" s="264" t="s">
        <v>2546</v>
      </c>
      <c r="Q134" s="11" t="s">
        <v>243</v>
      </c>
      <c r="R134" s="574"/>
      <c r="S134" s="427"/>
    </row>
    <row r="135" spans="1:19" ht="33">
      <c r="A135" s="421" t="s">
        <v>2299</v>
      </c>
      <c r="B135" s="422" t="s">
        <v>323</v>
      </c>
      <c r="C135" s="423" t="s">
        <v>17</v>
      </c>
      <c r="D135" s="424">
        <v>3691</v>
      </c>
      <c r="E135" s="424">
        <v>3691</v>
      </c>
      <c r="F135" s="424">
        <f>估驗單!F131</f>
        <v>3691</v>
      </c>
      <c r="G135" s="478">
        <f t="shared" si="8"/>
        <v>0</v>
      </c>
      <c r="H135" s="424">
        <v>31.9</v>
      </c>
      <c r="I135" s="424"/>
      <c r="J135" s="424"/>
      <c r="K135" s="424">
        <v>117742.9</v>
      </c>
      <c r="L135" s="424">
        <f t="shared" si="11"/>
        <v>117742.9</v>
      </c>
      <c r="M135" s="424">
        <f t="shared" si="13"/>
        <v>117742.9</v>
      </c>
      <c r="N135" s="478">
        <f t="shared" si="12"/>
        <v>0</v>
      </c>
      <c r="O135" s="530"/>
      <c r="P135" s="264" t="s">
        <v>242</v>
      </c>
      <c r="Q135" s="11" t="s">
        <v>243</v>
      </c>
      <c r="R135" s="574"/>
      <c r="S135" s="427"/>
    </row>
    <row r="136" spans="1:19" ht="33">
      <c r="A136" s="421" t="s">
        <v>2300</v>
      </c>
      <c r="B136" s="422" t="s">
        <v>542</v>
      </c>
      <c r="C136" s="423" t="s">
        <v>17</v>
      </c>
      <c r="D136" s="424">
        <v>2162</v>
      </c>
      <c r="E136" s="424">
        <v>2162</v>
      </c>
      <c r="F136" s="424">
        <f>估驗單!F132</f>
        <v>2162</v>
      </c>
      <c r="G136" s="478">
        <f t="shared" si="8"/>
        <v>0</v>
      </c>
      <c r="H136" s="424">
        <v>278.08</v>
      </c>
      <c r="I136" s="424"/>
      <c r="J136" s="424"/>
      <c r="K136" s="424">
        <v>601208.96</v>
      </c>
      <c r="L136" s="424">
        <f t="shared" si="11"/>
        <v>601208.96</v>
      </c>
      <c r="M136" s="424">
        <f t="shared" si="13"/>
        <v>601208.96</v>
      </c>
      <c r="N136" s="478">
        <f t="shared" si="12"/>
        <v>0</v>
      </c>
      <c r="O136" s="530"/>
      <c r="P136" s="264" t="s">
        <v>242</v>
      </c>
      <c r="Q136" s="11" t="s">
        <v>243</v>
      </c>
      <c r="R136" s="574"/>
      <c r="S136" s="427"/>
    </row>
    <row r="137" spans="1:19" ht="33">
      <c r="A137" s="421" t="s">
        <v>2301</v>
      </c>
      <c r="B137" s="422" t="s">
        <v>544</v>
      </c>
      <c r="C137" s="423" t="s">
        <v>13</v>
      </c>
      <c r="D137" s="424">
        <v>99.7</v>
      </c>
      <c r="E137" s="424">
        <v>99.7</v>
      </c>
      <c r="F137" s="424">
        <f>估驗單!F133</f>
        <v>99.7</v>
      </c>
      <c r="G137" s="478">
        <f t="shared" si="8"/>
        <v>0</v>
      </c>
      <c r="H137" s="424">
        <v>1399.92</v>
      </c>
      <c r="I137" s="424"/>
      <c r="J137" s="424"/>
      <c r="K137" s="424">
        <v>139572.01999999999</v>
      </c>
      <c r="L137" s="424">
        <f t="shared" si="11"/>
        <v>139572.01999999999</v>
      </c>
      <c r="M137" s="424">
        <f t="shared" si="13"/>
        <v>139572.01999999999</v>
      </c>
      <c r="N137" s="478">
        <f t="shared" si="12"/>
        <v>0</v>
      </c>
      <c r="O137" s="530"/>
      <c r="P137" s="264" t="s">
        <v>2530</v>
      </c>
      <c r="Q137" s="11" t="s">
        <v>243</v>
      </c>
      <c r="R137" s="574"/>
      <c r="S137" s="427"/>
    </row>
    <row r="138" spans="1:19" ht="57">
      <c r="A138" s="470" t="s">
        <v>2302</v>
      </c>
      <c r="B138" s="471" t="s">
        <v>325</v>
      </c>
      <c r="C138" s="472" t="s">
        <v>17</v>
      </c>
      <c r="D138" s="473">
        <v>95900</v>
      </c>
      <c r="E138" s="473">
        <v>95900</v>
      </c>
      <c r="F138" s="473">
        <f>估驗單!F134</f>
        <v>96604.35</v>
      </c>
      <c r="G138" s="479">
        <f t="shared" si="8"/>
        <v>704.35000000000582</v>
      </c>
      <c r="H138" s="473">
        <v>107.3</v>
      </c>
      <c r="I138" s="473"/>
      <c r="J138" s="473"/>
      <c r="K138" s="473">
        <v>10290070</v>
      </c>
      <c r="L138" s="473">
        <f t="shared" si="11"/>
        <v>10290070</v>
      </c>
      <c r="M138" s="473">
        <f t="shared" si="13"/>
        <v>10365646.76</v>
      </c>
      <c r="N138" s="479">
        <f t="shared" si="12"/>
        <v>75576.759999999776</v>
      </c>
      <c r="O138" s="531"/>
      <c r="P138" s="474" t="s">
        <v>2546</v>
      </c>
      <c r="Q138" s="11" t="s">
        <v>243</v>
      </c>
      <c r="R138" s="574"/>
      <c r="S138" s="427"/>
    </row>
    <row r="139" spans="1:19" ht="42.75">
      <c r="A139" s="421" t="s">
        <v>2303</v>
      </c>
      <c r="B139" s="422" t="s">
        <v>222</v>
      </c>
      <c r="C139" s="423" t="s">
        <v>13</v>
      </c>
      <c r="D139" s="424">
        <v>438.86</v>
      </c>
      <c r="E139" s="424">
        <v>438.86</v>
      </c>
      <c r="F139" s="424">
        <f>估驗單!F135</f>
        <v>576</v>
      </c>
      <c r="G139" s="478">
        <f t="shared" si="8"/>
        <v>137.13999999999999</v>
      </c>
      <c r="H139" s="424">
        <v>692.12</v>
      </c>
      <c r="I139" s="424"/>
      <c r="J139" s="424"/>
      <c r="K139" s="424">
        <v>303743.78000000003</v>
      </c>
      <c r="L139" s="424">
        <f t="shared" si="11"/>
        <v>303743.78000000003</v>
      </c>
      <c r="M139" s="424">
        <f t="shared" si="13"/>
        <v>398661.12</v>
      </c>
      <c r="N139" s="478">
        <f t="shared" si="12"/>
        <v>94917.339999999967</v>
      </c>
      <c r="O139" s="530"/>
      <c r="P139" s="264" t="s">
        <v>2554</v>
      </c>
      <c r="Q139" s="11" t="s">
        <v>243</v>
      </c>
      <c r="R139" s="574"/>
      <c r="S139" s="427"/>
    </row>
    <row r="140" spans="1:19" ht="33">
      <c r="A140" s="421" t="s">
        <v>2304</v>
      </c>
      <c r="B140" s="422" t="s">
        <v>194</v>
      </c>
      <c r="C140" s="423" t="s">
        <v>23</v>
      </c>
      <c r="D140" s="424">
        <v>342.71</v>
      </c>
      <c r="E140" s="424">
        <v>342.71</v>
      </c>
      <c r="F140" s="424">
        <f>估驗單!F136</f>
        <v>342.71</v>
      </c>
      <c r="G140" s="478">
        <f t="shared" si="8"/>
        <v>0</v>
      </c>
      <c r="H140" s="424">
        <v>48.28</v>
      </c>
      <c r="I140" s="424"/>
      <c r="J140" s="424"/>
      <c r="K140" s="424">
        <v>16546.04</v>
      </c>
      <c r="L140" s="424">
        <f t="shared" si="11"/>
        <v>16546.04</v>
      </c>
      <c r="M140" s="424">
        <f t="shared" si="13"/>
        <v>16546.04</v>
      </c>
      <c r="N140" s="478">
        <f t="shared" si="12"/>
        <v>0</v>
      </c>
      <c r="O140" s="530"/>
      <c r="P140" s="264" t="s">
        <v>242</v>
      </c>
      <c r="Q140" s="11" t="s">
        <v>243</v>
      </c>
      <c r="R140" s="574"/>
      <c r="S140" s="427"/>
    </row>
    <row r="141" spans="1:19" ht="33">
      <c r="A141" s="421" t="s">
        <v>2305</v>
      </c>
      <c r="B141" s="422" t="s">
        <v>205</v>
      </c>
      <c r="C141" s="423" t="s">
        <v>23</v>
      </c>
      <c r="D141" s="424">
        <v>231.09</v>
      </c>
      <c r="E141" s="424">
        <v>231.09</v>
      </c>
      <c r="F141" s="424">
        <f>估驗單!F137</f>
        <v>231.09</v>
      </c>
      <c r="G141" s="478">
        <f t="shared" si="8"/>
        <v>0</v>
      </c>
      <c r="H141" s="424">
        <v>721.02</v>
      </c>
      <c r="I141" s="424"/>
      <c r="J141" s="424"/>
      <c r="K141" s="424">
        <v>166620.51</v>
      </c>
      <c r="L141" s="424">
        <f t="shared" si="11"/>
        <v>166620.51</v>
      </c>
      <c r="M141" s="424">
        <f t="shared" si="13"/>
        <v>166620.51</v>
      </c>
      <c r="N141" s="478">
        <f t="shared" si="12"/>
        <v>0</v>
      </c>
      <c r="O141" s="530"/>
      <c r="P141" s="264" t="s">
        <v>242</v>
      </c>
      <c r="Q141" s="11" t="s">
        <v>243</v>
      </c>
      <c r="R141" s="574"/>
      <c r="S141" s="427"/>
    </row>
    <row r="142" spans="1:19" ht="33">
      <c r="A142" s="421" t="s">
        <v>2306</v>
      </c>
      <c r="B142" s="422" t="s">
        <v>548</v>
      </c>
      <c r="C142" s="423" t="s">
        <v>13</v>
      </c>
      <c r="D142" s="424">
        <v>27956</v>
      </c>
      <c r="E142" s="424">
        <v>27956</v>
      </c>
      <c r="F142" s="424">
        <f>估驗單!F138</f>
        <v>27956</v>
      </c>
      <c r="G142" s="478">
        <f t="shared" si="8"/>
        <v>0</v>
      </c>
      <c r="H142" s="424">
        <v>28</v>
      </c>
      <c r="I142" s="424"/>
      <c r="J142" s="424"/>
      <c r="K142" s="424">
        <v>782768</v>
      </c>
      <c r="L142" s="424">
        <f t="shared" si="11"/>
        <v>782768</v>
      </c>
      <c r="M142" s="424">
        <f t="shared" si="13"/>
        <v>782768</v>
      </c>
      <c r="N142" s="478">
        <f t="shared" si="12"/>
        <v>0</v>
      </c>
      <c r="O142" s="530"/>
      <c r="P142" s="264" t="s">
        <v>2530</v>
      </c>
      <c r="Q142" s="11" t="s">
        <v>243</v>
      </c>
      <c r="R142" s="574"/>
      <c r="S142" s="427"/>
    </row>
    <row r="143" spans="1:19" ht="42.75">
      <c r="A143" s="421" t="s">
        <v>2307</v>
      </c>
      <c r="B143" s="422" t="s">
        <v>2376</v>
      </c>
      <c r="C143" s="423" t="s">
        <v>8</v>
      </c>
      <c r="D143" s="424">
        <v>322</v>
      </c>
      <c r="E143" s="424">
        <v>322</v>
      </c>
      <c r="F143" s="424">
        <f>估驗單!F139</f>
        <v>322</v>
      </c>
      <c r="G143" s="478">
        <f t="shared" si="8"/>
        <v>0</v>
      </c>
      <c r="H143" s="424">
        <v>19011.37</v>
      </c>
      <c r="I143" s="424"/>
      <c r="J143" s="424"/>
      <c r="K143" s="424">
        <v>6121661.1399999997</v>
      </c>
      <c r="L143" s="424">
        <f t="shared" si="11"/>
        <v>6121661.1399999997</v>
      </c>
      <c r="M143" s="424">
        <f t="shared" si="13"/>
        <v>6121661.1399999997</v>
      </c>
      <c r="N143" s="478">
        <f t="shared" si="12"/>
        <v>0</v>
      </c>
      <c r="O143" s="530"/>
      <c r="P143" s="264" t="s">
        <v>2543</v>
      </c>
      <c r="Q143" s="11" t="s">
        <v>243</v>
      </c>
      <c r="R143" s="574"/>
      <c r="S143" s="427"/>
    </row>
    <row r="144" spans="1:19" ht="33">
      <c r="A144" s="421" t="s">
        <v>2308</v>
      </c>
      <c r="B144" s="422" t="s">
        <v>552</v>
      </c>
      <c r="C144" s="423" t="s">
        <v>13</v>
      </c>
      <c r="D144" s="424">
        <v>100</v>
      </c>
      <c r="E144" s="424">
        <v>100</v>
      </c>
      <c r="F144" s="424">
        <f>估驗單!F140</f>
        <v>100</v>
      </c>
      <c r="G144" s="478">
        <f t="shared" si="8"/>
        <v>0</v>
      </c>
      <c r="H144" s="424">
        <v>373.08</v>
      </c>
      <c r="I144" s="424"/>
      <c r="J144" s="424"/>
      <c r="K144" s="424">
        <v>37308</v>
      </c>
      <c r="L144" s="424">
        <f t="shared" si="11"/>
        <v>37308</v>
      </c>
      <c r="M144" s="424">
        <f t="shared" si="13"/>
        <v>37308</v>
      </c>
      <c r="N144" s="478">
        <f t="shared" si="12"/>
        <v>0</v>
      </c>
      <c r="O144" s="530"/>
      <c r="P144" s="264" t="s">
        <v>242</v>
      </c>
      <c r="Q144" s="11" t="s">
        <v>243</v>
      </c>
      <c r="R144" s="574"/>
      <c r="S144" s="427"/>
    </row>
    <row r="145" spans="1:19" ht="33">
      <c r="A145" s="421" t="s">
        <v>2309</v>
      </c>
      <c r="B145" s="422" t="s">
        <v>554</v>
      </c>
      <c r="C145" s="423" t="s">
        <v>13</v>
      </c>
      <c r="D145" s="424">
        <v>83</v>
      </c>
      <c r="E145" s="424">
        <v>83</v>
      </c>
      <c r="F145" s="424">
        <f>估驗單!F141</f>
        <v>83</v>
      </c>
      <c r="G145" s="478">
        <f t="shared" si="8"/>
        <v>0</v>
      </c>
      <c r="H145" s="424">
        <v>616.49</v>
      </c>
      <c r="I145" s="424"/>
      <c r="J145" s="424"/>
      <c r="K145" s="424">
        <v>51168.67</v>
      </c>
      <c r="L145" s="424">
        <f t="shared" si="11"/>
        <v>51168.67</v>
      </c>
      <c r="M145" s="424">
        <f t="shared" si="13"/>
        <v>51168.67</v>
      </c>
      <c r="N145" s="478">
        <f t="shared" si="12"/>
        <v>0</v>
      </c>
      <c r="O145" s="530"/>
      <c r="P145" s="264" t="s">
        <v>242</v>
      </c>
      <c r="Q145" s="11" t="s">
        <v>243</v>
      </c>
      <c r="R145" s="574"/>
      <c r="S145" s="427"/>
    </row>
    <row r="146" spans="1:19" ht="33">
      <c r="A146" s="421" t="s">
        <v>2311</v>
      </c>
      <c r="B146" s="422" t="s">
        <v>556</v>
      </c>
      <c r="C146" s="423" t="s">
        <v>13</v>
      </c>
      <c r="D146" s="424">
        <v>2.1</v>
      </c>
      <c r="E146" s="424">
        <v>2.1</v>
      </c>
      <c r="F146" s="424">
        <f>估驗單!F142</f>
        <v>2.1</v>
      </c>
      <c r="G146" s="478">
        <f t="shared" si="8"/>
        <v>0</v>
      </c>
      <c r="H146" s="424">
        <v>1874.26</v>
      </c>
      <c r="I146" s="424"/>
      <c r="J146" s="424"/>
      <c r="K146" s="424">
        <v>3935.95</v>
      </c>
      <c r="L146" s="424">
        <f t="shared" si="11"/>
        <v>3935.95</v>
      </c>
      <c r="M146" s="424">
        <f t="shared" si="13"/>
        <v>3935.95</v>
      </c>
      <c r="N146" s="478">
        <f t="shared" si="12"/>
        <v>0</v>
      </c>
      <c r="O146" s="530"/>
      <c r="P146" s="264" t="s">
        <v>242</v>
      </c>
      <c r="Q146" s="11" t="s">
        <v>243</v>
      </c>
      <c r="R146" s="574"/>
      <c r="S146" s="427"/>
    </row>
    <row r="147" spans="1:19" ht="33">
      <c r="A147" s="421" t="s">
        <v>2312</v>
      </c>
      <c r="B147" s="422" t="s">
        <v>558</v>
      </c>
      <c r="C147" s="423" t="s">
        <v>8</v>
      </c>
      <c r="D147" s="424">
        <v>62</v>
      </c>
      <c r="E147" s="424">
        <v>62</v>
      </c>
      <c r="F147" s="424">
        <f>估驗單!F143</f>
        <v>62</v>
      </c>
      <c r="G147" s="478">
        <f t="shared" si="8"/>
        <v>0</v>
      </c>
      <c r="H147" s="424">
        <v>2388.4299999999998</v>
      </c>
      <c r="I147" s="424"/>
      <c r="J147" s="424"/>
      <c r="K147" s="424">
        <v>148082.66</v>
      </c>
      <c r="L147" s="424">
        <f t="shared" si="11"/>
        <v>148082.66</v>
      </c>
      <c r="M147" s="424">
        <f t="shared" si="13"/>
        <v>148082.66</v>
      </c>
      <c r="N147" s="478">
        <f t="shared" si="12"/>
        <v>0</v>
      </c>
      <c r="O147" s="530"/>
      <c r="P147" s="264" t="s">
        <v>2530</v>
      </c>
      <c r="Q147" s="11" t="s">
        <v>243</v>
      </c>
      <c r="R147" s="574"/>
      <c r="S147" s="427"/>
    </row>
    <row r="148" spans="1:19" ht="33">
      <c r="A148" s="421" t="s">
        <v>2313</v>
      </c>
      <c r="B148" s="422" t="s">
        <v>560</v>
      </c>
      <c r="C148" s="423" t="s">
        <v>8</v>
      </c>
      <c r="D148" s="424">
        <v>33</v>
      </c>
      <c r="E148" s="424">
        <v>33</v>
      </c>
      <c r="F148" s="424">
        <f>估驗單!F144</f>
        <v>33</v>
      </c>
      <c r="G148" s="478">
        <f t="shared" si="8"/>
        <v>0</v>
      </c>
      <c r="H148" s="424">
        <v>12777.68</v>
      </c>
      <c r="I148" s="424"/>
      <c r="J148" s="424"/>
      <c r="K148" s="424">
        <v>421663.44</v>
      </c>
      <c r="L148" s="424">
        <f t="shared" si="11"/>
        <v>421663.44</v>
      </c>
      <c r="M148" s="424">
        <f t="shared" si="13"/>
        <v>421663.44</v>
      </c>
      <c r="N148" s="478">
        <f t="shared" si="12"/>
        <v>0</v>
      </c>
      <c r="O148" s="530"/>
      <c r="P148" s="264" t="s">
        <v>2530</v>
      </c>
      <c r="Q148" s="11" t="s">
        <v>243</v>
      </c>
      <c r="R148" s="574"/>
      <c r="S148" s="427"/>
    </row>
    <row r="149" spans="1:19" ht="33">
      <c r="A149" s="421" t="s">
        <v>2315</v>
      </c>
      <c r="B149" s="422" t="s">
        <v>562</v>
      </c>
      <c r="C149" s="423" t="s">
        <v>8</v>
      </c>
      <c r="D149" s="424">
        <v>32.6</v>
      </c>
      <c r="E149" s="424">
        <v>32.6</v>
      </c>
      <c r="F149" s="424">
        <f>估驗單!F145</f>
        <v>32.6</v>
      </c>
      <c r="G149" s="478">
        <f t="shared" si="8"/>
        <v>0</v>
      </c>
      <c r="H149" s="424">
        <v>71914.34</v>
      </c>
      <c r="I149" s="424"/>
      <c r="J149" s="424"/>
      <c r="K149" s="424">
        <v>2344407.48</v>
      </c>
      <c r="L149" s="424">
        <f t="shared" si="11"/>
        <v>2344407.48</v>
      </c>
      <c r="M149" s="424">
        <f t="shared" si="13"/>
        <v>2344407.48</v>
      </c>
      <c r="N149" s="478">
        <f t="shared" si="12"/>
        <v>0</v>
      </c>
      <c r="O149" s="530"/>
      <c r="P149" s="264" t="s">
        <v>2530</v>
      </c>
      <c r="Q149" s="11" t="s">
        <v>243</v>
      </c>
      <c r="R149" s="574"/>
      <c r="S149" s="427"/>
    </row>
    <row r="150" spans="1:19" ht="33">
      <c r="A150" s="421" t="s">
        <v>2316</v>
      </c>
      <c r="B150" s="422" t="s">
        <v>564</v>
      </c>
      <c r="C150" s="423" t="s">
        <v>8</v>
      </c>
      <c r="D150" s="424">
        <v>32.6</v>
      </c>
      <c r="E150" s="424">
        <v>32.6</v>
      </c>
      <c r="F150" s="424">
        <f>估驗單!F146</f>
        <v>32.6</v>
      </c>
      <c r="G150" s="478">
        <f t="shared" si="8"/>
        <v>0</v>
      </c>
      <c r="H150" s="424">
        <v>189793.78</v>
      </c>
      <c r="I150" s="424"/>
      <c r="J150" s="424"/>
      <c r="K150" s="424">
        <v>6187277.2300000004</v>
      </c>
      <c r="L150" s="424">
        <f t="shared" si="11"/>
        <v>6187277.2300000004</v>
      </c>
      <c r="M150" s="424">
        <f t="shared" si="13"/>
        <v>6187277.2300000004</v>
      </c>
      <c r="N150" s="478">
        <f t="shared" si="12"/>
        <v>0</v>
      </c>
      <c r="O150" s="530"/>
      <c r="P150" s="264" t="s">
        <v>2530</v>
      </c>
      <c r="Q150" s="11" t="s">
        <v>243</v>
      </c>
      <c r="R150" s="574"/>
      <c r="S150" s="427"/>
    </row>
    <row r="151" spans="1:19" ht="33">
      <c r="A151" s="421" t="s">
        <v>2317</v>
      </c>
      <c r="B151" s="422" t="s">
        <v>567</v>
      </c>
      <c r="C151" s="423" t="s">
        <v>0</v>
      </c>
      <c r="D151" s="424">
        <v>1</v>
      </c>
      <c r="E151" s="424">
        <v>1</v>
      </c>
      <c r="F151" s="424">
        <f>估驗單!F147</f>
        <v>1</v>
      </c>
      <c r="G151" s="478">
        <f t="shared" si="8"/>
        <v>0</v>
      </c>
      <c r="H151" s="424">
        <v>78208.240000000005</v>
      </c>
      <c r="I151" s="424"/>
      <c r="J151" s="424"/>
      <c r="K151" s="424">
        <v>78208.240000000005</v>
      </c>
      <c r="L151" s="424">
        <f t="shared" si="11"/>
        <v>78208.240000000005</v>
      </c>
      <c r="M151" s="424">
        <f t="shared" si="13"/>
        <v>78208.240000000005</v>
      </c>
      <c r="N151" s="478">
        <f t="shared" si="12"/>
        <v>0</v>
      </c>
      <c r="O151" s="530"/>
      <c r="P151" s="264" t="s">
        <v>2530</v>
      </c>
      <c r="Q151" s="11" t="s">
        <v>243</v>
      </c>
      <c r="R151" s="574"/>
      <c r="S151" s="427"/>
    </row>
    <row r="152" spans="1:19" ht="33">
      <c r="A152" s="421" t="s">
        <v>2318</v>
      </c>
      <c r="B152" s="422" t="s">
        <v>570</v>
      </c>
      <c r="C152" s="423" t="s">
        <v>8</v>
      </c>
      <c r="D152" s="424">
        <v>9.6</v>
      </c>
      <c r="E152" s="424">
        <v>9.6</v>
      </c>
      <c r="F152" s="424">
        <f>估驗單!F148</f>
        <v>9.6</v>
      </c>
      <c r="G152" s="478">
        <f t="shared" si="8"/>
        <v>0</v>
      </c>
      <c r="H152" s="424">
        <v>4213.4799999999996</v>
      </c>
      <c r="I152" s="424"/>
      <c r="J152" s="424"/>
      <c r="K152" s="424">
        <v>40449.410000000003</v>
      </c>
      <c r="L152" s="424">
        <f t="shared" si="11"/>
        <v>40449.410000000003</v>
      </c>
      <c r="M152" s="424">
        <f t="shared" si="13"/>
        <v>40449.410000000003</v>
      </c>
      <c r="N152" s="478">
        <f t="shared" si="12"/>
        <v>0</v>
      </c>
      <c r="O152" s="530"/>
      <c r="P152" s="264" t="s">
        <v>2530</v>
      </c>
      <c r="Q152" s="11" t="s">
        <v>243</v>
      </c>
      <c r="R152" s="574"/>
      <c r="S152" s="427"/>
    </row>
    <row r="153" spans="1:19" ht="33">
      <c r="A153" s="421" t="s">
        <v>2319</v>
      </c>
      <c r="B153" s="422" t="s">
        <v>573</v>
      </c>
      <c r="C153" s="423" t="s">
        <v>0</v>
      </c>
      <c r="D153" s="424">
        <v>1</v>
      </c>
      <c r="E153" s="424">
        <v>1</v>
      </c>
      <c r="F153" s="424">
        <f>估驗單!F149</f>
        <v>1</v>
      </c>
      <c r="G153" s="478">
        <f t="shared" si="8"/>
        <v>0</v>
      </c>
      <c r="H153" s="424">
        <v>2005.23</v>
      </c>
      <c r="I153" s="424"/>
      <c r="J153" s="424"/>
      <c r="K153" s="424">
        <v>2005.23</v>
      </c>
      <c r="L153" s="424">
        <f t="shared" si="11"/>
        <v>2005.23</v>
      </c>
      <c r="M153" s="424">
        <f t="shared" si="13"/>
        <v>2005.23</v>
      </c>
      <c r="N153" s="478">
        <f t="shared" si="12"/>
        <v>0</v>
      </c>
      <c r="O153" s="530"/>
      <c r="P153" s="264" t="s">
        <v>242</v>
      </c>
      <c r="Q153" s="11" t="s">
        <v>243</v>
      </c>
      <c r="R153" s="574"/>
      <c r="S153" s="427"/>
    </row>
    <row r="154" spans="1:19" ht="33">
      <c r="A154" s="421" t="s">
        <v>2320</v>
      </c>
      <c r="B154" s="422" t="s">
        <v>576</v>
      </c>
      <c r="C154" s="423" t="s">
        <v>8</v>
      </c>
      <c r="D154" s="424">
        <v>32.6</v>
      </c>
      <c r="E154" s="424">
        <v>32.6</v>
      </c>
      <c r="F154" s="424">
        <f>估驗單!F150</f>
        <v>32.6</v>
      </c>
      <c r="G154" s="478">
        <f t="shared" ref="G154:G217" si="14">F154-E154</f>
        <v>0</v>
      </c>
      <c r="H154" s="424">
        <v>21727.78</v>
      </c>
      <c r="I154" s="424"/>
      <c r="J154" s="424"/>
      <c r="K154" s="424">
        <v>708325.63</v>
      </c>
      <c r="L154" s="424">
        <f t="shared" si="11"/>
        <v>708325.63</v>
      </c>
      <c r="M154" s="424">
        <f t="shared" si="13"/>
        <v>708325.63</v>
      </c>
      <c r="N154" s="478">
        <f t="shared" si="12"/>
        <v>0</v>
      </c>
      <c r="O154" s="530"/>
      <c r="P154" s="264" t="s">
        <v>2530</v>
      </c>
      <c r="Q154" s="11" t="s">
        <v>243</v>
      </c>
      <c r="R154" s="574"/>
      <c r="S154" s="427"/>
    </row>
    <row r="155" spans="1:19" ht="33">
      <c r="A155" s="421" t="s">
        <v>2321</v>
      </c>
      <c r="B155" s="422" t="s">
        <v>579</v>
      </c>
      <c r="C155" s="423" t="s">
        <v>8</v>
      </c>
      <c r="D155" s="424">
        <v>32.6</v>
      </c>
      <c r="E155" s="424">
        <v>32.6</v>
      </c>
      <c r="F155" s="424">
        <f>估驗單!F151</f>
        <v>32.6</v>
      </c>
      <c r="G155" s="478">
        <f t="shared" si="14"/>
        <v>0</v>
      </c>
      <c r="H155" s="424">
        <v>15955.67</v>
      </c>
      <c r="I155" s="424"/>
      <c r="J155" s="424"/>
      <c r="K155" s="424">
        <v>520154.84</v>
      </c>
      <c r="L155" s="424">
        <f t="shared" si="11"/>
        <v>520154.84</v>
      </c>
      <c r="M155" s="424">
        <f t="shared" si="13"/>
        <v>520154.84</v>
      </c>
      <c r="N155" s="478">
        <f t="shared" si="12"/>
        <v>0</v>
      </c>
      <c r="O155" s="530"/>
      <c r="P155" s="264" t="s">
        <v>2530</v>
      </c>
      <c r="Q155" s="11" t="s">
        <v>243</v>
      </c>
      <c r="R155" s="574"/>
      <c r="S155" s="427"/>
    </row>
    <row r="156" spans="1:19" ht="33">
      <c r="A156" s="421" t="s">
        <v>2322</v>
      </c>
      <c r="B156" s="422" t="s">
        <v>582</v>
      </c>
      <c r="C156" s="423" t="s">
        <v>583</v>
      </c>
      <c r="D156" s="424">
        <v>4</v>
      </c>
      <c r="E156" s="424">
        <v>4</v>
      </c>
      <c r="F156" s="424">
        <f>估驗單!F152</f>
        <v>4</v>
      </c>
      <c r="G156" s="478">
        <f t="shared" si="14"/>
        <v>0</v>
      </c>
      <c r="H156" s="424">
        <v>299.98</v>
      </c>
      <c r="I156" s="424"/>
      <c r="J156" s="424"/>
      <c r="K156" s="424">
        <v>1199.92</v>
      </c>
      <c r="L156" s="424">
        <f t="shared" si="11"/>
        <v>1199.92</v>
      </c>
      <c r="M156" s="424">
        <f t="shared" si="13"/>
        <v>1199.92</v>
      </c>
      <c r="N156" s="478">
        <f t="shared" si="12"/>
        <v>0</v>
      </c>
      <c r="O156" s="530"/>
      <c r="P156" s="264" t="s">
        <v>242</v>
      </c>
      <c r="Q156" s="11" t="s">
        <v>243</v>
      </c>
      <c r="R156" s="574"/>
      <c r="S156" s="427"/>
    </row>
    <row r="157" spans="1:19" ht="33">
      <c r="A157" s="431" t="s">
        <v>2323</v>
      </c>
      <c r="B157" s="432" t="s">
        <v>2555</v>
      </c>
      <c r="C157" s="433" t="s">
        <v>8</v>
      </c>
      <c r="D157" s="428">
        <v>4.8</v>
      </c>
      <c r="E157" s="428">
        <v>4.8</v>
      </c>
      <c r="F157" s="424">
        <f>估驗單!F153</f>
        <v>4.8</v>
      </c>
      <c r="G157" s="478">
        <f t="shared" si="14"/>
        <v>0</v>
      </c>
      <c r="H157" s="428">
        <v>119.99</v>
      </c>
      <c r="I157" s="428"/>
      <c r="J157" s="428"/>
      <c r="K157" s="428">
        <v>575.95000000000005</v>
      </c>
      <c r="L157" s="424">
        <f t="shared" si="11"/>
        <v>575.95000000000005</v>
      </c>
      <c r="M157" s="424">
        <f t="shared" si="13"/>
        <v>575.95000000000005</v>
      </c>
      <c r="N157" s="478">
        <f t="shared" si="12"/>
        <v>0</v>
      </c>
      <c r="O157" s="530"/>
      <c r="P157" s="434" t="s">
        <v>2530</v>
      </c>
      <c r="Q157" s="435" t="s">
        <v>243</v>
      </c>
      <c r="R157" s="574"/>
      <c r="S157" s="410"/>
    </row>
    <row r="158" spans="1:19" ht="33">
      <c r="A158" s="421" t="s">
        <v>2324</v>
      </c>
      <c r="B158" s="422" t="s">
        <v>589</v>
      </c>
      <c r="C158" s="423" t="s">
        <v>0</v>
      </c>
      <c r="D158" s="424">
        <v>1</v>
      </c>
      <c r="E158" s="424">
        <v>1</v>
      </c>
      <c r="F158" s="424">
        <f>估驗單!F154</f>
        <v>1</v>
      </c>
      <c r="G158" s="478">
        <f t="shared" si="14"/>
        <v>0</v>
      </c>
      <c r="H158" s="424">
        <v>849172.02</v>
      </c>
      <c r="I158" s="424"/>
      <c r="J158" s="424"/>
      <c r="K158" s="424">
        <v>849172.02</v>
      </c>
      <c r="L158" s="424">
        <f t="shared" si="11"/>
        <v>849172.02</v>
      </c>
      <c r="M158" s="424">
        <f t="shared" si="13"/>
        <v>849172.02</v>
      </c>
      <c r="N158" s="478">
        <f t="shared" si="12"/>
        <v>0</v>
      </c>
      <c r="O158" s="530"/>
      <c r="P158" s="264" t="s">
        <v>242</v>
      </c>
      <c r="Q158" s="11" t="s">
        <v>243</v>
      </c>
      <c r="R158" s="574"/>
      <c r="S158" s="427"/>
    </row>
    <row r="159" spans="1:19" ht="33">
      <c r="A159" s="421" t="s">
        <v>2325</v>
      </c>
      <c r="B159" s="422" t="s">
        <v>592</v>
      </c>
      <c r="C159" s="423" t="s">
        <v>0</v>
      </c>
      <c r="D159" s="424">
        <v>1</v>
      </c>
      <c r="E159" s="424">
        <v>1</v>
      </c>
      <c r="F159" s="424">
        <f>估驗單!F155</f>
        <v>1</v>
      </c>
      <c r="G159" s="478">
        <f t="shared" si="14"/>
        <v>0</v>
      </c>
      <c r="H159" s="424">
        <v>2066157.04</v>
      </c>
      <c r="I159" s="424"/>
      <c r="J159" s="424"/>
      <c r="K159" s="424">
        <v>2066157.04</v>
      </c>
      <c r="L159" s="424">
        <f t="shared" si="11"/>
        <v>2066157.04</v>
      </c>
      <c r="M159" s="424">
        <f t="shared" si="13"/>
        <v>2066157.04</v>
      </c>
      <c r="N159" s="478">
        <f t="shared" si="12"/>
        <v>0</v>
      </c>
      <c r="O159" s="530"/>
      <c r="P159" s="264" t="s">
        <v>242</v>
      </c>
      <c r="Q159" s="11" t="s">
        <v>243</v>
      </c>
      <c r="R159" s="574"/>
      <c r="S159" s="427"/>
    </row>
    <row r="160" spans="1:19" ht="33">
      <c r="A160" s="421" t="s">
        <v>2326</v>
      </c>
      <c r="B160" s="422" t="s">
        <v>1360</v>
      </c>
      <c r="C160" s="423" t="s">
        <v>606</v>
      </c>
      <c r="D160" s="424">
        <v>2</v>
      </c>
      <c r="E160" s="424">
        <v>2</v>
      </c>
      <c r="F160" s="424">
        <f>估驗單!F156</f>
        <v>2</v>
      </c>
      <c r="G160" s="478">
        <f t="shared" si="14"/>
        <v>0</v>
      </c>
      <c r="H160" s="424">
        <v>201796.15</v>
      </c>
      <c r="I160" s="424"/>
      <c r="J160" s="424"/>
      <c r="K160" s="424">
        <v>403592.3</v>
      </c>
      <c r="L160" s="424">
        <f t="shared" si="11"/>
        <v>403592.3</v>
      </c>
      <c r="M160" s="424">
        <f t="shared" si="13"/>
        <v>403592.3</v>
      </c>
      <c r="N160" s="478">
        <f t="shared" si="12"/>
        <v>0</v>
      </c>
      <c r="O160" s="530"/>
      <c r="P160" s="264" t="s">
        <v>242</v>
      </c>
      <c r="Q160" s="11" t="s">
        <v>243</v>
      </c>
      <c r="R160" s="574"/>
      <c r="S160" s="427"/>
    </row>
    <row r="161" spans="1:22" s="444" customFormat="1" ht="33.75">
      <c r="A161" s="500">
        <v>38</v>
      </c>
      <c r="B161" s="501" t="s">
        <v>2556</v>
      </c>
      <c r="C161" s="502" t="s">
        <v>2557</v>
      </c>
      <c r="D161" s="503">
        <v>0</v>
      </c>
      <c r="E161" s="503">
        <v>96850</v>
      </c>
      <c r="F161" s="473">
        <f>估驗單!F157</f>
        <v>111711.59</v>
      </c>
      <c r="G161" s="479">
        <f t="shared" si="14"/>
        <v>14861.589999999997</v>
      </c>
      <c r="H161" s="503">
        <v>0</v>
      </c>
      <c r="I161" s="503"/>
      <c r="J161" s="503">
        <v>16.21</v>
      </c>
      <c r="K161" s="503">
        <f>D161*H161</f>
        <v>0</v>
      </c>
      <c r="L161" s="473">
        <f>ROUND(E161*J161,2)</f>
        <v>1569938.5</v>
      </c>
      <c r="M161" s="473">
        <f>ROUND(F161*J161,2)</f>
        <v>1810844.87</v>
      </c>
      <c r="N161" s="479">
        <f t="shared" si="12"/>
        <v>240906.37000000011</v>
      </c>
      <c r="O161" s="531"/>
      <c r="P161" s="504" t="s">
        <v>2684</v>
      </c>
      <c r="Q161" s="435"/>
      <c r="R161" s="579" t="s">
        <v>2558</v>
      </c>
      <c r="S161" s="437" t="s">
        <v>2559</v>
      </c>
      <c r="T161" s="413" t="s">
        <v>2560</v>
      </c>
    </row>
    <row r="162" spans="1:22" s="447" customFormat="1" ht="33.75">
      <c r="A162" s="431">
        <v>39</v>
      </c>
      <c r="B162" s="432" t="s">
        <v>2561</v>
      </c>
      <c r="C162" s="433" t="s">
        <v>2562</v>
      </c>
      <c r="D162" s="428">
        <v>0</v>
      </c>
      <c r="E162" s="428">
        <v>18</v>
      </c>
      <c r="F162" s="424">
        <f>估驗單!F158</f>
        <v>18</v>
      </c>
      <c r="G162" s="478">
        <f t="shared" si="14"/>
        <v>0</v>
      </c>
      <c r="H162" s="428">
        <v>0</v>
      </c>
      <c r="I162" s="428"/>
      <c r="J162" s="428">
        <v>79587.17</v>
      </c>
      <c r="K162" s="428">
        <f>H162*D162</f>
        <v>0</v>
      </c>
      <c r="L162" s="424">
        <f>ROUND(E162*J162,2)</f>
        <v>1432569.06</v>
      </c>
      <c r="M162" s="424">
        <f>ROUND(F162*J162,2)</f>
        <v>1432569.06</v>
      </c>
      <c r="N162" s="478">
        <f t="shared" si="12"/>
        <v>0</v>
      </c>
      <c r="O162" s="530"/>
      <c r="P162" s="434"/>
      <c r="Q162" s="445"/>
      <c r="R162" s="579" t="s">
        <v>2563</v>
      </c>
      <c r="S162" s="437" t="s">
        <v>2564</v>
      </c>
      <c r="T162" s="446" t="s">
        <v>2565</v>
      </c>
      <c r="V162" s="447" t="s">
        <v>2566</v>
      </c>
    </row>
    <row r="163" spans="1:22" ht="33">
      <c r="A163" s="494" t="s">
        <v>2377</v>
      </c>
      <c r="B163" s="495" t="s">
        <v>594</v>
      </c>
      <c r="C163" s="496" t="s">
        <v>4</v>
      </c>
      <c r="D163" s="497">
        <v>1</v>
      </c>
      <c r="E163" s="497"/>
      <c r="F163" s="497">
        <f>估驗單!F159</f>
        <v>0</v>
      </c>
      <c r="G163" s="498">
        <f t="shared" si="14"/>
        <v>0</v>
      </c>
      <c r="H163" s="497">
        <v>26327393.170000002</v>
      </c>
      <c r="I163" s="497"/>
      <c r="J163" s="497"/>
      <c r="K163" s="539">
        <f>SUM(K164:K191)</f>
        <v>26327393.170000002</v>
      </c>
      <c r="L163" s="539">
        <f>SUM(L164:L191)</f>
        <v>31723888.269999996</v>
      </c>
      <c r="M163" s="539">
        <f>SUM(M164:M191)</f>
        <v>34303014.379999995</v>
      </c>
      <c r="N163" s="539">
        <f>SUM(N164:N191)</f>
        <v>3158116.98</v>
      </c>
      <c r="O163" s="547">
        <f>SUM(O164:O191)</f>
        <v>-578990.87000000011</v>
      </c>
      <c r="P163" s="356" t="s">
        <v>242</v>
      </c>
      <c r="Q163" s="11" t="s">
        <v>243</v>
      </c>
      <c r="R163" s="578"/>
      <c r="S163" s="427"/>
    </row>
    <row r="164" spans="1:22" ht="33">
      <c r="A164" s="421" t="s">
        <v>2288</v>
      </c>
      <c r="B164" s="422" t="s">
        <v>315</v>
      </c>
      <c r="C164" s="423" t="s">
        <v>6</v>
      </c>
      <c r="D164" s="424">
        <v>22</v>
      </c>
      <c r="E164" s="424">
        <v>22</v>
      </c>
      <c r="F164" s="424">
        <f>估驗單!F160</f>
        <v>22.16375</v>
      </c>
      <c r="G164" s="478">
        <f t="shared" si="14"/>
        <v>0.16375000000000028</v>
      </c>
      <c r="H164" s="424">
        <v>3114.97</v>
      </c>
      <c r="I164" s="424"/>
      <c r="J164" s="424"/>
      <c r="K164" s="424">
        <v>68529.34</v>
      </c>
      <c r="L164" s="424">
        <f>ROUND(E164*H164,2)</f>
        <v>68529.34</v>
      </c>
      <c r="M164" s="424">
        <f>ROUND(F164*H164,2)</f>
        <v>69039.42</v>
      </c>
      <c r="N164" s="478">
        <f t="shared" ref="N164:N191" si="15">IF(L164-M164&lt;0+AND(L164&lt;&gt;0),M164-L164,"      ")</f>
        <v>510.08000000000175</v>
      </c>
      <c r="O164" s="530"/>
      <c r="P164" s="264" t="s">
        <v>242</v>
      </c>
      <c r="Q164" s="11" t="s">
        <v>243</v>
      </c>
      <c r="R164" s="574"/>
      <c r="S164" s="427"/>
    </row>
    <row r="165" spans="1:22" ht="33">
      <c r="A165" s="470" t="s">
        <v>2289</v>
      </c>
      <c r="B165" s="471" t="s">
        <v>24</v>
      </c>
      <c r="C165" s="472" t="s">
        <v>6</v>
      </c>
      <c r="D165" s="473">
        <v>302</v>
      </c>
      <c r="E165" s="473">
        <v>302</v>
      </c>
      <c r="F165" s="473">
        <f>估驗單!F161</f>
        <v>127.65557142857143</v>
      </c>
      <c r="G165" s="505">
        <f t="shared" si="14"/>
        <v>-174.34442857142858</v>
      </c>
      <c r="H165" s="473">
        <v>3320.96</v>
      </c>
      <c r="I165" s="473"/>
      <c r="J165" s="473"/>
      <c r="K165" s="473">
        <v>1002929.92</v>
      </c>
      <c r="L165" s="473">
        <f t="shared" ref="L165:L226" si="16">ROUND(E165*H165,2)</f>
        <v>1002929.92</v>
      </c>
      <c r="M165" s="473">
        <f t="shared" ref="M165:M226" si="17">ROUND(F165*H165,2)</f>
        <v>423939.05</v>
      </c>
      <c r="N165" s="479" t="str">
        <f t="shared" si="15"/>
        <v xml:space="preserve">      </v>
      </c>
      <c r="O165" s="493">
        <f>M165-L165</f>
        <v>-578990.87000000011</v>
      </c>
      <c r="P165" s="538" t="s">
        <v>2721</v>
      </c>
      <c r="Q165" s="11" t="s">
        <v>243</v>
      </c>
      <c r="R165" s="578"/>
      <c r="S165" s="427"/>
    </row>
    <row r="166" spans="1:22" ht="33">
      <c r="A166" s="421" t="s">
        <v>2290</v>
      </c>
      <c r="B166" s="422" t="s">
        <v>528</v>
      </c>
      <c r="C166" s="423" t="s">
        <v>6</v>
      </c>
      <c r="D166" s="424">
        <v>766</v>
      </c>
      <c r="E166" s="424">
        <v>0</v>
      </c>
      <c r="F166" s="424">
        <f>估驗單!F162</f>
        <v>0</v>
      </c>
      <c r="G166" s="478">
        <f t="shared" si="14"/>
        <v>0</v>
      </c>
      <c r="H166" s="428">
        <v>3643.53</v>
      </c>
      <c r="I166" s="424"/>
      <c r="J166" s="428"/>
      <c r="K166" s="428">
        <f>D166*H166</f>
        <v>2790943.98</v>
      </c>
      <c r="L166" s="424">
        <f t="shared" si="16"/>
        <v>0</v>
      </c>
      <c r="M166" s="424">
        <f t="shared" si="17"/>
        <v>0</v>
      </c>
      <c r="N166" s="478" t="str">
        <f t="shared" si="15"/>
        <v xml:space="preserve">      </v>
      </c>
      <c r="O166" s="530"/>
      <c r="P166" s="264" t="s">
        <v>242</v>
      </c>
      <c r="Q166" s="11" t="s">
        <v>243</v>
      </c>
      <c r="R166" s="574" t="s">
        <v>2567</v>
      </c>
      <c r="S166" s="427"/>
      <c r="T166" s="446" t="s">
        <v>2565</v>
      </c>
    </row>
    <row r="167" spans="1:22" ht="33">
      <c r="A167" s="470" t="s">
        <v>2291</v>
      </c>
      <c r="B167" s="471" t="s">
        <v>595</v>
      </c>
      <c r="C167" s="472" t="s">
        <v>6</v>
      </c>
      <c r="D167" s="473">
        <v>1090</v>
      </c>
      <c r="E167" s="473">
        <v>1090</v>
      </c>
      <c r="F167" s="473">
        <f>估驗單!F163</f>
        <v>1366.8133214285715</v>
      </c>
      <c r="G167" s="479">
        <f t="shared" si="14"/>
        <v>276.8133214285715</v>
      </c>
      <c r="H167" s="473">
        <v>199.99</v>
      </c>
      <c r="I167" s="473"/>
      <c r="J167" s="473"/>
      <c r="K167" s="473">
        <v>217989.1</v>
      </c>
      <c r="L167" s="473">
        <f t="shared" si="16"/>
        <v>217989.1</v>
      </c>
      <c r="M167" s="473">
        <f t="shared" si="17"/>
        <v>273349</v>
      </c>
      <c r="N167" s="479">
        <f t="shared" si="15"/>
        <v>55359.899999999994</v>
      </c>
      <c r="O167" s="531"/>
      <c r="P167" s="474" t="s">
        <v>242</v>
      </c>
      <c r="Q167" s="11" t="s">
        <v>243</v>
      </c>
      <c r="R167" s="574"/>
      <c r="S167" s="427"/>
    </row>
    <row r="168" spans="1:22" ht="128.25">
      <c r="A168" s="470" t="s">
        <v>2292</v>
      </c>
      <c r="B168" s="471" t="s">
        <v>534</v>
      </c>
      <c r="C168" s="472" t="s">
        <v>13</v>
      </c>
      <c r="D168" s="473">
        <v>1203</v>
      </c>
      <c r="E168" s="473">
        <v>1203</v>
      </c>
      <c r="F168" s="473">
        <f>估驗單!F164</f>
        <v>1274.9890000000003</v>
      </c>
      <c r="G168" s="479">
        <f t="shared" si="14"/>
        <v>71.98900000000026</v>
      </c>
      <c r="H168" s="473">
        <v>982.93</v>
      </c>
      <c r="I168" s="473"/>
      <c r="J168" s="473"/>
      <c r="K168" s="473">
        <v>1182464.79</v>
      </c>
      <c r="L168" s="473">
        <f t="shared" si="16"/>
        <v>1182464.79</v>
      </c>
      <c r="M168" s="473">
        <f t="shared" si="17"/>
        <v>1253224.94</v>
      </c>
      <c r="N168" s="479">
        <f t="shared" si="15"/>
        <v>70760.149999999907</v>
      </c>
      <c r="O168" s="531"/>
      <c r="P168" s="474" t="s">
        <v>2552</v>
      </c>
      <c r="Q168" s="11" t="s">
        <v>243</v>
      </c>
      <c r="R168" s="574"/>
      <c r="S168" s="427"/>
    </row>
    <row r="169" spans="1:22" ht="85.5">
      <c r="A169" s="470" t="s">
        <v>2293</v>
      </c>
      <c r="B169" s="471" t="s">
        <v>536</v>
      </c>
      <c r="C169" s="472" t="s">
        <v>13</v>
      </c>
      <c r="D169" s="473">
        <v>393</v>
      </c>
      <c r="E169" s="473">
        <v>393</v>
      </c>
      <c r="F169" s="473">
        <f>估驗單!F165</f>
        <v>788.3735999999999</v>
      </c>
      <c r="G169" s="479">
        <f t="shared" si="14"/>
        <v>395.3735999999999</v>
      </c>
      <c r="H169" s="473">
        <v>804.75</v>
      </c>
      <c r="I169" s="473"/>
      <c r="J169" s="473"/>
      <c r="K169" s="473">
        <v>316266.75</v>
      </c>
      <c r="L169" s="473">
        <f t="shared" si="16"/>
        <v>316266.75</v>
      </c>
      <c r="M169" s="473">
        <f t="shared" si="17"/>
        <v>634443.65</v>
      </c>
      <c r="N169" s="479">
        <f t="shared" si="15"/>
        <v>318176.90000000002</v>
      </c>
      <c r="O169" s="531"/>
      <c r="P169" s="474" t="s">
        <v>2553</v>
      </c>
      <c r="Q169" s="11" t="s">
        <v>243</v>
      </c>
      <c r="R169" s="574"/>
      <c r="S169" s="427"/>
    </row>
    <row r="170" spans="1:22" ht="42.75">
      <c r="A170" s="470" t="s">
        <v>2294</v>
      </c>
      <c r="B170" s="471" t="s">
        <v>192</v>
      </c>
      <c r="C170" s="472" t="s">
        <v>17</v>
      </c>
      <c r="D170" s="473">
        <v>13138</v>
      </c>
      <c r="E170" s="473">
        <v>13138</v>
      </c>
      <c r="F170" s="473">
        <f>估驗單!F166</f>
        <v>34725.806255700001</v>
      </c>
      <c r="G170" s="479">
        <f t="shared" si="14"/>
        <v>21587.806255700001</v>
      </c>
      <c r="H170" s="473">
        <v>36.4</v>
      </c>
      <c r="I170" s="473"/>
      <c r="J170" s="473"/>
      <c r="K170" s="473">
        <v>478223.2</v>
      </c>
      <c r="L170" s="473">
        <f t="shared" si="16"/>
        <v>478223.2</v>
      </c>
      <c r="M170" s="473">
        <f t="shared" si="17"/>
        <v>1264019.3500000001</v>
      </c>
      <c r="N170" s="479">
        <f t="shared" si="15"/>
        <v>785796.15000000014</v>
      </c>
      <c r="O170" s="531"/>
      <c r="P170" s="474" t="s">
        <v>2543</v>
      </c>
      <c r="Q170" s="11" t="s">
        <v>243</v>
      </c>
      <c r="R170" s="574"/>
      <c r="S170" s="427"/>
    </row>
    <row r="171" spans="1:22" ht="42.75">
      <c r="A171" s="470" t="s">
        <v>2295</v>
      </c>
      <c r="B171" s="471" t="s">
        <v>530</v>
      </c>
      <c r="C171" s="472" t="s">
        <v>17</v>
      </c>
      <c r="D171" s="473">
        <v>15589</v>
      </c>
      <c r="E171" s="473">
        <v>15589</v>
      </c>
      <c r="F171" s="473">
        <f>估驗單!F167</f>
        <v>23923.6749375</v>
      </c>
      <c r="G171" s="479">
        <f t="shared" si="14"/>
        <v>8334.6749374999999</v>
      </c>
      <c r="H171" s="473">
        <v>38.71</v>
      </c>
      <c r="I171" s="473"/>
      <c r="J171" s="473"/>
      <c r="K171" s="473">
        <v>603450.18999999994</v>
      </c>
      <c r="L171" s="473">
        <f t="shared" si="16"/>
        <v>603450.18999999994</v>
      </c>
      <c r="M171" s="473">
        <f t="shared" si="17"/>
        <v>926085.46</v>
      </c>
      <c r="N171" s="479">
        <f t="shared" si="15"/>
        <v>322635.27</v>
      </c>
      <c r="O171" s="531"/>
      <c r="P171" s="474" t="s">
        <v>2543</v>
      </c>
      <c r="Q171" s="11" t="s">
        <v>243</v>
      </c>
      <c r="R171" s="574"/>
      <c r="S171" s="427"/>
    </row>
    <row r="172" spans="1:22" ht="42.75">
      <c r="A172" s="431" t="s">
        <v>2296</v>
      </c>
      <c r="B172" s="432" t="s">
        <v>597</v>
      </c>
      <c r="C172" s="433" t="s">
        <v>13</v>
      </c>
      <c r="D172" s="428">
        <v>776</v>
      </c>
      <c r="E172" s="428">
        <v>776</v>
      </c>
      <c r="F172" s="424">
        <f>估驗單!F168</f>
        <v>776</v>
      </c>
      <c r="G172" s="478">
        <f t="shared" si="14"/>
        <v>0</v>
      </c>
      <c r="H172" s="428">
        <v>2510.64</v>
      </c>
      <c r="I172" s="428"/>
      <c r="J172" s="428"/>
      <c r="K172" s="428">
        <v>1948256.64</v>
      </c>
      <c r="L172" s="424">
        <f t="shared" si="16"/>
        <v>1948256.64</v>
      </c>
      <c r="M172" s="424">
        <f t="shared" si="17"/>
        <v>1948256.64</v>
      </c>
      <c r="N172" s="478">
        <f t="shared" si="15"/>
        <v>0</v>
      </c>
      <c r="O172" s="530"/>
      <c r="P172" s="434" t="s">
        <v>2568</v>
      </c>
      <c r="Q172" s="435" t="s">
        <v>243</v>
      </c>
      <c r="R172" s="574"/>
      <c r="S172" s="437"/>
    </row>
    <row r="173" spans="1:22" ht="33">
      <c r="A173" s="470" t="s">
        <v>2297</v>
      </c>
      <c r="B173" s="471" t="s">
        <v>599</v>
      </c>
      <c r="C173" s="472" t="s">
        <v>223</v>
      </c>
      <c r="D173" s="473">
        <v>235</v>
      </c>
      <c r="E173" s="473">
        <v>235</v>
      </c>
      <c r="F173" s="473">
        <f>估驗單!F169</f>
        <v>251.85</v>
      </c>
      <c r="G173" s="479">
        <f t="shared" si="14"/>
        <v>16.849999999999994</v>
      </c>
      <c r="H173" s="473">
        <v>3297.86</v>
      </c>
      <c r="I173" s="473"/>
      <c r="J173" s="473"/>
      <c r="K173" s="473">
        <v>774997.1</v>
      </c>
      <c r="L173" s="473">
        <f t="shared" si="16"/>
        <v>774997.1</v>
      </c>
      <c r="M173" s="473">
        <f t="shared" si="17"/>
        <v>830566.04</v>
      </c>
      <c r="N173" s="479">
        <f t="shared" si="15"/>
        <v>55568.940000000061</v>
      </c>
      <c r="O173" s="531"/>
      <c r="P173" s="474" t="s">
        <v>2530</v>
      </c>
      <c r="Q173" s="11" t="s">
        <v>243</v>
      </c>
      <c r="R173" s="574"/>
      <c r="S173" s="427"/>
    </row>
    <row r="174" spans="1:22" ht="33">
      <c r="A174" s="470" t="s">
        <v>2298</v>
      </c>
      <c r="B174" s="471" t="s">
        <v>601</v>
      </c>
      <c r="C174" s="472" t="s">
        <v>13</v>
      </c>
      <c r="D174" s="473">
        <v>102</v>
      </c>
      <c r="E174" s="473">
        <v>102</v>
      </c>
      <c r="F174" s="473">
        <f>估驗單!F170</f>
        <v>173.82</v>
      </c>
      <c r="G174" s="479">
        <f t="shared" si="14"/>
        <v>71.819999999999993</v>
      </c>
      <c r="H174" s="473">
        <v>2952.01</v>
      </c>
      <c r="I174" s="473"/>
      <c r="J174" s="473"/>
      <c r="K174" s="473">
        <v>301105.02</v>
      </c>
      <c r="L174" s="473">
        <f t="shared" si="16"/>
        <v>301105.02</v>
      </c>
      <c r="M174" s="473">
        <f t="shared" si="17"/>
        <v>513118.38</v>
      </c>
      <c r="N174" s="479">
        <f t="shared" si="15"/>
        <v>212013.36</v>
      </c>
      <c r="O174" s="531"/>
      <c r="P174" s="474" t="s">
        <v>2530</v>
      </c>
      <c r="Q174" s="11" t="s">
        <v>243</v>
      </c>
      <c r="R174" s="574"/>
      <c r="S174" s="427"/>
    </row>
    <row r="175" spans="1:22" ht="33">
      <c r="A175" s="470" t="s">
        <v>2299</v>
      </c>
      <c r="B175" s="561" t="s">
        <v>603</v>
      </c>
      <c r="C175" s="472" t="s">
        <v>13</v>
      </c>
      <c r="D175" s="473">
        <v>400</v>
      </c>
      <c r="E175" s="473">
        <v>400</v>
      </c>
      <c r="F175" s="473">
        <f>估驗單!F171</f>
        <v>618.4325</v>
      </c>
      <c r="G175" s="479">
        <f t="shared" si="14"/>
        <v>218.4325</v>
      </c>
      <c r="H175" s="473">
        <v>1454.49</v>
      </c>
      <c r="I175" s="473"/>
      <c r="J175" s="473"/>
      <c r="K175" s="473">
        <v>581796</v>
      </c>
      <c r="L175" s="473">
        <f t="shared" si="16"/>
        <v>581796</v>
      </c>
      <c r="M175" s="473">
        <f t="shared" si="17"/>
        <v>899503.89</v>
      </c>
      <c r="N175" s="479">
        <f t="shared" si="15"/>
        <v>317707.89</v>
      </c>
      <c r="O175" s="531"/>
      <c r="P175" s="474" t="s">
        <v>242</v>
      </c>
      <c r="Q175" s="11" t="s">
        <v>243</v>
      </c>
      <c r="R175" s="574"/>
      <c r="S175" s="427"/>
    </row>
    <row r="176" spans="1:22" ht="33">
      <c r="A176" s="421" t="s">
        <v>2300</v>
      </c>
      <c r="B176" s="422" t="s">
        <v>605</v>
      </c>
      <c r="C176" s="423" t="s">
        <v>606</v>
      </c>
      <c r="D176" s="424">
        <v>333</v>
      </c>
      <c r="E176" s="424">
        <v>333</v>
      </c>
      <c r="F176" s="424">
        <f>估驗單!F172</f>
        <v>333</v>
      </c>
      <c r="G176" s="478">
        <f t="shared" si="14"/>
        <v>0</v>
      </c>
      <c r="H176" s="424">
        <v>434.98</v>
      </c>
      <c r="I176" s="424"/>
      <c r="J176" s="424"/>
      <c r="K176" s="424">
        <v>144848.34</v>
      </c>
      <c r="L176" s="424">
        <f t="shared" si="16"/>
        <v>144848.34</v>
      </c>
      <c r="M176" s="424">
        <f t="shared" si="17"/>
        <v>144848.34</v>
      </c>
      <c r="N176" s="478">
        <f t="shared" si="15"/>
        <v>0</v>
      </c>
      <c r="O176" s="530"/>
      <c r="P176" s="264" t="s">
        <v>242</v>
      </c>
      <c r="Q176" s="11" t="s">
        <v>243</v>
      </c>
      <c r="R176" s="574"/>
      <c r="S176" s="427"/>
    </row>
    <row r="177" spans="1:22" ht="33">
      <c r="A177" s="421" t="s">
        <v>2301</v>
      </c>
      <c r="B177" s="422" t="s">
        <v>608</v>
      </c>
      <c r="C177" s="423" t="s">
        <v>13</v>
      </c>
      <c r="D177" s="424">
        <v>1702</v>
      </c>
      <c r="E177" s="424">
        <v>1702</v>
      </c>
      <c r="F177" s="424">
        <f>估驗單!F173</f>
        <v>1702</v>
      </c>
      <c r="G177" s="478">
        <f t="shared" si="14"/>
        <v>0</v>
      </c>
      <c r="H177" s="424">
        <v>885.76</v>
      </c>
      <c r="I177" s="424"/>
      <c r="J177" s="424"/>
      <c r="K177" s="424">
        <v>1507563.52</v>
      </c>
      <c r="L177" s="424">
        <f t="shared" si="16"/>
        <v>1507563.52</v>
      </c>
      <c r="M177" s="424">
        <f t="shared" si="17"/>
        <v>1507563.52</v>
      </c>
      <c r="N177" s="478">
        <f t="shared" si="15"/>
        <v>0</v>
      </c>
      <c r="O177" s="530"/>
      <c r="P177" s="264" t="s">
        <v>2530</v>
      </c>
      <c r="Q177" s="11" t="s">
        <v>243</v>
      </c>
      <c r="R177" s="574"/>
      <c r="S177" s="427"/>
    </row>
    <row r="178" spans="1:22" ht="33">
      <c r="A178" s="470" t="s">
        <v>2302</v>
      </c>
      <c r="B178" s="471" t="s">
        <v>357</v>
      </c>
      <c r="C178" s="472" t="s">
        <v>8</v>
      </c>
      <c r="D178" s="473">
        <v>49</v>
      </c>
      <c r="E178" s="473">
        <v>49</v>
      </c>
      <c r="F178" s="473">
        <f>估驗單!F174</f>
        <v>51.150000000000006</v>
      </c>
      <c r="G178" s="479">
        <f t="shared" si="14"/>
        <v>2.1500000000000057</v>
      </c>
      <c r="H178" s="473">
        <v>138.84</v>
      </c>
      <c r="I178" s="473"/>
      <c r="J178" s="473"/>
      <c r="K178" s="473">
        <v>6803.16</v>
      </c>
      <c r="L178" s="473">
        <f t="shared" si="16"/>
        <v>6803.16</v>
      </c>
      <c r="M178" s="473">
        <f t="shared" si="17"/>
        <v>7101.67</v>
      </c>
      <c r="N178" s="479">
        <f t="shared" si="15"/>
        <v>298.51000000000022</v>
      </c>
      <c r="O178" s="531"/>
      <c r="P178" s="474" t="s">
        <v>242</v>
      </c>
      <c r="Q178" s="11" t="s">
        <v>243</v>
      </c>
      <c r="R178" s="574"/>
      <c r="S178" s="427"/>
    </row>
    <row r="179" spans="1:22" ht="33">
      <c r="A179" s="470" t="s">
        <v>2303</v>
      </c>
      <c r="B179" s="471" t="s">
        <v>611</v>
      </c>
      <c r="C179" s="472" t="s">
        <v>8</v>
      </c>
      <c r="D179" s="473">
        <v>85</v>
      </c>
      <c r="E179" s="473">
        <v>85</v>
      </c>
      <c r="F179" s="473">
        <f>估驗單!F175</f>
        <v>85.8</v>
      </c>
      <c r="G179" s="479">
        <f t="shared" si="14"/>
        <v>0.79999999999999716</v>
      </c>
      <c r="H179" s="473">
        <v>326.27999999999997</v>
      </c>
      <c r="I179" s="473"/>
      <c r="J179" s="473"/>
      <c r="K179" s="473">
        <v>27733.8</v>
      </c>
      <c r="L179" s="473">
        <f t="shared" si="16"/>
        <v>27733.8</v>
      </c>
      <c r="M179" s="473">
        <f t="shared" si="17"/>
        <v>27994.82</v>
      </c>
      <c r="N179" s="479">
        <f t="shared" si="15"/>
        <v>261.02000000000044</v>
      </c>
      <c r="O179" s="531"/>
      <c r="P179" s="474" t="s">
        <v>242</v>
      </c>
      <c r="Q179" s="11" t="s">
        <v>243</v>
      </c>
      <c r="R179" s="574"/>
      <c r="S179" s="427"/>
    </row>
    <row r="180" spans="1:22" ht="42.75">
      <c r="A180" s="421" t="s">
        <v>2304</v>
      </c>
      <c r="B180" s="422" t="s">
        <v>222</v>
      </c>
      <c r="C180" s="423" t="s">
        <v>13</v>
      </c>
      <c r="D180" s="424">
        <v>385</v>
      </c>
      <c r="E180" s="424">
        <v>385</v>
      </c>
      <c r="F180" s="424">
        <f>估驗單!F176</f>
        <v>898.56000000000006</v>
      </c>
      <c r="G180" s="478">
        <f t="shared" si="14"/>
        <v>513.56000000000006</v>
      </c>
      <c r="H180" s="424">
        <v>692.12</v>
      </c>
      <c r="I180" s="424"/>
      <c r="J180" s="424"/>
      <c r="K180" s="424">
        <v>266466.2</v>
      </c>
      <c r="L180" s="424">
        <f t="shared" si="16"/>
        <v>266466.2</v>
      </c>
      <c r="M180" s="424">
        <f t="shared" si="17"/>
        <v>621911.35</v>
      </c>
      <c r="N180" s="478">
        <f t="shared" si="15"/>
        <v>355445.14999999997</v>
      </c>
      <c r="O180" s="530"/>
      <c r="P180" s="264" t="s">
        <v>2554</v>
      </c>
      <c r="Q180" s="11" t="s">
        <v>243</v>
      </c>
      <c r="R180" s="574"/>
      <c r="S180" s="427"/>
    </row>
    <row r="181" spans="1:22" ht="85.5">
      <c r="A181" s="421" t="s">
        <v>2305</v>
      </c>
      <c r="B181" s="422" t="s">
        <v>615</v>
      </c>
      <c r="C181" s="423" t="s">
        <v>8</v>
      </c>
      <c r="D181" s="424">
        <v>0</v>
      </c>
      <c r="E181" s="424">
        <v>0</v>
      </c>
      <c r="F181" s="424">
        <f>估驗單!F177</f>
        <v>0</v>
      </c>
      <c r="G181" s="478">
        <f t="shared" si="14"/>
        <v>0</v>
      </c>
      <c r="H181" s="424">
        <v>1706.44</v>
      </c>
      <c r="I181" s="424"/>
      <c r="J181" s="424"/>
      <c r="K181" s="424">
        <v>0</v>
      </c>
      <c r="L181" s="424">
        <f t="shared" si="16"/>
        <v>0</v>
      </c>
      <c r="M181" s="424">
        <f t="shared" si="17"/>
        <v>0</v>
      </c>
      <c r="N181" s="478" t="str">
        <f t="shared" si="15"/>
        <v xml:space="preserve">      </v>
      </c>
      <c r="O181" s="530"/>
      <c r="P181" s="264" t="s">
        <v>2569</v>
      </c>
      <c r="Q181" s="11" t="s">
        <v>243</v>
      </c>
      <c r="R181" s="574"/>
      <c r="S181" s="427"/>
    </row>
    <row r="182" spans="1:22" ht="33">
      <c r="A182" s="421" t="s">
        <v>2306</v>
      </c>
      <c r="B182" s="422" t="s">
        <v>618</v>
      </c>
      <c r="C182" s="423" t="s">
        <v>23</v>
      </c>
      <c r="D182" s="424">
        <v>1070.5</v>
      </c>
      <c r="E182" s="424">
        <v>1070.5</v>
      </c>
      <c r="F182" s="424">
        <f>估驗單!F178</f>
        <v>1070.5</v>
      </c>
      <c r="G182" s="478">
        <f t="shared" si="14"/>
        <v>0</v>
      </c>
      <c r="H182" s="424">
        <v>49</v>
      </c>
      <c r="I182" s="424"/>
      <c r="J182" s="424"/>
      <c r="K182" s="424">
        <v>52454.5</v>
      </c>
      <c r="L182" s="424">
        <f t="shared" si="16"/>
        <v>52454.5</v>
      </c>
      <c r="M182" s="424">
        <f t="shared" si="17"/>
        <v>52454.5</v>
      </c>
      <c r="N182" s="478">
        <f t="shared" si="15"/>
        <v>0</v>
      </c>
      <c r="O182" s="530"/>
      <c r="P182" s="264" t="s">
        <v>242</v>
      </c>
      <c r="Q182" s="11" t="s">
        <v>243</v>
      </c>
      <c r="R182" s="574"/>
      <c r="S182" s="427"/>
    </row>
    <row r="183" spans="1:22" ht="33">
      <c r="A183" s="421" t="s">
        <v>2307</v>
      </c>
      <c r="B183" s="422" t="s">
        <v>621</v>
      </c>
      <c r="C183" s="423" t="s">
        <v>19</v>
      </c>
      <c r="D183" s="424">
        <v>2</v>
      </c>
      <c r="E183" s="424">
        <v>2</v>
      </c>
      <c r="F183" s="424">
        <f>估驗單!F179</f>
        <v>2</v>
      </c>
      <c r="G183" s="478">
        <f t="shared" si="14"/>
        <v>0</v>
      </c>
      <c r="H183" s="424">
        <v>5349708.26</v>
      </c>
      <c r="I183" s="424"/>
      <c r="J183" s="424"/>
      <c r="K183" s="424">
        <v>10699416.52</v>
      </c>
      <c r="L183" s="424">
        <f t="shared" si="16"/>
        <v>10699416.52</v>
      </c>
      <c r="M183" s="424">
        <f t="shared" si="17"/>
        <v>10699416.52</v>
      </c>
      <c r="N183" s="478">
        <f t="shared" si="15"/>
        <v>0</v>
      </c>
      <c r="O183" s="530"/>
      <c r="P183" s="264" t="s">
        <v>242</v>
      </c>
      <c r="Q183" s="11" t="s">
        <v>243</v>
      </c>
      <c r="R183" s="574"/>
      <c r="S183" s="427"/>
    </row>
    <row r="184" spans="1:22" ht="42.75">
      <c r="A184" s="421" t="s">
        <v>2308</v>
      </c>
      <c r="B184" s="422" t="s">
        <v>1368</v>
      </c>
      <c r="C184" s="423" t="s">
        <v>8</v>
      </c>
      <c r="D184" s="424">
        <v>571.08000000000004</v>
      </c>
      <c r="E184" s="424">
        <v>571.08000000000004</v>
      </c>
      <c r="F184" s="424">
        <f>估驗單!F180</f>
        <v>571.08000000000004</v>
      </c>
      <c r="G184" s="478">
        <f t="shared" si="14"/>
        <v>0</v>
      </c>
      <c r="H184" s="424">
        <v>5456.33</v>
      </c>
      <c r="I184" s="424"/>
      <c r="J184" s="424"/>
      <c r="K184" s="424">
        <v>3116000.94</v>
      </c>
      <c r="L184" s="424">
        <f t="shared" si="16"/>
        <v>3116000.94</v>
      </c>
      <c r="M184" s="424">
        <f t="shared" si="17"/>
        <v>3116000.94</v>
      </c>
      <c r="N184" s="478">
        <f t="shared" si="15"/>
        <v>0</v>
      </c>
      <c r="O184" s="530"/>
      <c r="P184" s="264" t="s">
        <v>242</v>
      </c>
      <c r="Q184" s="11" t="s">
        <v>243</v>
      </c>
      <c r="R184" s="574"/>
      <c r="S184" s="427"/>
    </row>
    <row r="185" spans="1:22" ht="33">
      <c r="A185" s="421" t="s">
        <v>2309</v>
      </c>
      <c r="B185" s="422" t="s">
        <v>1370</v>
      </c>
      <c r="C185" s="423" t="s">
        <v>6</v>
      </c>
      <c r="D185" s="424">
        <v>161.38999999999999</v>
      </c>
      <c r="E185" s="424">
        <v>161.38999999999999</v>
      </c>
      <c r="F185" s="424">
        <f>估驗單!F181</f>
        <v>161.38999999999999</v>
      </c>
      <c r="G185" s="478">
        <f t="shared" si="14"/>
        <v>0</v>
      </c>
      <c r="H185" s="424">
        <v>1481.84</v>
      </c>
      <c r="I185" s="424"/>
      <c r="J185" s="424"/>
      <c r="K185" s="424">
        <v>239154.16</v>
      </c>
      <c r="L185" s="424">
        <f t="shared" si="16"/>
        <v>239154.16</v>
      </c>
      <c r="M185" s="424">
        <f t="shared" si="17"/>
        <v>239154.16</v>
      </c>
      <c r="N185" s="478">
        <f t="shared" si="15"/>
        <v>0</v>
      </c>
      <c r="O185" s="530"/>
      <c r="P185" s="264" t="s">
        <v>242</v>
      </c>
      <c r="Q185" s="11" t="s">
        <v>243</v>
      </c>
      <c r="R185" s="574"/>
      <c r="S185" s="427"/>
    </row>
    <row r="186" spans="1:22" s="440" customFormat="1" ht="33.75">
      <c r="A186" s="500">
        <v>24</v>
      </c>
      <c r="B186" s="501" t="s">
        <v>1372</v>
      </c>
      <c r="C186" s="502" t="s">
        <v>13</v>
      </c>
      <c r="D186" s="503">
        <v>0</v>
      </c>
      <c r="E186" s="503">
        <v>634.14</v>
      </c>
      <c r="F186" s="473">
        <f>估驗單!F182</f>
        <v>776.79333333333329</v>
      </c>
      <c r="G186" s="479">
        <f t="shared" si="14"/>
        <v>142.65333333333331</v>
      </c>
      <c r="H186" s="503">
        <v>0</v>
      </c>
      <c r="I186" s="503"/>
      <c r="J186" s="503">
        <v>3120.65</v>
      </c>
      <c r="K186" s="503">
        <f>D186*H186</f>
        <v>0</v>
      </c>
      <c r="L186" s="473">
        <f>ROUND(E186*J186,2)</f>
        <v>1978928.99</v>
      </c>
      <c r="M186" s="473">
        <f>ROUND(F186*J186,2)</f>
        <v>2424100.12</v>
      </c>
      <c r="N186" s="479">
        <f t="shared" si="15"/>
        <v>445171.13000000012</v>
      </c>
      <c r="O186" s="531"/>
      <c r="P186" s="438" t="s">
        <v>2570</v>
      </c>
      <c r="Q186" s="435" t="s">
        <v>243</v>
      </c>
      <c r="R186" s="465" t="s">
        <v>2571</v>
      </c>
      <c r="S186" s="448" t="s">
        <v>2572</v>
      </c>
      <c r="T186" s="413" t="s">
        <v>2573</v>
      </c>
      <c r="V186" s="449"/>
    </row>
    <row r="187" spans="1:22" s="451" customFormat="1" ht="33.75">
      <c r="A187" s="500">
        <v>25</v>
      </c>
      <c r="B187" s="501" t="s">
        <v>2555</v>
      </c>
      <c r="C187" s="502" t="s">
        <v>8</v>
      </c>
      <c r="D187" s="503">
        <v>0</v>
      </c>
      <c r="E187" s="503">
        <f>295*0.7+76*0.75+40*2</f>
        <v>343.5</v>
      </c>
      <c r="F187" s="473">
        <f>估驗單!F183</f>
        <v>343.5</v>
      </c>
      <c r="G187" s="479">
        <f t="shared" si="14"/>
        <v>0</v>
      </c>
      <c r="H187" s="503">
        <v>119.99</v>
      </c>
      <c r="I187" s="503"/>
      <c r="J187" s="503"/>
      <c r="K187" s="503">
        <v>0</v>
      </c>
      <c r="L187" s="473">
        <f t="shared" si="16"/>
        <v>41216.57</v>
      </c>
      <c r="M187" s="473">
        <f t="shared" si="17"/>
        <v>41216.57</v>
      </c>
      <c r="N187" s="479">
        <f t="shared" si="15"/>
        <v>0</v>
      </c>
      <c r="O187" s="531"/>
      <c r="P187" s="434" t="s">
        <v>2530</v>
      </c>
      <c r="Q187" s="435" t="s">
        <v>243</v>
      </c>
      <c r="R187" s="574" t="s">
        <v>2574</v>
      </c>
      <c r="S187" s="410" t="s">
        <v>2575</v>
      </c>
      <c r="T187" s="450" t="s">
        <v>2565</v>
      </c>
    </row>
    <row r="188" spans="1:22" s="451" customFormat="1" ht="33.75">
      <c r="A188" s="500">
        <v>26</v>
      </c>
      <c r="B188" s="501" t="s">
        <v>2576</v>
      </c>
      <c r="C188" s="502" t="s">
        <v>2577</v>
      </c>
      <c r="D188" s="503">
        <v>0</v>
      </c>
      <c r="E188" s="503">
        <f>295+76+80</f>
        <v>451</v>
      </c>
      <c r="F188" s="473">
        <f>估驗單!F184</f>
        <v>451</v>
      </c>
      <c r="G188" s="479">
        <f t="shared" si="14"/>
        <v>0</v>
      </c>
      <c r="H188" s="503">
        <v>0</v>
      </c>
      <c r="I188" s="503"/>
      <c r="J188" s="503">
        <v>324.97000000000003</v>
      </c>
      <c r="K188" s="503">
        <v>0</v>
      </c>
      <c r="L188" s="473">
        <f>ROUND(E188*J188,2)</f>
        <v>146561.47</v>
      </c>
      <c r="M188" s="473">
        <f>ROUND(F188*J188,2)</f>
        <v>146561.47</v>
      </c>
      <c r="N188" s="479">
        <f t="shared" si="15"/>
        <v>0</v>
      </c>
      <c r="O188" s="531"/>
      <c r="P188" s="434" t="s">
        <v>2578</v>
      </c>
      <c r="Q188" s="435"/>
      <c r="R188" s="574" t="s">
        <v>2574</v>
      </c>
      <c r="S188" s="410" t="s">
        <v>2579</v>
      </c>
      <c r="T188" s="450" t="s">
        <v>2565</v>
      </c>
    </row>
    <row r="189" spans="1:22" ht="57">
      <c r="A189" s="421">
        <v>28</v>
      </c>
      <c r="B189" s="422" t="s">
        <v>1377</v>
      </c>
      <c r="C189" s="423" t="s">
        <v>6</v>
      </c>
      <c r="D189" s="424">
        <v>0</v>
      </c>
      <c r="E189" s="424">
        <v>1513</v>
      </c>
      <c r="F189" s="424">
        <f>估驗單!F185</f>
        <v>1513</v>
      </c>
      <c r="G189" s="478">
        <f t="shared" si="14"/>
        <v>0</v>
      </c>
      <c r="H189" s="424"/>
      <c r="I189" s="424"/>
      <c r="J189" s="424">
        <v>926.62</v>
      </c>
      <c r="K189" s="424">
        <f>H189*D189</f>
        <v>0</v>
      </c>
      <c r="L189" s="424">
        <f>ROUND(E189*J189,2)</f>
        <v>1401976.06</v>
      </c>
      <c r="M189" s="424">
        <f>ROUND(F189*J189,2)</f>
        <v>1401976.06</v>
      </c>
      <c r="N189" s="478">
        <f t="shared" si="15"/>
        <v>0</v>
      </c>
      <c r="O189" s="530"/>
      <c r="P189" s="264" t="s">
        <v>2580</v>
      </c>
      <c r="Q189" s="11" t="s">
        <v>243</v>
      </c>
      <c r="R189" s="579" t="s">
        <v>2581</v>
      </c>
      <c r="S189" s="453" t="s">
        <v>2582</v>
      </c>
      <c r="T189" s="413" t="s">
        <v>2583</v>
      </c>
      <c r="V189" s="82">
        <f>(1.5*1.5*0.45*0.45)^(1/2)*(295+57.3)*0.15</f>
        <v>35.670375000000007</v>
      </c>
    </row>
    <row r="190" spans="1:22" s="456" customFormat="1" ht="156.75">
      <c r="A190" s="470">
        <v>29</v>
      </c>
      <c r="B190" s="471" t="s">
        <v>2584</v>
      </c>
      <c r="C190" s="472" t="s">
        <v>6</v>
      </c>
      <c r="D190" s="473">
        <v>0</v>
      </c>
      <c r="E190" s="473">
        <v>1177.9000000000001</v>
      </c>
      <c r="F190" s="473">
        <f>估驗單!F186</f>
        <v>1216.9940000000001</v>
      </c>
      <c r="G190" s="479">
        <f t="shared" si="14"/>
        <v>39.094000000000051</v>
      </c>
      <c r="H190" s="473">
        <v>0</v>
      </c>
      <c r="I190" s="473"/>
      <c r="J190" s="473">
        <v>3832.9</v>
      </c>
      <c r="K190" s="473">
        <f t="shared" ref="K190" si="18">D190*H190</f>
        <v>0</v>
      </c>
      <c r="L190" s="473">
        <f>ROUND(E190*J190,2)</f>
        <v>4514772.91</v>
      </c>
      <c r="M190" s="473">
        <f>ROUND(F190*J190,2)</f>
        <v>4664616.3</v>
      </c>
      <c r="N190" s="479">
        <f t="shared" si="15"/>
        <v>149843.38999999966</v>
      </c>
      <c r="O190" s="531"/>
      <c r="P190" s="474" t="s">
        <v>2585</v>
      </c>
      <c r="Q190" s="11" t="s">
        <v>243</v>
      </c>
      <c r="R190" s="574" t="s">
        <v>2586</v>
      </c>
      <c r="S190" s="454" t="s">
        <v>2587</v>
      </c>
      <c r="T190" s="455" t="s">
        <v>2588</v>
      </c>
      <c r="V190" s="457" t="s">
        <v>2589</v>
      </c>
    </row>
    <row r="191" spans="1:22" s="456" customFormat="1" ht="42.75">
      <c r="A191" s="421">
        <v>30</v>
      </c>
      <c r="B191" s="422" t="s">
        <v>1380</v>
      </c>
      <c r="C191" s="423" t="s">
        <v>13</v>
      </c>
      <c r="D191" s="424">
        <v>0</v>
      </c>
      <c r="E191" s="424">
        <v>442.5</v>
      </c>
      <c r="F191" s="424">
        <f>估驗單!F187</f>
        <v>734.29600000000005</v>
      </c>
      <c r="G191" s="478">
        <f t="shared" si="14"/>
        <v>291.79600000000005</v>
      </c>
      <c r="H191" s="424">
        <v>234.99</v>
      </c>
      <c r="I191" s="424"/>
      <c r="J191" s="424"/>
      <c r="K191" s="424">
        <f>H191*D191</f>
        <v>0</v>
      </c>
      <c r="L191" s="424">
        <f t="shared" si="16"/>
        <v>103983.08</v>
      </c>
      <c r="M191" s="424">
        <f t="shared" si="17"/>
        <v>172552.22</v>
      </c>
      <c r="N191" s="478">
        <f t="shared" si="15"/>
        <v>68569.14</v>
      </c>
      <c r="O191" s="530"/>
      <c r="P191" s="264" t="s">
        <v>2590</v>
      </c>
      <c r="Q191" s="11"/>
      <c r="R191" s="574" t="s">
        <v>2591</v>
      </c>
      <c r="S191" s="458" t="s">
        <v>2592</v>
      </c>
      <c r="T191" s="413" t="s">
        <v>2593</v>
      </c>
      <c r="V191" s="457"/>
    </row>
    <row r="192" spans="1:22" ht="33">
      <c r="A192" s="494" t="s">
        <v>2378</v>
      </c>
      <c r="B192" s="495" t="s">
        <v>623</v>
      </c>
      <c r="C192" s="496" t="s">
        <v>4</v>
      </c>
      <c r="D192" s="497">
        <v>1</v>
      </c>
      <c r="E192" s="497"/>
      <c r="F192" s="497">
        <f>估驗單!F188</f>
        <v>0</v>
      </c>
      <c r="G192" s="498">
        <f t="shared" si="14"/>
        <v>0</v>
      </c>
      <c r="H192" s="497">
        <v>27512956.199999999</v>
      </c>
      <c r="I192" s="497"/>
      <c r="J192" s="497"/>
      <c r="K192" s="497">
        <v>27512956.199999999</v>
      </c>
      <c r="L192" s="497">
        <f>SUM(L193:L211)</f>
        <v>28004421.200000003</v>
      </c>
      <c r="M192" s="497">
        <f>SUM(M193:M211)</f>
        <v>33654235.879999995</v>
      </c>
      <c r="N192" s="497">
        <f>SUM(N193:N211)</f>
        <v>6597172.1099999994</v>
      </c>
      <c r="O192" s="547">
        <f>SUM(O193:O211)</f>
        <v>-911283.46999999974</v>
      </c>
      <c r="P192" s="356" t="s">
        <v>242</v>
      </c>
      <c r="Q192" s="11" t="s">
        <v>243</v>
      </c>
      <c r="R192" s="578"/>
      <c r="S192" s="427"/>
    </row>
    <row r="193" spans="1:19" ht="33">
      <c r="A193" s="421" t="s">
        <v>2288</v>
      </c>
      <c r="B193" s="422" t="s">
        <v>315</v>
      </c>
      <c r="C193" s="423" t="s">
        <v>6</v>
      </c>
      <c r="D193" s="424">
        <v>252</v>
      </c>
      <c r="E193" s="424">
        <v>252</v>
      </c>
      <c r="F193" s="424">
        <f>估驗單!F189</f>
        <v>109.328</v>
      </c>
      <c r="G193" s="506">
        <f t="shared" si="14"/>
        <v>-142.672</v>
      </c>
      <c r="H193" s="424">
        <v>3114.97</v>
      </c>
      <c r="I193" s="424"/>
      <c r="J193" s="424"/>
      <c r="K193" s="424">
        <v>784972.44</v>
      </c>
      <c r="L193" s="424">
        <f t="shared" si="16"/>
        <v>784972.44</v>
      </c>
      <c r="M193" s="424">
        <f t="shared" si="17"/>
        <v>340553.44</v>
      </c>
      <c r="N193" s="478" t="str">
        <f t="shared" ref="N193:N211" si="19">IF(L193-M193&lt;0+AND(L193&lt;&gt;0),M193-L193,"      ")</f>
        <v xml:space="preserve">      </v>
      </c>
      <c r="O193" s="548">
        <f>M193-L193</f>
        <v>-444418.99999999994</v>
      </c>
      <c r="P193" s="267" t="s">
        <v>2686</v>
      </c>
      <c r="Q193" s="11" t="s">
        <v>243</v>
      </c>
      <c r="R193" s="574"/>
      <c r="S193" s="427"/>
    </row>
    <row r="194" spans="1:19" ht="33">
      <c r="A194" s="421" t="s">
        <v>2289</v>
      </c>
      <c r="B194" s="422" t="s">
        <v>24</v>
      </c>
      <c r="C194" s="423" t="s">
        <v>6</v>
      </c>
      <c r="D194" s="424">
        <v>2490</v>
      </c>
      <c r="E194" s="424">
        <v>2490</v>
      </c>
      <c r="F194" s="424">
        <f>估驗單!F190</f>
        <v>2673.7048824999997</v>
      </c>
      <c r="G194" s="478">
        <f t="shared" si="14"/>
        <v>183.70488249999971</v>
      </c>
      <c r="H194" s="424">
        <v>3320.96</v>
      </c>
      <c r="I194" s="424"/>
      <c r="J194" s="424"/>
      <c r="K194" s="424">
        <v>8269190.4000000004</v>
      </c>
      <c r="L194" s="424">
        <f t="shared" si="16"/>
        <v>8269190.4000000004</v>
      </c>
      <c r="M194" s="424">
        <f t="shared" si="17"/>
        <v>8879266.9700000007</v>
      </c>
      <c r="N194" s="478">
        <f t="shared" si="19"/>
        <v>610076.5700000003</v>
      </c>
      <c r="O194" s="530"/>
      <c r="P194" s="264" t="s">
        <v>242</v>
      </c>
      <c r="Q194" s="11" t="s">
        <v>243</v>
      </c>
      <c r="R194" s="574"/>
      <c r="S194" s="427"/>
    </row>
    <row r="195" spans="1:19" ht="33">
      <c r="A195" s="421" t="s">
        <v>2290</v>
      </c>
      <c r="B195" s="422" t="s">
        <v>624</v>
      </c>
      <c r="C195" s="423" t="s">
        <v>6</v>
      </c>
      <c r="D195" s="424">
        <v>998</v>
      </c>
      <c r="E195" s="424">
        <v>998</v>
      </c>
      <c r="F195" s="424">
        <f>估驗單!F191</f>
        <v>998</v>
      </c>
      <c r="G195" s="478">
        <f t="shared" si="14"/>
        <v>0</v>
      </c>
      <c r="H195" s="424">
        <v>1749.16</v>
      </c>
      <c r="I195" s="424"/>
      <c r="J195" s="424"/>
      <c r="K195" s="424">
        <v>1745661.68</v>
      </c>
      <c r="L195" s="424">
        <f t="shared" si="16"/>
        <v>1745661.68</v>
      </c>
      <c r="M195" s="424">
        <f t="shared" si="17"/>
        <v>1745661.68</v>
      </c>
      <c r="N195" s="478">
        <f t="shared" si="19"/>
        <v>0</v>
      </c>
      <c r="O195" s="530"/>
      <c r="P195" s="264" t="s">
        <v>242</v>
      </c>
      <c r="Q195" s="11" t="s">
        <v>243</v>
      </c>
      <c r="R195" s="574"/>
      <c r="S195" s="427"/>
    </row>
    <row r="196" spans="1:19" ht="33">
      <c r="A196" s="421" t="s">
        <v>2291</v>
      </c>
      <c r="B196" s="422" t="s">
        <v>595</v>
      </c>
      <c r="C196" s="423" t="s">
        <v>6</v>
      </c>
      <c r="D196" s="424">
        <v>3740</v>
      </c>
      <c r="E196" s="424">
        <v>3740</v>
      </c>
      <c r="F196" s="424">
        <f>估驗單!F192</f>
        <v>3559.6211824999996</v>
      </c>
      <c r="G196" s="478">
        <f t="shared" si="14"/>
        <v>-180.37881750000042</v>
      </c>
      <c r="H196" s="424">
        <v>199.99</v>
      </c>
      <c r="I196" s="424"/>
      <c r="J196" s="424"/>
      <c r="K196" s="424">
        <v>747962.6</v>
      </c>
      <c r="L196" s="424">
        <f t="shared" si="16"/>
        <v>747962.6</v>
      </c>
      <c r="M196" s="424">
        <f t="shared" si="17"/>
        <v>711888.64</v>
      </c>
      <c r="N196" s="478" t="str">
        <f t="shared" si="19"/>
        <v xml:space="preserve">      </v>
      </c>
      <c r="O196" s="530"/>
      <c r="P196" s="264" t="s">
        <v>242</v>
      </c>
      <c r="Q196" s="11" t="s">
        <v>243</v>
      </c>
      <c r="R196" s="574"/>
      <c r="S196" s="427"/>
    </row>
    <row r="197" spans="1:19" s="413" customFormat="1" ht="128.25">
      <c r="A197" s="421" t="s">
        <v>2292</v>
      </c>
      <c r="B197" s="422" t="s">
        <v>534</v>
      </c>
      <c r="C197" s="423" t="s">
        <v>13</v>
      </c>
      <c r="D197" s="424">
        <v>3740</v>
      </c>
      <c r="E197" s="424">
        <v>4240</v>
      </c>
      <c r="F197" s="424">
        <f>估驗單!F193</f>
        <v>4949.6072000000013</v>
      </c>
      <c r="G197" s="478">
        <f t="shared" si="14"/>
        <v>709.60720000000128</v>
      </c>
      <c r="H197" s="424">
        <v>982.93</v>
      </c>
      <c r="I197" s="424"/>
      <c r="J197" s="424"/>
      <c r="K197" s="424">
        <v>3676158.2</v>
      </c>
      <c r="L197" s="424">
        <f t="shared" si="16"/>
        <v>4167623.2</v>
      </c>
      <c r="M197" s="424">
        <f t="shared" si="17"/>
        <v>4865117.41</v>
      </c>
      <c r="N197" s="478">
        <f t="shared" si="19"/>
        <v>697494.21</v>
      </c>
      <c r="O197" s="530"/>
      <c r="P197" s="264" t="s">
        <v>2552</v>
      </c>
      <c r="Q197" s="11" t="s">
        <v>243</v>
      </c>
      <c r="R197" s="574"/>
      <c r="S197" s="448"/>
    </row>
    <row r="198" spans="1:19" s="413" customFormat="1" ht="42.75">
      <c r="A198" s="421" t="s">
        <v>2293</v>
      </c>
      <c r="B198" s="422" t="s">
        <v>626</v>
      </c>
      <c r="C198" s="423" t="s">
        <v>13</v>
      </c>
      <c r="D198" s="424">
        <v>38</v>
      </c>
      <c r="E198" s="424">
        <v>38</v>
      </c>
      <c r="F198" s="424">
        <f>估驗單!F194</f>
        <v>49.359999999999992</v>
      </c>
      <c r="G198" s="478">
        <f t="shared" si="14"/>
        <v>11.359999999999992</v>
      </c>
      <c r="H198" s="424">
        <v>698.28</v>
      </c>
      <c r="I198" s="424"/>
      <c r="J198" s="424"/>
      <c r="K198" s="424">
        <v>26534.639999999999</v>
      </c>
      <c r="L198" s="424">
        <f t="shared" si="16"/>
        <v>26534.639999999999</v>
      </c>
      <c r="M198" s="424">
        <f t="shared" si="17"/>
        <v>34467.1</v>
      </c>
      <c r="N198" s="478">
        <f t="shared" si="19"/>
        <v>7932.4599999999991</v>
      </c>
      <c r="O198" s="530"/>
      <c r="P198" s="264" t="s">
        <v>2594</v>
      </c>
      <c r="Q198" s="11" t="s">
        <v>243</v>
      </c>
      <c r="R198" s="574"/>
      <c r="S198" s="427"/>
    </row>
    <row r="199" spans="1:19" s="413" customFormat="1" ht="85.5">
      <c r="A199" s="421" t="s">
        <v>2294</v>
      </c>
      <c r="B199" s="422" t="s">
        <v>536</v>
      </c>
      <c r="C199" s="423" t="s">
        <v>13</v>
      </c>
      <c r="D199" s="424">
        <v>783</v>
      </c>
      <c r="E199" s="424">
        <v>783</v>
      </c>
      <c r="F199" s="424">
        <f>估驗單!F195</f>
        <v>1409.35</v>
      </c>
      <c r="G199" s="478">
        <f t="shared" si="14"/>
        <v>626.34999999999991</v>
      </c>
      <c r="H199" s="424">
        <v>804.75</v>
      </c>
      <c r="I199" s="424"/>
      <c r="J199" s="424"/>
      <c r="K199" s="424">
        <v>630119.25</v>
      </c>
      <c r="L199" s="424">
        <f t="shared" si="16"/>
        <v>630119.25</v>
      </c>
      <c r="M199" s="424">
        <f t="shared" si="17"/>
        <v>1134174.4099999999</v>
      </c>
      <c r="N199" s="478">
        <f t="shared" si="19"/>
        <v>504055.15999999992</v>
      </c>
      <c r="O199" s="530"/>
      <c r="P199" s="264" t="s">
        <v>2553</v>
      </c>
      <c r="Q199" s="11" t="s">
        <v>243</v>
      </c>
      <c r="R199" s="574"/>
      <c r="S199" s="427"/>
    </row>
    <row r="200" spans="1:19" s="413" customFormat="1" ht="85.5">
      <c r="A200" s="421" t="s">
        <v>2295</v>
      </c>
      <c r="B200" s="422" t="s">
        <v>193</v>
      </c>
      <c r="C200" s="423" t="s">
        <v>13</v>
      </c>
      <c r="D200" s="424">
        <v>300</v>
      </c>
      <c r="E200" s="424">
        <v>300</v>
      </c>
      <c r="F200" s="424">
        <f>估驗單!F196</f>
        <v>761.34</v>
      </c>
      <c r="G200" s="478">
        <f t="shared" si="14"/>
        <v>461.34000000000003</v>
      </c>
      <c r="H200" s="424">
        <v>533.61</v>
      </c>
      <c r="I200" s="424"/>
      <c r="J200" s="424"/>
      <c r="K200" s="424">
        <v>160083</v>
      </c>
      <c r="L200" s="424">
        <f t="shared" si="16"/>
        <v>160083</v>
      </c>
      <c r="M200" s="424">
        <f t="shared" si="17"/>
        <v>406258.64</v>
      </c>
      <c r="N200" s="478">
        <f t="shared" si="19"/>
        <v>246175.64</v>
      </c>
      <c r="O200" s="530"/>
      <c r="P200" s="264" t="s">
        <v>2544</v>
      </c>
      <c r="Q200" s="11" t="s">
        <v>243</v>
      </c>
      <c r="R200" s="574"/>
      <c r="S200" s="448"/>
    </row>
    <row r="201" spans="1:19" s="413" customFormat="1" ht="42.75">
      <c r="A201" s="421" t="s">
        <v>2296</v>
      </c>
      <c r="B201" s="422" t="s">
        <v>192</v>
      </c>
      <c r="C201" s="423" t="s">
        <v>17</v>
      </c>
      <c r="D201" s="424">
        <v>137462</v>
      </c>
      <c r="E201" s="424">
        <v>137462</v>
      </c>
      <c r="F201" s="424">
        <f>估驗單!F197</f>
        <v>207085.17276800002</v>
      </c>
      <c r="G201" s="478">
        <f t="shared" si="14"/>
        <v>69623.172768000019</v>
      </c>
      <c r="H201" s="424">
        <v>36.4</v>
      </c>
      <c r="I201" s="424"/>
      <c r="J201" s="424"/>
      <c r="K201" s="424">
        <v>5003616.8</v>
      </c>
      <c r="L201" s="424">
        <f t="shared" si="16"/>
        <v>5003616.8</v>
      </c>
      <c r="M201" s="424">
        <f t="shared" si="17"/>
        <v>7537900.29</v>
      </c>
      <c r="N201" s="478">
        <f t="shared" si="19"/>
        <v>2534283.4900000002</v>
      </c>
      <c r="O201" s="530"/>
      <c r="P201" s="264" t="s">
        <v>2543</v>
      </c>
      <c r="Q201" s="11" t="s">
        <v>243</v>
      </c>
      <c r="R201" s="574"/>
      <c r="S201" s="427"/>
    </row>
    <row r="202" spans="1:19" s="413" customFormat="1" ht="42.75">
      <c r="A202" s="421" t="s">
        <v>2297</v>
      </c>
      <c r="B202" s="422" t="s">
        <v>530</v>
      </c>
      <c r="C202" s="423" t="s">
        <v>17</v>
      </c>
      <c r="D202" s="424">
        <v>116638</v>
      </c>
      <c r="E202" s="424">
        <v>116638</v>
      </c>
      <c r="F202" s="424">
        <f>估驗單!F198</f>
        <v>168230.73</v>
      </c>
      <c r="G202" s="478">
        <f t="shared" si="14"/>
        <v>51592.73000000001</v>
      </c>
      <c r="H202" s="424">
        <v>38.71</v>
      </c>
      <c r="I202" s="424"/>
      <c r="J202" s="424"/>
      <c r="K202" s="424">
        <v>4515056.9800000004</v>
      </c>
      <c r="L202" s="424">
        <f t="shared" si="16"/>
        <v>4515056.9800000004</v>
      </c>
      <c r="M202" s="424">
        <f t="shared" si="17"/>
        <v>6512211.5599999996</v>
      </c>
      <c r="N202" s="478">
        <f t="shared" si="19"/>
        <v>1997154.5799999991</v>
      </c>
      <c r="O202" s="530"/>
      <c r="P202" s="264" t="s">
        <v>2543</v>
      </c>
      <c r="Q202" s="11" t="s">
        <v>243</v>
      </c>
      <c r="R202" s="574"/>
      <c r="S202" s="427"/>
    </row>
    <row r="203" spans="1:19" s="413" customFormat="1" ht="33">
      <c r="A203" s="421" t="s">
        <v>2298</v>
      </c>
      <c r="B203" s="422" t="s">
        <v>628</v>
      </c>
      <c r="C203" s="423" t="s">
        <v>8</v>
      </c>
      <c r="D203" s="424">
        <v>112</v>
      </c>
      <c r="E203" s="424">
        <v>112</v>
      </c>
      <c r="F203" s="424">
        <f>估驗單!F199</f>
        <v>0</v>
      </c>
      <c r="G203" s="506">
        <f t="shared" si="14"/>
        <v>-112</v>
      </c>
      <c r="H203" s="424">
        <v>2865.8</v>
      </c>
      <c r="I203" s="424"/>
      <c r="J203" s="424"/>
      <c r="K203" s="424">
        <v>320969.59999999998</v>
      </c>
      <c r="L203" s="424">
        <f t="shared" si="16"/>
        <v>320969.59999999998</v>
      </c>
      <c r="M203" s="424">
        <f t="shared" si="17"/>
        <v>0</v>
      </c>
      <c r="N203" s="478" t="str">
        <f t="shared" si="19"/>
        <v xml:space="preserve">      </v>
      </c>
      <c r="O203" s="548">
        <f>M203-L203</f>
        <v>-320969.59999999998</v>
      </c>
      <c r="P203" s="267" t="s">
        <v>2722</v>
      </c>
      <c r="Q203" s="11" t="s">
        <v>243</v>
      </c>
      <c r="R203" s="574"/>
      <c r="S203" s="427"/>
    </row>
    <row r="204" spans="1:19" s="413" customFormat="1" ht="33">
      <c r="A204" s="421" t="s">
        <v>2299</v>
      </c>
      <c r="B204" s="422" t="s">
        <v>630</v>
      </c>
      <c r="C204" s="423" t="s">
        <v>0</v>
      </c>
      <c r="D204" s="424">
        <v>47</v>
      </c>
      <c r="E204" s="424">
        <v>47</v>
      </c>
      <c r="F204" s="424">
        <f>估驗單!F200</f>
        <v>47</v>
      </c>
      <c r="G204" s="478">
        <f t="shared" si="14"/>
        <v>0</v>
      </c>
      <c r="H204" s="424">
        <v>1477.97</v>
      </c>
      <c r="I204" s="424"/>
      <c r="J204" s="424"/>
      <c r="K204" s="424">
        <v>69464.59</v>
      </c>
      <c r="L204" s="424">
        <f t="shared" si="16"/>
        <v>69464.59</v>
      </c>
      <c r="M204" s="424">
        <f t="shared" si="17"/>
        <v>69464.59</v>
      </c>
      <c r="N204" s="478">
        <f t="shared" si="19"/>
        <v>0</v>
      </c>
      <c r="O204" s="530"/>
      <c r="P204" s="264" t="s">
        <v>242</v>
      </c>
      <c r="Q204" s="11" t="s">
        <v>243</v>
      </c>
      <c r="R204" s="574"/>
      <c r="S204" s="427"/>
    </row>
    <row r="205" spans="1:19" s="413" customFormat="1" ht="42.75">
      <c r="A205" s="421" t="s">
        <v>2300</v>
      </c>
      <c r="B205" s="422" t="s">
        <v>632</v>
      </c>
      <c r="C205" s="423" t="s">
        <v>8</v>
      </c>
      <c r="D205" s="424">
        <v>148</v>
      </c>
      <c r="E205" s="424">
        <v>148</v>
      </c>
      <c r="F205" s="424">
        <f>估驗單!F201</f>
        <v>148</v>
      </c>
      <c r="G205" s="478">
        <f t="shared" si="14"/>
        <v>0</v>
      </c>
      <c r="H205" s="424">
        <v>151.71</v>
      </c>
      <c r="I205" s="424"/>
      <c r="J205" s="424"/>
      <c r="K205" s="424">
        <v>22453.08</v>
      </c>
      <c r="L205" s="424">
        <f t="shared" si="16"/>
        <v>22453.08</v>
      </c>
      <c r="M205" s="424">
        <f t="shared" si="17"/>
        <v>22453.08</v>
      </c>
      <c r="N205" s="478">
        <f t="shared" si="19"/>
        <v>0</v>
      </c>
      <c r="O205" s="530"/>
      <c r="P205" s="264" t="s">
        <v>242</v>
      </c>
      <c r="Q205" s="11" t="s">
        <v>243</v>
      </c>
      <c r="R205" s="574"/>
      <c r="S205" s="427"/>
    </row>
    <row r="206" spans="1:19" s="413" customFormat="1" ht="33">
      <c r="A206" s="421" t="s">
        <v>2301</v>
      </c>
      <c r="B206" s="422" t="s">
        <v>634</v>
      </c>
      <c r="C206" s="423" t="s">
        <v>15</v>
      </c>
      <c r="D206" s="424">
        <v>6</v>
      </c>
      <c r="E206" s="424">
        <v>6</v>
      </c>
      <c r="F206" s="424">
        <f>估驗單!F202</f>
        <v>6</v>
      </c>
      <c r="G206" s="478">
        <f t="shared" si="14"/>
        <v>0</v>
      </c>
      <c r="H206" s="424">
        <v>15778.75</v>
      </c>
      <c r="I206" s="424"/>
      <c r="J206" s="424"/>
      <c r="K206" s="424">
        <v>94672.5</v>
      </c>
      <c r="L206" s="424">
        <f t="shared" si="16"/>
        <v>94672.5</v>
      </c>
      <c r="M206" s="424">
        <f t="shared" si="17"/>
        <v>94672.5</v>
      </c>
      <c r="N206" s="478">
        <f t="shared" si="19"/>
        <v>0</v>
      </c>
      <c r="O206" s="530"/>
      <c r="P206" s="264" t="s">
        <v>242</v>
      </c>
      <c r="Q206" s="11" t="s">
        <v>243</v>
      </c>
      <c r="R206" s="574"/>
      <c r="S206" s="427"/>
    </row>
    <row r="207" spans="1:19" s="413" customFormat="1" ht="33">
      <c r="A207" s="470" t="s">
        <v>2302</v>
      </c>
      <c r="B207" s="471" t="s">
        <v>357</v>
      </c>
      <c r="C207" s="472" t="s">
        <v>8</v>
      </c>
      <c r="D207" s="473">
        <v>746</v>
      </c>
      <c r="E207" s="473">
        <v>746</v>
      </c>
      <c r="F207" s="473">
        <f>估驗單!F203</f>
        <v>400.19999999999993</v>
      </c>
      <c r="G207" s="505">
        <f t="shared" si="14"/>
        <v>-345.80000000000007</v>
      </c>
      <c r="H207" s="473">
        <v>138.84</v>
      </c>
      <c r="I207" s="473"/>
      <c r="J207" s="473"/>
      <c r="K207" s="473">
        <v>103574.64</v>
      </c>
      <c r="L207" s="473">
        <f t="shared" si="16"/>
        <v>103574.64</v>
      </c>
      <c r="M207" s="473">
        <f t="shared" si="17"/>
        <v>55563.77</v>
      </c>
      <c r="N207" s="479" t="str">
        <f t="shared" si="19"/>
        <v xml:space="preserve">      </v>
      </c>
      <c r="O207" s="546">
        <f>M207-L207</f>
        <v>-48010.87</v>
      </c>
      <c r="P207" s="538" t="s">
        <v>2723</v>
      </c>
      <c r="Q207" s="11" t="s">
        <v>243</v>
      </c>
      <c r="R207" s="574"/>
      <c r="S207" s="427"/>
    </row>
    <row r="208" spans="1:19" s="413" customFormat="1" ht="33">
      <c r="A208" s="470" t="s">
        <v>2303</v>
      </c>
      <c r="B208" s="471" t="s">
        <v>611</v>
      </c>
      <c r="C208" s="472" t="s">
        <v>8</v>
      </c>
      <c r="D208" s="473">
        <v>1740</v>
      </c>
      <c r="E208" s="473">
        <v>1740</v>
      </c>
      <c r="F208" s="473">
        <f>估驗單!F204</f>
        <v>1440</v>
      </c>
      <c r="G208" s="505">
        <f t="shared" si="14"/>
        <v>-300</v>
      </c>
      <c r="H208" s="473">
        <v>326.27999999999997</v>
      </c>
      <c r="I208" s="473"/>
      <c r="J208" s="473"/>
      <c r="K208" s="473">
        <v>567727.19999999995</v>
      </c>
      <c r="L208" s="473">
        <f t="shared" si="16"/>
        <v>567727.19999999995</v>
      </c>
      <c r="M208" s="473">
        <f t="shared" si="17"/>
        <v>469843.20000000001</v>
      </c>
      <c r="N208" s="479" t="str">
        <f t="shared" si="19"/>
        <v xml:space="preserve">      </v>
      </c>
      <c r="O208" s="546">
        <f>M208-L208</f>
        <v>-97883.999999999942</v>
      </c>
      <c r="P208" s="538" t="s">
        <v>2723</v>
      </c>
      <c r="Q208" s="11" t="s">
        <v>243</v>
      </c>
      <c r="R208" s="574"/>
      <c r="S208" s="427"/>
    </row>
    <row r="209" spans="1:19" s="413" customFormat="1" ht="42.75">
      <c r="A209" s="421" t="s">
        <v>2304</v>
      </c>
      <c r="B209" s="422" t="s">
        <v>222</v>
      </c>
      <c r="C209" s="423" t="s">
        <v>13</v>
      </c>
      <c r="D209" s="424">
        <v>783</v>
      </c>
      <c r="E209" s="424">
        <v>783</v>
      </c>
      <c r="F209" s="424">
        <f>估驗單!F205</f>
        <v>783</v>
      </c>
      <c r="G209" s="478">
        <f t="shared" si="14"/>
        <v>0</v>
      </c>
      <c r="H209" s="424">
        <v>692.12</v>
      </c>
      <c r="I209" s="424"/>
      <c r="J209" s="424"/>
      <c r="K209" s="424">
        <v>541929.96</v>
      </c>
      <c r="L209" s="424">
        <f t="shared" si="16"/>
        <v>541929.96</v>
      </c>
      <c r="M209" s="424">
        <f t="shared" si="17"/>
        <v>541929.96</v>
      </c>
      <c r="N209" s="478">
        <f t="shared" si="19"/>
        <v>0</v>
      </c>
      <c r="O209" s="530"/>
      <c r="P209" s="264" t="s">
        <v>2554</v>
      </c>
      <c r="Q209" s="11" t="s">
        <v>243</v>
      </c>
      <c r="R209" s="574"/>
      <c r="S209" s="427"/>
    </row>
    <row r="210" spans="1:19" s="413" customFormat="1" ht="33">
      <c r="A210" s="421" t="s">
        <v>2305</v>
      </c>
      <c r="B210" s="422" t="s">
        <v>640</v>
      </c>
      <c r="C210" s="423" t="s">
        <v>15</v>
      </c>
      <c r="D210" s="424">
        <v>1</v>
      </c>
      <c r="E210" s="424">
        <v>1</v>
      </c>
      <c r="F210" s="424">
        <f>估驗單!F206</f>
        <v>1</v>
      </c>
      <c r="G210" s="478">
        <f t="shared" si="14"/>
        <v>0</v>
      </c>
      <c r="H210" s="424">
        <v>214228.32</v>
      </c>
      <c r="I210" s="424"/>
      <c r="J210" s="424"/>
      <c r="K210" s="424">
        <v>214228.32</v>
      </c>
      <c r="L210" s="424">
        <f t="shared" si="16"/>
        <v>214228.32</v>
      </c>
      <c r="M210" s="424">
        <f t="shared" si="17"/>
        <v>214228.32</v>
      </c>
      <c r="N210" s="478">
        <f t="shared" si="19"/>
        <v>0</v>
      </c>
      <c r="O210" s="530"/>
      <c r="P210" s="264" t="s">
        <v>242</v>
      </c>
      <c r="Q210" s="11" t="s">
        <v>243</v>
      </c>
      <c r="R210" s="574"/>
      <c r="S210" s="427"/>
    </row>
    <row r="211" spans="1:19" s="413" customFormat="1" ht="33">
      <c r="A211" s="421" t="s">
        <v>2306</v>
      </c>
      <c r="B211" s="422" t="s">
        <v>643</v>
      </c>
      <c r="C211" s="423" t="s">
        <v>5</v>
      </c>
      <c r="D211" s="424">
        <v>44</v>
      </c>
      <c r="E211" s="424">
        <v>44</v>
      </c>
      <c r="F211" s="424">
        <f>估驗單!F207</f>
        <v>44</v>
      </c>
      <c r="G211" s="478">
        <f t="shared" si="14"/>
        <v>0</v>
      </c>
      <c r="H211" s="424">
        <v>422.28</v>
      </c>
      <c r="I211" s="424"/>
      <c r="J211" s="424"/>
      <c r="K211" s="424">
        <v>18580.32</v>
      </c>
      <c r="L211" s="424">
        <f t="shared" si="16"/>
        <v>18580.32</v>
      </c>
      <c r="M211" s="424">
        <f t="shared" si="17"/>
        <v>18580.32</v>
      </c>
      <c r="N211" s="478">
        <f t="shared" si="19"/>
        <v>0</v>
      </c>
      <c r="O211" s="530"/>
      <c r="P211" s="264" t="s">
        <v>242</v>
      </c>
      <c r="Q211" s="11" t="s">
        <v>243</v>
      </c>
      <c r="R211" s="574"/>
      <c r="S211" s="427"/>
    </row>
    <row r="212" spans="1:19" s="413" customFormat="1" ht="33">
      <c r="A212" s="494" t="s">
        <v>2379</v>
      </c>
      <c r="B212" s="495" t="s">
        <v>645</v>
      </c>
      <c r="C212" s="496" t="s">
        <v>4</v>
      </c>
      <c r="D212" s="497">
        <v>1</v>
      </c>
      <c r="E212" s="497"/>
      <c r="F212" s="497"/>
      <c r="G212" s="498"/>
      <c r="H212" s="497">
        <v>11413214.08</v>
      </c>
      <c r="I212" s="497"/>
      <c r="J212" s="497"/>
      <c r="K212" s="497">
        <v>11413214.08</v>
      </c>
      <c r="L212" s="497">
        <f>SUM(L213:L228)</f>
        <v>13631722.120000003</v>
      </c>
      <c r="M212" s="497">
        <f t="shared" ref="M212:O212" si="20">SUM(M213:M228)</f>
        <v>15482573.470000003</v>
      </c>
      <c r="N212" s="497">
        <f t="shared" si="20"/>
        <v>1850851.35</v>
      </c>
      <c r="O212" s="547">
        <f t="shared" si="20"/>
        <v>0</v>
      </c>
      <c r="P212" s="356" t="s">
        <v>242</v>
      </c>
      <c r="Q212" s="11" t="s">
        <v>243</v>
      </c>
      <c r="R212" s="578"/>
      <c r="S212" s="427"/>
    </row>
    <row r="213" spans="1:19" s="413" customFormat="1" ht="33">
      <c r="A213" s="421" t="s">
        <v>2288</v>
      </c>
      <c r="B213" s="422" t="s">
        <v>646</v>
      </c>
      <c r="C213" s="423" t="s">
        <v>6</v>
      </c>
      <c r="D213" s="424">
        <v>230</v>
      </c>
      <c r="E213" s="424">
        <v>230</v>
      </c>
      <c r="F213" s="424">
        <f>估驗單!F209</f>
        <v>230</v>
      </c>
      <c r="G213" s="478">
        <f t="shared" si="14"/>
        <v>0</v>
      </c>
      <c r="H213" s="424">
        <v>7517.15</v>
      </c>
      <c r="I213" s="424"/>
      <c r="J213" s="424"/>
      <c r="K213" s="424">
        <v>1728944.5</v>
      </c>
      <c r="L213" s="424">
        <f t="shared" si="16"/>
        <v>1728944.5</v>
      </c>
      <c r="M213" s="424">
        <f t="shared" si="17"/>
        <v>1728944.5</v>
      </c>
      <c r="N213" s="478">
        <f t="shared" ref="N213:N228" si="21">IF(L213-M213&lt;0+AND(L213&lt;&gt;0),M213-L213,"      ")</f>
        <v>0</v>
      </c>
      <c r="O213" s="530"/>
      <c r="P213" s="264" t="s">
        <v>242</v>
      </c>
      <c r="Q213" s="11" t="s">
        <v>243</v>
      </c>
      <c r="R213" s="574"/>
      <c r="S213" s="427"/>
    </row>
    <row r="214" spans="1:19" s="413" customFormat="1" ht="33">
      <c r="A214" s="421" t="s">
        <v>2289</v>
      </c>
      <c r="B214" s="422" t="s">
        <v>648</v>
      </c>
      <c r="C214" s="423" t="s">
        <v>6</v>
      </c>
      <c r="D214" s="424">
        <v>689</v>
      </c>
      <c r="E214" s="424">
        <v>689</v>
      </c>
      <c r="F214" s="424">
        <f>估驗單!F210</f>
        <v>689</v>
      </c>
      <c r="G214" s="478">
        <f t="shared" si="14"/>
        <v>0</v>
      </c>
      <c r="H214" s="424">
        <v>7496.55</v>
      </c>
      <c r="I214" s="424"/>
      <c r="J214" s="424"/>
      <c r="K214" s="424">
        <v>5165122.95</v>
      </c>
      <c r="L214" s="424">
        <f t="shared" si="16"/>
        <v>5165122.95</v>
      </c>
      <c r="M214" s="424">
        <f t="shared" si="17"/>
        <v>5165122.95</v>
      </c>
      <c r="N214" s="478">
        <f t="shared" si="21"/>
        <v>0</v>
      </c>
      <c r="O214" s="530"/>
      <c r="P214" s="264" t="s">
        <v>242</v>
      </c>
      <c r="Q214" s="11" t="s">
        <v>243</v>
      </c>
      <c r="R214" s="574"/>
      <c r="S214" s="427"/>
    </row>
    <row r="215" spans="1:19" s="413" customFormat="1" ht="33">
      <c r="A215" s="421" t="s">
        <v>2290</v>
      </c>
      <c r="B215" s="422" t="s">
        <v>650</v>
      </c>
      <c r="C215" s="423" t="s">
        <v>13</v>
      </c>
      <c r="D215" s="424">
        <v>4589</v>
      </c>
      <c r="E215" s="424">
        <v>4589</v>
      </c>
      <c r="F215" s="424">
        <f>估驗單!F211</f>
        <v>5389.42</v>
      </c>
      <c r="G215" s="478">
        <f t="shared" si="14"/>
        <v>800.42000000000007</v>
      </c>
      <c r="H215" s="424">
        <v>11.6</v>
      </c>
      <c r="I215" s="424"/>
      <c r="J215" s="424"/>
      <c r="K215" s="424">
        <v>53232.4</v>
      </c>
      <c r="L215" s="424">
        <f t="shared" si="16"/>
        <v>53232.4</v>
      </c>
      <c r="M215" s="424">
        <f t="shared" si="17"/>
        <v>62517.27</v>
      </c>
      <c r="N215" s="478">
        <f t="shared" si="21"/>
        <v>9284.8699999999953</v>
      </c>
      <c r="O215" s="530"/>
      <c r="P215" s="264" t="s">
        <v>242</v>
      </c>
      <c r="Q215" s="11" t="s">
        <v>243</v>
      </c>
      <c r="R215" s="574"/>
      <c r="S215" s="427"/>
    </row>
    <row r="216" spans="1:19" s="413" customFormat="1" ht="33">
      <c r="A216" s="421" t="s">
        <v>2291</v>
      </c>
      <c r="B216" s="422" t="s">
        <v>652</v>
      </c>
      <c r="C216" s="423" t="s">
        <v>13</v>
      </c>
      <c r="D216" s="424">
        <v>4589</v>
      </c>
      <c r="E216" s="424">
        <v>4589</v>
      </c>
      <c r="F216" s="424">
        <f>估驗單!F212</f>
        <v>4589</v>
      </c>
      <c r="G216" s="478">
        <f t="shared" si="14"/>
        <v>0</v>
      </c>
      <c r="H216" s="424">
        <v>42.46</v>
      </c>
      <c r="I216" s="424"/>
      <c r="J216" s="424"/>
      <c r="K216" s="424">
        <v>194848.94</v>
      </c>
      <c r="L216" s="424">
        <f t="shared" si="16"/>
        <v>194848.94</v>
      </c>
      <c r="M216" s="424">
        <f t="shared" si="17"/>
        <v>194848.94</v>
      </c>
      <c r="N216" s="478">
        <f t="shared" si="21"/>
        <v>0</v>
      </c>
      <c r="O216" s="530"/>
      <c r="P216" s="264" t="s">
        <v>242</v>
      </c>
      <c r="Q216" s="11" t="s">
        <v>243</v>
      </c>
      <c r="R216" s="574"/>
      <c r="S216" s="427"/>
    </row>
    <row r="217" spans="1:19" s="413" customFormat="1" ht="33">
      <c r="A217" s="421" t="s">
        <v>2292</v>
      </c>
      <c r="B217" s="422" t="s">
        <v>204</v>
      </c>
      <c r="C217" s="423" t="s">
        <v>13</v>
      </c>
      <c r="D217" s="424">
        <v>13765</v>
      </c>
      <c r="E217" s="424">
        <v>13765</v>
      </c>
      <c r="F217" s="424">
        <f>估驗單!F213</f>
        <v>13765</v>
      </c>
      <c r="G217" s="478">
        <f t="shared" si="14"/>
        <v>0</v>
      </c>
      <c r="H217" s="424">
        <v>15.96</v>
      </c>
      <c r="I217" s="424"/>
      <c r="J217" s="424"/>
      <c r="K217" s="424">
        <v>219689.4</v>
      </c>
      <c r="L217" s="424">
        <f t="shared" si="16"/>
        <v>219689.4</v>
      </c>
      <c r="M217" s="424">
        <f t="shared" si="17"/>
        <v>219689.4</v>
      </c>
      <c r="N217" s="478">
        <f t="shared" si="21"/>
        <v>0</v>
      </c>
      <c r="O217" s="530"/>
      <c r="P217" s="264" t="s">
        <v>242</v>
      </c>
      <c r="Q217" s="11" t="s">
        <v>243</v>
      </c>
      <c r="R217" s="574"/>
      <c r="S217" s="427"/>
    </row>
    <row r="218" spans="1:19" s="413" customFormat="1" ht="33">
      <c r="A218" s="421" t="s">
        <v>2293</v>
      </c>
      <c r="B218" s="422" t="s">
        <v>315</v>
      </c>
      <c r="C218" s="423" t="s">
        <v>6</v>
      </c>
      <c r="D218" s="424">
        <v>49</v>
      </c>
      <c r="E218" s="424">
        <v>49</v>
      </c>
      <c r="F218" s="424">
        <f>估驗單!F214</f>
        <v>49</v>
      </c>
      <c r="G218" s="478">
        <f t="shared" ref="G218:G281" si="22">F218-E218</f>
        <v>0</v>
      </c>
      <c r="H218" s="424">
        <v>3114.97</v>
      </c>
      <c r="I218" s="424"/>
      <c r="J218" s="424"/>
      <c r="K218" s="424">
        <v>152633.53</v>
      </c>
      <c r="L218" s="424">
        <f t="shared" si="16"/>
        <v>152633.53</v>
      </c>
      <c r="M218" s="424">
        <f t="shared" si="17"/>
        <v>152633.53</v>
      </c>
      <c r="N218" s="478">
        <f t="shared" si="21"/>
        <v>0</v>
      </c>
      <c r="O218" s="548"/>
      <c r="P218" s="264" t="s">
        <v>242</v>
      </c>
      <c r="Q218" s="11" t="s">
        <v>243</v>
      </c>
      <c r="R218" s="574"/>
      <c r="S218" s="427"/>
    </row>
    <row r="219" spans="1:19" s="413" customFormat="1" ht="33">
      <c r="A219" s="421" t="s">
        <v>2294</v>
      </c>
      <c r="B219" s="422" t="s">
        <v>24</v>
      </c>
      <c r="C219" s="423" t="s">
        <v>6</v>
      </c>
      <c r="D219" s="424">
        <v>328</v>
      </c>
      <c r="E219" s="424">
        <v>328</v>
      </c>
      <c r="F219" s="424">
        <f>估驗單!F215</f>
        <v>494.41999999999996</v>
      </c>
      <c r="G219" s="478">
        <f t="shared" si="22"/>
        <v>166.41999999999996</v>
      </c>
      <c r="H219" s="424">
        <v>3320.96</v>
      </c>
      <c r="I219" s="424"/>
      <c r="J219" s="424"/>
      <c r="K219" s="424">
        <v>1089274.8799999999</v>
      </c>
      <c r="L219" s="424">
        <f t="shared" si="16"/>
        <v>1089274.8799999999</v>
      </c>
      <c r="M219" s="424">
        <f t="shared" si="17"/>
        <v>1641949.04</v>
      </c>
      <c r="N219" s="478">
        <f t="shared" si="21"/>
        <v>552674.16000000015</v>
      </c>
      <c r="O219" s="530"/>
      <c r="P219" s="264" t="s">
        <v>242</v>
      </c>
      <c r="Q219" s="11" t="s">
        <v>243</v>
      </c>
      <c r="R219" s="574"/>
      <c r="S219" s="427"/>
    </row>
    <row r="220" spans="1:19" s="413" customFormat="1" ht="33">
      <c r="A220" s="421" t="s">
        <v>2295</v>
      </c>
      <c r="B220" s="422" t="s">
        <v>595</v>
      </c>
      <c r="C220" s="423" t="s">
        <v>6</v>
      </c>
      <c r="D220" s="424">
        <v>377</v>
      </c>
      <c r="E220" s="424">
        <v>377</v>
      </c>
      <c r="F220" s="424">
        <f>估驗單!F216</f>
        <v>543.41999999999996</v>
      </c>
      <c r="G220" s="478">
        <f t="shared" si="22"/>
        <v>166.41999999999996</v>
      </c>
      <c r="H220" s="424">
        <v>199.99</v>
      </c>
      <c r="I220" s="424"/>
      <c r="J220" s="424"/>
      <c r="K220" s="424">
        <v>75396.23</v>
      </c>
      <c r="L220" s="424">
        <f t="shared" si="16"/>
        <v>75396.23</v>
      </c>
      <c r="M220" s="424">
        <f t="shared" si="17"/>
        <v>108678.57</v>
      </c>
      <c r="N220" s="478">
        <f t="shared" si="21"/>
        <v>33282.340000000011</v>
      </c>
      <c r="O220" s="530"/>
      <c r="P220" s="264" t="s">
        <v>242</v>
      </c>
      <c r="Q220" s="11" t="s">
        <v>243</v>
      </c>
      <c r="R220" s="574"/>
      <c r="S220" s="427"/>
    </row>
    <row r="221" spans="1:19" s="413" customFormat="1" ht="42.75">
      <c r="A221" s="421" t="s">
        <v>2296</v>
      </c>
      <c r="B221" s="422" t="s">
        <v>626</v>
      </c>
      <c r="C221" s="423" t="s">
        <v>13</v>
      </c>
      <c r="D221" s="424">
        <v>867</v>
      </c>
      <c r="E221" s="424">
        <v>867</v>
      </c>
      <c r="F221" s="424">
        <f>估驗單!F217</f>
        <v>889.83</v>
      </c>
      <c r="G221" s="478">
        <f t="shared" si="22"/>
        <v>22.830000000000041</v>
      </c>
      <c r="H221" s="424">
        <v>698.28</v>
      </c>
      <c r="I221" s="424"/>
      <c r="J221" s="424"/>
      <c r="K221" s="424">
        <v>605408.76</v>
      </c>
      <c r="L221" s="424">
        <f t="shared" si="16"/>
        <v>605408.76</v>
      </c>
      <c r="M221" s="424">
        <f t="shared" si="17"/>
        <v>621350.49</v>
      </c>
      <c r="N221" s="478">
        <f t="shared" si="21"/>
        <v>15941.729999999981</v>
      </c>
      <c r="O221" s="530"/>
      <c r="P221" s="264" t="s">
        <v>2594</v>
      </c>
      <c r="Q221" s="11" t="s">
        <v>243</v>
      </c>
      <c r="R221" s="574"/>
      <c r="S221" s="448"/>
    </row>
    <row r="222" spans="1:19" s="413" customFormat="1" ht="85.5">
      <c r="A222" s="421" t="s">
        <v>2297</v>
      </c>
      <c r="B222" s="422" t="s">
        <v>193</v>
      </c>
      <c r="C222" s="423" t="s">
        <v>13</v>
      </c>
      <c r="D222" s="424">
        <v>1257</v>
      </c>
      <c r="E222" s="424">
        <v>1257</v>
      </c>
      <c r="F222" s="424">
        <f>估驗單!F218</f>
        <v>1257</v>
      </c>
      <c r="G222" s="478">
        <f t="shared" si="22"/>
        <v>0</v>
      </c>
      <c r="H222" s="424">
        <v>533.61</v>
      </c>
      <c r="I222" s="424"/>
      <c r="J222" s="424"/>
      <c r="K222" s="424">
        <v>670747.77</v>
      </c>
      <c r="L222" s="424">
        <f t="shared" si="16"/>
        <v>670747.77</v>
      </c>
      <c r="M222" s="424">
        <f t="shared" si="17"/>
        <v>670747.77</v>
      </c>
      <c r="N222" s="478">
        <f t="shared" si="21"/>
        <v>0</v>
      </c>
      <c r="O222" s="528"/>
      <c r="P222" s="264" t="s">
        <v>2544</v>
      </c>
      <c r="Q222" s="11" t="s">
        <v>243</v>
      </c>
      <c r="R222" s="574"/>
      <c r="S222" s="448"/>
    </row>
    <row r="223" spans="1:19" s="413" customFormat="1" ht="42.75">
      <c r="A223" s="470" t="s">
        <v>2298</v>
      </c>
      <c r="B223" s="471" t="s">
        <v>192</v>
      </c>
      <c r="C223" s="472" t="s">
        <v>17</v>
      </c>
      <c r="D223" s="473">
        <v>12810</v>
      </c>
      <c r="E223" s="473">
        <v>12810</v>
      </c>
      <c r="F223" s="473">
        <f>估驗單!F219</f>
        <v>46866.82</v>
      </c>
      <c r="G223" s="479">
        <f t="shared" si="22"/>
        <v>34056.82</v>
      </c>
      <c r="H223" s="473">
        <v>36.4</v>
      </c>
      <c r="I223" s="473"/>
      <c r="J223" s="473"/>
      <c r="K223" s="473">
        <v>466284</v>
      </c>
      <c r="L223" s="473">
        <f t="shared" si="16"/>
        <v>466284</v>
      </c>
      <c r="M223" s="473">
        <f t="shared" si="17"/>
        <v>1705952.25</v>
      </c>
      <c r="N223" s="479">
        <f t="shared" si="21"/>
        <v>1239668.25</v>
      </c>
      <c r="O223" s="531"/>
      <c r="P223" s="474" t="s">
        <v>2543</v>
      </c>
      <c r="Q223" s="11" t="s">
        <v>243</v>
      </c>
      <c r="R223" s="574"/>
      <c r="S223" s="427"/>
    </row>
    <row r="224" spans="1:19" s="413" customFormat="1" ht="57">
      <c r="A224" s="421" t="s">
        <v>2299</v>
      </c>
      <c r="B224" s="422" t="s">
        <v>655</v>
      </c>
      <c r="C224" s="423" t="s">
        <v>15</v>
      </c>
      <c r="D224" s="424">
        <v>158</v>
      </c>
      <c r="E224" s="424">
        <v>158</v>
      </c>
      <c r="F224" s="424">
        <f>估驗單!F220</f>
        <v>158</v>
      </c>
      <c r="G224" s="478">
        <f t="shared" si="22"/>
        <v>0</v>
      </c>
      <c r="H224" s="424">
        <v>3615.1</v>
      </c>
      <c r="I224" s="424"/>
      <c r="J224" s="424"/>
      <c r="K224" s="424">
        <v>571185.80000000005</v>
      </c>
      <c r="L224" s="424">
        <f t="shared" si="16"/>
        <v>571185.80000000005</v>
      </c>
      <c r="M224" s="424">
        <f t="shared" si="17"/>
        <v>571185.80000000005</v>
      </c>
      <c r="N224" s="478">
        <f t="shared" si="21"/>
        <v>0</v>
      </c>
      <c r="O224" s="530"/>
      <c r="P224" s="264" t="s">
        <v>2546</v>
      </c>
      <c r="Q224" s="11" t="s">
        <v>243</v>
      </c>
      <c r="R224" s="574"/>
      <c r="S224" s="427"/>
    </row>
    <row r="225" spans="1:22" s="413" customFormat="1" ht="57">
      <c r="A225" s="421" t="s">
        <v>2300</v>
      </c>
      <c r="B225" s="422" t="s">
        <v>657</v>
      </c>
      <c r="C225" s="423" t="s">
        <v>17</v>
      </c>
      <c r="D225" s="424">
        <v>3713</v>
      </c>
      <c r="E225" s="424">
        <v>3713</v>
      </c>
      <c r="F225" s="424">
        <f>估驗單!F221</f>
        <v>3713</v>
      </c>
      <c r="G225" s="478">
        <f t="shared" si="22"/>
        <v>0</v>
      </c>
      <c r="H225" s="424">
        <v>107.44</v>
      </c>
      <c r="I225" s="424"/>
      <c r="J225" s="424"/>
      <c r="K225" s="424">
        <v>398924.72</v>
      </c>
      <c r="L225" s="424">
        <f t="shared" si="16"/>
        <v>398924.72</v>
      </c>
      <c r="M225" s="424">
        <f t="shared" si="17"/>
        <v>398924.72</v>
      </c>
      <c r="N225" s="478">
        <f t="shared" si="21"/>
        <v>0</v>
      </c>
      <c r="O225" s="530"/>
      <c r="P225" s="264" t="s">
        <v>2546</v>
      </c>
      <c r="Q225" s="11" t="s">
        <v>243</v>
      </c>
      <c r="R225" s="574"/>
      <c r="S225" s="427"/>
    </row>
    <row r="226" spans="1:22" s="413" customFormat="1" ht="33">
      <c r="A226" s="421" t="s">
        <v>2301</v>
      </c>
      <c r="B226" s="422" t="s">
        <v>357</v>
      </c>
      <c r="C226" s="423" t="s">
        <v>8</v>
      </c>
      <c r="D226" s="424">
        <v>155</v>
      </c>
      <c r="E226" s="424">
        <v>155</v>
      </c>
      <c r="F226" s="424">
        <f>估驗單!F222</f>
        <v>155</v>
      </c>
      <c r="G226" s="478">
        <f t="shared" si="22"/>
        <v>0</v>
      </c>
      <c r="H226" s="424">
        <v>138.84</v>
      </c>
      <c r="I226" s="424"/>
      <c r="J226" s="424"/>
      <c r="K226" s="424">
        <v>21520.2</v>
      </c>
      <c r="L226" s="424">
        <f t="shared" si="16"/>
        <v>21520.2</v>
      </c>
      <c r="M226" s="424">
        <f t="shared" si="17"/>
        <v>21520.2</v>
      </c>
      <c r="N226" s="478">
        <f t="shared" si="21"/>
        <v>0</v>
      </c>
      <c r="O226" s="530"/>
      <c r="P226" s="264" t="s">
        <v>242</v>
      </c>
      <c r="Q226" s="11" t="s">
        <v>243</v>
      </c>
      <c r="R226" s="574"/>
      <c r="S226" s="427"/>
    </row>
    <row r="227" spans="1:22" s="444" customFormat="1" ht="31.5">
      <c r="A227" s="431">
        <v>15</v>
      </c>
      <c r="B227" s="432" t="s">
        <v>1497</v>
      </c>
      <c r="C227" s="433" t="s">
        <v>223</v>
      </c>
      <c r="D227" s="428">
        <v>0</v>
      </c>
      <c r="E227" s="428">
        <v>1376.7</v>
      </c>
      <c r="F227" s="424">
        <f>估驗單!F223</f>
        <v>1376.7</v>
      </c>
      <c r="G227" s="478">
        <f t="shared" si="22"/>
        <v>0</v>
      </c>
      <c r="H227" s="428">
        <v>0</v>
      </c>
      <c r="I227" s="428"/>
      <c r="J227" s="428">
        <v>1288.28</v>
      </c>
      <c r="K227" s="428">
        <f>D227*H227</f>
        <v>0</v>
      </c>
      <c r="L227" s="424">
        <f>ROUND(E227*J227,2)</f>
        <v>1773575.08</v>
      </c>
      <c r="M227" s="424">
        <f>ROUND(F227*J227,2)</f>
        <v>1773575.08</v>
      </c>
      <c r="N227" s="478">
        <f t="shared" si="21"/>
        <v>0</v>
      </c>
      <c r="O227" s="530"/>
      <c r="P227" s="434" t="s">
        <v>2596</v>
      </c>
      <c r="Q227" s="435"/>
      <c r="R227" s="579" t="s">
        <v>2597</v>
      </c>
      <c r="S227" s="437" t="s">
        <v>2598</v>
      </c>
      <c r="T227" s="413" t="s">
        <v>2599</v>
      </c>
    </row>
    <row r="228" spans="1:22" s="444" customFormat="1" ht="168.75">
      <c r="A228" s="500">
        <v>16</v>
      </c>
      <c r="B228" s="501" t="s">
        <v>2600</v>
      </c>
      <c r="C228" s="502" t="s">
        <v>2595</v>
      </c>
      <c r="D228" s="503">
        <v>0</v>
      </c>
      <c r="E228" s="508">
        <v>512.1</v>
      </c>
      <c r="F228" s="473">
        <f>估驗單!F224</f>
        <v>512.1</v>
      </c>
      <c r="G228" s="479">
        <f t="shared" si="22"/>
        <v>0</v>
      </c>
      <c r="H228" s="503">
        <v>0</v>
      </c>
      <c r="I228" s="509"/>
      <c r="J228" s="503">
        <v>868.84</v>
      </c>
      <c r="K228" s="503">
        <f>D228*H228</f>
        <v>0</v>
      </c>
      <c r="L228" s="473">
        <f>ROUND(E228*J228,2)</f>
        <v>444932.96</v>
      </c>
      <c r="M228" s="473">
        <f>ROUND(F228*J228,2)</f>
        <v>444932.96</v>
      </c>
      <c r="N228" s="479">
        <f t="shared" si="21"/>
        <v>0</v>
      </c>
      <c r="O228" s="534"/>
      <c r="P228" s="510" t="s">
        <v>2601</v>
      </c>
      <c r="Q228" s="435"/>
      <c r="R228" s="579" t="s">
        <v>2602</v>
      </c>
      <c r="S228" s="448" t="s">
        <v>2603</v>
      </c>
      <c r="T228" s="450" t="s">
        <v>2599</v>
      </c>
      <c r="V228" s="459" t="s">
        <v>2604</v>
      </c>
    </row>
    <row r="229" spans="1:22" s="413" customFormat="1" ht="33">
      <c r="A229" s="494" t="s">
        <v>2380</v>
      </c>
      <c r="B229" s="495" t="s">
        <v>660</v>
      </c>
      <c r="C229" s="496" t="s">
        <v>4</v>
      </c>
      <c r="D229" s="497">
        <v>1</v>
      </c>
      <c r="E229" s="497"/>
      <c r="F229" s="497"/>
      <c r="G229" s="498">
        <f t="shared" si="22"/>
        <v>0</v>
      </c>
      <c r="H229" s="497">
        <v>901865.78</v>
      </c>
      <c r="I229" s="497"/>
      <c r="J229" s="497"/>
      <c r="K229" s="497">
        <v>901865.78</v>
      </c>
      <c r="L229" s="499">
        <f>SUM(L230:L306)</f>
        <v>5797339.8100000005</v>
      </c>
      <c r="M229" s="499">
        <f>SUM(M230:M306)</f>
        <v>5797339.8100000005</v>
      </c>
      <c r="N229" s="499">
        <f>SUM(N230:N306)</f>
        <v>0</v>
      </c>
      <c r="O229" s="533">
        <f>SUM(O230:O306)</f>
        <v>0</v>
      </c>
      <c r="P229" s="356" t="s">
        <v>242</v>
      </c>
      <c r="Q229" s="11" t="s">
        <v>243</v>
      </c>
      <c r="R229" s="578"/>
      <c r="S229" s="427"/>
      <c r="U229" s="413">
        <f>(26.4+21.4+6.8+29.6+4.8+58.5)+(52.7+6.8+48.3+5+21.2+10.7+23.9+49.8+2.3+1.4)+(43.6+11.2+9.1+20.6+77.7+67.4+13.8+49.3+17.5+24.2+1.8)+(6.5+64.1+10.9+43+11.1+9.4+10+42+1.2+20.1)</f>
        <v>924.09999999999991</v>
      </c>
      <c r="V229" s="413">
        <f>(26.4+21.4+6.8+29.6+4.8+58.5)+(52.7+6.8+48.3+5+21.2+10.7+23.9+49.8+2.3+1.4)+(43.6+11.2+9.1+20.6+77.7+67.4+13.8+49.3+17.5+24.2+1.8)+(10.9+43+11.1+9.4+10+42+1.2+20.1)</f>
        <v>853.5</v>
      </c>
    </row>
    <row r="230" spans="1:22" s="413" customFormat="1" ht="42.75">
      <c r="A230" s="421" t="s">
        <v>2288</v>
      </c>
      <c r="B230" s="422" t="s">
        <v>662</v>
      </c>
      <c r="C230" s="423" t="s">
        <v>223</v>
      </c>
      <c r="D230" s="424">
        <v>1</v>
      </c>
      <c r="E230" s="424">
        <v>1</v>
      </c>
      <c r="F230" s="424">
        <f>估驗單!F226</f>
        <v>1</v>
      </c>
      <c r="G230" s="478">
        <f t="shared" si="22"/>
        <v>0</v>
      </c>
      <c r="H230" s="424">
        <v>704.48</v>
      </c>
      <c r="I230" s="424"/>
      <c r="J230" s="424"/>
      <c r="K230" s="424">
        <v>704.48</v>
      </c>
      <c r="L230" s="424">
        <f>ROUND(E230*H230,2)</f>
        <v>704.48</v>
      </c>
      <c r="M230" s="424">
        <f>ROUND(F230*H230,2)</f>
        <v>704.48</v>
      </c>
      <c r="N230" s="478">
        <f t="shared" ref="N230:N293" si="23">IF(L230-M230&lt;0+AND(L230&lt;&gt;0),M230-L230,"      ")</f>
        <v>0</v>
      </c>
      <c r="O230" s="530"/>
      <c r="P230" s="264" t="s">
        <v>2605</v>
      </c>
      <c r="Q230" s="11" t="s">
        <v>243</v>
      </c>
      <c r="R230" s="574"/>
      <c r="S230" s="427"/>
    </row>
    <row r="231" spans="1:22" s="413" customFormat="1" ht="33">
      <c r="A231" s="421" t="s">
        <v>2289</v>
      </c>
      <c r="B231" s="422" t="s">
        <v>665</v>
      </c>
      <c r="C231" s="423" t="s">
        <v>5</v>
      </c>
      <c r="D231" s="424">
        <v>1</v>
      </c>
      <c r="E231" s="424">
        <v>1</v>
      </c>
      <c r="F231" s="424">
        <f>估驗單!F227</f>
        <v>1</v>
      </c>
      <c r="G231" s="478">
        <f t="shared" si="22"/>
        <v>0</v>
      </c>
      <c r="H231" s="424">
        <v>399.98</v>
      </c>
      <c r="I231" s="424"/>
      <c r="J231" s="424"/>
      <c r="K231" s="424">
        <v>399.98</v>
      </c>
      <c r="L231" s="424">
        <f t="shared" ref="L231:L294" si="24">ROUND(E231*H231,2)</f>
        <v>399.98</v>
      </c>
      <c r="M231" s="424">
        <f t="shared" ref="M231:M294" si="25">ROUND(F231*H231,2)</f>
        <v>399.98</v>
      </c>
      <c r="N231" s="478">
        <f t="shared" si="23"/>
        <v>0</v>
      </c>
      <c r="O231" s="530"/>
      <c r="P231" s="264" t="s">
        <v>2606</v>
      </c>
      <c r="Q231" s="11" t="s">
        <v>243</v>
      </c>
      <c r="R231" s="574"/>
      <c r="S231" s="427"/>
    </row>
    <row r="232" spans="1:22" s="413" customFormat="1" ht="33.75">
      <c r="A232" s="421" t="s">
        <v>2290</v>
      </c>
      <c r="B232" s="422" t="s">
        <v>668</v>
      </c>
      <c r="C232" s="423" t="s">
        <v>669</v>
      </c>
      <c r="D232" s="424">
        <v>1</v>
      </c>
      <c r="E232" s="424">
        <v>14</v>
      </c>
      <c r="F232" s="424">
        <f>估驗單!F228</f>
        <v>14</v>
      </c>
      <c r="G232" s="478">
        <f t="shared" si="22"/>
        <v>0</v>
      </c>
      <c r="H232" s="424">
        <v>3569.75</v>
      </c>
      <c r="I232" s="424"/>
      <c r="J232" s="424"/>
      <c r="K232" s="424">
        <v>3569.75</v>
      </c>
      <c r="L232" s="424">
        <f t="shared" si="24"/>
        <v>49976.5</v>
      </c>
      <c r="M232" s="424">
        <f t="shared" si="25"/>
        <v>49976.5</v>
      </c>
      <c r="N232" s="478">
        <f t="shared" si="23"/>
        <v>0</v>
      </c>
      <c r="O232" s="530"/>
      <c r="P232" s="264" t="s">
        <v>2607</v>
      </c>
      <c r="Q232" s="11" t="s">
        <v>243</v>
      </c>
      <c r="R232" s="574" t="s">
        <v>2608</v>
      </c>
      <c r="S232" s="427"/>
      <c r="T232" s="413" t="s">
        <v>2609</v>
      </c>
    </row>
    <row r="233" spans="1:22" s="413" customFormat="1" ht="33.75">
      <c r="A233" s="421" t="s">
        <v>2291</v>
      </c>
      <c r="B233" s="422" t="s">
        <v>672</v>
      </c>
      <c r="C233" s="423" t="s">
        <v>669</v>
      </c>
      <c r="D233" s="424">
        <v>1</v>
      </c>
      <c r="E233" s="424">
        <v>2</v>
      </c>
      <c r="F233" s="424">
        <f>估驗單!F229</f>
        <v>2</v>
      </c>
      <c r="G233" s="478">
        <f t="shared" si="22"/>
        <v>0</v>
      </c>
      <c r="H233" s="424">
        <v>4082.87</v>
      </c>
      <c r="I233" s="424"/>
      <c r="J233" s="424"/>
      <c r="K233" s="424">
        <v>4082.87</v>
      </c>
      <c r="L233" s="424">
        <f t="shared" si="24"/>
        <v>8165.74</v>
      </c>
      <c r="M233" s="424">
        <f t="shared" si="25"/>
        <v>8165.74</v>
      </c>
      <c r="N233" s="478">
        <f t="shared" si="23"/>
        <v>0</v>
      </c>
      <c r="O233" s="530"/>
      <c r="P233" s="264" t="s">
        <v>2610</v>
      </c>
      <c r="Q233" s="11" t="s">
        <v>243</v>
      </c>
      <c r="R233" s="574" t="s">
        <v>2608</v>
      </c>
      <c r="S233" s="427"/>
      <c r="T233" s="413" t="s">
        <v>2609</v>
      </c>
    </row>
    <row r="234" spans="1:22" s="413" customFormat="1" ht="33.75">
      <c r="A234" s="421" t="s">
        <v>2292</v>
      </c>
      <c r="B234" s="422" t="s">
        <v>675</v>
      </c>
      <c r="C234" s="423" t="s">
        <v>669</v>
      </c>
      <c r="D234" s="424">
        <v>1</v>
      </c>
      <c r="E234" s="424">
        <v>6</v>
      </c>
      <c r="F234" s="424">
        <f>估驗單!F230</f>
        <v>6</v>
      </c>
      <c r="G234" s="478">
        <f t="shared" si="22"/>
        <v>0</v>
      </c>
      <c r="H234" s="424">
        <v>7408.14</v>
      </c>
      <c r="I234" s="424"/>
      <c r="J234" s="424"/>
      <c r="K234" s="424">
        <v>7408.14</v>
      </c>
      <c r="L234" s="424">
        <f t="shared" si="24"/>
        <v>44448.84</v>
      </c>
      <c r="M234" s="424">
        <f t="shared" si="25"/>
        <v>44448.84</v>
      </c>
      <c r="N234" s="478">
        <f t="shared" si="23"/>
        <v>0</v>
      </c>
      <c r="O234" s="530"/>
      <c r="P234" s="264" t="s">
        <v>2610</v>
      </c>
      <c r="Q234" s="11" t="s">
        <v>243</v>
      </c>
      <c r="R234" s="574" t="s">
        <v>2608</v>
      </c>
      <c r="S234" s="427"/>
      <c r="T234" s="413" t="s">
        <v>2609</v>
      </c>
    </row>
    <row r="235" spans="1:22" s="413" customFormat="1" ht="33.75">
      <c r="A235" s="421" t="s">
        <v>2293</v>
      </c>
      <c r="B235" s="422" t="s">
        <v>678</v>
      </c>
      <c r="C235" s="423" t="s">
        <v>669</v>
      </c>
      <c r="D235" s="424">
        <v>1</v>
      </c>
      <c r="E235" s="424">
        <v>8</v>
      </c>
      <c r="F235" s="424">
        <f>估驗單!F231</f>
        <v>8</v>
      </c>
      <c r="G235" s="478">
        <f t="shared" si="22"/>
        <v>0</v>
      </c>
      <c r="H235" s="424">
        <v>10318.74</v>
      </c>
      <c r="I235" s="424"/>
      <c r="J235" s="424"/>
      <c r="K235" s="424">
        <v>10318.74</v>
      </c>
      <c r="L235" s="424">
        <f t="shared" si="24"/>
        <v>82549.919999999998</v>
      </c>
      <c r="M235" s="424">
        <f t="shared" si="25"/>
        <v>82549.919999999998</v>
      </c>
      <c r="N235" s="478">
        <f t="shared" si="23"/>
        <v>0</v>
      </c>
      <c r="O235" s="530"/>
      <c r="P235" s="264" t="s">
        <v>2610</v>
      </c>
      <c r="Q235" s="11" t="s">
        <v>243</v>
      </c>
      <c r="R235" s="574" t="s">
        <v>2608</v>
      </c>
      <c r="S235" s="427"/>
      <c r="T235" s="413" t="s">
        <v>2609</v>
      </c>
    </row>
    <row r="236" spans="1:22" s="413" customFormat="1" ht="33.75">
      <c r="A236" s="421" t="s">
        <v>2294</v>
      </c>
      <c r="B236" s="422" t="s">
        <v>681</v>
      </c>
      <c r="C236" s="423" t="s">
        <v>669</v>
      </c>
      <c r="D236" s="424">
        <v>1</v>
      </c>
      <c r="E236" s="424">
        <v>5</v>
      </c>
      <c r="F236" s="424">
        <f>估驗單!F232</f>
        <v>5</v>
      </c>
      <c r="G236" s="478">
        <f t="shared" si="22"/>
        <v>0</v>
      </c>
      <c r="H236" s="424">
        <v>15163.34</v>
      </c>
      <c r="I236" s="424"/>
      <c r="J236" s="424"/>
      <c r="K236" s="424">
        <v>15163.34</v>
      </c>
      <c r="L236" s="424">
        <f t="shared" si="24"/>
        <v>75816.7</v>
      </c>
      <c r="M236" s="424">
        <f t="shared" si="25"/>
        <v>75816.7</v>
      </c>
      <c r="N236" s="478">
        <f t="shared" si="23"/>
        <v>0</v>
      </c>
      <c r="O236" s="530"/>
      <c r="P236" s="264" t="s">
        <v>2607</v>
      </c>
      <c r="Q236" s="11" t="s">
        <v>243</v>
      </c>
      <c r="R236" s="574" t="s">
        <v>2608</v>
      </c>
      <c r="S236" s="427"/>
      <c r="T236" s="413" t="s">
        <v>2609</v>
      </c>
    </row>
    <row r="237" spans="1:22" s="413" customFormat="1" ht="33.75">
      <c r="A237" s="421" t="s">
        <v>2295</v>
      </c>
      <c r="B237" s="422" t="s">
        <v>684</v>
      </c>
      <c r="C237" s="423" t="s">
        <v>669</v>
      </c>
      <c r="D237" s="424">
        <v>1</v>
      </c>
      <c r="E237" s="424">
        <v>3</v>
      </c>
      <c r="F237" s="424">
        <f>估驗單!F233</f>
        <v>3</v>
      </c>
      <c r="G237" s="478">
        <f t="shared" si="22"/>
        <v>0</v>
      </c>
      <c r="H237" s="424">
        <v>21801.91</v>
      </c>
      <c r="I237" s="424"/>
      <c r="J237" s="424"/>
      <c r="K237" s="424">
        <v>21801.91</v>
      </c>
      <c r="L237" s="424">
        <f t="shared" si="24"/>
        <v>65405.73</v>
      </c>
      <c r="M237" s="424">
        <f t="shared" si="25"/>
        <v>65405.73</v>
      </c>
      <c r="N237" s="478">
        <f t="shared" si="23"/>
        <v>0</v>
      </c>
      <c r="O237" s="530"/>
      <c r="P237" s="264" t="s">
        <v>2610</v>
      </c>
      <c r="Q237" s="11" t="s">
        <v>243</v>
      </c>
      <c r="R237" s="574" t="s">
        <v>2608</v>
      </c>
      <c r="S237" s="427"/>
      <c r="T237" s="413" t="s">
        <v>2609</v>
      </c>
    </row>
    <row r="238" spans="1:22" s="413" customFormat="1" ht="33.75">
      <c r="A238" s="421" t="s">
        <v>2296</v>
      </c>
      <c r="B238" s="422" t="s">
        <v>687</v>
      </c>
      <c r="C238" s="423" t="s">
        <v>669</v>
      </c>
      <c r="D238" s="424">
        <v>1</v>
      </c>
      <c r="E238" s="424">
        <v>2</v>
      </c>
      <c r="F238" s="424">
        <f>估驗單!F234</f>
        <v>2</v>
      </c>
      <c r="G238" s="478">
        <f t="shared" si="22"/>
        <v>0</v>
      </c>
      <c r="H238" s="424">
        <v>29983.23</v>
      </c>
      <c r="I238" s="424"/>
      <c r="J238" s="424"/>
      <c r="K238" s="424">
        <v>29983.23</v>
      </c>
      <c r="L238" s="424">
        <f t="shared" si="24"/>
        <v>59966.46</v>
      </c>
      <c r="M238" s="424">
        <f t="shared" si="25"/>
        <v>59966.46</v>
      </c>
      <c r="N238" s="478">
        <f t="shared" si="23"/>
        <v>0</v>
      </c>
      <c r="O238" s="530"/>
      <c r="P238" s="264" t="s">
        <v>242</v>
      </c>
      <c r="Q238" s="11" t="s">
        <v>243</v>
      </c>
      <c r="R238" s="574" t="s">
        <v>2608</v>
      </c>
      <c r="S238" s="427"/>
      <c r="T238" s="413" t="s">
        <v>2609</v>
      </c>
    </row>
    <row r="239" spans="1:22" s="413" customFormat="1" ht="33">
      <c r="A239" s="421" t="s">
        <v>2297</v>
      </c>
      <c r="B239" s="422" t="s">
        <v>690</v>
      </c>
      <c r="C239" s="423" t="s">
        <v>669</v>
      </c>
      <c r="D239" s="424">
        <v>1</v>
      </c>
      <c r="E239" s="424">
        <v>1</v>
      </c>
      <c r="F239" s="424">
        <f>估驗單!F235</f>
        <v>1</v>
      </c>
      <c r="G239" s="478">
        <f t="shared" si="22"/>
        <v>0</v>
      </c>
      <c r="H239" s="424">
        <v>28372.400000000001</v>
      </c>
      <c r="I239" s="424"/>
      <c r="J239" s="424"/>
      <c r="K239" s="424">
        <v>28372.400000000001</v>
      </c>
      <c r="L239" s="424">
        <f t="shared" si="24"/>
        <v>28372.400000000001</v>
      </c>
      <c r="M239" s="424">
        <f t="shared" si="25"/>
        <v>28372.400000000001</v>
      </c>
      <c r="N239" s="478">
        <f t="shared" si="23"/>
        <v>0</v>
      </c>
      <c r="O239" s="530"/>
      <c r="P239" s="264" t="s">
        <v>242</v>
      </c>
      <c r="Q239" s="11" t="s">
        <v>243</v>
      </c>
      <c r="R239" s="574"/>
      <c r="S239" s="427"/>
    </row>
    <row r="240" spans="1:22" s="413" customFormat="1" ht="33">
      <c r="A240" s="421" t="s">
        <v>2298</v>
      </c>
      <c r="B240" s="422" t="s">
        <v>693</v>
      </c>
      <c r="C240" s="423" t="s">
        <v>669</v>
      </c>
      <c r="D240" s="424">
        <v>1</v>
      </c>
      <c r="E240" s="424">
        <v>1</v>
      </c>
      <c r="F240" s="424">
        <f>估驗單!F236</f>
        <v>1</v>
      </c>
      <c r="G240" s="478">
        <f t="shared" si="22"/>
        <v>0</v>
      </c>
      <c r="H240" s="424">
        <v>73084.87</v>
      </c>
      <c r="I240" s="424"/>
      <c r="J240" s="424"/>
      <c r="K240" s="424">
        <v>73084.87</v>
      </c>
      <c r="L240" s="424">
        <f t="shared" si="24"/>
        <v>73084.87</v>
      </c>
      <c r="M240" s="424">
        <f t="shared" si="25"/>
        <v>73084.87</v>
      </c>
      <c r="N240" s="478">
        <f t="shared" si="23"/>
        <v>0</v>
      </c>
      <c r="O240" s="530"/>
      <c r="P240" s="264" t="s">
        <v>242</v>
      </c>
      <c r="Q240" s="11" t="s">
        <v>243</v>
      </c>
      <c r="R240" s="574"/>
      <c r="S240" s="427"/>
    </row>
    <row r="241" spans="1:19" s="413" customFormat="1" ht="57">
      <c r="A241" s="421" t="s">
        <v>2299</v>
      </c>
      <c r="B241" s="422" t="s">
        <v>696</v>
      </c>
      <c r="C241" s="423" t="s">
        <v>669</v>
      </c>
      <c r="D241" s="424">
        <v>4</v>
      </c>
      <c r="E241" s="424">
        <v>4</v>
      </c>
      <c r="F241" s="424">
        <f>估驗單!F237</f>
        <v>4</v>
      </c>
      <c r="G241" s="478">
        <f t="shared" si="22"/>
        <v>0</v>
      </c>
      <c r="H241" s="424">
        <v>22813.26</v>
      </c>
      <c r="I241" s="424"/>
      <c r="J241" s="424"/>
      <c r="K241" s="424">
        <v>91253.04</v>
      </c>
      <c r="L241" s="424">
        <f t="shared" si="24"/>
        <v>91253.04</v>
      </c>
      <c r="M241" s="424">
        <f t="shared" si="25"/>
        <v>91253.04</v>
      </c>
      <c r="N241" s="478">
        <f t="shared" si="23"/>
        <v>0</v>
      </c>
      <c r="O241" s="530"/>
      <c r="P241" s="264" t="s">
        <v>2611</v>
      </c>
      <c r="Q241" s="11" t="s">
        <v>243</v>
      </c>
      <c r="R241" s="574"/>
      <c r="S241" s="427"/>
    </row>
    <row r="242" spans="1:19" s="413" customFormat="1" ht="33">
      <c r="A242" s="421" t="s">
        <v>2300</v>
      </c>
      <c r="B242" s="422" t="s">
        <v>699</v>
      </c>
      <c r="C242" s="423" t="s">
        <v>669</v>
      </c>
      <c r="D242" s="424">
        <v>1</v>
      </c>
      <c r="E242" s="424">
        <v>1</v>
      </c>
      <c r="F242" s="424">
        <f>估驗單!F238</f>
        <v>1</v>
      </c>
      <c r="G242" s="478">
        <f t="shared" si="22"/>
        <v>0</v>
      </c>
      <c r="H242" s="424">
        <v>1079.8499999999999</v>
      </c>
      <c r="I242" s="424"/>
      <c r="J242" s="424"/>
      <c r="K242" s="424">
        <v>1079.8499999999999</v>
      </c>
      <c r="L242" s="424">
        <f t="shared" si="24"/>
        <v>1079.8499999999999</v>
      </c>
      <c r="M242" s="424">
        <f t="shared" si="25"/>
        <v>1079.8499999999999</v>
      </c>
      <c r="N242" s="478">
        <f t="shared" si="23"/>
        <v>0</v>
      </c>
      <c r="O242" s="530"/>
      <c r="P242" s="264" t="s">
        <v>2612</v>
      </c>
      <c r="Q242" s="11" t="s">
        <v>243</v>
      </c>
      <c r="R242" s="574"/>
      <c r="S242" s="427"/>
    </row>
    <row r="243" spans="1:19" s="413" customFormat="1" ht="33">
      <c r="A243" s="421" t="s">
        <v>2301</v>
      </c>
      <c r="B243" s="422" t="s">
        <v>702</v>
      </c>
      <c r="C243" s="423" t="s">
        <v>669</v>
      </c>
      <c r="D243" s="424">
        <v>1</v>
      </c>
      <c r="E243" s="424">
        <v>1</v>
      </c>
      <c r="F243" s="424">
        <f>估驗單!F239</f>
        <v>1</v>
      </c>
      <c r="G243" s="478">
        <f t="shared" si="22"/>
        <v>0</v>
      </c>
      <c r="H243" s="424">
        <v>1963.19</v>
      </c>
      <c r="I243" s="424"/>
      <c r="J243" s="424"/>
      <c r="K243" s="424">
        <v>1963.19</v>
      </c>
      <c r="L243" s="424">
        <f t="shared" si="24"/>
        <v>1963.19</v>
      </c>
      <c r="M243" s="424">
        <f t="shared" si="25"/>
        <v>1963.19</v>
      </c>
      <c r="N243" s="478">
        <f t="shared" si="23"/>
        <v>0</v>
      </c>
      <c r="O243" s="530"/>
      <c r="P243" s="264"/>
      <c r="Q243" s="11" t="s">
        <v>243</v>
      </c>
      <c r="R243" s="574"/>
      <c r="S243" s="427"/>
    </row>
    <row r="244" spans="1:19" s="413" customFormat="1" ht="33">
      <c r="A244" s="421" t="s">
        <v>2302</v>
      </c>
      <c r="B244" s="422" t="s">
        <v>705</v>
      </c>
      <c r="C244" s="423" t="s">
        <v>669</v>
      </c>
      <c r="D244" s="424">
        <v>1</v>
      </c>
      <c r="E244" s="424">
        <v>1</v>
      </c>
      <c r="F244" s="424">
        <f>估驗單!F240</f>
        <v>1</v>
      </c>
      <c r="G244" s="478">
        <f t="shared" si="22"/>
        <v>0</v>
      </c>
      <c r="H244" s="424">
        <v>2216.48</v>
      </c>
      <c r="I244" s="424"/>
      <c r="J244" s="424"/>
      <c r="K244" s="424">
        <v>2216.48</v>
      </c>
      <c r="L244" s="424">
        <f t="shared" si="24"/>
        <v>2216.48</v>
      </c>
      <c r="M244" s="424">
        <f t="shared" si="25"/>
        <v>2216.48</v>
      </c>
      <c r="N244" s="478">
        <f t="shared" si="23"/>
        <v>0</v>
      </c>
      <c r="O244" s="530"/>
      <c r="P244" s="264" t="s">
        <v>242</v>
      </c>
      <c r="Q244" s="11" t="s">
        <v>243</v>
      </c>
      <c r="R244" s="574"/>
      <c r="S244" s="427"/>
    </row>
    <row r="245" spans="1:19" s="413" customFormat="1" ht="33">
      <c r="A245" s="421" t="s">
        <v>2303</v>
      </c>
      <c r="B245" s="422" t="s">
        <v>708</v>
      </c>
      <c r="C245" s="423" t="s">
        <v>669</v>
      </c>
      <c r="D245" s="424">
        <v>1</v>
      </c>
      <c r="E245" s="424">
        <v>1</v>
      </c>
      <c r="F245" s="424">
        <f>估驗單!F241</f>
        <v>1</v>
      </c>
      <c r="G245" s="478">
        <f t="shared" si="22"/>
        <v>0</v>
      </c>
      <c r="H245" s="424">
        <v>4720.3100000000004</v>
      </c>
      <c r="I245" s="424"/>
      <c r="J245" s="424"/>
      <c r="K245" s="424">
        <v>4720.3100000000004</v>
      </c>
      <c r="L245" s="424">
        <f t="shared" si="24"/>
        <v>4720.3100000000004</v>
      </c>
      <c r="M245" s="424">
        <f t="shared" si="25"/>
        <v>4720.3100000000004</v>
      </c>
      <c r="N245" s="478">
        <f t="shared" si="23"/>
        <v>0</v>
      </c>
      <c r="O245" s="530"/>
      <c r="P245" s="264" t="s">
        <v>242</v>
      </c>
      <c r="Q245" s="11" t="s">
        <v>243</v>
      </c>
      <c r="R245" s="574"/>
      <c r="S245" s="427"/>
    </row>
    <row r="246" spans="1:19" s="413" customFormat="1" ht="42.75">
      <c r="A246" s="421" t="s">
        <v>2304</v>
      </c>
      <c r="B246" s="422" t="s">
        <v>147</v>
      </c>
      <c r="C246" s="423" t="s">
        <v>8</v>
      </c>
      <c r="D246" s="424">
        <v>162</v>
      </c>
      <c r="E246" s="424">
        <v>162</v>
      </c>
      <c r="F246" s="424">
        <f>估驗單!F242</f>
        <v>162</v>
      </c>
      <c r="G246" s="478">
        <f t="shared" si="22"/>
        <v>0</v>
      </c>
      <c r="H246" s="424">
        <v>1859.79</v>
      </c>
      <c r="I246" s="424"/>
      <c r="J246" s="424"/>
      <c r="K246" s="424">
        <v>301285.98</v>
      </c>
      <c r="L246" s="424">
        <f t="shared" si="24"/>
        <v>301285.98</v>
      </c>
      <c r="M246" s="424">
        <f t="shared" si="25"/>
        <v>301285.98</v>
      </c>
      <c r="N246" s="478">
        <f t="shared" si="23"/>
        <v>0</v>
      </c>
      <c r="O246" s="530"/>
      <c r="P246" s="264" t="s">
        <v>2613</v>
      </c>
      <c r="Q246" s="11" t="s">
        <v>243</v>
      </c>
      <c r="R246" s="574"/>
      <c r="S246" s="427"/>
    </row>
    <row r="247" spans="1:19" s="413" customFormat="1" ht="33">
      <c r="A247" s="421" t="s">
        <v>2305</v>
      </c>
      <c r="B247" s="422" t="s">
        <v>713</v>
      </c>
      <c r="C247" s="423" t="s">
        <v>15</v>
      </c>
      <c r="D247" s="424">
        <v>1</v>
      </c>
      <c r="E247" s="424">
        <v>1</v>
      </c>
      <c r="F247" s="424">
        <f>估驗單!F243</f>
        <v>1</v>
      </c>
      <c r="G247" s="478">
        <f t="shared" si="22"/>
        <v>0</v>
      </c>
      <c r="H247" s="424">
        <v>10254.44</v>
      </c>
      <c r="I247" s="424"/>
      <c r="J247" s="424"/>
      <c r="K247" s="424">
        <v>10254.44</v>
      </c>
      <c r="L247" s="424">
        <f t="shared" si="24"/>
        <v>10254.44</v>
      </c>
      <c r="M247" s="424">
        <f t="shared" si="25"/>
        <v>10254.44</v>
      </c>
      <c r="N247" s="478">
        <f t="shared" si="23"/>
        <v>0</v>
      </c>
      <c r="O247" s="530"/>
      <c r="P247" s="264" t="s">
        <v>2614</v>
      </c>
      <c r="Q247" s="11" t="s">
        <v>243</v>
      </c>
      <c r="R247" s="574"/>
      <c r="S247" s="427"/>
    </row>
    <row r="248" spans="1:19" s="413" customFormat="1" ht="33">
      <c r="A248" s="421" t="s">
        <v>2306</v>
      </c>
      <c r="B248" s="422" t="s">
        <v>716</v>
      </c>
      <c r="C248" s="423" t="s">
        <v>15</v>
      </c>
      <c r="D248" s="424">
        <v>268</v>
      </c>
      <c r="E248" s="424">
        <v>268</v>
      </c>
      <c r="F248" s="424">
        <f>估驗單!F244</f>
        <v>268</v>
      </c>
      <c r="G248" s="478">
        <f t="shared" si="22"/>
        <v>0</v>
      </c>
      <c r="H248" s="424">
        <v>40</v>
      </c>
      <c r="I248" s="424"/>
      <c r="J248" s="424"/>
      <c r="K248" s="424">
        <v>10720</v>
      </c>
      <c r="L248" s="424">
        <f t="shared" si="24"/>
        <v>10720</v>
      </c>
      <c r="M248" s="424">
        <f t="shared" si="25"/>
        <v>10720</v>
      </c>
      <c r="N248" s="478">
        <f t="shared" si="23"/>
        <v>0</v>
      </c>
      <c r="O248" s="530"/>
      <c r="P248" s="264" t="s">
        <v>2615</v>
      </c>
      <c r="Q248" s="11" t="s">
        <v>243</v>
      </c>
      <c r="R248" s="574"/>
      <c r="S248" s="427"/>
    </row>
    <row r="249" spans="1:19" s="413" customFormat="1" ht="42.75">
      <c r="A249" s="421" t="s">
        <v>2307</v>
      </c>
      <c r="B249" s="422" t="s">
        <v>719</v>
      </c>
      <c r="C249" s="423" t="s">
        <v>7</v>
      </c>
      <c r="D249" s="424">
        <v>1340</v>
      </c>
      <c r="E249" s="424">
        <v>1340</v>
      </c>
      <c r="F249" s="424">
        <f>估驗單!F245</f>
        <v>1340</v>
      </c>
      <c r="G249" s="478">
        <f t="shared" si="22"/>
        <v>0</v>
      </c>
      <c r="H249" s="424">
        <v>35</v>
      </c>
      <c r="I249" s="424"/>
      <c r="J249" s="424"/>
      <c r="K249" s="424">
        <v>46900</v>
      </c>
      <c r="L249" s="424">
        <f t="shared" si="24"/>
        <v>46900</v>
      </c>
      <c r="M249" s="424">
        <f t="shared" si="25"/>
        <v>46900</v>
      </c>
      <c r="N249" s="478">
        <f t="shared" si="23"/>
        <v>0</v>
      </c>
      <c r="O249" s="530"/>
      <c r="P249" s="264" t="s">
        <v>2616</v>
      </c>
      <c r="Q249" s="11" t="s">
        <v>243</v>
      </c>
      <c r="R249" s="574"/>
      <c r="S249" s="427"/>
    </row>
    <row r="250" spans="1:19" s="413" customFormat="1" ht="33">
      <c r="A250" s="421" t="s">
        <v>2308</v>
      </c>
      <c r="B250" s="422" t="s">
        <v>722</v>
      </c>
      <c r="C250" s="423" t="s">
        <v>8</v>
      </c>
      <c r="D250" s="424">
        <v>1</v>
      </c>
      <c r="E250" s="424">
        <v>1</v>
      </c>
      <c r="F250" s="424">
        <f>估驗單!F246</f>
        <v>1</v>
      </c>
      <c r="G250" s="478">
        <f t="shared" si="22"/>
        <v>0</v>
      </c>
      <c r="H250" s="424">
        <v>10</v>
      </c>
      <c r="I250" s="424"/>
      <c r="J250" s="424"/>
      <c r="K250" s="424">
        <v>10</v>
      </c>
      <c r="L250" s="424">
        <f t="shared" si="24"/>
        <v>10</v>
      </c>
      <c r="M250" s="424">
        <f t="shared" si="25"/>
        <v>10</v>
      </c>
      <c r="N250" s="478">
        <f t="shared" si="23"/>
        <v>0</v>
      </c>
      <c r="O250" s="530"/>
      <c r="P250" s="264" t="s">
        <v>242</v>
      </c>
      <c r="Q250" s="11" t="s">
        <v>243</v>
      </c>
      <c r="R250" s="574"/>
      <c r="S250" s="427"/>
    </row>
    <row r="251" spans="1:19" s="413" customFormat="1" ht="33">
      <c r="A251" s="421" t="s">
        <v>2309</v>
      </c>
      <c r="B251" s="422" t="s">
        <v>725</v>
      </c>
      <c r="C251" s="423" t="s">
        <v>13</v>
      </c>
      <c r="D251" s="424">
        <v>1</v>
      </c>
      <c r="E251" s="424">
        <v>1</v>
      </c>
      <c r="F251" s="424">
        <f>估驗單!F247</f>
        <v>1</v>
      </c>
      <c r="G251" s="478">
        <f t="shared" si="22"/>
        <v>0</v>
      </c>
      <c r="H251" s="424">
        <v>530.97</v>
      </c>
      <c r="I251" s="424"/>
      <c r="J251" s="424"/>
      <c r="K251" s="424">
        <v>530.97</v>
      </c>
      <c r="L251" s="424">
        <f t="shared" si="24"/>
        <v>530.97</v>
      </c>
      <c r="M251" s="424">
        <f t="shared" si="25"/>
        <v>530.97</v>
      </c>
      <c r="N251" s="478">
        <f t="shared" si="23"/>
        <v>0</v>
      </c>
      <c r="O251" s="530"/>
      <c r="P251" s="264" t="s">
        <v>2617</v>
      </c>
      <c r="Q251" s="11" t="s">
        <v>243</v>
      </c>
      <c r="R251" s="574"/>
      <c r="S251" s="427"/>
    </row>
    <row r="252" spans="1:19" s="413" customFormat="1" ht="33">
      <c r="A252" s="421" t="s">
        <v>2311</v>
      </c>
      <c r="B252" s="422" t="s">
        <v>728</v>
      </c>
      <c r="C252" s="423" t="s">
        <v>6</v>
      </c>
      <c r="D252" s="424">
        <v>11.31</v>
      </c>
      <c r="E252" s="424">
        <v>11.31</v>
      </c>
      <c r="F252" s="424">
        <f>估驗單!F248</f>
        <v>11.31</v>
      </c>
      <c r="G252" s="478">
        <f t="shared" si="22"/>
        <v>0</v>
      </c>
      <c r="H252" s="424">
        <v>3386.34</v>
      </c>
      <c r="I252" s="424"/>
      <c r="J252" s="424"/>
      <c r="K252" s="424">
        <v>38299.51</v>
      </c>
      <c r="L252" s="424">
        <f t="shared" si="24"/>
        <v>38299.51</v>
      </c>
      <c r="M252" s="424">
        <f t="shared" si="25"/>
        <v>38299.51</v>
      </c>
      <c r="N252" s="478">
        <f t="shared" si="23"/>
        <v>0</v>
      </c>
      <c r="O252" s="530"/>
      <c r="P252" s="264" t="s">
        <v>242</v>
      </c>
      <c r="Q252" s="11" t="s">
        <v>243</v>
      </c>
      <c r="R252" s="574"/>
      <c r="S252" s="427"/>
    </row>
    <row r="253" spans="1:19" s="413" customFormat="1" ht="33">
      <c r="A253" s="421" t="s">
        <v>2312</v>
      </c>
      <c r="B253" s="422" t="s">
        <v>731</v>
      </c>
      <c r="C253" s="423" t="s">
        <v>4</v>
      </c>
      <c r="D253" s="424">
        <v>1</v>
      </c>
      <c r="E253" s="424">
        <v>1</v>
      </c>
      <c r="F253" s="424">
        <f>估驗單!F249</f>
        <v>1</v>
      </c>
      <c r="G253" s="478">
        <f t="shared" si="22"/>
        <v>0</v>
      </c>
      <c r="H253" s="424">
        <v>107994.11</v>
      </c>
      <c r="I253" s="424"/>
      <c r="J253" s="424"/>
      <c r="K253" s="424">
        <v>107994.11</v>
      </c>
      <c r="L253" s="424">
        <f t="shared" si="24"/>
        <v>107994.11</v>
      </c>
      <c r="M253" s="424">
        <f t="shared" si="25"/>
        <v>107994.11</v>
      </c>
      <c r="N253" s="478">
        <f t="shared" si="23"/>
        <v>0</v>
      </c>
      <c r="O253" s="530"/>
      <c r="P253" s="264" t="s">
        <v>2618</v>
      </c>
      <c r="Q253" s="11" t="s">
        <v>243</v>
      </c>
      <c r="R253" s="574"/>
      <c r="S253" s="427"/>
    </row>
    <row r="254" spans="1:19" s="413" customFormat="1" ht="33">
      <c r="A254" s="421" t="s">
        <v>2313</v>
      </c>
      <c r="B254" s="422" t="s">
        <v>734</v>
      </c>
      <c r="C254" s="423" t="s">
        <v>13</v>
      </c>
      <c r="D254" s="424">
        <v>1</v>
      </c>
      <c r="E254" s="424">
        <v>1</v>
      </c>
      <c r="F254" s="424">
        <f>估驗單!F250</f>
        <v>1</v>
      </c>
      <c r="G254" s="478">
        <f t="shared" si="22"/>
        <v>0</v>
      </c>
      <c r="H254" s="424">
        <v>499.97</v>
      </c>
      <c r="I254" s="424"/>
      <c r="J254" s="424"/>
      <c r="K254" s="424">
        <v>499.97</v>
      </c>
      <c r="L254" s="424">
        <f t="shared" si="24"/>
        <v>499.97</v>
      </c>
      <c r="M254" s="424">
        <f t="shared" si="25"/>
        <v>499.97</v>
      </c>
      <c r="N254" s="478">
        <f t="shared" si="23"/>
        <v>0</v>
      </c>
      <c r="O254" s="530"/>
      <c r="P254" s="264" t="s">
        <v>2530</v>
      </c>
      <c r="Q254" s="11" t="s">
        <v>243</v>
      </c>
      <c r="R254" s="574"/>
      <c r="S254" s="427"/>
    </row>
    <row r="255" spans="1:19" s="413" customFormat="1" ht="42.75">
      <c r="A255" s="421" t="s">
        <v>2315</v>
      </c>
      <c r="B255" s="422" t="s">
        <v>737</v>
      </c>
      <c r="C255" s="423" t="s">
        <v>669</v>
      </c>
      <c r="D255" s="424">
        <v>1</v>
      </c>
      <c r="E255" s="424">
        <v>1</v>
      </c>
      <c r="F255" s="424">
        <f>估驗單!F251</f>
        <v>1</v>
      </c>
      <c r="G255" s="478">
        <f t="shared" si="22"/>
        <v>0</v>
      </c>
      <c r="H255" s="424">
        <v>10067.84</v>
      </c>
      <c r="I255" s="424"/>
      <c r="J255" s="424"/>
      <c r="K255" s="424">
        <v>10067.84</v>
      </c>
      <c r="L255" s="424">
        <f t="shared" si="24"/>
        <v>10067.84</v>
      </c>
      <c r="M255" s="424">
        <f t="shared" si="25"/>
        <v>10067.84</v>
      </c>
      <c r="N255" s="478">
        <f t="shared" si="23"/>
        <v>0</v>
      </c>
      <c r="O255" s="530"/>
      <c r="P255" s="264" t="s">
        <v>2530</v>
      </c>
      <c r="Q255" s="11" t="s">
        <v>243</v>
      </c>
      <c r="R255" s="574"/>
      <c r="S255" s="427"/>
    </row>
    <row r="256" spans="1:19" s="413" customFormat="1" ht="33">
      <c r="A256" s="421" t="s">
        <v>2316</v>
      </c>
      <c r="B256" s="422" t="s">
        <v>740</v>
      </c>
      <c r="C256" s="423" t="s">
        <v>669</v>
      </c>
      <c r="D256" s="424">
        <v>1</v>
      </c>
      <c r="E256" s="424">
        <v>1</v>
      </c>
      <c r="F256" s="424">
        <f>估驗單!F252</f>
        <v>1</v>
      </c>
      <c r="G256" s="478">
        <f t="shared" si="22"/>
        <v>0</v>
      </c>
      <c r="H256" s="424">
        <v>6487.57</v>
      </c>
      <c r="I256" s="424"/>
      <c r="J256" s="424"/>
      <c r="K256" s="424">
        <v>6487.57</v>
      </c>
      <c r="L256" s="424">
        <f t="shared" si="24"/>
        <v>6487.57</v>
      </c>
      <c r="M256" s="424">
        <f t="shared" si="25"/>
        <v>6487.57</v>
      </c>
      <c r="N256" s="478">
        <f t="shared" si="23"/>
        <v>0</v>
      </c>
      <c r="O256" s="530"/>
      <c r="P256" s="264" t="s">
        <v>2530</v>
      </c>
      <c r="Q256" s="11" t="s">
        <v>243</v>
      </c>
      <c r="R256" s="574"/>
      <c r="S256" s="427"/>
    </row>
    <row r="257" spans="1:19" s="413" customFormat="1" ht="42.75">
      <c r="A257" s="421" t="s">
        <v>2317</v>
      </c>
      <c r="B257" s="422" t="s">
        <v>743</v>
      </c>
      <c r="C257" s="423" t="s">
        <v>669</v>
      </c>
      <c r="D257" s="424">
        <v>1</v>
      </c>
      <c r="E257" s="424">
        <v>1</v>
      </c>
      <c r="F257" s="424">
        <f>估驗單!F253</f>
        <v>1</v>
      </c>
      <c r="G257" s="478">
        <f t="shared" si="22"/>
        <v>0</v>
      </c>
      <c r="H257" s="424">
        <v>8473.2999999999993</v>
      </c>
      <c r="I257" s="424"/>
      <c r="J257" s="424"/>
      <c r="K257" s="424">
        <v>8473.2999999999993</v>
      </c>
      <c r="L257" s="424">
        <f t="shared" si="24"/>
        <v>8473.2999999999993</v>
      </c>
      <c r="M257" s="424">
        <f t="shared" si="25"/>
        <v>8473.2999999999993</v>
      </c>
      <c r="N257" s="478">
        <f t="shared" si="23"/>
        <v>0</v>
      </c>
      <c r="O257" s="530"/>
      <c r="P257" s="264" t="s">
        <v>2530</v>
      </c>
      <c r="Q257" s="11" t="s">
        <v>243</v>
      </c>
      <c r="R257" s="574"/>
      <c r="S257" s="427"/>
    </row>
    <row r="258" spans="1:19" s="413" customFormat="1" ht="42.75">
      <c r="A258" s="421" t="s">
        <v>2318</v>
      </c>
      <c r="B258" s="422" t="s">
        <v>746</v>
      </c>
      <c r="C258" s="423" t="s">
        <v>669</v>
      </c>
      <c r="D258" s="424">
        <v>1</v>
      </c>
      <c r="E258" s="424">
        <v>1</v>
      </c>
      <c r="F258" s="424">
        <f>估驗單!F254</f>
        <v>1</v>
      </c>
      <c r="G258" s="478">
        <f t="shared" si="22"/>
        <v>0</v>
      </c>
      <c r="H258" s="424">
        <v>17742.79</v>
      </c>
      <c r="I258" s="424"/>
      <c r="J258" s="424"/>
      <c r="K258" s="424">
        <v>17742.79</v>
      </c>
      <c r="L258" s="424">
        <f t="shared" si="24"/>
        <v>17742.79</v>
      </c>
      <c r="M258" s="424">
        <f t="shared" si="25"/>
        <v>17742.79</v>
      </c>
      <c r="N258" s="478">
        <f t="shared" si="23"/>
        <v>0</v>
      </c>
      <c r="O258" s="530"/>
      <c r="P258" s="264" t="s">
        <v>2530</v>
      </c>
      <c r="Q258" s="11" t="s">
        <v>243</v>
      </c>
      <c r="R258" s="574"/>
      <c r="S258" s="427"/>
    </row>
    <row r="259" spans="1:19" s="413" customFormat="1" ht="42.75">
      <c r="A259" s="421" t="s">
        <v>2319</v>
      </c>
      <c r="B259" s="422" t="s">
        <v>749</v>
      </c>
      <c r="C259" s="423" t="s">
        <v>669</v>
      </c>
      <c r="D259" s="424">
        <v>1</v>
      </c>
      <c r="E259" s="424">
        <v>1</v>
      </c>
      <c r="F259" s="424">
        <f>估驗單!F255</f>
        <v>1</v>
      </c>
      <c r="G259" s="478">
        <f t="shared" si="22"/>
        <v>0</v>
      </c>
      <c r="H259" s="424">
        <v>5164.09</v>
      </c>
      <c r="I259" s="424"/>
      <c r="J259" s="424"/>
      <c r="K259" s="424">
        <v>5164.09</v>
      </c>
      <c r="L259" s="424">
        <f t="shared" si="24"/>
        <v>5164.09</v>
      </c>
      <c r="M259" s="424">
        <f t="shared" si="25"/>
        <v>5164.09</v>
      </c>
      <c r="N259" s="478">
        <f t="shared" si="23"/>
        <v>0</v>
      </c>
      <c r="O259" s="530"/>
      <c r="P259" s="264" t="s">
        <v>2530</v>
      </c>
      <c r="Q259" s="11" t="s">
        <v>243</v>
      </c>
      <c r="R259" s="574"/>
      <c r="S259" s="427"/>
    </row>
    <row r="260" spans="1:19" s="413" customFormat="1" ht="42.75">
      <c r="A260" s="421" t="s">
        <v>2320</v>
      </c>
      <c r="B260" s="422" t="s">
        <v>752</v>
      </c>
      <c r="C260" s="423" t="s">
        <v>669</v>
      </c>
      <c r="D260" s="424">
        <v>1</v>
      </c>
      <c r="E260" s="424">
        <v>1</v>
      </c>
      <c r="F260" s="424">
        <f>估驗單!F256</f>
        <v>1</v>
      </c>
      <c r="G260" s="478">
        <f t="shared" si="22"/>
        <v>0</v>
      </c>
      <c r="H260" s="424">
        <v>5164.09</v>
      </c>
      <c r="I260" s="424"/>
      <c r="J260" s="424"/>
      <c r="K260" s="424">
        <v>5164.09</v>
      </c>
      <c r="L260" s="424">
        <f t="shared" si="24"/>
        <v>5164.09</v>
      </c>
      <c r="M260" s="424">
        <f t="shared" si="25"/>
        <v>5164.09</v>
      </c>
      <c r="N260" s="478">
        <f t="shared" si="23"/>
        <v>0</v>
      </c>
      <c r="O260" s="530"/>
      <c r="P260" s="264" t="s">
        <v>2530</v>
      </c>
      <c r="Q260" s="11" t="s">
        <v>243</v>
      </c>
      <c r="R260" s="574"/>
      <c r="S260" s="427"/>
    </row>
    <row r="261" spans="1:19" s="413" customFormat="1" ht="42.75">
      <c r="A261" s="421" t="s">
        <v>2321</v>
      </c>
      <c r="B261" s="422" t="s">
        <v>755</v>
      </c>
      <c r="C261" s="423" t="s">
        <v>669</v>
      </c>
      <c r="D261" s="424">
        <v>1</v>
      </c>
      <c r="E261" s="424">
        <v>1</v>
      </c>
      <c r="F261" s="424">
        <f>估驗單!F257</f>
        <v>1</v>
      </c>
      <c r="G261" s="478">
        <f t="shared" si="22"/>
        <v>0</v>
      </c>
      <c r="H261" s="424">
        <v>5730.56</v>
      </c>
      <c r="I261" s="424"/>
      <c r="J261" s="424"/>
      <c r="K261" s="424">
        <v>5730.56</v>
      </c>
      <c r="L261" s="424">
        <f t="shared" si="24"/>
        <v>5730.56</v>
      </c>
      <c r="M261" s="424">
        <f t="shared" si="25"/>
        <v>5730.56</v>
      </c>
      <c r="N261" s="478">
        <f t="shared" si="23"/>
        <v>0</v>
      </c>
      <c r="O261" s="530"/>
      <c r="P261" s="264" t="s">
        <v>2530</v>
      </c>
      <c r="Q261" s="11" t="s">
        <v>243</v>
      </c>
      <c r="R261" s="574"/>
      <c r="S261" s="427"/>
    </row>
    <row r="262" spans="1:19" s="413" customFormat="1" ht="42.75">
      <c r="A262" s="421" t="s">
        <v>2322</v>
      </c>
      <c r="B262" s="422" t="s">
        <v>758</v>
      </c>
      <c r="C262" s="423" t="s">
        <v>669</v>
      </c>
      <c r="D262" s="424">
        <v>1</v>
      </c>
      <c r="E262" s="424">
        <v>1</v>
      </c>
      <c r="F262" s="424">
        <f>估驗單!F258</f>
        <v>1</v>
      </c>
      <c r="G262" s="478">
        <f t="shared" si="22"/>
        <v>0</v>
      </c>
      <c r="H262" s="424">
        <v>7081</v>
      </c>
      <c r="I262" s="424"/>
      <c r="J262" s="424"/>
      <c r="K262" s="424">
        <v>7081</v>
      </c>
      <c r="L262" s="424">
        <f t="shared" si="24"/>
        <v>7081</v>
      </c>
      <c r="M262" s="424">
        <f t="shared" si="25"/>
        <v>7081</v>
      </c>
      <c r="N262" s="478">
        <f t="shared" si="23"/>
        <v>0</v>
      </c>
      <c r="O262" s="530"/>
      <c r="P262" s="264" t="s">
        <v>2530</v>
      </c>
      <c r="Q262" s="11" t="s">
        <v>243</v>
      </c>
      <c r="R262" s="574"/>
      <c r="S262" s="427"/>
    </row>
    <row r="263" spans="1:19" s="413" customFormat="1" ht="42.75">
      <c r="A263" s="421" t="s">
        <v>2323</v>
      </c>
      <c r="B263" s="422" t="s">
        <v>761</v>
      </c>
      <c r="C263" s="423" t="s">
        <v>669</v>
      </c>
      <c r="D263" s="424">
        <v>1</v>
      </c>
      <c r="E263" s="424">
        <v>1</v>
      </c>
      <c r="F263" s="424">
        <f>估驗單!F259</f>
        <v>1</v>
      </c>
      <c r="G263" s="478">
        <f t="shared" si="22"/>
        <v>0</v>
      </c>
      <c r="H263" s="424">
        <v>4752.1099999999997</v>
      </c>
      <c r="I263" s="424"/>
      <c r="J263" s="424"/>
      <c r="K263" s="424">
        <v>4752.1099999999997</v>
      </c>
      <c r="L263" s="424">
        <f t="shared" si="24"/>
        <v>4752.1099999999997</v>
      </c>
      <c r="M263" s="424">
        <f t="shared" si="25"/>
        <v>4752.1099999999997</v>
      </c>
      <c r="N263" s="478">
        <f t="shared" si="23"/>
        <v>0</v>
      </c>
      <c r="O263" s="530"/>
      <c r="P263" s="264" t="s">
        <v>2530</v>
      </c>
      <c r="Q263" s="11" t="s">
        <v>243</v>
      </c>
      <c r="R263" s="574"/>
      <c r="S263" s="427"/>
    </row>
    <row r="264" spans="1:19" s="413" customFormat="1" ht="42.75">
      <c r="A264" s="421" t="s">
        <v>2324</v>
      </c>
      <c r="B264" s="422" t="s">
        <v>764</v>
      </c>
      <c r="C264" s="423" t="s">
        <v>669</v>
      </c>
      <c r="D264" s="424">
        <v>1</v>
      </c>
      <c r="E264" s="424">
        <v>1</v>
      </c>
      <c r="F264" s="424">
        <f>估驗單!F260</f>
        <v>1</v>
      </c>
      <c r="G264" s="478">
        <f t="shared" si="22"/>
        <v>0</v>
      </c>
      <c r="H264" s="424">
        <v>14691.08</v>
      </c>
      <c r="I264" s="424"/>
      <c r="J264" s="424"/>
      <c r="K264" s="424">
        <v>14691.08</v>
      </c>
      <c r="L264" s="424">
        <f t="shared" si="24"/>
        <v>14691.08</v>
      </c>
      <c r="M264" s="424">
        <f t="shared" si="25"/>
        <v>14691.08</v>
      </c>
      <c r="N264" s="478">
        <f t="shared" si="23"/>
        <v>0</v>
      </c>
      <c r="O264" s="530"/>
      <c r="P264" s="264" t="s">
        <v>2530</v>
      </c>
      <c r="Q264" s="11" t="s">
        <v>243</v>
      </c>
      <c r="R264" s="574"/>
      <c r="S264" s="427"/>
    </row>
    <row r="265" spans="1:19" s="413" customFormat="1" ht="33">
      <c r="A265" s="421" t="s">
        <v>2325</v>
      </c>
      <c r="B265" s="422" t="s">
        <v>767</v>
      </c>
      <c r="C265" s="423" t="s">
        <v>669</v>
      </c>
      <c r="D265" s="424">
        <v>1</v>
      </c>
      <c r="E265" s="424">
        <v>1</v>
      </c>
      <c r="F265" s="424">
        <f>估驗單!F261</f>
        <v>1</v>
      </c>
      <c r="G265" s="478">
        <f t="shared" si="22"/>
        <v>0</v>
      </c>
      <c r="H265" s="424">
        <v>224.3</v>
      </c>
      <c r="I265" s="424"/>
      <c r="J265" s="424"/>
      <c r="K265" s="424">
        <v>224.3</v>
      </c>
      <c r="L265" s="424">
        <f t="shared" si="24"/>
        <v>224.3</v>
      </c>
      <c r="M265" s="424">
        <f t="shared" si="25"/>
        <v>224.3</v>
      </c>
      <c r="N265" s="478">
        <f t="shared" si="23"/>
        <v>0</v>
      </c>
      <c r="O265" s="530"/>
      <c r="P265" s="264" t="s">
        <v>2530</v>
      </c>
      <c r="Q265" s="11" t="s">
        <v>243</v>
      </c>
      <c r="R265" s="574"/>
      <c r="S265" s="427"/>
    </row>
    <row r="266" spans="1:19" s="413" customFormat="1" ht="33">
      <c r="A266" s="421" t="s">
        <v>2326</v>
      </c>
      <c r="B266" s="422" t="s">
        <v>770</v>
      </c>
      <c r="C266" s="423" t="s">
        <v>669</v>
      </c>
      <c r="D266" s="424">
        <v>1</v>
      </c>
      <c r="E266" s="424">
        <v>1</v>
      </c>
      <c r="F266" s="424">
        <f>估驗單!F262</f>
        <v>1</v>
      </c>
      <c r="G266" s="478">
        <f t="shared" si="22"/>
        <v>0</v>
      </c>
      <c r="H266" s="424">
        <v>275.64</v>
      </c>
      <c r="I266" s="424"/>
      <c r="J266" s="424"/>
      <c r="K266" s="424">
        <v>275.64</v>
      </c>
      <c r="L266" s="424">
        <f t="shared" si="24"/>
        <v>275.64</v>
      </c>
      <c r="M266" s="424">
        <f t="shared" si="25"/>
        <v>275.64</v>
      </c>
      <c r="N266" s="478">
        <f t="shared" si="23"/>
        <v>0</v>
      </c>
      <c r="O266" s="530"/>
      <c r="P266" s="264" t="s">
        <v>2530</v>
      </c>
      <c r="Q266" s="11" t="s">
        <v>243</v>
      </c>
      <c r="R266" s="574"/>
      <c r="S266" s="427"/>
    </row>
    <row r="267" spans="1:19" s="413" customFormat="1" ht="33">
      <c r="A267" s="421" t="s">
        <v>2327</v>
      </c>
      <c r="B267" s="422" t="s">
        <v>773</v>
      </c>
      <c r="C267" s="423" t="s">
        <v>669</v>
      </c>
      <c r="D267" s="424">
        <v>1</v>
      </c>
      <c r="E267" s="424">
        <v>1</v>
      </c>
      <c r="F267" s="424">
        <f>估驗單!F263</f>
        <v>1</v>
      </c>
      <c r="G267" s="478">
        <f t="shared" si="22"/>
        <v>0</v>
      </c>
      <c r="H267" s="424">
        <v>283.52999999999997</v>
      </c>
      <c r="I267" s="424"/>
      <c r="J267" s="424"/>
      <c r="K267" s="424">
        <v>283.52999999999997</v>
      </c>
      <c r="L267" s="424">
        <f t="shared" si="24"/>
        <v>283.52999999999997</v>
      </c>
      <c r="M267" s="424">
        <f t="shared" si="25"/>
        <v>283.52999999999997</v>
      </c>
      <c r="N267" s="478">
        <f t="shared" si="23"/>
        <v>0</v>
      </c>
      <c r="O267" s="530"/>
      <c r="P267" s="264" t="s">
        <v>2530</v>
      </c>
      <c r="Q267" s="11" t="s">
        <v>243</v>
      </c>
      <c r="R267" s="574"/>
      <c r="S267" s="427"/>
    </row>
    <row r="268" spans="1:19" s="413" customFormat="1" ht="33">
      <c r="A268" s="421" t="s">
        <v>2328</v>
      </c>
      <c r="B268" s="422" t="s">
        <v>776</v>
      </c>
      <c r="C268" s="423" t="s">
        <v>669</v>
      </c>
      <c r="D268" s="424">
        <v>1</v>
      </c>
      <c r="E268" s="424">
        <v>1</v>
      </c>
      <c r="F268" s="424">
        <f>估驗單!F264</f>
        <v>1</v>
      </c>
      <c r="G268" s="478">
        <f t="shared" si="22"/>
        <v>0</v>
      </c>
      <c r="H268" s="424">
        <v>88.95</v>
      </c>
      <c r="I268" s="424"/>
      <c r="J268" s="424"/>
      <c r="K268" s="424">
        <v>88.95</v>
      </c>
      <c r="L268" s="424">
        <f t="shared" si="24"/>
        <v>88.95</v>
      </c>
      <c r="M268" s="424">
        <f t="shared" si="25"/>
        <v>88.95</v>
      </c>
      <c r="N268" s="478">
        <f t="shared" si="23"/>
        <v>0</v>
      </c>
      <c r="O268" s="530"/>
      <c r="P268" s="264" t="s">
        <v>242</v>
      </c>
      <c r="Q268" s="11" t="s">
        <v>243</v>
      </c>
      <c r="R268" s="574"/>
      <c r="S268" s="427"/>
    </row>
    <row r="269" spans="1:19" s="413" customFormat="1" ht="33">
      <c r="A269" s="421" t="s">
        <v>2329</v>
      </c>
      <c r="B269" s="422" t="s">
        <v>779</v>
      </c>
      <c r="C269" s="423" t="s">
        <v>669</v>
      </c>
      <c r="D269" s="424">
        <v>1</v>
      </c>
      <c r="E269" s="424">
        <v>1</v>
      </c>
      <c r="F269" s="424">
        <f>估驗單!F265</f>
        <v>1</v>
      </c>
      <c r="G269" s="478">
        <f t="shared" si="22"/>
        <v>0</v>
      </c>
      <c r="H269" s="424">
        <v>123.72</v>
      </c>
      <c r="I269" s="424"/>
      <c r="J269" s="424"/>
      <c r="K269" s="424">
        <v>123.72</v>
      </c>
      <c r="L269" s="424">
        <f t="shared" si="24"/>
        <v>123.72</v>
      </c>
      <c r="M269" s="424">
        <f t="shared" si="25"/>
        <v>123.72</v>
      </c>
      <c r="N269" s="478">
        <f t="shared" si="23"/>
        <v>0</v>
      </c>
      <c r="O269" s="530"/>
      <c r="P269" s="264" t="s">
        <v>2530</v>
      </c>
      <c r="Q269" s="11" t="s">
        <v>243</v>
      </c>
      <c r="R269" s="574"/>
      <c r="S269" s="427"/>
    </row>
    <row r="270" spans="1:19" s="413" customFormat="1" ht="33">
      <c r="A270" s="421" t="s">
        <v>2330</v>
      </c>
      <c r="B270" s="422" t="s">
        <v>782</v>
      </c>
      <c r="C270" s="423" t="s">
        <v>669</v>
      </c>
      <c r="D270" s="424">
        <v>1</v>
      </c>
      <c r="E270" s="424">
        <v>1</v>
      </c>
      <c r="F270" s="424">
        <f>估驗單!F266</f>
        <v>1</v>
      </c>
      <c r="G270" s="478">
        <f t="shared" si="22"/>
        <v>0</v>
      </c>
      <c r="H270" s="424">
        <v>121.41</v>
      </c>
      <c r="I270" s="424"/>
      <c r="J270" s="424"/>
      <c r="K270" s="424">
        <v>121.41</v>
      </c>
      <c r="L270" s="424">
        <f t="shared" si="24"/>
        <v>121.41</v>
      </c>
      <c r="M270" s="424">
        <f t="shared" si="25"/>
        <v>121.41</v>
      </c>
      <c r="N270" s="478">
        <f t="shared" si="23"/>
        <v>0</v>
      </c>
      <c r="O270" s="530"/>
      <c r="P270" s="264" t="s">
        <v>242</v>
      </c>
      <c r="Q270" s="11" t="s">
        <v>243</v>
      </c>
      <c r="R270" s="574"/>
      <c r="S270" s="427"/>
    </row>
    <row r="271" spans="1:19" s="413" customFormat="1" ht="33">
      <c r="A271" s="421" t="s">
        <v>2331</v>
      </c>
      <c r="B271" s="422" t="s">
        <v>785</v>
      </c>
      <c r="C271" s="423" t="s">
        <v>669</v>
      </c>
      <c r="D271" s="424">
        <v>1</v>
      </c>
      <c r="E271" s="424">
        <v>1</v>
      </c>
      <c r="F271" s="424">
        <f>估驗單!F267</f>
        <v>1</v>
      </c>
      <c r="G271" s="478">
        <f t="shared" si="22"/>
        <v>0</v>
      </c>
      <c r="H271" s="424">
        <v>134.28</v>
      </c>
      <c r="I271" s="424"/>
      <c r="J271" s="424"/>
      <c r="K271" s="424">
        <v>134.28</v>
      </c>
      <c r="L271" s="424">
        <f t="shared" si="24"/>
        <v>134.28</v>
      </c>
      <c r="M271" s="424">
        <f t="shared" si="25"/>
        <v>134.28</v>
      </c>
      <c r="N271" s="478">
        <f t="shared" si="23"/>
        <v>0</v>
      </c>
      <c r="O271" s="530"/>
      <c r="P271" s="264" t="s">
        <v>242</v>
      </c>
      <c r="Q271" s="11" t="s">
        <v>243</v>
      </c>
      <c r="R271" s="574"/>
      <c r="S271" s="427"/>
    </row>
    <row r="272" spans="1:19" s="413" customFormat="1" ht="33">
      <c r="A272" s="421" t="s">
        <v>2332</v>
      </c>
      <c r="B272" s="422" t="s">
        <v>788</v>
      </c>
      <c r="C272" s="423" t="s">
        <v>669</v>
      </c>
      <c r="D272" s="424">
        <v>1</v>
      </c>
      <c r="E272" s="424">
        <v>1</v>
      </c>
      <c r="F272" s="424">
        <f>估驗單!F268</f>
        <v>1</v>
      </c>
      <c r="G272" s="478">
        <f t="shared" si="22"/>
        <v>0</v>
      </c>
      <c r="H272" s="424">
        <v>36.549999999999997</v>
      </c>
      <c r="I272" s="424"/>
      <c r="J272" s="424"/>
      <c r="K272" s="424">
        <v>36.549999999999997</v>
      </c>
      <c r="L272" s="424">
        <f t="shared" si="24"/>
        <v>36.549999999999997</v>
      </c>
      <c r="M272" s="424">
        <f t="shared" si="25"/>
        <v>36.549999999999997</v>
      </c>
      <c r="N272" s="478">
        <f t="shared" si="23"/>
        <v>0</v>
      </c>
      <c r="O272" s="530"/>
      <c r="P272" s="264" t="s">
        <v>2530</v>
      </c>
      <c r="Q272" s="11" t="s">
        <v>243</v>
      </c>
      <c r="R272" s="574"/>
      <c r="S272" s="427"/>
    </row>
    <row r="273" spans="1:19" s="413" customFormat="1" ht="33">
      <c r="A273" s="421" t="s">
        <v>2333</v>
      </c>
      <c r="B273" s="422" t="s">
        <v>791</v>
      </c>
      <c r="C273" s="423" t="s">
        <v>669</v>
      </c>
      <c r="D273" s="424">
        <v>1</v>
      </c>
      <c r="E273" s="424">
        <v>1</v>
      </c>
      <c r="F273" s="424">
        <f>估驗單!F269</f>
        <v>1</v>
      </c>
      <c r="G273" s="478">
        <f t="shared" si="22"/>
        <v>0</v>
      </c>
      <c r="H273" s="424">
        <v>103.76</v>
      </c>
      <c r="I273" s="424"/>
      <c r="J273" s="424"/>
      <c r="K273" s="424">
        <v>103.76</v>
      </c>
      <c r="L273" s="424">
        <f t="shared" si="24"/>
        <v>103.76</v>
      </c>
      <c r="M273" s="424">
        <f t="shared" si="25"/>
        <v>103.76</v>
      </c>
      <c r="N273" s="478">
        <f t="shared" si="23"/>
        <v>0</v>
      </c>
      <c r="O273" s="530"/>
      <c r="P273" s="264" t="s">
        <v>242</v>
      </c>
      <c r="Q273" s="11" t="s">
        <v>243</v>
      </c>
      <c r="R273" s="574"/>
      <c r="S273" s="427"/>
    </row>
    <row r="274" spans="1:19" s="413" customFormat="1" ht="33">
      <c r="A274" s="421" t="s">
        <v>2334</v>
      </c>
      <c r="B274" s="422" t="s">
        <v>794</v>
      </c>
      <c r="C274" s="423" t="s">
        <v>669</v>
      </c>
      <c r="D274" s="424">
        <v>1</v>
      </c>
      <c r="E274" s="424">
        <v>1</v>
      </c>
      <c r="F274" s="424">
        <f>估驗單!F270</f>
        <v>1</v>
      </c>
      <c r="G274" s="478">
        <f t="shared" si="22"/>
        <v>0</v>
      </c>
      <c r="H274" s="424">
        <v>140.84</v>
      </c>
      <c r="I274" s="424"/>
      <c r="J274" s="424"/>
      <c r="K274" s="424">
        <v>140.84</v>
      </c>
      <c r="L274" s="424">
        <f t="shared" si="24"/>
        <v>140.84</v>
      </c>
      <c r="M274" s="424">
        <f t="shared" si="25"/>
        <v>140.84</v>
      </c>
      <c r="N274" s="478">
        <f t="shared" si="23"/>
        <v>0</v>
      </c>
      <c r="O274" s="530"/>
      <c r="P274" s="264" t="s">
        <v>242</v>
      </c>
      <c r="Q274" s="11" t="s">
        <v>243</v>
      </c>
      <c r="R274" s="574"/>
      <c r="S274" s="427"/>
    </row>
    <row r="275" spans="1:19" s="413" customFormat="1" ht="33">
      <c r="A275" s="421" t="s">
        <v>2335</v>
      </c>
      <c r="B275" s="422" t="s">
        <v>797</v>
      </c>
      <c r="C275" s="423" t="s">
        <v>669</v>
      </c>
      <c r="D275" s="424">
        <v>1</v>
      </c>
      <c r="E275" s="424">
        <v>1</v>
      </c>
      <c r="F275" s="424">
        <f>估驗單!F271</f>
        <v>1</v>
      </c>
      <c r="G275" s="478">
        <f t="shared" si="22"/>
        <v>0</v>
      </c>
      <c r="H275" s="424">
        <v>51.75</v>
      </c>
      <c r="I275" s="424"/>
      <c r="J275" s="424"/>
      <c r="K275" s="424">
        <v>51.75</v>
      </c>
      <c r="L275" s="424">
        <f t="shared" si="24"/>
        <v>51.75</v>
      </c>
      <c r="M275" s="424">
        <f t="shared" si="25"/>
        <v>51.75</v>
      </c>
      <c r="N275" s="478">
        <f t="shared" si="23"/>
        <v>0</v>
      </c>
      <c r="O275" s="530"/>
      <c r="P275" s="264" t="s">
        <v>2530</v>
      </c>
      <c r="Q275" s="11" t="s">
        <v>243</v>
      </c>
      <c r="R275" s="574"/>
      <c r="S275" s="427"/>
    </row>
    <row r="276" spans="1:19" s="413" customFormat="1" ht="33">
      <c r="A276" s="421" t="s">
        <v>2336</v>
      </c>
      <c r="B276" s="422" t="s">
        <v>800</v>
      </c>
      <c r="C276" s="423" t="s">
        <v>669</v>
      </c>
      <c r="D276" s="424">
        <v>1</v>
      </c>
      <c r="E276" s="424">
        <v>1</v>
      </c>
      <c r="F276" s="424">
        <f>估驗單!F272</f>
        <v>1</v>
      </c>
      <c r="G276" s="478">
        <f t="shared" si="22"/>
        <v>0</v>
      </c>
      <c r="H276" s="424">
        <v>35.01</v>
      </c>
      <c r="I276" s="424"/>
      <c r="J276" s="424"/>
      <c r="K276" s="424">
        <v>35.01</v>
      </c>
      <c r="L276" s="424">
        <f t="shared" si="24"/>
        <v>35.01</v>
      </c>
      <c r="M276" s="424">
        <f t="shared" si="25"/>
        <v>35.01</v>
      </c>
      <c r="N276" s="478">
        <f t="shared" si="23"/>
        <v>0</v>
      </c>
      <c r="O276" s="530"/>
      <c r="P276" s="264" t="s">
        <v>2530</v>
      </c>
      <c r="Q276" s="11" t="s">
        <v>243</v>
      </c>
      <c r="R276" s="574"/>
      <c r="S276" s="427"/>
    </row>
    <row r="277" spans="1:19" s="413" customFormat="1" ht="33">
      <c r="A277" s="421" t="s">
        <v>2337</v>
      </c>
      <c r="B277" s="422" t="s">
        <v>803</v>
      </c>
      <c r="C277" s="423" t="s">
        <v>669</v>
      </c>
      <c r="D277" s="424">
        <v>1</v>
      </c>
      <c r="E277" s="424">
        <v>1</v>
      </c>
      <c r="F277" s="424">
        <f>估驗單!F273</f>
        <v>1</v>
      </c>
      <c r="G277" s="478">
        <f t="shared" si="22"/>
        <v>0</v>
      </c>
      <c r="H277" s="424">
        <v>58.37</v>
      </c>
      <c r="I277" s="424"/>
      <c r="J277" s="424"/>
      <c r="K277" s="424">
        <v>58.37</v>
      </c>
      <c r="L277" s="424">
        <f t="shared" si="24"/>
        <v>58.37</v>
      </c>
      <c r="M277" s="424">
        <f t="shared" si="25"/>
        <v>58.37</v>
      </c>
      <c r="N277" s="478">
        <f t="shared" si="23"/>
        <v>0</v>
      </c>
      <c r="O277" s="530"/>
      <c r="P277" s="264" t="s">
        <v>2530</v>
      </c>
      <c r="Q277" s="11" t="s">
        <v>243</v>
      </c>
      <c r="R277" s="574"/>
      <c r="S277" s="427"/>
    </row>
    <row r="278" spans="1:19" s="413" customFormat="1" ht="33">
      <c r="A278" s="421" t="s">
        <v>2338</v>
      </c>
      <c r="B278" s="422" t="s">
        <v>806</v>
      </c>
      <c r="C278" s="423" t="s">
        <v>669</v>
      </c>
      <c r="D278" s="424">
        <v>1</v>
      </c>
      <c r="E278" s="424">
        <v>1</v>
      </c>
      <c r="F278" s="424">
        <f>估驗單!F274</f>
        <v>1</v>
      </c>
      <c r="G278" s="478">
        <f t="shared" si="22"/>
        <v>0</v>
      </c>
      <c r="H278" s="424">
        <v>79.040000000000006</v>
      </c>
      <c r="I278" s="424"/>
      <c r="J278" s="424"/>
      <c r="K278" s="424">
        <v>79.040000000000006</v>
      </c>
      <c r="L278" s="424">
        <f t="shared" si="24"/>
        <v>79.040000000000006</v>
      </c>
      <c r="M278" s="424">
        <f t="shared" si="25"/>
        <v>79.040000000000006</v>
      </c>
      <c r="N278" s="478">
        <f t="shared" si="23"/>
        <v>0</v>
      </c>
      <c r="O278" s="530"/>
      <c r="P278" s="264" t="s">
        <v>2530</v>
      </c>
      <c r="Q278" s="11" t="s">
        <v>243</v>
      </c>
      <c r="R278" s="574"/>
      <c r="S278" s="427"/>
    </row>
    <row r="279" spans="1:19" s="413" customFormat="1" ht="33">
      <c r="A279" s="421" t="s">
        <v>2339</v>
      </c>
      <c r="B279" s="422" t="s">
        <v>809</v>
      </c>
      <c r="C279" s="423" t="s">
        <v>669</v>
      </c>
      <c r="D279" s="424">
        <v>1</v>
      </c>
      <c r="E279" s="424">
        <v>1</v>
      </c>
      <c r="F279" s="424">
        <f>估驗單!F275</f>
        <v>1</v>
      </c>
      <c r="G279" s="478">
        <f t="shared" si="22"/>
        <v>0</v>
      </c>
      <c r="H279" s="424">
        <v>63.59</v>
      </c>
      <c r="I279" s="424"/>
      <c r="J279" s="424"/>
      <c r="K279" s="424">
        <v>63.59</v>
      </c>
      <c r="L279" s="424">
        <f t="shared" si="24"/>
        <v>63.59</v>
      </c>
      <c r="M279" s="424">
        <f t="shared" si="25"/>
        <v>63.59</v>
      </c>
      <c r="N279" s="478">
        <f t="shared" si="23"/>
        <v>0</v>
      </c>
      <c r="O279" s="530"/>
      <c r="P279" s="264" t="s">
        <v>2530</v>
      </c>
      <c r="Q279" s="11" t="s">
        <v>243</v>
      </c>
      <c r="R279" s="574"/>
      <c r="S279" s="427"/>
    </row>
    <row r="280" spans="1:19" s="413" customFormat="1" ht="33">
      <c r="A280" s="421" t="s">
        <v>2340</v>
      </c>
      <c r="B280" s="422" t="s">
        <v>812</v>
      </c>
      <c r="C280" s="423" t="s">
        <v>669</v>
      </c>
      <c r="D280" s="424">
        <v>1</v>
      </c>
      <c r="E280" s="424">
        <v>1</v>
      </c>
      <c r="F280" s="424">
        <f>估驗單!F276</f>
        <v>1</v>
      </c>
      <c r="G280" s="478">
        <f t="shared" si="22"/>
        <v>0</v>
      </c>
      <c r="H280" s="424">
        <v>94.49</v>
      </c>
      <c r="I280" s="424"/>
      <c r="J280" s="424"/>
      <c r="K280" s="424">
        <v>94.49</v>
      </c>
      <c r="L280" s="424">
        <f t="shared" si="24"/>
        <v>94.49</v>
      </c>
      <c r="M280" s="424">
        <f t="shared" si="25"/>
        <v>94.49</v>
      </c>
      <c r="N280" s="478">
        <f t="shared" si="23"/>
        <v>0</v>
      </c>
      <c r="O280" s="530"/>
      <c r="P280" s="264" t="s">
        <v>2530</v>
      </c>
      <c r="Q280" s="11" t="s">
        <v>243</v>
      </c>
      <c r="R280" s="574"/>
      <c r="S280" s="427"/>
    </row>
    <row r="281" spans="1:19" s="413" customFormat="1" ht="33">
      <c r="A281" s="421" t="s">
        <v>2341</v>
      </c>
      <c r="B281" s="422" t="s">
        <v>815</v>
      </c>
      <c r="C281" s="423" t="s">
        <v>669</v>
      </c>
      <c r="D281" s="424">
        <v>1</v>
      </c>
      <c r="E281" s="424">
        <v>1</v>
      </c>
      <c r="F281" s="424">
        <f>估驗單!F277</f>
        <v>1</v>
      </c>
      <c r="G281" s="478">
        <f t="shared" si="22"/>
        <v>0</v>
      </c>
      <c r="H281" s="424">
        <v>73.89</v>
      </c>
      <c r="I281" s="424"/>
      <c r="J281" s="424"/>
      <c r="K281" s="424">
        <v>73.89</v>
      </c>
      <c r="L281" s="424">
        <f t="shared" si="24"/>
        <v>73.89</v>
      </c>
      <c r="M281" s="424">
        <f t="shared" si="25"/>
        <v>73.89</v>
      </c>
      <c r="N281" s="478">
        <f t="shared" si="23"/>
        <v>0</v>
      </c>
      <c r="O281" s="530"/>
      <c r="P281" s="264" t="s">
        <v>2530</v>
      </c>
      <c r="Q281" s="11" t="s">
        <v>243</v>
      </c>
      <c r="R281" s="574"/>
      <c r="S281" s="427"/>
    </row>
    <row r="282" spans="1:19" s="413" customFormat="1" ht="33">
      <c r="A282" s="421" t="s">
        <v>2342</v>
      </c>
      <c r="B282" s="422" t="s">
        <v>818</v>
      </c>
      <c r="C282" s="423" t="s">
        <v>669</v>
      </c>
      <c r="D282" s="424">
        <v>1</v>
      </c>
      <c r="E282" s="424">
        <v>1</v>
      </c>
      <c r="F282" s="424">
        <f>估驗單!F278</f>
        <v>1</v>
      </c>
      <c r="G282" s="478">
        <f t="shared" ref="G282:G345" si="26">F282-E282</f>
        <v>0</v>
      </c>
      <c r="H282" s="424">
        <v>92.43</v>
      </c>
      <c r="I282" s="424"/>
      <c r="J282" s="424"/>
      <c r="K282" s="424">
        <v>92.43</v>
      </c>
      <c r="L282" s="424">
        <f t="shared" si="24"/>
        <v>92.43</v>
      </c>
      <c r="M282" s="424">
        <f t="shared" si="25"/>
        <v>92.43</v>
      </c>
      <c r="N282" s="478">
        <f t="shared" si="23"/>
        <v>0</v>
      </c>
      <c r="O282" s="530"/>
      <c r="P282" s="264" t="s">
        <v>2530</v>
      </c>
      <c r="Q282" s="11" t="s">
        <v>243</v>
      </c>
      <c r="R282" s="574"/>
      <c r="S282" s="427"/>
    </row>
    <row r="283" spans="1:19" s="413" customFormat="1" ht="33">
      <c r="A283" s="421" t="s">
        <v>2343</v>
      </c>
      <c r="B283" s="422" t="s">
        <v>821</v>
      </c>
      <c r="C283" s="423" t="s">
        <v>669</v>
      </c>
      <c r="D283" s="424">
        <v>1</v>
      </c>
      <c r="E283" s="424">
        <v>1</v>
      </c>
      <c r="F283" s="424">
        <f>估驗單!F279</f>
        <v>1</v>
      </c>
      <c r="G283" s="478">
        <f t="shared" si="26"/>
        <v>0</v>
      </c>
      <c r="H283" s="424">
        <v>61.98</v>
      </c>
      <c r="I283" s="424"/>
      <c r="J283" s="424"/>
      <c r="K283" s="424">
        <v>61.98</v>
      </c>
      <c r="L283" s="424">
        <f t="shared" si="24"/>
        <v>61.98</v>
      </c>
      <c r="M283" s="424">
        <f t="shared" si="25"/>
        <v>61.98</v>
      </c>
      <c r="N283" s="478">
        <f t="shared" si="23"/>
        <v>0</v>
      </c>
      <c r="O283" s="530"/>
      <c r="P283" s="264" t="s">
        <v>2530</v>
      </c>
      <c r="Q283" s="11" t="s">
        <v>243</v>
      </c>
      <c r="R283" s="574"/>
      <c r="S283" s="427"/>
    </row>
    <row r="284" spans="1:19" s="413" customFormat="1" ht="33">
      <c r="A284" s="421" t="s">
        <v>2344</v>
      </c>
      <c r="B284" s="422" t="s">
        <v>824</v>
      </c>
      <c r="C284" s="423" t="s">
        <v>669</v>
      </c>
      <c r="D284" s="424">
        <v>1</v>
      </c>
      <c r="E284" s="424">
        <v>1</v>
      </c>
      <c r="F284" s="424">
        <f>估驗單!F280</f>
        <v>1</v>
      </c>
      <c r="G284" s="478">
        <f t="shared" si="26"/>
        <v>0</v>
      </c>
      <c r="H284" s="424">
        <v>154.66</v>
      </c>
      <c r="I284" s="424"/>
      <c r="J284" s="424"/>
      <c r="K284" s="424">
        <v>154.66</v>
      </c>
      <c r="L284" s="424">
        <f t="shared" si="24"/>
        <v>154.66</v>
      </c>
      <c r="M284" s="424">
        <f t="shared" si="25"/>
        <v>154.66</v>
      </c>
      <c r="N284" s="478">
        <f t="shared" si="23"/>
        <v>0</v>
      </c>
      <c r="O284" s="530"/>
      <c r="P284" s="264" t="s">
        <v>2530</v>
      </c>
      <c r="Q284" s="11" t="s">
        <v>243</v>
      </c>
      <c r="R284" s="574"/>
      <c r="S284" s="427"/>
    </row>
    <row r="285" spans="1:19" s="413" customFormat="1" ht="33">
      <c r="A285" s="421" t="s">
        <v>2345</v>
      </c>
      <c r="B285" s="422" t="s">
        <v>827</v>
      </c>
      <c r="C285" s="423" t="s">
        <v>669</v>
      </c>
      <c r="D285" s="424">
        <v>1</v>
      </c>
      <c r="E285" s="424">
        <v>1</v>
      </c>
      <c r="F285" s="424">
        <f>估驗單!F281</f>
        <v>1</v>
      </c>
      <c r="G285" s="478">
        <f t="shared" si="26"/>
        <v>0</v>
      </c>
      <c r="H285" s="424">
        <v>67.709999999999994</v>
      </c>
      <c r="I285" s="424"/>
      <c r="J285" s="424"/>
      <c r="K285" s="424">
        <v>67.709999999999994</v>
      </c>
      <c r="L285" s="424">
        <f t="shared" si="24"/>
        <v>67.709999999999994</v>
      </c>
      <c r="M285" s="424">
        <f t="shared" si="25"/>
        <v>67.709999999999994</v>
      </c>
      <c r="N285" s="478">
        <f t="shared" si="23"/>
        <v>0</v>
      </c>
      <c r="O285" s="530"/>
      <c r="P285" s="264" t="s">
        <v>2530</v>
      </c>
      <c r="Q285" s="11" t="s">
        <v>243</v>
      </c>
      <c r="R285" s="574"/>
      <c r="S285" s="427"/>
    </row>
    <row r="286" spans="1:19" s="413" customFormat="1" ht="33">
      <c r="A286" s="421" t="s">
        <v>2346</v>
      </c>
      <c r="B286" s="422" t="s">
        <v>830</v>
      </c>
      <c r="C286" s="423" t="s">
        <v>669</v>
      </c>
      <c r="D286" s="424">
        <v>1</v>
      </c>
      <c r="E286" s="424">
        <v>1</v>
      </c>
      <c r="F286" s="424">
        <f>估驗單!F282</f>
        <v>1</v>
      </c>
      <c r="G286" s="478">
        <f t="shared" si="26"/>
        <v>0</v>
      </c>
      <c r="H286" s="424">
        <v>54.25</v>
      </c>
      <c r="I286" s="424"/>
      <c r="J286" s="424"/>
      <c r="K286" s="424">
        <v>54.25</v>
      </c>
      <c r="L286" s="424">
        <f t="shared" si="24"/>
        <v>54.25</v>
      </c>
      <c r="M286" s="424">
        <f t="shared" si="25"/>
        <v>54.25</v>
      </c>
      <c r="N286" s="478">
        <f t="shared" si="23"/>
        <v>0</v>
      </c>
      <c r="O286" s="530"/>
      <c r="P286" s="264" t="s">
        <v>2530</v>
      </c>
      <c r="Q286" s="11" t="s">
        <v>243</v>
      </c>
      <c r="R286" s="574"/>
      <c r="S286" s="427"/>
    </row>
    <row r="287" spans="1:19" s="413" customFormat="1" ht="33">
      <c r="A287" s="421" t="s">
        <v>2347</v>
      </c>
      <c r="B287" s="422" t="s">
        <v>833</v>
      </c>
      <c r="C287" s="423" t="s">
        <v>669</v>
      </c>
      <c r="D287" s="424">
        <v>1</v>
      </c>
      <c r="E287" s="424">
        <v>1</v>
      </c>
      <c r="F287" s="424">
        <f>估驗單!F283</f>
        <v>1</v>
      </c>
      <c r="G287" s="478">
        <f t="shared" si="26"/>
        <v>0</v>
      </c>
      <c r="H287" s="424">
        <v>90.3</v>
      </c>
      <c r="I287" s="424"/>
      <c r="J287" s="424"/>
      <c r="K287" s="424">
        <v>90.3</v>
      </c>
      <c r="L287" s="424">
        <f t="shared" si="24"/>
        <v>90.3</v>
      </c>
      <c r="M287" s="424">
        <f t="shared" si="25"/>
        <v>90.3</v>
      </c>
      <c r="N287" s="478">
        <f t="shared" si="23"/>
        <v>0</v>
      </c>
      <c r="O287" s="530"/>
      <c r="P287" s="264" t="s">
        <v>2530</v>
      </c>
      <c r="Q287" s="11" t="s">
        <v>243</v>
      </c>
      <c r="R287" s="574"/>
      <c r="S287" s="427"/>
    </row>
    <row r="288" spans="1:19" s="413" customFormat="1" ht="33">
      <c r="A288" s="421" t="s">
        <v>2348</v>
      </c>
      <c r="B288" s="422" t="s">
        <v>836</v>
      </c>
      <c r="C288" s="423" t="s">
        <v>669</v>
      </c>
      <c r="D288" s="424">
        <v>1</v>
      </c>
      <c r="E288" s="424">
        <v>1</v>
      </c>
      <c r="F288" s="424">
        <f>估驗單!F284</f>
        <v>1</v>
      </c>
      <c r="G288" s="478">
        <f t="shared" si="26"/>
        <v>0</v>
      </c>
      <c r="H288" s="424">
        <v>67.13</v>
      </c>
      <c r="I288" s="424"/>
      <c r="J288" s="424"/>
      <c r="K288" s="424">
        <v>67.13</v>
      </c>
      <c r="L288" s="424">
        <f t="shared" si="24"/>
        <v>67.13</v>
      </c>
      <c r="M288" s="424">
        <f t="shared" si="25"/>
        <v>67.13</v>
      </c>
      <c r="N288" s="478">
        <f t="shared" si="23"/>
        <v>0</v>
      </c>
      <c r="O288" s="530"/>
      <c r="P288" s="264" t="s">
        <v>2530</v>
      </c>
      <c r="Q288" s="11" t="s">
        <v>243</v>
      </c>
      <c r="R288" s="574"/>
      <c r="S288" s="427"/>
    </row>
    <row r="289" spans="1:19" s="413" customFormat="1" ht="33">
      <c r="A289" s="421" t="s">
        <v>2349</v>
      </c>
      <c r="B289" s="422" t="s">
        <v>839</v>
      </c>
      <c r="C289" s="423" t="s">
        <v>669</v>
      </c>
      <c r="D289" s="424">
        <v>1</v>
      </c>
      <c r="E289" s="424">
        <v>1</v>
      </c>
      <c r="F289" s="424">
        <f>估驗單!F285</f>
        <v>1</v>
      </c>
      <c r="G289" s="478">
        <f t="shared" si="26"/>
        <v>0</v>
      </c>
      <c r="H289" s="424">
        <v>56.83</v>
      </c>
      <c r="I289" s="424"/>
      <c r="J289" s="424"/>
      <c r="K289" s="424">
        <v>56.83</v>
      </c>
      <c r="L289" s="424">
        <f t="shared" si="24"/>
        <v>56.83</v>
      </c>
      <c r="M289" s="424">
        <f t="shared" si="25"/>
        <v>56.83</v>
      </c>
      <c r="N289" s="478">
        <f t="shared" si="23"/>
        <v>0</v>
      </c>
      <c r="O289" s="530"/>
      <c r="P289" s="264" t="s">
        <v>2530</v>
      </c>
      <c r="Q289" s="11" t="s">
        <v>243</v>
      </c>
      <c r="R289" s="574"/>
      <c r="S289" s="427"/>
    </row>
    <row r="290" spans="1:19" s="413" customFormat="1" ht="33">
      <c r="A290" s="421" t="s">
        <v>2350</v>
      </c>
      <c r="B290" s="422" t="s">
        <v>842</v>
      </c>
      <c r="C290" s="423" t="s">
        <v>669</v>
      </c>
      <c r="D290" s="424">
        <v>1</v>
      </c>
      <c r="E290" s="424">
        <v>1</v>
      </c>
      <c r="F290" s="424">
        <f>估驗單!F286</f>
        <v>1</v>
      </c>
      <c r="G290" s="478">
        <f t="shared" si="26"/>
        <v>0</v>
      </c>
      <c r="H290" s="424">
        <v>68.67</v>
      </c>
      <c r="I290" s="424"/>
      <c r="J290" s="424"/>
      <c r="K290" s="424">
        <v>68.67</v>
      </c>
      <c r="L290" s="424">
        <f t="shared" si="24"/>
        <v>68.67</v>
      </c>
      <c r="M290" s="424">
        <f t="shared" si="25"/>
        <v>68.67</v>
      </c>
      <c r="N290" s="478">
        <f t="shared" si="23"/>
        <v>0</v>
      </c>
      <c r="O290" s="530"/>
      <c r="P290" s="264" t="s">
        <v>2530</v>
      </c>
      <c r="Q290" s="11" t="s">
        <v>243</v>
      </c>
      <c r="R290" s="574"/>
      <c r="S290" s="427"/>
    </row>
    <row r="291" spans="1:19" s="413" customFormat="1" ht="33">
      <c r="A291" s="421" t="s">
        <v>2351</v>
      </c>
      <c r="B291" s="422" t="s">
        <v>845</v>
      </c>
      <c r="C291" s="423" t="s">
        <v>669</v>
      </c>
      <c r="D291" s="424">
        <v>1</v>
      </c>
      <c r="E291" s="424">
        <v>1</v>
      </c>
      <c r="F291" s="424">
        <f>估驗單!F287</f>
        <v>1</v>
      </c>
      <c r="G291" s="478">
        <f t="shared" si="26"/>
        <v>0</v>
      </c>
      <c r="H291" s="424">
        <v>59.92</v>
      </c>
      <c r="I291" s="424"/>
      <c r="J291" s="424"/>
      <c r="K291" s="424">
        <v>59.92</v>
      </c>
      <c r="L291" s="424">
        <f t="shared" si="24"/>
        <v>59.92</v>
      </c>
      <c r="M291" s="424">
        <f t="shared" si="25"/>
        <v>59.92</v>
      </c>
      <c r="N291" s="478">
        <f t="shared" si="23"/>
        <v>0</v>
      </c>
      <c r="O291" s="530"/>
      <c r="P291" s="264" t="s">
        <v>2530</v>
      </c>
      <c r="Q291" s="11" t="s">
        <v>243</v>
      </c>
      <c r="R291" s="574"/>
      <c r="S291" s="427"/>
    </row>
    <row r="292" spans="1:19" s="413" customFormat="1" ht="33">
      <c r="A292" s="421" t="s">
        <v>2352</v>
      </c>
      <c r="B292" s="422" t="s">
        <v>848</v>
      </c>
      <c r="C292" s="423" t="s">
        <v>669</v>
      </c>
      <c r="D292" s="424">
        <v>1</v>
      </c>
      <c r="E292" s="424">
        <v>1</v>
      </c>
      <c r="F292" s="424">
        <f>估驗單!F288</f>
        <v>1</v>
      </c>
      <c r="G292" s="478">
        <f t="shared" si="26"/>
        <v>0</v>
      </c>
      <c r="H292" s="424">
        <v>58.37</v>
      </c>
      <c r="I292" s="424"/>
      <c r="J292" s="424"/>
      <c r="K292" s="424">
        <v>58.37</v>
      </c>
      <c r="L292" s="424">
        <f t="shared" si="24"/>
        <v>58.37</v>
      </c>
      <c r="M292" s="424">
        <f t="shared" si="25"/>
        <v>58.37</v>
      </c>
      <c r="N292" s="478">
        <f t="shared" si="23"/>
        <v>0</v>
      </c>
      <c r="O292" s="530"/>
      <c r="P292" s="264" t="s">
        <v>2530</v>
      </c>
      <c r="Q292" s="11" t="s">
        <v>243</v>
      </c>
      <c r="R292" s="574"/>
      <c r="S292" s="427"/>
    </row>
    <row r="293" spans="1:19" s="413" customFormat="1" ht="33">
      <c r="A293" s="421" t="s">
        <v>2353</v>
      </c>
      <c r="B293" s="422" t="s">
        <v>851</v>
      </c>
      <c r="C293" s="423" t="s">
        <v>669</v>
      </c>
      <c r="D293" s="424">
        <v>1</v>
      </c>
      <c r="E293" s="424">
        <v>1</v>
      </c>
      <c r="F293" s="424">
        <f>估驗單!F289</f>
        <v>1</v>
      </c>
      <c r="G293" s="478">
        <f t="shared" si="26"/>
        <v>0</v>
      </c>
      <c r="H293" s="424">
        <v>68.209999999999994</v>
      </c>
      <c r="I293" s="424"/>
      <c r="J293" s="424"/>
      <c r="K293" s="424">
        <v>68.209999999999994</v>
      </c>
      <c r="L293" s="424">
        <f t="shared" si="24"/>
        <v>68.209999999999994</v>
      </c>
      <c r="M293" s="424">
        <f t="shared" si="25"/>
        <v>68.209999999999994</v>
      </c>
      <c r="N293" s="478">
        <f t="shared" si="23"/>
        <v>0</v>
      </c>
      <c r="O293" s="530"/>
      <c r="P293" s="264" t="s">
        <v>2530</v>
      </c>
      <c r="Q293" s="11" t="s">
        <v>243</v>
      </c>
      <c r="R293" s="574"/>
      <c r="S293" s="427"/>
    </row>
    <row r="294" spans="1:19" s="413" customFormat="1" ht="33">
      <c r="A294" s="421" t="s">
        <v>2354</v>
      </c>
      <c r="B294" s="422" t="s">
        <v>854</v>
      </c>
      <c r="C294" s="423" t="s">
        <v>669</v>
      </c>
      <c r="D294" s="424">
        <v>1</v>
      </c>
      <c r="E294" s="424">
        <v>1</v>
      </c>
      <c r="F294" s="424">
        <f>估驗單!F290</f>
        <v>1</v>
      </c>
      <c r="G294" s="478">
        <f t="shared" si="26"/>
        <v>0</v>
      </c>
      <c r="H294" s="424">
        <v>72.33</v>
      </c>
      <c r="I294" s="424"/>
      <c r="J294" s="424"/>
      <c r="K294" s="424">
        <v>72.33</v>
      </c>
      <c r="L294" s="424">
        <f t="shared" si="24"/>
        <v>72.33</v>
      </c>
      <c r="M294" s="424">
        <f t="shared" si="25"/>
        <v>72.33</v>
      </c>
      <c r="N294" s="478">
        <f t="shared" ref="N294:N306" si="27">IF(L294-M294&lt;0+AND(L294&lt;&gt;0),M294-L294,"      ")</f>
        <v>0</v>
      </c>
      <c r="O294" s="530"/>
      <c r="P294" s="264" t="s">
        <v>2530</v>
      </c>
      <c r="Q294" s="11" t="s">
        <v>243</v>
      </c>
      <c r="R294" s="574"/>
      <c r="S294" s="427"/>
    </row>
    <row r="295" spans="1:19" ht="33">
      <c r="A295" s="421" t="s">
        <v>2355</v>
      </c>
      <c r="B295" s="422" t="s">
        <v>857</v>
      </c>
      <c r="C295" s="423" t="s">
        <v>669</v>
      </c>
      <c r="D295" s="424">
        <v>1</v>
      </c>
      <c r="E295" s="424">
        <v>1</v>
      </c>
      <c r="F295" s="424">
        <f>估驗單!F291</f>
        <v>1</v>
      </c>
      <c r="G295" s="478">
        <f t="shared" si="26"/>
        <v>0</v>
      </c>
      <c r="H295" s="424">
        <v>111.47</v>
      </c>
      <c r="I295" s="424"/>
      <c r="J295" s="424"/>
      <c r="K295" s="424">
        <v>111.47</v>
      </c>
      <c r="L295" s="424">
        <f t="shared" ref="L295:L306" si="28">ROUND(E295*H295,2)</f>
        <v>111.47</v>
      </c>
      <c r="M295" s="424">
        <f t="shared" ref="M295:M306" si="29">ROUND(F295*H295,2)</f>
        <v>111.47</v>
      </c>
      <c r="N295" s="478">
        <f t="shared" si="27"/>
        <v>0</v>
      </c>
      <c r="O295" s="530"/>
      <c r="P295" s="264" t="s">
        <v>2530</v>
      </c>
      <c r="Q295" s="11" t="s">
        <v>243</v>
      </c>
      <c r="R295" s="574"/>
      <c r="S295" s="427"/>
    </row>
    <row r="296" spans="1:19" ht="33">
      <c r="A296" s="421" t="s">
        <v>2356</v>
      </c>
      <c r="B296" s="422" t="s">
        <v>860</v>
      </c>
      <c r="C296" s="423" t="s">
        <v>669</v>
      </c>
      <c r="D296" s="424">
        <v>1</v>
      </c>
      <c r="E296" s="424">
        <v>1</v>
      </c>
      <c r="F296" s="424">
        <f>估驗單!F292</f>
        <v>1</v>
      </c>
      <c r="G296" s="478">
        <f t="shared" si="26"/>
        <v>0</v>
      </c>
      <c r="H296" s="424">
        <v>101.17</v>
      </c>
      <c r="I296" s="424"/>
      <c r="J296" s="424"/>
      <c r="K296" s="424">
        <v>101.17</v>
      </c>
      <c r="L296" s="424">
        <f t="shared" si="28"/>
        <v>101.17</v>
      </c>
      <c r="M296" s="424">
        <f t="shared" si="29"/>
        <v>101.17</v>
      </c>
      <c r="N296" s="478">
        <f t="shared" si="27"/>
        <v>0</v>
      </c>
      <c r="O296" s="530"/>
      <c r="P296" s="264" t="s">
        <v>2530</v>
      </c>
      <c r="Q296" s="11" t="s">
        <v>243</v>
      </c>
      <c r="R296" s="574"/>
      <c r="S296" s="427"/>
    </row>
    <row r="297" spans="1:19" ht="33">
      <c r="A297" s="421" t="s">
        <v>2357</v>
      </c>
      <c r="B297" s="422" t="s">
        <v>863</v>
      </c>
      <c r="C297" s="423" t="s">
        <v>669</v>
      </c>
      <c r="D297" s="424">
        <v>1</v>
      </c>
      <c r="E297" s="424">
        <v>1</v>
      </c>
      <c r="F297" s="424">
        <f>估驗單!F293</f>
        <v>1</v>
      </c>
      <c r="G297" s="478">
        <f t="shared" si="26"/>
        <v>0</v>
      </c>
      <c r="H297" s="424">
        <v>81.62</v>
      </c>
      <c r="I297" s="424"/>
      <c r="J297" s="424"/>
      <c r="K297" s="424">
        <v>81.62</v>
      </c>
      <c r="L297" s="424">
        <f t="shared" si="28"/>
        <v>81.62</v>
      </c>
      <c r="M297" s="424">
        <f t="shared" si="29"/>
        <v>81.62</v>
      </c>
      <c r="N297" s="478">
        <f t="shared" si="27"/>
        <v>0</v>
      </c>
      <c r="O297" s="530"/>
      <c r="P297" s="264" t="s">
        <v>242</v>
      </c>
      <c r="Q297" s="11" t="s">
        <v>243</v>
      </c>
      <c r="R297" s="574"/>
      <c r="S297" s="427"/>
    </row>
    <row r="298" spans="1:19" ht="33">
      <c r="A298" s="421" t="s">
        <v>2358</v>
      </c>
      <c r="B298" s="422" t="s">
        <v>866</v>
      </c>
      <c r="C298" s="423" t="s">
        <v>669</v>
      </c>
      <c r="D298" s="424">
        <v>1</v>
      </c>
      <c r="E298" s="424">
        <v>1</v>
      </c>
      <c r="F298" s="424">
        <f>估驗單!F294</f>
        <v>1</v>
      </c>
      <c r="G298" s="478">
        <f t="shared" si="26"/>
        <v>0</v>
      </c>
      <c r="H298" s="424">
        <v>79.040000000000006</v>
      </c>
      <c r="I298" s="424"/>
      <c r="J298" s="424"/>
      <c r="K298" s="424">
        <v>79.040000000000006</v>
      </c>
      <c r="L298" s="424">
        <f t="shared" si="28"/>
        <v>79.040000000000006</v>
      </c>
      <c r="M298" s="424">
        <f t="shared" si="29"/>
        <v>79.040000000000006</v>
      </c>
      <c r="N298" s="478">
        <f t="shared" si="27"/>
        <v>0</v>
      </c>
      <c r="O298" s="530"/>
      <c r="P298" s="264" t="s">
        <v>242</v>
      </c>
      <c r="Q298" s="11" t="s">
        <v>243</v>
      </c>
      <c r="R298" s="574"/>
      <c r="S298" s="427"/>
    </row>
    <row r="299" spans="1:19" ht="33">
      <c r="A299" s="421" t="s">
        <v>2359</v>
      </c>
      <c r="B299" s="422" t="s">
        <v>869</v>
      </c>
      <c r="C299" s="423" t="s">
        <v>669</v>
      </c>
      <c r="D299" s="424">
        <v>1</v>
      </c>
      <c r="E299" s="424">
        <v>1</v>
      </c>
      <c r="F299" s="424">
        <f>估驗單!F295</f>
        <v>1</v>
      </c>
      <c r="G299" s="478">
        <f t="shared" si="26"/>
        <v>0</v>
      </c>
      <c r="H299" s="424">
        <v>99.64</v>
      </c>
      <c r="I299" s="424"/>
      <c r="J299" s="424"/>
      <c r="K299" s="424">
        <v>99.64</v>
      </c>
      <c r="L299" s="424">
        <f t="shared" si="28"/>
        <v>99.64</v>
      </c>
      <c r="M299" s="424">
        <f t="shared" si="29"/>
        <v>99.64</v>
      </c>
      <c r="N299" s="478">
        <f t="shared" si="27"/>
        <v>0</v>
      </c>
      <c r="O299" s="530"/>
      <c r="P299" s="264" t="s">
        <v>242</v>
      </c>
      <c r="Q299" s="11" t="s">
        <v>243</v>
      </c>
      <c r="R299" s="574"/>
      <c r="S299" s="427"/>
    </row>
    <row r="300" spans="1:19" ht="33">
      <c r="A300" s="421" t="s">
        <v>2360</v>
      </c>
      <c r="B300" s="422" t="s">
        <v>872</v>
      </c>
      <c r="C300" s="423" t="s">
        <v>669</v>
      </c>
      <c r="D300" s="424">
        <v>1</v>
      </c>
      <c r="E300" s="424">
        <v>1</v>
      </c>
      <c r="F300" s="424">
        <f>估驗單!F296</f>
        <v>1</v>
      </c>
      <c r="G300" s="478">
        <f t="shared" si="26"/>
        <v>0</v>
      </c>
      <c r="H300" s="424">
        <v>74.92</v>
      </c>
      <c r="I300" s="424"/>
      <c r="J300" s="424"/>
      <c r="K300" s="424">
        <v>74.92</v>
      </c>
      <c r="L300" s="424">
        <f t="shared" si="28"/>
        <v>74.92</v>
      </c>
      <c r="M300" s="424">
        <f t="shared" si="29"/>
        <v>74.92</v>
      </c>
      <c r="N300" s="478">
        <f t="shared" si="27"/>
        <v>0</v>
      </c>
      <c r="O300" s="530"/>
      <c r="P300" s="264" t="s">
        <v>242</v>
      </c>
      <c r="Q300" s="11" t="s">
        <v>243</v>
      </c>
      <c r="R300" s="574"/>
      <c r="S300" s="427"/>
    </row>
    <row r="301" spans="1:19" ht="33">
      <c r="A301" s="421" t="s">
        <v>2361</v>
      </c>
      <c r="B301" s="422" t="s">
        <v>875</v>
      </c>
      <c r="C301" s="423" t="s">
        <v>669</v>
      </c>
      <c r="D301" s="424">
        <v>1</v>
      </c>
      <c r="E301" s="424">
        <v>1</v>
      </c>
      <c r="F301" s="424">
        <f>估驗單!F297</f>
        <v>1</v>
      </c>
      <c r="G301" s="478">
        <f t="shared" si="26"/>
        <v>0</v>
      </c>
      <c r="H301" s="424">
        <v>72.28</v>
      </c>
      <c r="I301" s="424"/>
      <c r="J301" s="424"/>
      <c r="K301" s="424">
        <v>72.28</v>
      </c>
      <c r="L301" s="424">
        <f t="shared" si="28"/>
        <v>72.28</v>
      </c>
      <c r="M301" s="424">
        <f t="shared" si="29"/>
        <v>72.28</v>
      </c>
      <c r="N301" s="478">
        <f t="shared" si="27"/>
        <v>0</v>
      </c>
      <c r="O301" s="530"/>
      <c r="P301" s="264" t="s">
        <v>242</v>
      </c>
      <c r="Q301" s="11" t="s">
        <v>243</v>
      </c>
      <c r="R301" s="574"/>
      <c r="S301" s="427"/>
    </row>
    <row r="302" spans="1:19" ht="33">
      <c r="A302" s="421" t="s">
        <v>2362</v>
      </c>
      <c r="B302" s="422" t="s">
        <v>878</v>
      </c>
      <c r="C302" s="423" t="s">
        <v>13</v>
      </c>
      <c r="D302" s="424">
        <v>1</v>
      </c>
      <c r="E302" s="424">
        <v>1</v>
      </c>
      <c r="F302" s="424">
        <f>估驗單!F298</f>
        <v>1</v>
      </c>
      <c r="G302" s="478">
        <f t="shared" si="26"/>
        <v>0</v>
      </c>
      <c r="H302" s="424">
        <v>43.77</v>
      </c>
      <c r="I302" s="424"/>
      <c r="J302" s="424"/>
      <c r="K302" s="424">
        <v>43.77</v>
      </c>
      <c r="L302" s="424">
        <f t="shared" si="28"/>
        <v>43.77</v>
      </c>
      <c r="M302" s="424">
        <f t="shared" si="29"/>
        <v>43.77</v>
      </c>
      <c r="N302" s="478">
        <f t="shared" si="27"/>
        <v>0</v>
      </c>
      <c r="O302" s="530"/>
      <c r="P302" s="264" t="s">
        <v>242</v>
      </c>
      <c r="Q302" s="11" t="s">
        <v>243</v>
      </c>
      <c r="R302" s="574"/>
      <c r="S302" s="427"/>
    </row>
    <row r="303" spans="1:19" ht="33">
      <c r="A303" s="421" t="s">
        <v>2363</v>
      </c>
      <c r="B303" s="422" t="s">
        <v>881</v>
      </c>
      <c r="C303" s="423" t="s">
        <v>882</v>
      </c>
      <c r="D303" s="424">
        <v>1</v>
      </c>
      <c r="E303" s="424">
        <v>1</v>
      </c>
      <c r="F303" s="424">
        <f>估驗單!F299</f>
        <v>1</v>
      </c>
      <c r="G303" s="478">
        <f t="shared" si="26"/>
        <v>0</v>
      </c>
      <c r="H303" s="424">
        <v>28.11</v>
      </c>
      <c r="I303" s="424"/>
      <c r="J303" s="424"/>
      <c r="K303" s="424">
        <v>28.11</v>
      </c>
      <c r="L303" s="424">
        <f t="shared" si="28"/>
        <v>28.11</v>
      </c>
      <c r="M303" s="424">
        <f t="shared" si="29"/>
        <v>28.11</v>
      </c>
      <c r="N303" s="478">
        <f t="shared" si="27"/>
        <v>0</v>
      </c>
      <c r="O303" s="530"/>
      <c r="P303" s="264" t="s">
        <v>242</v>
      </c>
      <c r="Q303" s="11" t="s">
        <v>243</v>
      </c>
      <c r="R303" s="574"/>
      <c r="S303" s="427"/>
    </row>
    <row r="304" spans="1:19" ht="33">
      <c r="A304" s="421" t="s">
        <v>2364</v>
      </c>
      <c r="B304" s="422" t="s">
        <v>885</v>
      </c>
      <c r="C304" s="423" t="s">
        <v>13</v>
      </c>
      <c r="D304" s="424">
        <v>1</v>
      </c>
      <c r="E304" s="424">
        <v>1</v>
      </c>
      <c r="F304" s="424">
        <f>估驗單!F300</f>
        <v>1</v>
      </c>
      <c r="G304" s="478">
        <f t="shared" si="26"/>
        <v>0</v>
      </c>
      <c r="H304" s="424">
        <v>239.86</v>
      </c>
      <c r="I304" s="424"/>
      <c r="J304" s="424"/>
      <c r="K304" s="424">
        <v>239.86</v>
      </c>
      <c r="L304" s="424">
        <f t="shared" si="28"/>
        <v>239.86</v>
      </c>
      <c r="M304" s="424">
        <f t="shared" si="29"/>
        <v>239.86</v>
      </c>
      <c r="N304" s="478">
        <f t="shared" si="27"/>
        <v>0</v>
      </c>
      <c r="O304" s="530"/>
      <c r="P304" s="264" t="s">
        <v>2619</v>
      </c>
      <c r="Q304" s="11" t="s">
        <v>243</v>
      </c>
      <c r="R304" s="574"/>
      <c r="S304" s="427"/>
    </row>
    <row r="305" spans="1:22" s="440" customFormat="1" ht="45">
      <c r="A305" s="431">
        <v>76</v>
      </c>
      <c r="B305" s="432" t="s">
        <v>2620</v>
      </c>
      <c r="C305" s="433" t="s">
        <v>2595</v>
      </c>
      <c r="D305" s="428">
        <v>0</v>
      </c>
      <c r="E305" s="428">
        <v>1305</v>
      </c>
      <c r="F305" s="424">
        <f>估驗單!F301</f>
        <v>1305</v>
      </c>
      <c r="G305" s="478">
        <f t="shared" si="26"/>
        <v>0</v>
      </c>
      <c r="H305" s="428">
        <v>0</v>
      </c>
      <c r="I305" s="428"/>
      <c r="J305" s="428">
        <v>1765.46</v>
      </c>
      <c r="K305" s="428">
        <v>0</v>
      </c>
      <c r="L305" s="424">
        <f>ROUND(E305*J305,2)</f>
        <v>2303925.2999999998</v>
      </c>
      <c r="M305" s="424">
        <f>ROUND(F305*J305,2)</f>
        <v>2303925.2999999998</v>
      </c>
      <c r="N305" s="478">
        <f t="shared" si="27"/>
        <v>0</v>
      </c>
      <c r="O305" s="530"/>
      <c r="P305" s="438" t="s">
        <v>2621</v>
      </c>
      <c r="Q305" s="435"/>
      <c r="R305" s="465" t="s">
        <v>2622</v>
      </c>
      <c r="S305" s="437" t="s">
        <v>2623</v>
      </c>
      <c r="T305" s="413" t="s">
        <v>2624</v>
      </c>
      <c r="V305" s="460" t="s">
        <v>2625</v>
      </c>
    </row>
    <row r="306" spans="1:22" s="451" customFormat="1" ht="31.5" customHeight="1">
      <c r="A306" s="431">
        <v>77</v>
      </c>
      <c r="B306" s="432" t="s">
        <v>1508</v>
      </c>
      <c r="C306" s="433" t="s">
        <v>1509</v>
      </c>
      <c r="D306" s="428">
        <v>0</v>
      </c>
      <c r="E306" s="428">
        <f>9*1702</f>
        <v>15318</v>
      </c>
      <c r="F306" s="424">
        <f>估驗單!F302</f>
        <v>15318</v>
      </c>
      <c r="G306" s="506">
        <f t="shared" si="26"/>
        <v>0</v>
      </c>
      <c r="H306" s="428">
        <v>149.99</v>
      </c>
      <c r="I306" s="428"/>
      <c r="J306" s="428"/>
      <c r="K306" s="428">
        <f>H306*D306</f>
        <v>0</v>
      </c>
      <c r="L306" s="424">
        <f t="shared" si="28"/>
        <v>2297546.8199999998</v>
      </c>
      <c r="M306" s="424">
        <f t="shared" si="29"/>
        <v>2297546.8199999998</v>
      </c>
      <c r="N306" s="478">
        <f t="shared" si="27"/>
        <v>0</v>
      </c>
      <c r="O306" s="528"/>
      <c r="P306" s="434"/>
      <c r="Q306" s="435"/>
      <c r="R306" s="574" t="s">
        <v>2626</v>
      </c>
      <c r="S306" s="410" t="s">
        <v>2627</v>
      </c>
      <c r="T306" s="413" t="s">
        <v>2609</v>
      </c>
    </row>
    <row r="307" spans="1:22" ht="33">
      <c r="A307" s="494" t="s">
        <v>2382</v>
      </c>
      <c r="B307" s="495" t="s">
        <v>888</v>
      </c>
      <c r="C307" s="496" t="s">
        <v>4</v>
      </c>
      <c r="D307" s="497">
        <v>1</v>
      </c>
      <c r="E307" s="497"/>
      <c r="F307" s="497">
        <f>估驗單!F303</f>
        <v>1</v>
      </c>
      <c r="G307" s="498">
        <f t="shared" si="26"/>
        <v>1</v>
      </c>
      <c r="H307" s="497">
        <v>5050770.37</v>
      </c>
      <c r="I307" s="497"/>
      <c r="J307" s="497"/>
      <c r="K307" s="497">
        <v>5050770.37</v>
      </c>
      <c r="L307" s="497">
        <f>SUM(L308:L340)</f>
        <v>5050770.370000001</v>
      </c>
      <c r="M307" s="497">
        <f t="shared" ref="M307:O307" si="30">SUM(M308:M340)</f>
        <v>5050770.370000001</v>
      </c>
      <c r="N307" s="497">
        <f t="shared" si="30"/>
        <v>0</v>
      </c>
      <c r="O307" s="532">
        <f t="shared" si="30"/>
        <v>0</v>
      </c>
      <c r="P307" s="356" t="s">
        <v>242</v>
      </c>
      <c r="Q307" s="11" t="s">
        <v>243</v>
      </c>
      <c r="R307" s="578"/>
      <c r="S307" s="427"/>
    </row>
    <row r="308" spans="1:22" ht="33">
      <c r="A308" s="421" t="s">
        <v>2288</v>
      </c>
      <c r="B308" s="422" t="s">
        <v>890</v>
      </c>
      <c r="C308" s="423" t="s">
        <v>4</v>
      </c>
      <c r="D308" s="424">
        <v>1</v>
      </c>
      <c r="E308" s="424">
        <v>1</v>
      </c>
      <c r="F308" s="424">
        <f>估驗單!F304</f>
        <v>1</v>
      </c>
      <c r="G308" s="478">
        <f t="shared" si="26"/>
        <v>0</v>
      </c>
      <c r="H308" s="424">
        <v>88179.19</v>
      </c>
      <c r="I308" s="424"/>
      <c r="J308" s="424"/>
      <c r="K308" s="424">
        <v>88179.19</v>
      </c>
      <c r="L308" s="424">
        <f t="shared" ref="L308:L350" si="31">ROUND(E308*H308,2)</f>
        <v>88179.19</v>
      </c>
      <c r="M308" s="424">
        <f t="shared" ref="M308:M350" si="32">ROUND(F308*H308,2)</f>
        <v>88179.19</v>
      </c>
      <c r="N308" s="478">
        <f t="shared" ref="N308:N340" si="33">IF(L308-M308&lt;0+AND(L308&lt;&gt;0),M308-L308,"      ")</f>
        <v>0</v>
      </c>
      <c r="O308" s="530"/>
      <c r="P308" s="264" t="s">
        <v>242</v>
      </c>
      <c r="Q308" s="11" t="s">
        <v>243</v>
      </c>
      <c r="R308" s="574"/>
      <c r="S308" s="427"/>
    </row>
    <row r="309" spans="1:22" ht="33">
      <c r="A309" s="421" t="s">
        <v>2289</v>
      </c>
      <c r="B309" s="422" t="s">
        <v>893</v>
      </c>
      <c r="C309" s="423" t="s">
        <v>4</v>
      </c>
      <c r="D309" s="424">
        <v>1</v>
      </c>
      <c r="E309" s="424">
        <v>1</v>
      </c>
      <c r="F309" s="424">
        <f>估驗單!F305</f>
        <v>1</v>
      </c>
      <c r="G309" s="478">
        <f t="shared" si="26"/>
        <v>0</v>
      </c>
      <c r="H309" s="424">
        <v>149702.84</v>
      </c>
      <c r="I309" s="424"/>
      <c r="J309" s="424"/>
      <c r="K309" s="424">
        <v>149702.84</v>
      </c>
      <c r="L309" s="424">
        <f t="shared" si="31"/>
        <v>149702.84</v>
      </c>
      <c r="M309" s="424">
        <f t="shared" si="32"/>
        <v>149702.84</v>
      </c>
      <c r="N309" s="478">
        <f t="shared" si="33"/>
        <v>0</v>
      </c>
      <c r="O309" s="530"/>
      <c r="P309" s="264" t="s">
        <v>242</v>
      </c>
      <c r="Q309" s="11" t="s">
        <v>243</v>
      </c>
      <c r="R309" s="574"/>
      <c r="S309" s="427"/>
    </row>
    <row r="310" spans="1:22" ht="33">
      <c r="A310" s="421" t="s">
        <v>2290</v>
      </c>
      <c r="B310" s="422" t="s">
        <v>896</v>
      </c>
      <c r="C310" s="423" t="s">
        <v>4</v>
      </c>
      <c r="D310" s="424">
        <v>1</v>
      </c>
      <c r="E310" s="424">
        <v>1</v>
      </c>
      <c r="F310" s="424">
        <f>估驗單!F306</f>
        <v>1</v>
      </c>
      <c r="G310" s="478">
        <f t="shared" si="26"/>
        <v>0</v>
      </c>
      <c r="H310" s="424">
        <v>168290.82</v>
      </c>
      <c r="I310" s="424"/>
      <c r="J310" s="424"/>
      <c r="K310" s="424">
        <v>168290.82</v>
      </c>
      <c r="L310" s="424">
        <f t="shared" si="31"/>
        <v>168290.82</v>
      </c>
      <c r="M310" s="424">
        <f t="shared" si="32"/>
        <v>168290.82</v>
      </c>
      <c r="N310" s="478">
        <f t="shared" si="33"/>
        <v>0</v>
      </c>
      <c r="O310" s="530"/>
      <c r="P310" s="264" t="s">
        <v>242</v>
      </c>
      <c r="Q310" s="11" t="s">
        <v>243</v>
      </c>
      <c r="R310" s="574"/>
      <c r="S310" s="427"/>
    </row>
    <row r="311" spans="1:22" ht="33">
      <c r="A311" s="421" t="s">
        <v>2291</v>
      </c>
      <c r="B311" s="422" t="s">
        <v>899</v>
      </c>
      <c r="C311" s="423" t="s">
        <v>4</v>
      </c>
      <c r="D311" s="424">
        <v>1</v>
      </c>
      <c r="E311" s="424">
        <v>1</v>
      </c>
      <c r="F311" s="424">
        <f>估驗單!F307</f>
        <v>1</v>
      </c>
      <c r="G311" s="478">
        <f t="shared" si="26"/>
        <v>0</v>
      </c>
      <c r="H311" s="424">
        <v>23946.69</v>
      </c>
      <c r="I311" s="424"/>
      <c r="J311" s="424"/>
      <c r="K311" s="424">
        <v>23946.69</v>
      </c>
      <c r="L311" s="424">
        <f t="shared" si="31"/>
        <v>23946.69</v>
      </c>
      <c r="M311" s="424">
        <f t="shared" si="32"/>
        <v>23946.69</v>
      </c>
      <c r="N311" s="478">
        <f t="shared" si="33"/>
        <v>0</v>
      </c>
      <c r="O311" s="530"/>
      <c r="P311" s="264" t="s">
        <v>242</v>
      </c>
      <c r="Q311" s="11" t="s">
        <v>243</v>
      </c>
      <c r="R311" s="574"/>
      <c r="S311" s="427"/>
    </row>
    <row r="312" spans="1:22" s="413" customFormat="1" ht="42.75">
      <c r="A312" s="421" t="s">
        <v>2292</v>
      </c>
      <c r="B312" s="422" t="s">
        <v>902</v>
      </c>
      <c r="C312" s="423" t="s">
        <v>0</v>
      </c>
      <c r="D312" s="424">
        <v>11</v>
      </c>
      <c r="E312" s="424">
        <v>11</v>
      </c>
      <c r="F312" s="424">
        <f>估驗單!F308</f>
        <v>11</v>
      </c>
      <c r="G312" s="478">
        <f t="shared" si="26"/>
        <v>0</v>
      </c>
      <c r="H312" s="424">
        <v>42797.67</v>
      </c>
      <c r="I312" s="424"/>
      <c r="J312" s="424"/>
      <c r="K312" s="424">
        <v>470774.37</v>
      </c>
      <c r="L312" s="424">
        <f t="shared" si="31"/>
        <v>470774.37</v>
      </c>
      <c r="M312" s="424">
        <f t="shared" si="32"/>
        <v>470774.37</v>
      </c>
      <c r="N312" s="478">
        <f t="shared" si="33"/>
        <v>0</v>
      </c>
      <c r="O312" s="530"/>
      <c r="P312" s="264" t="s">
        <v>2628</v>
      </c>
      <c r="Q312" s="11" t="s">
        <v>243</v>
      </c>
      <c r="R312" s="574"/>
      <c r="S312" s="427"/>
    </row>
    <row r="313" spans="1:22" s="413" customFormat="1" ht="33">
      <c r="A313" s="421" t="s">
        <v>2293</v>
      </c>
      <c r="B313" s="422" t="s">
        <v>905</v>
      </c>
      <c r="C313" s="423" t="s">
        <v>0</v>
      </c>
      <c r="D313" s="424">
        <v>9</v>
      </c>
      <c r="E313" s="424">
        <v>9</v>
      </c>
      <c r="F313" s="424">
        <f>估驗單!F309</f>
        <v>9</v>
      </c>
      <c r="G313" s="478">
        <f t="shared" si="26"/>
        <v>0</v>
      </c>
      <c r="H313" s="424">
        <v>60396.71</v>
      </c>
      <c r="I313" s="424"/>
      <c r="J313" s="424"/>
      <c r="K313" s="424">
        <v>543570.39</v>
      </c>
      <c r="L313" s="424">
        <f t="shared" si="31"/>
        <v>543570.39</v>
      </c>
      <c r="M313" s="424">
        <f t="shared" si="32"/>
        <v>543570.39</v>
      </c>
      <c r="N313" s="478">
        <f t="shared" si="33"/>
        <v>0</v>
      </c>
      <c r="O313" s="530"/>
      <c r="P313" s="264" t="s">
        <v>2530</v>
      </c>
      <c r="Q313" s="11" t="s">
        <v>243</v>
      </c>
      <c r="R313" s="574"/>
      <c r="S313" s="427"/>
    </row>
    <row r="314" spans="1:22" s="413" customFormat="1" ht="33">
      <c r="A314" s="421" t="s">
        <v>2294</v>
      </c>
      <c r="B314" s="422" t="s">
        <v>908</v>
      </c>
      <c r="C314" s="423" t="s">
        <v>0</v>
      </c>
      <c r="D314" s="424">
        <v>10</v>
      </c>
      <c r="E314" s="424">
        <v>10</v>
      </c>
      <c r="F314" s="424">
        <f>估驗單!F310</f>
        <v>10</v>
      </c>
      <c r="G314" s="478">
        <f t="shared" si="26"/>
        <v>0</v>
      </c>
      <c r="H314" s="424">
        <v>34998.089999999997</v>
      </c>
      <c r="I314" s="424"/>
      <c r="J314" s="424"/>
      <c r="K314" s="424">
        <v>349980.9</v>
      </c>
      <c r="L314" s="424">
        <f t="shared" si="31"/>
        <v>349980.9</v>
      </c>
      <c r="M314" s="424">
        <f t="shared" si="32"/>
        <v>349980.9</v>
      </c>
      <c r="N314" s="478">
        <f t="shared" si="33"/>
        <v>0</v>
      </c>
      <c r="O314" s="530"/>
      <c r="P314" s="264" t="s">
        <v>2530</v>
      </c>
      <c r="Q314" s="11" t="s">
        <v>243</v>
      </c>
      <c r="R314" s="574"/>
      <c r="S314" s="427"/>
    </row>
    <row r="315" spans="1:22" s="413" customFormat="1" ht="33">
      <c r="A315" s="421" t="s">
        <v>2295</v>
      </c>
      <c r="B315" s="422" t="s">
        <v>911</v>
      </c>
      <c r="C315" s="423" t="s">
        <v>0</v>
      </c>
      <c r="D315" s="424">
        <v>8</v>
      </c>
      <c r="E315" s="424">
        <v>8</v>
      </c>
      <c r="F315" s="424">
        <f>估驗單!F311</f>
        <v>8</v>
      </c>
      <c r="G315" s="478">
        <f t="shared" si="26"/>
        <v>0</v>
      </c>
      <c r="H315" s="424">
        <v>9999.4500000000007</v>
      </c>
      <c r="I315" s="424"/>
      <c r="J315" s="424"/>
      <c r="K315" s="424">
        <v>79995.600000000006</v>
      </c>
      <c r="L315" s="424">
        <f t="shared" si="31"/>
        <v>79995.600000000006</v>
      </c>
      <c r="M315" s="424">
        <f t="shared" si="32"/>
        <v>79995.600000000006</v>
      </c>
      <c r="N315" s="478">
        <f t="shared" si="33"/>
        <v>0</v>
      </c>
      <c r="O315" s="530"/>
      <c r="P315" s="264" t="s">
        <v>2530</v>
      </c>
      <c r="Q315" s="11" t="s">
        <v>243</v>
      </c>
      <c r="R315" s="574"/>
      <c r="S315" s="427"/>
    </row>
    <row r="316" spans="1:22" s="413" customFormat="1" ht="33">
      <c r="A316" s="421" t="s">
        <v>2296</v>
      </c>
      <c r="B316" s="422" t="s">
        <v>914</v>
      </c>
      <c r="C316" s="423" t="s">
        <v>15</v>
      </c>
      <c r="D316" s="424">
        <v>2</v>
      </c>
      <c r="E316" s="424">
        <v>2</v>
      </c>
      <c r="F316" s="424">
        <f>估驗單!F312</f>
        <v>2</v>
      </c>
      <c r="G316" s="478">
        <f t="shared" si="26"/>
        <v>0</v>
      </c>
      <c r="H316" s="424">
        <v>1499.92</v>
      </c>
      <c r="I316" s="424"/>
      <c r="J316" s="424"/>
      <c r="K316" s="424">
        <v>2999.84</v>
      </c>
      <c r="L316" s="424">
        <f t="shared" si="31"/>
        <v>2999.84</v>
      </c>
      <c r="M316" s="424">
        <f t="shared" si="32"/>
        <v>2999.84</v>
      </c>
      <c r="N316" s="478">
        <f t="shared" si="33"/>
        <v>0</v>
      </c>
      <c r="O316" s="530"/>
      <c r="P316" s="264" t="s">
        <v>242</v>
      </c>
      <c r="Q316" s="11" t="s">
        <v>243</v>
      </c>
      <c r="R316" s="574"/>
      <c r="S316" s="427"/>
    </row>
    <row r="317" spans="1:22" s="413" customFormat="1" ht="33">
      <c r="A317" s="421" t="s">
        <v>2297</v>
      </c>
      <c r="B317" s="422" t="s">
        <v>917</v>
      </c>
      <c r="C317" s="423" t="s">
        <v>15</v>
      </c>
      <c r="D317" s="424">
        <v>2</v>
      </c>
      <c r="E317" s="424">
        <v>2</v>
      </c>
      <c r="F317" s="424">
        <f>估驗單!F313</f>
        <v>2</v>
      </c>
      <c r="G317" s="478">
        <f t="shared" si="26"/>
        <v>0</v>
      </c>
      <c r="H317" s="424">
        <v>3999.78</v>
      </c>
      <c r="I317" s="424"/>
      <c r="J317" s="424"/>
      <c r="K317" s="424">
        <v>7999.56</v>
      </c>
      <c r="L317" s="424">
        <f t="shared" si="31"/>
        <v>7999.56</v>
      </c>
      <c r="M317" s="424">
        <f t="shared" si="32"/>
        <v>7999.56</v>
      </c>
      <c r="N317" s="478">
        <f t="shared" si="33"/>
        <v>0</v>
      </c>
      <c r="O317" s="530"/>
      <c r="P317" s="264" t="s">
        <v>242</v>
      </c>
      <c r="Q317" s="11" t="s">
        <v>243</v>
      </c>
      <c r="R317" s="574"/>
      <c r="S317" s="427"/>
    </row>
    <row r="318" spans="1:22" s="413" customFormat="1" ht="33">
      <c r="A318" s="421" t="s">
        <v>2298</v>
      </c>
      <c r="B318" s="422" t="s">
        <v>920</v>
      </c>
      <c r="C318" s="423" t="s">
        <v>8</v>
      </c>
      <c r="D318" s="424">
        <v>44.6</v>
      </c>
      <c r="E318" s="424">
        <v>44.6</v>
      </c>
      <c r="F318" s="424">
        <f>估驗單!F314</f>
        <v>44.6</v>
      </c>
      <c r="G318" s="478">
        <f t="shared" si="26"/>
        <v>0</v>
      </c>
      <c r="H318" s="424">
        <v>799.96</v>
      </c>
      <c r="I318" s="424"/>
      <c r="J318" s="424"/>
      <c r="K318" s="424">
        <v>35678.22</v>
      </c>
      <c r="L318" s="424">
        <f t="shared" si="31"/>
        <v>35678.22</v>
      </c>
      <c r="M318" s="424">
        <f t="shared" si="32"/>
        <v>35678.22</v>
      </c>
      <c r="N318" s="478">
        <f t="shared" si="33"/>
        <v>0</v>
      </c>
      <c r="O318" s="530"/>
      <c r="P318" s="264" t="s">
        <v>242</v>
      </c>
      <c r="Q318" s="11" t="s">
        <v>243</v>
      </c>
      <c r="R318" s="574"/>
      <c r="S318" s="427"/>
    </row>
    <row r="319" spans="1:22" s="413" customFormat="1" ht="33">
      <c r="A319" s="421" t="s">
        <v>2299</v>
      </c>
      <c r="B319" s="422" t="s">
        <v>923</v>
      </c>
      <c r="C319" s="423" t="s">
        <v>15</v>
      </c>
      <c r="D319" s="424">
        <v>10</v>
      </c>
      <c r="E319" s="424">
        <v>10</v>
      </c>
      <c r="F319" s="424">
        <f>估驗單!F315</f>
        <v>10</v>
      </c>
      <c r="G319" s="478">
        <f t="shared" si="26"/>
        <v>0</v>
      </c>
      <c r="H319" s="424">
        <v>11299.38</v>
      </c>
      <c r="I319" s="424"/>
      <c r="J319" s="424"/>
      <c r="K319" s="424">
        <v>112993.8</v>
      </c>
      <c r="L319" s="424">
        <f t="shared" si="31"/>
        <v>112993.8</v>
      </c>
      <c r="M319" s="424">
        <f t="shared" si="32"/>
        <v>112993.8</v>
      </c>
      <c r="N319" s="478">
        <f t="shared" si="33"/>
        <v>0</v>
      </c>
      <c r="O319" s="530"/>
      <c r="P319" s="264" t="s">
        <v>242</v>
      </c>
      <c r="Q319" s="11" t="s">
        <v>243</v>
      </c>
      <c r="R319" s="574"/>
      <c r="S319" s="427"/>
    </row>
    <row r="320" spans="1:22" s="413" customFormat="1" ht="33">
      <c r="A320" s="421" t="s">
        <v>2300</v>
      </c>
      <c r="B320" s="422" t="s">
        <v>926</v>
      </c>
      <c r="C320" s="423" t="s">
        <v>15</v>
      </c>
      <c r="D320" s="424">
        <v>5</v>
      </c>
      <c r="E320" s="424">
        <v>5</v>
      </c>
      <c r="F320" s="424">
        <f>估驗單!F316</f>
        <v>5</v>
      </c>
      <c r="G320" s="478">
        <f t="shared" si="26"/>
        <v>0</v>
      </c>
      <c r="H320" s="424">
        <v>17999.02</v>
      </c>
      <c r="I320" s="424"/>
      <c r="J320" s="424"/>
      <c r="K320" s="424">
        <v>89995.1</v>
      </c>
      <c r="L320" s="424">
        <f t="shared" si="31"/>
        <v>89995.1</v>
      </c>
      <c r="M320" s="424">
        <f t="shared" si="32"/>
        <v>89995.1</v>
      </c>
      <c r="N320" s="478">
        <f t="shared" si="33"/>
        <v>0</v>
      </c>
      <c r="O320" s="530"/>
      <c r="P320" s="264" t="s">
        <v>242</v>
      </c>
      <c r="Q320" s="11" t="s">
        <v>243</v>
      </c>
      <c r="R320" s="574"/>
      <c r="S320" s="427"/>
    </row>
    <row r="321" spans="1:19" s="413" customFormat="1" ht="33">
      <c r="A321" s="421" t="s">
        <v>2301</v>
      </c>
      <c r="B321" s="422" t="s">
        <v>929</v>
      </c>
      <c r="C321" s="423" t="s">
        <v>15</v>
      </c>
      <c r="D321" s="424">
        <v>17</v>
      </c>
      <c r="E321" s="424">
        <v>17</v>
      </c>
      <c r="F321" s="424">
        <f>估驗單!F317</f>
        <v>17</v>
      </c>
      <c r="G321" s="478">
        <f t="shared" si="26"/>
        <v>0</v>
      </c>
      <c r="H321" s="424">
        <v>4199.7700000000004</v>
      </c>
      <c r="I321" s="424"/>
      <c r="J321" s="424"/>
      <c r="K321" s="424">
        <v>71396.09</v>
      </c>
      <c r="L321" s="424">
        <f t="shared" si="31"/>
        <v>71396.09</v>
      </c>
      <c r="M321" s="424">
        <f t="shared" si="32"/>
        <v>71396.09</v>
      </c>
      <c r="N321" s="478">
        <f t="shared" si="33"/>
        <v>0</v>
      </c>
      <c r="O321" s="530"/>
      <c r="P321" s="264" t="s">
        <v>242</v>
      </c>
      <c r="Q321" s="11" t="s">
        <v>243</v>
      </c>
      <c r="R321" s="574"/>
      <c r="S321" s="427"/>
    </row>
    <row r="322" spans="1:19" s="413" customFormat="1" ht="33">
      <c r="A322" s="421" t="s">
        <v>2302</v>
      </c>
      <c r="B322" s="422" t="s">
        <v>932</v>
      </c>
      <c r="C322" s="423" t="s">
        <v>290</v>
      </c>
      <c r="D322" s="424">
        <v>1</v>
      </c>
      <c r="E322" s="424">
        <v>1</v>
      </c>
      <c r="F322" s="424">
        <f>估驗單!F318</f>
        <v>1</v>
      </c>
      <c r="G322" s="478">
        <f t="shared" si="26"/>
        <v>0</v>
      </c>
      <c r="H322" s="424">
        <v>112957.32</v>
      </c>
      <c r="I322" s="424"/>
      <c r="J322" s="424"/>
      <c r="K322" s="424">
        <v>112957.32</v>
      </c>
      <c r="L322" s="424">
        <f t="shared" si="31"/>
        <v>112957.32</v>
      </c>
      <c r="M322" s="424">
        <f t="shared" si="32"/>
        <v>112957.32</v>
      </c>
      <c r="N322" s="478">
        <f t="shared" si="33"/>
        <v>0</v>
      </c>
      <c r="O322" s="530"/>
      <c r="P322" s="264" t="s">
        <v>2629</v>
      </c>
      <c r="Q322" s="11" t="s">
        <v>243</v>
      </c>
      <c r="R322" s="574"/>
      <c r="S322" s="427"/>
    </row>
    <row r="323" spans="1:19" s="413" customFormat="1" ht="57">
      <c r="A323" s="421" t="s">
        <v>2303</v>
      </c>
      <c r="B323" s="422" t="s">
        <v>935</v>
      </c>
      <c r="C323" s="423" t="s">
        <v>4</v>
      </c>
      <c r="D323" s="424">
        <v>1</v>
      </c>
      <c r="E323" s="424">
        <v>1</v>
      </c>
      <c r="F323" s="424">
        <f>估驗單!F319</f>
        <v>1</v>
      </c>
      <c r="G323" s="478">
        <f t="shared" si="26"/>
        <v>0</v>
      </c>
      <c r="H323" s="424">
        <v>322482.40999999997</v>
      </c>
      <c r="I323" s="424"/>
      <c r="J323" s="424"/>
      <c r="K323" s="424">
        <v>322482.40999999997</v>
      </c>
      <c r="L323" s="424">
        <f t="shared" si="31"/>
        <v>322482.40999999997</v>
      </c>
      <c r="M323" s="424">
        <f t="shared" si="32"/>
        <v>322482.40999999997</v>
      </c>
      <c r="N323" s="478">
        <f t="shared" si="33"/>
        <v>0</v>
      </c>
      <c r="O323" s="530"/>
      <c r="P323" s="264" t="s">
        <v>2630</v>
      </c>
      <c r="Q323" s="11" t="s">
        <v>243</v>
      </c>
      <c r="R323" s="574"/>
      <c r="S323" s="427"/>
    </row>
    <row r="324" spans="1:19" s="413" customFormat="1" ht="33">
      <c r="A324" s="421" t="s">
        <v>2304</v>
      </c>
      <c r="B324" s="422" t="s">
        <v>938</v>
      </c>
      <c r="C324" s="423" t="s">
        <v>15</v>
      </c>
      <c r="D324" s="424">
        <v>17</v>
      </c>
      <c r="E324" s="424">
        <v>17</v>
      </c>
      <c r="F324" s="424">
        <f>估驗單!F320</f>
        <v>17</v>
      </c>
      <c r="G324" s="478">
        <f t="shared" si="26"/>
        <v>0</v>
      </c>
      <c r="H324" s="424">
        <v>99994.55</v>
      </c>
      <c r="I324" s="424"/>
      <c r="J324" s="424"/>
      <c r="K324" s="424">
        <v>1699907.35</v>
      </c>
      <c r="L324" s="424">
        <f t="shared" si="31"/>
        <v>1699907.35</v>
      </c>
      <c r="M324" s="424">
        <f t="shared" si="32"/>
        <v>1699907.35</v>
      </c>
      <c r="N324" s="478">
        <f t="shared" si="33"/>
        <v>0</v>
      </c>
      <c r="O324" s="530"/>
      <c r="P324" s="264" t="s">
        <v>242</v>
      </c>
      <c r="Q324" s="11" t="s">
        <v>243</v>
      </c>
      <c r="R324" s="574"/>
      <c r="S324" s="427"/>
    </row>
    <row r="325" spans="1:19" s="413" customFormat="1" ht="33">
      <c r="A325" s="421" t="s">
        <v>2305</v>
      </c>
      <c r="B325" s="422" t="s">
        <v>941</v>
      </c>
      <c r="C325" s="423" t="s">
        <v>583</v>
      </c>
      <c r="D325" s="424">
        <v>2</v>
      </c>
      <c r="E325" s="424">
        <v>2</v>
      </c>
      <c r="F325" s="424">
        <f>估驗單!F321</f>
        <v>2</v>
      </c>
      <c r="G325" s="478">
        <f t="shared" si="26"/>
        <v>0</v>
      </c>
      <c r="H325" s="424">
        <v>14999.18</v>
      </c>
      <c r="I325" s="424"/>
      <c r="J325" s="424"/>
      <c r="K325" s="424">
        <v>29998.36</v>
      </c>
      <c r="L325" s="424">
        <f t="shared" si="31"/>
        <v>29998.36</v>
      </c>
      <c r="M325" s="424">
        <f t="shared" si="32"/>
        <v>29998.36</v>
      </c>
      <c r="N325" s="478">
        <f t="shared" si="33"/>
        <v>0</v>
      </c>
      <c r="O325" s="530"/>
      <c r="P325" s="264" t="s">
        <v>2530</v>
      </c>
      <c r="Q325" s="11" t="s">
        <v>243</v>
      </c>
      <c r="R325" s="574"/>
      <c r="S325" s="427"/>
    </row>
    <row r="326" spans="1:19" s="413" customFormat="1" ht="33">
      <c r="A326" s="421" t="s">
        <v>2306</v>
      </c>
      <c r="B326" s="422" t="s">
        <v>944</v>
      </c>
      <c r="C326" s="423" t="s">
        <v>15</v>
      </c>
      <c r="D326" s="424">
        <v>1</v>
      </c>
      <c r="E326" s="424">
        <v>1</v>
      </c>
      <c r="F326" s="424">
        <f>估驗單!F322</f>
        <v>1</v>
      </c>
      <c r="G326" s="478">
        <f t="shared" si="26"/>
        <v>0</v>
      </c>
      <c r="H326" s="424">
        <v>1499.92</v>
      </c>
      <c r="I326" s="424"/>
      <c r="J326" s="424"/>
      <c r="K326" s="424">
        <v>1499.92</v>
      </c>
      <c r="L326" s="424">
        <f t="shared" si="31"/>
        <v>1499.92</v>
      </c>
      <c r="M326" s="424">
        <f t="shared" si="32"/>
        <v>1499.92</v>
      </c>
      <c r="N326" s="478">
        <f t="shared" si="33"/>
        <v>0</v>
      </c>
      <c r="O326" s="530"/>
      <c r="P326" s="264" t="s">
        <v>2631</v>
      </c>
      <c r="Q326" s="11" t="s">
        <v>243</v>
      </c>
      <c r="R326" s="574"/>
      <c r="S326" s="427"/>
    </row>
    <row r="327" spans="1:19" s="413" customFormat="1" ht="33">
      <c r="A327" s="421" t="s">
        <v>2307</v>
      </c>
      <c r="B327" s="422" t="s">
        <v>947</v>
      </c>
      <c r="C327" s="423" t="s">
        <v>19</v>
      </c>
      <c r="D327" s="424">
        <v>2</v>
      </c>
      <c r="E327" s="424">
        <v>2</v>
      </c>
      <c r="F327" s="424">
        <f>估驗單!F323</f>
        <v>2</v>
      </c>
      <c r="G327" s="478">
        <f t="shared" si="26"/>
        <v>0</v>
      </c>
      <c r="H327" s="424">
        <v>2599.86</v>
      </c>
      <c r="I327" s="424"/>
      <c r="J327" s="424"/>
      <c r="K327" s="424">
        <v>5199.72</v>
      </c>
      <c r="L327" s="424">
        <f t="shared" si="31"/>
        <v>5199.72</v>
      </c>
      <c r="M327" s="424">
        <f t="shared" si="32"/>
        <v>5199.72</v>
      </c>
      <c r="N327" s="478">
        <f t="shared" si="33"/>
        <v>0</v>
      </c>
      <c r="O327" s="530"/>
      <c r="P327" s="264" t="s">
        <v>242</v>
      </c>
      <c r="Q327" s="11" t="s">
        <v>243</v>
      </c>
      <c r="R327" s="574"/>
      <c r="S327" s="427"/>
    </row>
    <row r="328" spans="1:19" ht="33">
      <c r="A328" s="421" t="s">
        <v>2308</v>
      </c>
      <c r="B328" s="422" t="s">
        <v>950</v>
      </c>
      <c r="C328" s="423" t="s">
        <v>19</v>
      </c>
      <c r="D328" s="424">
        <v>9</v>
      </c>
      <c r="E328" s="424">
        <v>9</v>
      </c>
      <c r="F328" s="424">
        <f>估驗單!F324</f>
        <v>9</v>
      </c>
      <c r="G328" s="478">
        <f t="shared" si="26"/>
        <v>0</v>
      </c>
      <c r="H328" s="424">
        <v>4459.76</v>
      </c>
      <c r="I328" s="424"/>
      <c r="J328" s="424"/>
      <c r="K328" s="424">
        <v>40137.839999999997</v>
      </c>
      <c r="L328" s="424">
        <f t="shared" si="31"/>
        <v>40137.839999999997</v>
      </c>
      <c r="M328" s="424">
        <f t="shared" si="32"/>
        <v>40137.839999999997</v>
      </c>
      <c r="N328" s="478">
        <f t="shared" si="33"/>
        <v>0</v>
      </c>
      <c r="O328" s="530"/>
      <c r="P328" s="264" t="s">
        <v>242</v>
      </c>
      <c r="Q328" s="11" t="s">
        <v>243</v>
      </c>
      <c r="R328" s="574"/>
      <c r="S328" s="427"/>
    </row>
    <row r="329" spans="1:19" ht="33">
      <c r="A329" s="421" t="s">
        <v>2309</v>
      </c>
      <c r="B329" s="422" t="s">
        <v>953</v>
      </c>
      <c r="C329" s="423" t="s">
        <v>8</v>
      </c>
      <c r="D329" s="424">
        <v>180</v>
      </c>
      <c r="E329" s="424">
        <v>180</v>
      </c>
      <c r="F329" s="424">
        <f>估驗單!F325</f>
        <v>180</v>
      </c>
      <c r="G329" s="478">
        <f t="shared" si="26"/>
        <v>0</v>
      </c>
      <c r="H329" s="424">
        <v>596.98</v>
      </c>
      <c r="I329" s="424"/>
      <c r="J329" s="424"/>
      <c r="K329" s="424">
        <v>107456.4</v>
      </c>
      <c r="L329" s="424">
        <f t="shared" si="31"/>
        <v>107456.4</v>
      </c>
      <c r="M329" s="424">
        <f t="shared" si="32"/>
        <v>107456.4</v>
      </c>
      <c r="N329" s="478">
        <f t="shared" si="33"/>
        <v>0</v>
      </c>
      <c r="O329" s="530"/>
      <c r="P329" s="264" t="s">
        <v>242</v>
      </c>
      <c r="Q329" s="11" t="s">
        <v>243</v>
      </c>
      <c r="R329" s="574"/>
      <c r="S329" s="427"/>
    </row>
    <row r="330" spans="1:19" ht="33">
      <c r="A330" s="421" t="s">
        <v>2311</v>
      </c>
      <c r="B330" s="422" t="s">
        <v>956</v>
      </c>
      <c r="C330" s="423" t="s">
        <v>8</v>
      </c>
      <c r="D330" s="424">
        <v>60</v>
      </c>
      <c r="E330" s="424">
        <v>60</v>
      </c>
      <c r="F330" s="424">
        <f>估驗單!F326</f>
        <v>60</v>
      </c>
      <c r="G330" s="478">
        <f t="shared" si="26"/>
        <v>0</v>
      </c>
      <c r="H330" s="424">
        <v>67.42</v>
      </c>
      <c r="I330" s="424"/>
      <c r="J330" s="424"/>
      <c r="K330" s="424">
        <v>4045.2</v>
      </c>
      <c r="L330" s="424">
        <f t="shared" si="31"/>
        <v>4045.2</v>
      </c>
      <c r="M330" s="424">
        <f t="shared" si="32"/>
        <v>4045.2</v>
      </c>
      <c r="N330" s="478">
        <f t="shared" si="33"/>
        <v>0</v>
      </c>
      <c r="O330" s="530"/>
      <c r="P330" s="264" t="s">
        <v>2530</v>
      </c>
      <c r="Q330" s="11" t="s">
        <v>243</v>
      </c>
      <c r="R330" s="574"/>
      <c r="S330" s="427"/>
    </row>
    <row r="331" spans="1:19" ht="33">
      <c r="A331" s="421" t="s">
        <v>2312</v>
      </c>
      <c r="B331" s="422" t="s">
        <v>959</v>
      </c>
      <c r="C331" s="423" t="s">
        <v>8</v>
      </c>
      <c r="D331" s="424">
        <v>1032</v>
      </c>
      <c r="E331" s="424">
        <v>1032</v>
      </c>
      <c r="F331" s="424">
        <f>估驗單!F327</f>
        <v>1032</v>
      </c>
      <c r="G331" s="478">
        <f t="shared" si="26"/>
        <v>0</v>
      </c>
      <c r="H331" s="424">
        <v>29.42</v>
      </c>
      <c r="I331" s="424"/>
      <c r="J331" s="424"/>
      <c r="K331" s="424">
        <v>30361.439999999999</v>
      </c>
      <c r="L331" s="424">
        <f t="shared" si="31"/>
        <v>30361.439999999999</v>
      </c>
      <c r="M331" s="424">
        <f t="shared" si="32"/>
        <v>30361.439999999999</v>
      </c>
      <c r="N331" s="478">
        <f t="shared" si="33"/>
        <v>0</v>
      </c>
      <c r="O331" s="530"/>
      <c r="P331" s="264" t="s">
        <v>242</v>
      </c>
      <c r="Q331" s="11" t="s">
        <v>243</v>
      </c>
      <c r="R331" s="574"/>
      <c r="S331" s="427"/>
    </row>
    <row r="332" spans="1:19" ht="33">
      <c r="A332" s="421" t="s">
        <v>2313</v>
      </c>
      <c r="B332" s="422" t="s">
        <v>962</v>
      </c>
      <c r="C332" s="423" t="s">
        <v>8</v>
      </c>
      <c r="D332" s="424">
        <v>1103</v>
      </c>
      <c r="E332" s="424">
        <v>1103</v>
      </c>
      <c r="F332" s="424">
        <f>估驗單!F328</f>
        <v>1103</v>
      </c>
      <c r="G332" s="478">
        <f t="shared" si="26"/>
        <v>0</v>
      </c>
      <c r="H332" s="424">
        <v>147.1</v>
      </c>
      <c r="I332" s="424"/>
      <c r="J332" s="424"/>
      <c r="K332" s="424">
        <v>162251.29999999999</v>
      </c>
      <c r="L332" s="424">
        <f t="shared" si="31"/>
        <v>162251.29999999999</v>
      </c>
      <c r="M332" s="424">
        <f t="shared" si="32"/>
        <v>162251.29999999999</v>
      </c>
      <c r="N332" s="478">
        <f t="shared" si="33"/>
        <v>0</v>
      </c>
      <c r="O332" s="530"/>
      <c r="P332" s="264" t="s">
        <v>242</v>
      </c>
      <c r="Q332" s="11" t="s">
        <v>243</v>
      </c>
      <c r="R332" s="574"/>
      <c r="S332" s="427"/>
    </row>
    <row r="333" spans="1:19" ht="42.75">
      <c r="A333" s="421" t="s">
        <v>2315</v>
      </c>
      <c r="B333" s="422" t="s">
        <v>219</v>
      </c>
      <c r="C333" s="423" t="s">
        <v>8</v>
      </c>
      <c r="D333" s="424">
        <v>2064</v>
      </c>
      <c r="E333" s="424">
        <v>2064</v>
      </c>
      <c r="F333" s="424">
        <f>估驗單!F329</f>
        <v>2064</v>
      </c>
      <c r="G333" s="478">
        <f t="shared" si="26"/>
        <v>0</v>
      </c>
      <c r="H333" s="424">
        <v>78.459999999999994</v>
      </c>
      <c r="I333" s="424"/>
      <c r="J333" s="424"/>
      <c r="K333" s="424">
        <v>161941.44</v>
      </c>
      <c r="L333" s="424">
        <f t="shared" si="31"/>
        <v>161941.44</v>
      </c>
      <c r="M333" s="424">
        <f t="shared" si="32"/>
        <v>161941.44</v>
      </c>
      <c r="N333" s="478">
        <f t="shared" si="33"/>
        <v>0</v>
      </c>
      <c r="O333" s="530"/>
      <c r="P333" s="264" t="s">
        <v>242</v>
      </c>
      <c r="Q333" s="11" t="s">
        <v>243</v>
      </c>
      <c r="R333" s="574"/>
      <c r="S333" s="427"/>
    </row>
    <row r="334" spans="1:19" ht="33">
      <c r="A334" s="421" t="s">
        <v>2316</v>
      </c>
      <c r="B334" s="422" t="s">
        <v>967</v>
      </c>
      <c r="C334" s="423" t="s">
        <v>4</v>
      </c>
      <c r="D334" s="424">
        <v>1</v>
      </c>
      <c r="E334" s="424">
        <v>1</v>
      </c>
      <c r="F334" s="424">
        <f>估驗單!F330</f>
        <v>1</v>
      </c>
      <c r="G334" s="478">
        <f t="shared" si="26"/>
        <v>0</v>
      </c>
      <c r="H334" s="424">
        <v>24062.69</v>
      </c>
      <c r="I334" s="424"/>
      <c r="J334" s="424"/>
      <c r="K334" s="424">
        <v>24062.69</v>
      </c>
      <c r="L334" s="424">
        <f t="shared" si="31"/>
        <v>24062.69</v>
      </c>
      <c r="M334" s="424">
        <f t="shared" si="32"/>
        <v>24062.69</v>
      </c>
      <c r="N334" s="478">
        <f t="shared" si="33"/>
        <v>0</v>
      </c>
      <c r="O334" s="530"/>
      <c r="P334" s="264" t="s">
        <v>2530</v>
      </c>
      <c r="Q334" s="11" t="s">
        <v>243</v>
      </c>
      <c r="R334" s="574"/>
      <c r="S334" s="427"/>
    </row>
    <row r="335" spans="1:19" ht="33">
      <c r="A335" s="421" t="s">
        <v>2317</v>
      </c>
      <c r="B335" s="422" t="s">
        <v>970</v>
      </c>
      <c r="C335" s="423" t="s">
        <v>8</v>
      </c>
      <c r="D335" s="424">
        <v>1011</v>
      </c>
      <c r="E335" s="424">
        <v>1011</v>
      </c>
      <c r="F335" s="424">
        <f>估驗單!F331</f>
        <v>1011</v>
      </c>
      <c r="G335" s="478">
        <f t="shared" si="26"/>
        <v>0</v>
      </c>
      <c r="H335" s="424">
        <v>35.549999999999997</v>
      </c>
      <c r="I335" s="424"/>
      <c r="J335" s="424"/>
      <c r="K335" s="424">
        <v>35941.050000000003</v>
      </c>
      <c r="L335" s="424">
        <f t="shared" si="31"/>
        <v>35941.050000000003</v>
      </c>
      <c r="M335" s="424">
        <f t="shared" si="32"/>
        <v>35941.050000000003</v>
      </c>
      <c r="N335" s="478">
        <f t="shared" si="33"/>
        <v>0</v>
      </c>
      <c r="O335" s="530"/>
      <c r="P335" s="264" t="s">
        <v>242</v>
      </c>
      <c r="Q335" s="11" t="s">
        <v>243</v>
      </c>
      <c r="R335" s="574"/>
      <c r="S335" s="427"/>
    </row>
    <row r="336" spans="1:19" ht="33">
      <c r="A336" s="421" t="s">
        <v>2318</v>
      </c>
      <c r="B336" s="422" t="s">
        <v>220</v>
      </c>
      <c r="C336" s="423" t="s">
        <v>8</v>
      </c>
      <c r="D336" s="424">
        <v>946</v>
      </c>
      <c r="E336" s="424">
        <v>946</v>
      </c>
      <c r="F336" s="424">
        <f>估驗單!F332</f>
        <v>946</v>
      </c>
      <c r="G336" s="478">
        <f t="shared" si="26"/>
        <v>0</v>
      </c>
      <c r="H336" s="424">
        <v>60.07</v>
      </c>
      <c r="I336" s="424"/>
      <c r="J336" s="424"/>
      <c r="K336" s="424">
        <v>56826.22</v>
      </c>
      <c r="L336" s="424">
        <f t="shared" si="31"/>
        <v>56826.22</v>
      </c>
      <c r="M336" s="424">
        <f t="shared" si="32"/>
        <v>56826.22</v>
      </c>
      <c r="N336" s="478">
        <f t="shared" si="33"/>
        <v>0</v>
      </c>
      <c r="O336" s="530"/>
      <c r="P336" s="264" t="s">
        <v>2530</v>
      </c>
      <c r="Q336" s="11" t="s">
        <v>243</v>
      </c>
      <c r="R336" s="574"/>
      <c r="S336" s="427"/>
    </row>
    <row r="337" spans="1:20" ht="33">
      <c r="A337" s="421" t="s">
        <v>2319</v>
      </c>
      <c r="B337" s="422" t="s">
        <v>975</v>
      </c>
      <c r="C337" s="423" t="s">
        <v>8</v>
      </c>
      <c r="D337" s="424">
        <v>55</v>
      </c>
      <c r="E337" s="424">
        <v>55</v>
      </c>
      <c r="F337" s="424">
        <f>估驗單!F333</f>
        <v>55</v>
      </c>
      <c r="G337" s="478">
        <f t="shared" si="26"/>
        <v>0</v>
      </c>
      <c r="H337" s="424">
        <v>125.03</v>
      </c>
      <c r="I337" s="424"/>
      <c r="J337" s="424"/>
      <c r="K337" s="424">
        <v>6876.65</v>
      </c>
      <c r="L337" s="424">
        <f t="shared" si="31"/>
        <v>6876.65</v>
      </c>
      <c r="M337" s="424">
        <f t="shared" si="32"/>
        <v>6876.65</v>
      </c>
      <c r="N337" s="478">
        <f t="shared" si="33"/>
        <v>0</v>
      </c>
      <c r="O337" s="530"/>
      <c r="P337" s="264" t="s">
        <v>242</v>
      </c>
      <c r="Q337" s="11" t="s">
        <v>243</v>
      </c>
      <c r="R337" s="574"/>
      <c r="S337" s="427"/>
    </row>
    <row r="338" spans="1:20" ht="33">
      <c r="A338" s="421" t="s">
        <v>2320</v>
      </c>
      <c r="B338" s="422" t="s">
        <v>978</v>
      </c>
      <c r="C338" s="423" t="s">
        <v>8</v>
      </c>
      <c r="D338" s="424">
        <v>22</v>
      </c>
      <c r="E338" s="424">
        <v>22</v>
      </c>
      <c r="F338" s="424">
        <f>估驗單!F334</f>
        <v>22</v>
      </c>
      <c r="G338" s="478">
        <f t="shared" si="26"/>
        <v>0</v>
      </c>
      <c r="H338" s="424">
        <v>178.97</v>
      </c>
      <c r="I338" s="424"/>
      <c r="J338" s="424"/>
      <c r="K338" s="424">
        <v>3937.34</v>
      </c>
      <c r="L338" s="424">
        <f t="shared" si="31"/>
        <v>3937.34</v>
      </c>
      <c r="M338" s="424">
        <f t="shared" si="32"/>
        <v>3937.34</v>
      </c>
      <c r="N338" s="478">
        <f t="shared" si="33"/>
        <v>0</v>
      </c>
      <c r="O338" s="530"/>
      <c r="P338" s="264" t="s">
        <v>242</v>
      </c>
      <c r="Q338" s="11" t="s">
        <v>243</v>
      </c>
      <c r="R338" s="574"/>
      <c r="S338" s="427"/>
    </row>
    <row r="339" spans="1:20" ht="33">
      <c r="A339" s="421" t="s">
        <v>2321</v>
      </c>
      <c r="B339" s="422" t="s">
        <v>981</v>
      </c>
      <c r="C339" s="423" t="s">
        <v>4</v>
      </c>
      <c r="D339" s="424">
        <v>1</v>
      </c>
      <c r="E339" s="424">
        <v>1</v>
      </c>
      <c r="F339" s="424">
        <f>估驗單!F335</f>
        <v>1</v>
      </c>
      <c r="G339" s="478">
        <f t="shared" si="26"/>
        <v>0</v>
      </c>
      <c r="H339" s="424">
        <v>19812.919999999998</v>
      </c>
      <c r="I339" s="424"/>
      <c r="J339" s="424"/>
      <c r="K339" s="424">
        <v>19812.919999999998</v>
      </c>
      <c r="L339" s="424">
        <f t="shared" si="31"/>
        <v>19812.919999999998</v>
      </c>
      <c r="M339" s="424">
        <f t="shared" si="32"/>
        <v>19812.919999999998</v>
      </c>
      <c r="N339" s="478">
        <f t="shared" si="33"/>
        <v>0</v>
      </c>
      <c r="O339" s="530"/>
      <c r="P339" s="264" t="s">
        <v>242</v>
      </c>
      <c r="Q339" s="11" t="s">
        <v>243</v>
      </c>
      <c r="R339" s="574"/>
      <c r="S339" s="427"/>
    </row>
    <row r="340" spans="1:20" ht="33">
      <c r="A340" s="421" t="s">
        <v>2322</v>
      </c>
      <c r="B340" s="422" t="s">
        <v>984</v>
      </c>
      <c r="C340" s="423" t="s">
        <v>4</v>
      </c>
      <c r="D340" s="424">
        <v>1</v>
      </c>
      <c r="E340" s="424">
        <v>1</v>
      </c>
      <c r="F340" s="424">
        <f>估驗單!F336</f>
        <v>1</v>
      </c>
      <c r="G340" s="478">
        <f t="shared" si="26"/>
        <v>0</v>
      </c>
      <c r="H340" s="424">
        <v>29571.39</v>
      </c>
      <c r="I340" s="424"/>
      <c r="J340" s="424"/>
      <c r="K340" s="424">
        <v>29571.39</v>
      </c>
      <c r="L340" s="424">
        <f t="shared" si="31"/>
        <v>29571.39</v>
      </c>
      <c r="M340" s="424">
        <f t="shared" si="32"/>
        <v>29571.39</v>
      </c>
      <c r="N340" s="478">
        <f t="shared" si="33"/>
        <v>0</v>
      </c>
      <c r="O340" s="530"/>
      <c r="P340" s="264" t="s">
        <v>242</v>
      </c>
      <c r="Q340" s="11" t="s">
        <v>243</v>
      </c>
      <c r="R340" s="574"/>
      <c r="S340" s="427"/>
    </row>
    <row r="341" spans="1:20" ht="33">
      <c r="A341" s="494" t="s">
        <v>2383</v>
      </c>
      <c r="B341" s="495" t="s">
        <v>987</v>
      </c>
      <c r="C341" s="496" t="s">
        <v>4</v>
      </c>
      <c r="D341" s="497">
        <v>1</v>
      </c>
      <c r="E341" s="497"/>
      <c r="F341" s="497"/>
      <c r="G341" s="498">
        <f t="shared" si="26"/>
        <v>0</v>
      </c>
      <c r="H341" s="497">
        <v>8290678.5700000003</v>
      </c>
      <c r="I341" s="497"/>
      <c r="J341" s="497"/>
      <c r="K341" s="497">
        <v>8290678.5700000003</v>
      </c>
      <c r="L341" s="539">
        <f>SUM(L342:L350)</f>
        <v>11249747.310000001</v>
      </c>
      <c r="M341" s="539">
        <f t="shared" ref="M341:O341" si="34">SUM(M342:M350)</f>
        <v>12704058.890000001</v>
      </c>
      <c r="N341" s="539">
        <f t="shared" si="34"/>
        <v>1454311.5800000003</v>
      </c>
      <c r="O341" s="540">
        <f t="shared" si="34"/>
        <v>0</v>
      </c>
      <c r="P341" s="356" t="s">
        <v>242</v>
      </c>
      <c r="Q341" s="11" t="s">
        <v>243</v>
      </c>
      <c r="R341" s="574"/>
      <c r="S341" s="427"/>
    </row>
    <row r="342" spans="1:20" ht="33">
      <c r="A342" s="421" t="s">
        <v>2288</v>
      </c>
      <c r="B342" s="422" t="s">
        <v>989</v>
      </c>
      <c r="C342" s="423" t="s">
        <v>8</v>
      </c>
      <c r="D342" s="424">
        <v>974.8</v>
      </c>
      <c r="E342" s="428">
        <f>估驗單!E338</f>
        <v>2576.8000000000002</v>
      </c>
      <c r="F342" s="424">
        <f>估驗單!F338</f>
        <v>2576.8000000000002</v>
      </c>
      <c r="G342" s="478"/>
      <c r="H342" s="428">
        <v>247.19</v>
      </c>
      <c r="I342" s="424"/>
      <c r="J342" s="428"/>
      <c r="K342" s="428">
        <v>240960.81</v>
      </c>
      <c r="L342" s="424">
        <f t="shared" si="31"/>
        <v>636959.18999999994</v>
      </c>
      <c r="M342" s="424">
        <f t="shared" si="32"/>
        <v>636959.18999999994</v>
      </c>
      <c r="N342" s="478">
        <f t="shared" ref="N342:N350" si="35">IF(L342-M342&lt;0+AND(L342&lt;&gt;0),M342-L342,"      ")</f>
        <v>0</v>
      </c>
      <c r="O342" s="530"/>
      <c r="P342" s="264" t="s">
        <v>2632</v>
      </c>
      <c r="Q342" s="11" t="s">
        <v>243</v>
      </c>
      <c r="R342" s="465" t="s">
        <v>2574</v>
      </c>
      <c r="S342" s="427" t="s">
        <v>2633</v>
      </c>
      <c r="T342" s="430" t="s">
        <v>2550</v>
      </c>
    </row>
    <row r="343" spans="1:20" ht="33">
      <c r="A343" s="421" t="s">
        <v>2289</v>
      </c>
      <c r="B343" s="422" t="s">
        <v>992</v>
      </c>
      <c r="C343" s="423" t="s">
        <v>8</v>
      </c>
      <c r="D343" s="424">
        <v>974.8</v>
      </c>
      <c r="E343" s="428">
        <f>估驗單!E339</f>
        <v>2576.8000000000002</v>
      </c>
      <c r="F343" s="424">
        <f>估驗單!F339</f>
        <v>2576.8000000000002</v>
      </c>
      <c r="G343" s="478"/>
      <c r="H343" s="428">
        <v>236.89</v>
      </c>
      <c r="I343" s="424"/>
      <c r="J343" s="428"/>
      <c r="K343" s="428">
        <v>230920.37</v>
      </c>
      <c r="L343" s="424">
        <f t="shared" si="31"/>
        <v>610418.15</v>
      </c>
      <c r="M343" s="424">
        <f t="shared" si="32"/>
        <v>610418.15</v>
      </c>
      <c r="N343" s="478">
        <f t="shared" si="35"/>
        <v>0</v>
      </c>
      <c r="O343" s="530"/>
      <c r="P343" s="264" t="s">
        <v>242</v>
      </c>
      <c r="Q343" s="11" t="s">
        <v>243</v>
      </c>
      <c r="R343" s="465" t="s">
        <v>2574</v>
      </c>
      <c r="S343" s="427" t="s">
        <v>2633</v>
      </c>
      <c r="T343" s="430" t="s">
        <v>2550</v>
      </c>
    </row>
    <row r="344" spans="1:20" s="413" customFormat="1" ht="45">
      <c r="A344" s="421" t="s">
        <v>2290</v>
      </c>
      <c r="B344" s="422" t="s">
        <v>995</v>
      </c>
      <c r="C344" s="423" t="s">
        <v>13</v>
      </c>
      <c r="D344" s="424">
        <v>6198</v>
      </c>
      <c r="E344" s="428">
        <f>估驗單!E340</f>
        <v>9215</v>
      </c>
      <c r="F344" s="424">
        <f>估驗單!F340</f>
        <v>9215</v>
      </c>
      <c r="G344" s="478">
        <f t="shared" si="26"/>
        <v>0</v>
      </c>
      <c r="H344" s="424">
        <v>252.34</v>
      </c>
      <c r="I344" s="424"/>
      <c r="J344" s="424"/>
      <c r="K344" s="424">
        <v>1564003.32</v>
      </c>
      <c r="L344" s="424">
        <f t="shared" si="31"/>
        <v>2325313.1</v>
      </c>
      <c r="M344" s="424">
        <f t="shared" si="32"/>
        <v>2325313.1</v>
      </c>
      <c r="N344" s="478">
        <f t="shared" si="35"/>
        <v>0</v>
      </c>
      <c r="O344" s="530"/>
      <c r="P344" s="264" t="s">
        <v>242</v>
      </c>
      <c r="Q344" s="11" t="s">
        <v>243</v>
      </c>
      <c r="R344" s="574" t="s">
        <v>2634</v>
      </c>
      <c r="S344" s="427" t="s">
        <v>2635</v>
      </c>
      <c r="T344" s="413" t="s">
        <v>2636</v>
      </c>
    </row>
    <row r="345" spans="1:20" s="413" customFormat="1" ht="42.75">
      <c r="A345" s="421" t="s">
        <v>2291</v>
      </c>
      <c r="B345" s="422" t="s">
        <v>998</v>
      </c>
      <c r="C345" s="423" t="s">
        <v>4</v>
      </c>
      <c r="D345" s="424">
        <v>1</v>
      </c>
      <c r="E345" s="428">
        <f>估驗單!E341</f>
        <v>1</v>
      </c>
      <c r="F345" s="424">
        <f>估驗單!F341</f>
        <v>1</v>
      </c>
      <c r="G345" s="478">
        <f t="shared" si="26"/>
        <v>0</v>
      </c>
      <c r="H345" s="424">
        <v>349980.91</v>
      </c>
      <c r="I345" s="424"/>
      <c r="J345" s="424"/>
      <c r="K345" s="424">
        <v>349980.91</v>
      </c>
      <c r="L345" s="424">
        <f t="shared" si="31"/>
        <v>349980.91</v>
      </c>
      <c r="M345" s="424">
        <f t="shared" si="32"/>
        <v>349980.91</v>
      </c>
      <c r="N345" s="478">
        <f t="shared" si="35"/>
        <v>0</v>
      </c>
      <c r="O345" s="530"/>
      <c r="P345" s="264" t="s">
        <v>2637</v>
      </c>
      <c r="Q345" s="11" t="s">
        <v>243</v>
      </c>
      <c r="R345" s="574"/>
      <c r="S345" s="427"/>
    </row>
    <row r="346" spans="1:20" s="413" customFormat="1" ht="33">
      <c r="A346" s="421" t="s">
        <v>2292</v>
      </c>
      <c r="B346" s="422" t="s">
        <v>1001</v>
      </c>
      <c r="C346" s="423" t="s">
        <v>16</v>
      </c>
      <c r="D346" s="424">
        <v>2052</v>
      </c>
      <c r="E346" s="428">
        <f>估驗單!E342</f>
        <v>2052</v>
      </c>
      <c r="F346" s="424">
        <f>估驗單!F342</f>
        <v>2752</v>
      </c>
      <c r="G346" s="478">
        <f t="shared" ref="G346:G409" si="36">F346-E346</f>
        <v>700</v>
      </c>
      <c r="H346" s="424">
        <v>931.07</v>
      </c>
      <c r="I346" s="424"/>
      <c r="J346" s="424"/>
      <c r="K346" s="424">
        <v>1910555.64</v>
      </c>
      <c r="L346" s="424">
        <f t="shared" si="31"/>
        <v>1910555.64</v>
      </c>
      <c r="M346" s="424">
        <f t="shared" si="32"/>
        <v>2562304.64</v>
      </c>
      <c r="N346" s="478">
        <f t="shared" si="35"/>
        <v>651749.00000000023</v>
      </c>
      <c r="O346" s="530"/>
      <c r="P346" s="264" t="s">
        <v>2638</v>
      </c>
      <c r="Q346" s="11" t="s">
        <v>243</v>
      </c>
      <c r="R346" s="574"/>
      <c r="S346" s="427"/>
    </row>
    <row r="347" spans="1:20" s="413" customFormat="1" ht="33.75">
      <c r="A347" s="421" t="s">
        <v>2293</v>
      </c>
      <c r="B347" s="422" t="s">
        <v>728</v>
      </c>
      <c r="C347" s="423" t="s">
        <v>6</v>
      </c>
      <c r="D347" s="424">
        <v>300</v>
      </c>
      <c r="E347" s="428">
        <f>估驗單!E343</f>
        <v>720</v>
      </c>
      <c r="F347" s="424">
        <f>估驗單!F343</f>
        <v>957</v>
      </c>
      <c r="G347" s="478">
        <f t="shared" si="36"/>
        <v>237</v>
      </c>
      <c r="H347" s="424">
        <v>3386.34</v>
      </c>
      <c r="I347" s="424"/>
      <c r="J347" s="424"/>
      <c r="K347" s="424">
        <v>1015902</v>
      </c>
      <c r="L347" s="424">
        <f t="shared" si="31"/>
        <v>2438164.7999999998</v>
      </c>
      <c r="M347" s="424">
        <f t="shared" si="32"/>
        <v>3240727.38</v>
      </c>
      <c r="N347" s="478">
        <f t="shared" si="35"/>
        <v>802562.58000000007</v>
      </c>
      <c r="O347" s="530"/>
      <c r="P347" s="264" t="s">
        <v>242</v>
      </c>
      <c r="Q347" s="11" t="s">
        <v>243</v>
      </c>
      <c r="R347" s="574" t="s">
        <v>2639</v>
      </c>
      <c r="S347" s="427" t="s">
        <v>2640</v>
      </c>
      <c r="T347" s="430" t="s">
        <v>2550</v>
      </c>
    </row>
    <row r="348" spans="1:20" s="413" customFormat="1" ht="42.75">
      <c r="A348" s="421" t="s">
        <v>2294</v>
      </c>
      <c r="B348" s="422" t="s">
        <v>1515</v>
      </c>
      <c r="C348" s="423" t="s">
        <v>8</v>
      </c>
      <c r="D348" s="424">
        <v>132</v>
      </c>
      <c r="E348" s="424">
        <v>132</v>
      </c>
      <c r="F348" s="424">
        <f>估驗單!F344</f>
        <v>132</v>
      </c>
      <c r="G348" s="478">
        <f t="shared" si="36"/>
        <v>0</v>
      </c>
      <c r="H348" s="424">
        <v>5107.6000000000004</v>
      </c>
      <c r="I348" s="424"/>
      <c r="J348" s="424"/>
      <c r="K348" s="424">
        <v>674203.2</v>
      </c>
      <c r="L348" s="424">
        <f t="shared" si="31"/>
        <v>674203.2</v>
      </c>
      <c r="M348" s="424">
        <f t="shared" si="32"/>
        <v>674203.2</v>
      </c>
      <c r="N348" s="478">
        <f t="shared" si="35"/>
        <v>0</v>
      </c>
      <c r="O348" s="530"/>
      <c r="P348" s="264" t="s">
        <v>2641</v>
      </c>
      <c r="Q348" s="11" t="s">
        <v>243</v>
      </c>
      <c r="R348" s="574"/>
      <c r="S348" s="427"/>
    </row>
    <row r="349" spans="1:20" s="413" customFormat="1" ht="42.75">
      <c r="A349" s="421" t="s">
        <v>2295</v>
      </c>
      <c r="B349" s="422" t="s">
        <v>1517</v>
      </c>
      <c r="C349" s="423" t="s">
        <v>8</v>
      </c>
      <c r="D349" s="424">
        <v>106</v>
      </c>
      <c r="E349" s="424">
        <v>106</v>
      </c>
      <c r="F349" s="424">
        <f>估驗單!F345</f>
        <v>106</v>
      </c>
      <c r="G349" s="478">
        <f t="shared" si="36"/>
        <v>0</v>
      </c>
      <c r="H349" s="424">
        <v>7385.08</v>
      </c>
      <c r="I349" s="424"/>
      <c r="J349" s="424"/>
      <c r="K349" s="424">
        <v>782818.48</v>
      </c>
      <c r="L349" s="424">
        <f t="shared" si="31"/>
        <v>782818.48</v>
      </c>
      <c r="M349" s="424">
        <f t="shared" si="32"/>
        <v>782818.48</v>
      </c>
      <c r="N349" s="478">
        <f t="shared" si="35"/>
        <v>0</v>
      </c>
      <c r="O349" s="530"/>
      <c r="P349" s="264" t="s">
        <v>2641</v>
      </c>
      <c r="Q349" s="11" t="s">
        <v>243</v>
      </c>
      <c r="R349" s="574"/>
      <c r="S349" s="427"/>
    </row>
    <row r="350" spans="1:20" s="413" customFormat="1" ht="42.75">
      <c r="A350" s="421" t="s">
        <v>2296</v>
      </c>
      <c r="B350" s="422" t="s">
        <v>1519</v>
      </c>
      <c r="C350" s="423" t="s">
        <v>8</v>
      </c>
      <c r="D350" s="424">
        <v>156</v>
      </c>
      <c r="E350" s="424">
        <v>156</v>
      </c>
      <c r="F350" s="424">
        <f>估驗單!F346</f>
        <v>156</v>
      </c>
      <c r="G350" s="478">
        <f t="shared" si="36"/>
        <v>0</v>
      </c>
      <c r="H350" s="424">
        <v>9752.14</v>
      </c>
      <c r="I350" s="424"/>
      <c r="J350" s="424"/>
      <c r="K350" s="424">
        <v>1521333.84</v>
      </c>
      <c r="L350" s="424">
        <f t="shared" si="31"/>
        <v>1521333.84</v>
      </c>
      <c r="M350" s="424">
        <f t="shared" si="32"/>
        <v>1521333.84</v>
      </c>
      <c r="N350" s="478">
        <f t="shared" si="35"/>
        <v>0</v>
      </c>
      <c r="O350" s="530"/>
      <c r="P350" s="264" t="s">
        <v>2642</v>
      </c>
      <c r="Q350" s="11" t="s">
        <v>243</v>
      </c>
      <c r="R350" s="574"/>
      <c r="S350" s="427"/>
    </row>
    <row r="351" spans="1:20" s="413" customFormat="1" ht="33">
      <c r="A351" s="494" t="s">
        <v>2384</v>
      </c>
      <c r="B351" s="495" t="s">
        <v>11</v>
      </c>
      <c r="C351" s="496" t="s">
        <v>4</v>
      </c>
      <c r="D351" s="497">
        <v>1</v>
      </c>
      <c r="E351" s="497"/>
      <c r="F351" s="497">
        <f>估驗單!F347</f>
        <v>0</v>
      </c>
      <c r="G351" s="498">
        <f t="shared" si="36"/>
        <v>0</v>
      </c>
      <c r="H351" s="497">
        <v>12582919.68</v>
      </c>
      <c r="I351" s="497"/>
      <c r="J351" s="497"/>
      <c r="K351" s="497">
        <v>12582919.68</v>
      </c>
      <c r="L351" s="497">
        <f>SUM(L352:L361)</f>
        <v>16724713.209999999</v>
      </c>
      <c r="M351" s="497">
        <f t="shared" ref="M351:O351" si="37">SUM(M352:M361)</f>
        <v>17624664.110000003</v>
      </c>
      <c r="N351" s="497">
        <f t="shared" si="37"/>
        <v>899950.90000000037</v>
      </c>
      <c r="O351" s="532">
        <f t="shared" si="37"/>
        <v>0</v>
      </c>
      <c r="P351" s="356" t="s">
        <v>242</v>
      </c>
      <c r="Q351" s="11" t="s">
        <v>243</v>
      </c>
      <c r="R351" s="574"/>
      <c r="S351" s="427"/>
    </row>
    <row r="352" spans="1:20" s="413" customFormat="1" ht="33">
      <c r="A352" s="421" t="s">
        <v>2288</v>
      </c>
      <c r="B352" s="422" t="s">
        <v>1004</v>
      </c>
      <c r="C352" s="423" t="s">
        <v>4</v>
      </c>
      <c r="D352" s="424">
        <v>1</v>
      </c>
      <c r="E352" s="424">
        <v>1</v>
      </c>
      <c r="F352" s="424">
        <f>估驗單!F348</f>
        <v>1</v>
      </c>
      <c r="G352" s="478">
        <f t="shared" si="36"/>
        <v>0</v>
      </c>
      <c r="H352" s="424">
        <v>716633.92</v>
      </c>
      <c r="I352" s="424"/>
      <c r="J352" s="424"/>
      <c r="K352" s="424">
        <v>716633.92</v>
      </c>
      <c r="L352" s="424">
        <f t="shared" ref="L352:L397" si="38">ROUND(E352*H352,2)</f>
        <v>716633.92</v>
      </c>
      <c r="M352" s="424">
        <f t="shared" ref="M352:M397" si="39">ROUND(F352*H352,2)</f>
        <v>716633.92</v>
      </c>
      <c r="N352" s="478">
        <f t="shared" ref="N352:N361" si="40">IF(L352-M352&lt;0+AND(L352&lt;&gt;0),M352-L352,"      ")</f>
        <v>0</v>
      </c>
      <c r="O352" s="530"/>
      <c r="P352" s="264" t="s">
        <v>2530</v>
      </c>
      <c r="Q352" s="11" t="s">
        <v>243</v>
      </c>
      <c r="R352" s="574"/>
      <c r="S352" s="427"/>
    </row>
    <row r="353" spans="1:22" s="413" customFormat="1" ht="33">
      <c r="A353" s="421" t="s">
        <v>2289</v>
      </c>
      <c r="B353" s="422" t="s">
        <v>1006</v>
      </c>
      <c r="C353" s="423" t="s">
        <v>1007</v>
      </c>
      <c r="D353" s="424">
        <v>7</v>
      </c>
      <c r="E353" s="424">
        <v>7</v>
      </c>
      <c r="F353" s="424">
        <f>估驗單!F349</f>
        <v>7</v>
      </c>
      <c r="G353" s="478">
        <f t="shared" si="36"/>
        <v>0</v>
      </c>
      <c r="H353" s="424">
        <v>49997.27</v>
      </c>
      <c r="I353" s="424"/>
      <c r="J353" s="424"/>
      <c r="K353" s="424">
        <v>349980.89</v>
      </c>
      <c r="L353" s="424">
        <f t="shared" si="38"/>
        <v>349980.89</v>
      </c>
      <c r="M353" s="424">
        <f t="shared" si="39"/>
        <v>349980.89</v>
      </c>
      <c r="N353" s="478">
        <f t="shared" si="40"/>
        <v>0</v>
      </c>
      <c r="O353" s="530"/>
      <c r="P353" s="264" t="s">
        <v>242</v>
      </c>
      <c r="Q353" s="11" t="s">
        <v>243</v>
      </c>
      <c r="R353" s="574"/>
      <c r="S353" s="427"/>
    </row>
    <row r="354" spans="1:22" s="413" customFormat="1" ht="71.25">
      <c r="A354" s="421" t="s">
        <v>2290</v>
      </c>
      <c r="B354" s="422" t="s">
        <v>1009</v>
      </c>
      <c r="C354" s="423" t="s">
        <v>1010</v>
      </c>
      <c r="D354" s="424">
        <v>850</v>
      </c>
      <c r="E354" s="424">
        <v>2230</v>
      </c>
      <c r="F354" s="424">
        <f>估驗單!F350</f>
        <v>2230</v>
      </c>
      <c r="G354" s="478">
        <f t="shared" si="36"/>
        <v>0</v>
      </c>
      <c r="H354" s="424">
        <v>805.95</v>
      </c>
      <c r="I354" s="424"/>
      <c r="J354" s="424"/>
      <c r="K354" s="424">
        <v>685057.5</v>
      </c>
      <c r="L354" s="424">
        <f t="shared" si="38"/>
        <v>1797268.5</v>
      </c>
      <c r="M354" s="424">
        <f t="shared" si="39"/>
        <v>1797268.5</v>
      </c>
      <c r="N354" s="478">
        <f t="shared" si="40"/>
        <v>0</v>
      </c>
      <c r="O354" s="530"/>
      <c r="P354" s="264" t="s">
        <v>2643</v>
      </c>
      <c r="Q354" s="11" t="s">
        <v>243</v>
      </c>
      <c r="R354" s="579" t="s">
        <v>2644</v>
      </c>
      <c r="S354" s="461"/>
      <c r="T354" s="430" t="s">
        <v>2550</v>
      </c>
      <c r="V354" s="462"/>
    </row>
    <row r="355" spans="1:22" s="413" customFormat="1" ht="33">
      <c r="A355" s="421" t="s">
        <v>2291</v>
      </c>
      <c r="B355" s="422" t="s">
        <v>1012</v>
      </c>
      <c r="C355" s="423" t="s">
        <v>1007</v>
      </c>
      <c r="D355" s="424">
        <v>4</v>
      </c>
      <c r="E355" s="424">
        <v>4</v>
      </c>
      <c r="F355" s="424">
        <f>估驗單!F351</f>
        <v>4</v>
      </c>
      <c r="G355" s="478">
        <f t="shared" si="36"/>
        <v>0</v>
      </c>
      <c r="H355" s="424">
        <v>49997.27</v>
      </c>
      <c r="I355" s="424"/>
      <c r="J355" s="424"/>
      <c r="K355" s="424">
        <v>199989.08</v>
      </c>
      <c r="L355" s="424">
        <f t="shared" si="38"/>
        <v>199989.08</v>
      </c>
      <c r="M355" s="424">
        <f t="shared" si="39"/>
        <v>199989.08</v>
      </c>
      <c r="N355" s="478">
        <f t="shared" si="40"/>
        <v>0</v>
      </c>
      <c r="O355" s="530"/>
      <c r="P355" s="264" t="s">
        <v>242</v>
      </c>
      <c r="Q355" s="11" t="s">
        <v>243</v>
      </c>
      <c r="R355" s="574"/>
      <c r="S355" s="427"/>
    </row>
    <row r="356" spans="1:22" s="413" customFormat="1" ht="33">
      <c r="A356" s="470" t="s">
        <v>2292</v>
      </c>
      <c r="B356" s="471" t="s">
        <v>1014</v>
      </c>
      <c r="C356" s="472" t="s">
        <v>1015</v>
      </c>
      <c r="D356" s="473">
        <v>19</v>
      </c>
      <c r="E356" s="473">
        <v>19</v>
      </c>
      <c r="F356" s="473">
        <f>估驗單!F352</f>
        <v>24</v>
      </c>
      <c r="G356" s="479">
        <f t="shared" si="36"/>
        <v>5</v>
      </c>
      <c r="H356" s="473">
        <v>179990.18</v>
      </c>
      <c r="I356" s="473"/>
      <c r="J356" s="473"/>
      <c r="K356" s="473">
        <v>3419813.42</v>
      </c>
      <c r="L356" s="473">
        <f t="shared" si="38"/>
        <v>3419813.42</v>
      </c>
      <c r="M356" s="473">
        <f t="shared" si="39"/>
        <v>4319764.32</v>
      </c>
      <c r="N356" s="479">
        <f t="shared" si="40"/>
        <v>899950.90000000037</v>
      </c>
      <c r="O356" s="531"/>
      <c r="P356" s="474" t="s">
        <v>242</v>
      </c>
      <c r="Q356" s="11" t="s">
        <v>243</v>
      </c>
      <c r="R356" s="574"/>
      <c r="S356" s="427"/>
    </row>
    <row r="357" spans="1:22" s="413" customFormat="1" ht="33">
      <c r="A357" s="421" t="s">
        <v>2293</v>
      </c>
      <c r="B357" s="422" t="s">
        <v>1017</v>
      </c>
      <c r="C357" s="423" t="s">
        <v>4</v>
      </c>
      <c r="D357" s="424">
        <v>1</v>
      </c>
      <c r="E357" s="424">
        <v>1</v>
      </c>
      <c r="F357" s="424">
        <f>估驗單!F353</f>
        <v>1</v>
      </c>
      <c r="G357" s="478">
        <f t="shared" si="36"/>
        <v>0</v>
      </c>
      <c r="H357" s="424">
        <v>205971.45</v>
      </c>
      <c r="I357" s="424"/>
      <c r="J357" s="424"/>
      <c r="K357" s="424">
        <v>205971.45</v>
      </c>
      <c r="L357" s="424">
        <f t="shared" si="38"/>
        <v>205971.45</v>
      </c>
      <c r="M357" s="424">
        <f t="shared" si="39"/>
        <v>205971.45</v>
      </c>
      <c r="N357" s="478">
        <f t="shared" si="40"/>
        <v>0</v>
      </c>
      <c r="O357" s="530"/>
      <c r="P357" s="264" t="s">
        <v>2530</v>
      </c>
      <c r="Q357" s="11" t="s">
        <v>243</v>
      </c>
      <c r="R357" s="574"/>
      <c r="S357" s="427"/>
    </row>
    <row r="358" spans="1:22" s="413" customFormat="1" ht="33">
      <c r="A358" s="421" t="s">
        <v>2294</v>
      </c>
      <c r="B358" s="422" t="s">
        <v>1019</v>
      </c>
      <c r="C358" s="423" t="s">
        <v>4</v>
      </c>
      <c r="D358" s="424">
        <v>1</v>
      </c>
      <c r="E358" s="424">
        <v>1</v>
      </c>
      <c r="F358" s="424">
        <f>估驗單!F354</f>
        <v>1</v>
      </c>
      <c r="G358" s="478">
        <f t="shared" si="36"/>
        <v>0</v>
      </c>
      <c r="H358" s="424">
        <v>2424867.7599999998</v>
      </c>
      <c r="I358" s="424"/>
      <c r="J358" s="424"/>
      <c r="K358" s="424">
        <v>2424867.7599999998</v>
      </c>
      <c r="L358" s="424">
        <f t="shared" si="38"/>
        <v>2424867.7599999998</v>
      </c>
      <c r="M358" s="424">
        <f t="shared" si="39"/>
        <v>2424867.7599999998</v>
      </c>
      <c r="N358" s="478">
        <f t="shared" si="40"/>
        <v>0</v>
      </c>
      <c r="O358" s="530"/>
      <c r="P358" s="264" t="s">
        <v>2530</v>
      </c>
      <c r="Q358" s="11" t="s">
        <v>243</v>
      </c>
      <c r="R358" s="574"/>
      <c r="S358" s="427"/>
    </row>
    <row r="359" spans="1:22" s="413" customFormat="1" ht="33">
      <c r="A359" s="421" t="s">
        <v>2295</v>
      </c>
      <c r="B359" s="422" t="s">
        <v>1021</v>
      </c>
      <c r="C359" s="423" t="s">
        <v>4</v>
      </c>
      <c r="D359" s="424">
        <v>1</v>
      </c>
      <c r="E359" s="424">
        <v>1</v>
      </c>
      <c r="F359" s="424">
        <f>估驗單!F355</f>
        <v>1</v>
      </c>
      <c r="G359" s="478">
        <f t="shared" si="36"/>
        <v>0</v>
      </c>
      <c r="H359" s="424">
        <v>349980.91</v>
      </c>
      <c r="I359" s="424"/>
      <c r="J359" s="424"/>
      <c r="K359" s="424">
        <v>349980.91</v>
      </c>
      <c r="L359" s="424">
        <f t="shared" si="38"/>
        <v>349980.91</v>
      </c>
      <c r="M359" s="424">
        <f t="shared" si="39"/>
        <v>349980.91</v>
      </c>
      <c r="N359" s="478">
        <f t="shared" si="40"/>
        <v>0</v>
      </c>
      <c r="O359" s="530"/>
      <c r="P359" s="264" t="s">
        <v>242</v>
      </c>
      <c r="Q359" s="11" t="s">
        <v>243</v>
      </c>
      <c r="R359" s="574"/>
      <c r="S359" s="427"/>
    </row>
    <row r="360" spans="1:22" s="463" customFormat="1" ht="33.75">
      <c r="A360" s="431" t="s">
        <v>2296</v>
      </c>
      <c r="B360" s="432" t="s">
        <v>1534</v>
      </c>
      <c r="C360" s="433" t="s">
        <v>13</v>
      </c>
      <c r="D360" s="428">
        <v>275</v>
      </c>
      <c r="E360" s="428">
        <v>464</v>
      </c>
      <c r="F360" s="424">
        <f>估驗單!F356</f>
        <v>464</v>
      </c>
      <c r="G360" s="478">
        <f t="shared" si="36"/>
        <v>0</v>
      </c>
      <c r="H360" s="428">
        <v>15384.09</v>
      </c>
      <c r="I360" s="425"/>
      <c r="J360" s="428"/>
      <c r="K360" s="428">
        <v>4230624.75</v>
      </c>
      <c r="L360" s="424">
        <f t="shared" si="38"/>
        <v>7138217.7599999998</v>
      </c>
      <c r="M360" s="424">
        <f t="shared" si="39"/>
        <v>7138217.7599999998</v>
      </c>
      <c r="N360" s="478">
        <f t="shared" si="40"/>
        <v>0</v>
      </c>
      <c r="O360" s="530"/>
      <c r="P360" s="434" t="s">
        <v>242</v>
      </c>
      <c r="Q360" s="435" t="s">
        <v>243</v>
      </c>
      <c r="R360" s="574"/>
      <c r="S360" s="437"/>
      <c r="T360" s="463" t="s">
        <v>2645</v>
      </c>
    </row>
    <row r="361" spans="1:22" s="456" customFormat="1" ht="28.5">
      <c r="A361" s="421">
        <v>10</v>
      </c>
      <c r="B361" s="422" t="s">
        <v>2646</v>
      </c>
      <c r="C361" s="423" t="s">
        <v>2562</v>
      </c>
      <c r="D361" s="424">
        <v>0</v>
      </c>
      <c r="E361" s="424">
        <v>2</v>
      </c>
      <c r="F361" s="424">
        <f>估驗單!F357</f>
        <v>2</v>
      </c>
      <c r="G361" s="478">
        <f t="shared" si="36"/>
        <v>0</v>
      </c>
      <c r="H361" s="424">
        <v>0</v>
      </c>
      <c r="I361" s="424"/>
      <c r="J361" s="424">
        <v>60994.76</v>
      </c>
      <c r="K361" s="424">
        <f>H361*D361</f>
        <v>0</v>
      </c>
      <c r="L361" s="424">
        <f>ROUND(E361*J361,2)</f>
        <v>121989.52</v>
      </c>
      <c r="M361" s="424">
        <f>ROUND(F361*J361,2)</f>
        <v>121989.52</v>
      </c>
      <c r="N361" s="478">
        <f t="shared" si="40"/>
        <v>0</v>
      </c>
      <c r="O361" s="530"/>
      <c r="P361" s="264" t="s">
        <v>2647</v>
      </c>
      <c r="Q361" s="11"/>
      <c r="R361" s="579" t="s">
        <v>2648</v>
      </c>
      <c r="S361" s="461"/>
      <c r="T361" s="430" t="s">
        <v>2550</v>
      </c>
    </row>
    <row r="362" spans="1:22" s="413" customFormat="1" ht="33">
      <c r="A362" s="494" t="s">
        <v>2386</v>
      </c>
      <c r="B362" s="495" t="s">
        <v>25</v>
      </c>
      <c r="C362" s="496" t="s">
        <v>4</v>
      </c>
      <c r="D362" s="497">
        <v>1</v>
      </c>
      <c r="E362" s="497"/>
      <c r="F362" s="497">
        <f>估驗單!F373</f>
        <v>0</v>
      </c>
      <c r="G362" s="498">
        <f t="shared" si="36"/>
        <v>0</v>
      </c>
      <c r="H362" s="497">
        <v>3183104.82</v>
      </c>
      <c r="I362" s="497"/>
      <c r="J362" s="497"/>
      <c r="K362" s="497">
        <v>3183104.82</v>
      </c>
      <c r="L362" s="499">
        <f>SUM(L363:L401)</f>
        <v>3537274.3800000008</v>
      </c>
      <c r="M362" s="499">
        <f t="shared" ref="M362:O362" si="41">SUM(M363:M401)</f>
        <v>3537274.3800000008</v>
      </c>
      <c r="N362" s="499">
        <f t="shared" si="41"/>
        <v>0</v>
      </c>
      <c r="O362" s="529">
        <f t="shared" si="41"/>
        <v>0</v>
      </c>
      <c r="P362" s="356" t="s">
        <v>242</v>
      </c>
      <c r="Q362" s="11" t="s">
        <v>243</v>
      </c>
      <c r="R362" s="574"/>
      <c r="S362" s="427"/>
    </row>
    <row r="363" spans="1:22" s="413" customFormat="1" ht="42.75">
      <c r="A363" s="421" t="s">
        <v>2288</v>
      </c>
      <c r="B363" s="422" t="s">
        <v>1023</v>
      </c>
      <c r="C363" s="423" t="s">
        <v>7</v>
      </c>
      <c r="D363" s="424">
        <v>295</v>
      </c>
      <c r="E363" s="424">
        <v>295</v>
      </c>
      <c r="F363" s="424">
        <f>估驗單!F374</f>
        <v>295</v>
      </c>
      <c r="G363" s="478">
        <f t="shared" si="36"/>
        <v>0</v>
      </c>
      <c r="H363" s="424">
        <v>299.98</v>
      </c>
      <c r="I363" s="424"/>
      <c r="J363" s="424"/>
      <c r="K363" s="424">
        <v>88494.1</v>
      </c>
      <c r="L363" s="424">
        <f t="shared" si="38"/>
        <v>88494.1</v>
      </c>
      <c r="M363" s="424">
        <f t="shared" si="39"/>
        <v>88494.1</v>
      </c>
      <c r="N363" s="478">
        <f t="shared" ref="N363:N401" si="42">IF(L363-M363&lt;0+AND(L363&lt;&gt;0),M363-L363,"      ")</f>
        <v>0</v>
      </c>
      <c r="O363" s="530"/>
      <c r="P363" s="264" t="s">
        <v>242</v>
      </c>
      <c r="Q363" s="11" t="s">
        <v>243</v>
      </c>
      <c r="R363" s="574"/>
      <c r="S363" s="427"/>
    </row>
    <row r="364" spans="1:22" s="413" customFormat="1" ht="42.75">
      <c r="A364" s="421" t="s">
        <v>2289</v>
      </c>
      <c r="B364" s="422" t="s">
        <v>1025</v>
      </c>
      <c r="C364" s="423" t="s">
        <v>15</v>
      </c>
      <c r="D364" s="424">
        <v>59</v>
      </c>
      <c r="E364" s="424">
        <v>59</v>
      </c>
      <c r="F364" s="424">
        <f>估驗單!F375</f>
        <v>59</v>
      </c>
      <c r="G364" s="478">
        <f t="shared" si="36"/>
        <v>0</v>
      </c>
      <c r="H364" s="424">
        <v>2999.84</v>
      </c>
      <c r="I364" s="424"/>
      <c r="J364" s="424"/>
      <c r="K364" s="424">
        <v>176990.56</v>
      </c>
      <c r="L364" s="424">
        <f t="shared" si="38"/>
        <v>176990.56</v>
      </c>
      <c r="M364" s="424">
        <f t="shared" si="39"/>
        <v>176990.56</v>
      </c>
      <c r="N364" s="478">
        <f t="shared" si="42"/>
        <v>0</v>
      </c>
      <c r="O364" s="530"/>
      <c r="P364" s="264" t="s">
        <v>2530</v>
      </c>
      <c r="Q364" s="11" t="s">
        <v>243</v>
      </c>
      <c r="R364" s="574"/>
      <c r="S364" s="427"/>
    </row>
    <row r="365" spans="1:22" s="413" customFormat="1" ht="33">
      <c r="A365" s="421" t="s">
        <v>2290</v>
      </c>
      <c r="B365" s="422" t="s">
        <v>1027</v>
      </c>
      <c r="C365" s="423" t="s">
        <v>15</v>
      </c>
      <c r="D365" s="424">
        <v>59</v>
      </c>
      <c r="E365" s="424">
        <v>59</v>
      </c>
      <c r="F365" s="424">
        <f>估驗單!F376</f>
        <v>59</v>
      </c>
      <c r="G365" s="478">
        <f t="shared" si="36"/>
        <v>0</v>
      </c>
      <c r="H365" s="424">
        <v>149.99</v>
      </c>
      <c r="I365" s="424"/>
      <c r="J365" s="424"/>
      <c r="K365" s="424">
        <v>8849.41</v>
      </c>
      <c r="L365" s="424">
        <f t="shared" si="38"/>
        <v>8849.41</v>
      </c>
      <c r="M365" s="424">
        <f t="shared" si="39"/>
        <v>8849.41</v>
      </c>
      <c r="N365" s="478">
        <f t="shared" si="42"/>
        <v>0</v>
      </c>
      <c r="O365" s="530"/>
      <c r="P365" s="264" t="s">
        <v>2530</v>
      </c>
      <c r="Q365" s="11" t="s">
        <v>243</v>
      </c>
      <c r="R365" s="574"/>
      <c r="S365" s="427"/>
    </row>
    <row r="366" spans="1:22" s="413" customFormat="1" ht="42.75">
      <c r="A366" s="421" t="s">
        <v>2291</v>
      </c>
      <c r="B366" s="422" t="s">
        <v>1029</v>
      </c>
      <c r="C366" s="423" t="s">
        <v>1030</v>
      </c>
      <c r="D366" s="424">
        <v>9</v>
      </c>
      <c r="E366" s="424">
        <v>9</v>
      </c>
      <c r="F366" s="424">
        <f>估驗單!F377</f>
        <v>9</v>
      </c>
      <c r="G366" s="478">
        <f t="shared" si="36"/>
        <v>0</v>
      </c>
      <c r="H366" s="424">
        <v>1199.93</v>
      </c>
      <c r="I366" s="424"/>
      <c r="J366" s="424"/>
      <c r="K366" s="424">
        <v>10799.37</v>
      </c>
      <c r="L366" s="424">
        <f t="shared" si="38"/>
        <v>10799.37</v>
      </c>
      <c r="M366" s="424">
        <f t="shared" si="39"/>
        <v>10799.37</v>
      </c>
      <c r="N366" s="478">
        <f t="shared" si="42"/>
        <v>0</v>
      </c>
      <c r="O366" s="530"/>
      <c r="P366" s="264" t="s">
        <v>2530</v>
      </c>
      <c r="Q366" s="11" t="s">
        <v>243</v>
      </c>
      <c r="R366" s="574"/>
      <c r="S366" s="427"/>
    </row>
    <row r="367" spans="1:22" s="413" customFormat="1" ht="42.75">
      <c r="A367" s="421" t="s">
        <v>2292</v>
      </c>
      <c r="B367" s="422" t="s">
        <v>1032</v>
      </c>
      <c r="C367" s="423" t="s">
        <v>15</v>
      </c>
      <c r="D367" s="424">
        <v>22</v>
      </c>
      <c r="E367" s="424">
        <v>22</v>
      </c>
      <c r="F367" s="424">
        <f>估驗單!F378</f>
        <v>22</v>
      </c>
      <c r="G367" s="478">
        <f t="shared" si="36"/>
        <v>0</v>
      </c>
      <c r="H367" s="424">
        <v>649.96</v>
      </c>
      <c r="I367" s="424"/>
      <c r="J367" s="424"/>
      <c r="K367" s="424">
        <v>14299.12</v>
      </c>
      <c r="L367" s="424">
        <f t="shared" si="38"/>
        <v>14299.12</v>
      </c>
      <c r="M367" s="424">
        <f t="shared" si="39"/>
        <v>14299.12</v>
      </c>
      <c r="N367" s="478">
        <f t="shared" si="42"/>
        <v>0</v>
      </c>
      <c r="O367" s="530"/>
      <c r="P367" s="264" t="s">
        <v>2649</v>
      </c>
      <c r="Q367" s="11" t="s">
        <v>243</v>
      </c>
      <c r="R367" s="574"/>
      <c r="S367" s="427"/>
    </row>
    <row r="368" spans="1:22" s="413" customFormat="1" ht="42.75">
      <c r="A368" s="421" t="s">
        <v>2293</v>
      </c>
      <c r="B368" s="422" t="s">
        <v>1034</v>
      </c>
      <c r="C368" s="423" t="s">
        <v>15</v>
      </c>
      <c r="D368" s="424">
        <v>22</v>
      </c>
      <c r="E368" s="424">
        <v>22</v>
      </c>
      <c r="F368" s="424">
        <f>估驗單!F379</f>
        <v>22</v>
      </c>
      <c r="G368" s="478">
        <f t="shared" si="36"/>
        <v>0</v>
      </c>
      <c r="H368" s="424">
        <v>1299.93</v>
      </c>
      <c r="I368" s="424"/>
      <c r="J368" s="424"/>
      <c r="K368" s="424">
        <v>28598.46</v>
      </c>
      <c r="L368" s="424">
        <f t="shared" si="38"/>
        <v>28598.46</v>
      </c>
      <c r="M368" s="424">
        <f t="shared" si="39"/>
        <v>28598.46</v>
      </c>
      <c r="N368" s="478">
        <f t="shared" si="42"/>
        <v>0</v>
      </c>
      <c r="O368" s="530"/>
      <c r="P368" s="264" t="s">
        <v>2649</v>
      </c>
      <c r="Q368" s="11" t="s">
        <v>243</v>
      </c>
      <c r="R368" s="574"/>
      <c r="S368" s="427"/>
    </row>
    <row r="369" spans="1:19" s="413" customFormat="1" ht="42.75">
      <c r="A369" s="421" t="s">
        <v>2294</v>
      </c>
      <c r="B369" s="422" t="s">
        <v>1036</v>
      </c>
      <c r="C369" s="423" t="s">
        <v>15</v>
      </c>
      <c r="D369" s="424">
        <v>5</v>
      </c>
      <c r="E369" s="424">
        <v>5</v>
      </c>
      <c r="F369" s="424">
        <f>估驗單!F380</f>
        <v>5</v>
      </c>
      <c r="G369" s="478">
        <f t="shared" si="36"/>
        <v>0</v>
      </c>
      <c r="H369" s="424">
        <v>3499.81</v>
      </c>
      <c r="I369" s="424"/>
      <c r="J369" s="424"/>
      <c r="K369" s="424">
        <v>17499.05</v>
      </c>
      <c r="L369" s="424">
        <f t="shared" si="38"/>
        <v>17499.05</v>
      </c>
      <c r="M369" s="424">
        <f t="shared" si="39"/>
        <v>17499.05</v>
      </c>
      <c r="N369" s="478">
        <f t="shared" si="42"/>
        <v>0</v>
      </c>
      <c r="O369" s="530"/>
      <c r="P369" s="264" t="s">
        <v>242</v>
      </c>
      <c r="Q369" s="11" t="s">
        <v>243</v>
      </c>
      <c r="R369" s="574"/>
      <c r="S369" s="427"/>
    </row>
    <row r="370" spans="1:19" s="413" customFormat="1" ht="42.75">
      <c r="A370" s="421" t="s">
        <v>2295</v>
      </c>
      <c r="B370" s="422" t="s">
        <v>1038</v>
      </c>
      <c r="C370" s="423" t="s">
        <v>15</v>
      </c>
      <c r="D370" s="424">
        <v>5</v>
      </c>
      <c r="E370" s="424">
        <v>5</v>
      </c>
      <c r="F370" s="424">
        <f>估驗單!F381</f>
        <v>5</v>
      </c>
      <c r="G370" s="478">
        <f t="shared" si="36"/>
        <v>0</v>
      </c>
      <c r="H370" s="424">
        <v>699.96</v>
      </c>
      <c r="I370" s="424"/>
      <c r="J370" s="424"/>
      <c r="K370" s="424">
        <v>3499.8</v>
      </c>
      <c r="L370" s="424">
        <f t="shared" si="38"/>
        <v>3499.8</v>
      </c>
      <c r="M370" s="424">
        <f t="shared" si="39"/>
        <v>3499.8</v>
      </c>
      <c r="N370" s="478">
        <f t="shared" si="42"/>
        <v>0</v>
      </c>
      <c r="O370" s="530"/>
      <c r="P370" s="264" t="s">
        <v>242</v>
      </c>
      <c r="Q370" s="11" t="s">
        <v>243</v>
      </c>
      <c r="R370" s="574"/>
      <c r="S370" s="427"/>
    </row>
    <row r="371" spans="1:19" s="413" customFormat="1" ht="42.75">
      <c r="A371" s="421" t="s">
        <v>2296</v>
      </c>
      <c r="B371" s="422" t="s">
        <v>1040</v>
      </c>
      <c r="C371" s="423" t="s">
        <v>14</v>
      </c>
      <c r="D371" s="424">
        <v>1</v>
      </c>
      <c r="E371" s="424">
        <v>1</v>
      </c>
      <c r="F371" s="424">
        <f>估驗單!F382</f>
        <v>1</v>
      </c>
      <c r="G371" s="478">
        <f t="shared" si="36"/>
        <v>0</v>
      </c>
      <c r="H371" s="424">
        <v>14999.18</v>
      </c>
      <c r="I371" s="424"/>
      <c r="J371" s="424"/>
      <c r="K371" s="424">
        <v>14999.18</v>
      </c>
      <c r="L371" s="424">
        <f t="shared" si="38"/>
        <v>14999.18</v>
      </c>
      <c r="M371" s="424">
        <f t="shared" si="39"/>
        <v>14999.18</v>
      </c>
      <c r="N371" s="478">
        <f t="shared" si="42"/>
        <v>0</v>
      </c>
      <c r="O371" s="530"/>
      <c r="P371" s="264" t="s">
        <v>242</v>
      </c>
      <c r="Q371" s="11" t="s">
        <v>243</v>
      </c>
      <c r="R371" s="574"/>
      <c r="S371" s="427"/>
    </row>
    <row r="372" spans="1:19" s="413" customFormat="1" ht="42.75">
      <c r="A372" s="421" t="s">
        <v>2297</v>
      </c>
      <c r="B372" s="422" t="s">
        <v>1043</v>
      </c>
      <c r="C372" s="423" t="s">
        <v>15</v>
      </c>
      <c r="D372" s="424">
        <v>1</v>
      </c>
      <c r="E372" s="424">
        <v>1</v>
      </c>
      <c r="F372" s="424">
        <f>估驗單!F383</f>
        <v>1</v>
      </c>
      <c r="G372" s="478">
        <f t="shared" si="36"/>
        <v>0</v>
      </c>
      <c r="H372" s="424">
        <v>5999.67</v>
      </c>
      <c r="I372" s="424"/>
      <c r="J372" s="424"/>
      <c r="K372" s="424">
        <v>5999.67</v>
      </c>
      <c r="L372" s="424">
        <f t="shared" si="38"/>
        <v>5999.67</v>
      </c>
      <c r="M372" s="424">
        <f t="shared" si="39"/>
        <v>5999.67</v>
      </c>
      <c r="N372" s="478">
        <f t="shared" si="42"/>
        <v>0</v>
      </c>
      <c r="O372" s="530"/>
      <c r="P372" s="264" t="s">
        <v>2530</v>
      </c>
      <c r="Q372" s="11" t="s">
        <v>243</v>
      </c>
      <c r="R372" s="574"/>
      <c r="S372" s="427"/>
    </row>
    <row r="373" spans="1:19" s="413" customFormat="1" ht="71.25">
      <c r="A373" s="421" t="s">
        <v>2298</v>
      </c>
      <c r="B373" s="422" t="s">
        <v>1046</v>
      </c>
      <c r="C373" s="423" t="s">
        <v>15</v>
      </c>
      <c r="D373" s="424">
        <v>1</v>
      </c>
      <c r="E373" s="424">
        <v>1</v>
      </c>
      <c r="F373" s="424">
        <f>估驗單!F384</f>
        <v>1</v>
      </c>
      <c r="G373" s="478">
        <f t="shared" si="36"/>
        <v>0</v>
      </c>
      <c r="H373" s="424">
        <v>49497.3</v>
      </c>
      <c r="I373" s="424"/>
      <c r="J373" s="424"/>
      <c r="K373" s="424">
        <v>49497.3</v>
      </c>
      <c r="L373" s="424">
        <f t="shared" si="38"/>
        <v>49497.3</v>
      </c>
      <c r="M373" s="424">
        <f t="shared" si="39"/>
        <v>49497.3</v>
      </c>
      <c r="N373" s="478">
        <f t="shared" si="42"/>
        <v>0</v>
      </c>
      <c r="O373" s="530"/>
      <c r="P373" s="264" t="s">
        <v>242</v>
      </c>
      <c r="Q373" s="11" t="s">
        <v>243</v>
      </c>
      <c r="R373" s="574"/>
      <c r="S373" s="427"/>
    </row>
    <row r="374" spans="1:19" s="413" customFormat="1" ht="42.75">
      <c r="A374" s="421" t="s">
        <v>2299</v>
      </c>
      <c r="B374" s="422" t="s">
        <v>1049</v>
      </c>
      <c r="C374" s="423" t="s">
        <v>15</v>
      </c>
      <c r="D374" s="424">
        <v>6</v>
      </c>
      <c r="E374" s="424">
        <v>6</v>
      </c>
      <c r="F374" s="424">
        <f>估驗單!F385</f>
        <v>6</v>
      </c>
      <c r="G374" s="478">
        <f t="shared" si="36"/>
        <v>0</v>
      </c>
      <c r="H374" s="424">
        <v>2999.84</v>
      </c>
      <c r="I374" s="424"/>
      <c r="J374" s="424"/>
      <c r="K374" s="424">
        <v>17999.04</v>
      </c>
      <c r="L374" s="424">
        <f t="shared" si="38"/>
        <v>17999.04</v>
      </c>
      <c r="M374" s="424">
        <f t="shared" si="39"/>
        <v>17999.04</v>
      </c>
      <c r="N374" s="478">
        <f t="shared" si="42"/>
        <v>0</v>
      </c>
      <c r="O374" s="530"/>
      <c r="P374" s="264" t="s">
        <v>242</v>
      </c>
      <c r="Q374" s="11" t="s">
        <v>243</v>
      </c>
      <c r="R374" s="574"/>
      <c r="S374" s="427"/>
    </row>
    <row r="375" spans="1:19" s="413" customFormat="1" ht="33">
      <c r="A375" s="421" t="s">
        <v>2300</v>
      </c>
      <c r="B375" s="422" t="s">
        <v>1052</v>
      </c>
      <c r="C375" s="423" t="s">
        <v>14</v>
      </c>
      <c r="D375" s="424">
        <v>75</v>
      </c>
      <c r="E375" s="424">
        <v>75</v>
      </c>
      <c r="F375" s="424">
        <f>估驗單!F386</f>
        <v>75</v>
      </c>
      <c r="G375" s="478">
        <f t="shared" si="36"/>
        <v>0</v>
      </c>
      <c r="H375" s="424">
        <v>11999.35</v>
      </c>
      <c r="I375" s="424"/>
      <c r="J375" s="424"/>
      <c r="K375" s="424">
        <v>899951.25</v>
      </c>
      <c r="L375" s="424">
        <f t="shared" si="38"/>
        <v>899951.25</v>
      </c>
      <c r="M375" s="424">
        <f t="shared" si="39"/>
        <v>899951.25</v>
      </c>
      <c r="N375" s="478">
        <f t="shared" si="42"/>
        <v>0</v>
      </c>
      <c r="O375" s="530"/>
      <c r="P375" s="264" t="s">
        <v>242</v>
      </c>
      <c r="Q375" s="11" t="s">
        <v>243</v>
      </c>
      <c r="R375" s="574"/>
      <c r="S375" s="427"/>
    </row>
    <row r="376" spans="1:19" s="413" customFormat="1" ht="33">
      <c r="A376" s="421" t="s">
        <v>2301</v>
      </c>
      <c r="B376" s="422" t="s">
        <v>1055</v>
      </c>
      <c r="C376" s="423" t="s">
        <v>1007</v>
      </c>
      <c r="D376" s="424">
        <v>75</v>
      </c>
      <c r="E376" s="424">
        <v>75</v>
      </c>
      <c r="F376" s="424">
        <f>估驗單!F387</f>
        <v>75</v>
      </c>
      <c r="G376" s="478">
        <f t="shared" si="36"/>
        <v>0</v>
      </c>
      <c r="H376" s="424">
        <v>1499.92</v>
      </c>
      <c r="I376" s="424"/>
      <c r="J376" s="424"/>
      <c r="K376" s="424">
        <v>112494</v>
      </c>
      <c r="L376" s="424">
        <f t="shared" si="38"/>
        <v>112494</v>
      </c>
      <c r="M376" s="424">
        <f t="shared" si="39"/>
        <v>112494</v>
      </c>
      <c r="N376" s="478">
        <f t="shared" si="42"/>
        <v>0</v>
      </c>
      <c r="O376" s="530"/>
      <c r="P376" s="264" t="s">
        <v>242</v>
      </c>
      <c r="Q376" s="11" t="s">
        <v>243</v>
      </c>
      <c r="R376" s="574"/>
      <c r="S376" s="427"/>
    </row>
    <row r="377" spans="1:19" s="413" customFormat="1" ht="42.75">
      <c r="A377" s="421" t="s">
        <v>2302</v>
      </c>
      <c r="B377" s="422" t="s">
        <v>1058</v>
      </c>
      <c r="C377" s="423" t="s">
        <v>15</v>
      </c>
      <c r="D377" s="424">
        <v>1</v>
      </c>
      <c r="E377" s="424">
        <v>1</v>
      </c>
      <c r="F377" s="424">
        <f>估驗單!F388</f>
        <v>1</v>
      </c>
      <c r="G377" s="478">
        <f t="shared" si="36"/>
        <v>0</v>
      </c>
      <c r="H377" s="424">
        <v>11999.35</v>
      </c>
      <c r="I377" s="424"/>
      <c r="J377" s="424"/>
      <c r="K377" s="424">
        <v>11999.35</v>
      </c>
      <c r="L377" s="424">
        <f t="shared" si="38"/>
        <v>11999.35</v>
      </c>
      <c r="M377" s="424">
        <f t="shared" si="39"/>
        <v>11999.35</v>
      </c>
      <c r="N377" s="478">
        <f t="shared" si="42"/>
        <v>0</v>
      </c>
      <c r="O377" s="530"/>
      <c r="P377" s="264" t="s">
        <v>2530</v>
      </c>
      <c r="Q377" s="11" t="s">
        <v>243</v>
      </c>
      <c r="R377" s="574"/>
      <c r="S377" s="427"/>
    </row>
    <row r="378" spans="1:19" s="413" customFormat="1" ht="33">
      <c r="A378" s="421" t="s">
        <v>2303</v>
      </c>
      <c r="B378" s="422" t="s">
        <v>1061</v>
      </c>
      <c r="C378" s="423" t="s">
        <v>15</v>
      </c>
      <c r="D378" s="424">
        <v>1</v>
      </c>
      <c r="E378" s="424">
        <v>1</v>
      </c>
      <c r="F378" s="424">
        <f>估驗單!F389</f>
        <v>1</v>
      </c>
      <c r="G378" s="478">
        <f t="shared" si="36"/>
        <v>0</v>
      </c>
      <c r="H378" s="424">
        <v>1999.89</v>
      </c>
      <c r="I378" s="424"/>
      <c r="J378" s="424"/>
      <c r="K378" s="424">
        <v>1999.89</v>
      </c>
      <c r="L378" s="424">
        <f t="shared" si="38"/>
        <v>1999.89</v>
      </c>
      <c r="M378" s="424">
        <f t="shared" si="39"/>
        <v>1999.89</v>
      </c>
      <c r="N378" s="478">
        <f t="shared" si="42"/>
        <v>0</v>
      </c>
      <c r="O378" s="530"/>
      <c r="P378" s="264" t="s">
        <v>242</v>
      </c>
      <c r="Q378" s="11" t="s">
        <v>243</v>
      </c>
      <c r="R378" s="574"/>
      <c r="S378" s="427"/>
    </row>
    <row r="379" spans="1:19" s="413" customFormat="1" ht="42.75">
      <c r="A379" s="421" t="s">
        <v>2304</v>
      </c>
      <c r="B379" s="422" t="s">
        <v>1064</v>
      </c>
      <c r="C379" s="423" t="s">
        <v>15</v>
      </c>
      <c r="D379" s="424">
        <v>11</v>
      </c>
      <c r="E379" s="424">
        <v>11</v>
      </c>
      <c r="F379" s="424">
        <f>估驗單!F390</f>
        <v>11</v>
      </c>
      <c r="G379" s="478">
        <f t="shared" si="36"/>
        <v>0</v>
      </c>
      <c r="H379" s="424">
        <v>2999.84</v>
      </c>
      <c r="I379" s="424"/>
      <c r="J379" s="424"/>
      <c r="K379" s="424">
        <v>32998.239999999998</v>
      </c>
      <c r="L379" s="424">
        <f t="shared" si="38"/>
        <v>32998.239999999998</v>
      </c>
      <c r="M379" s="424">
        <f t="shared" si="39"/>
        <v>32998.239999999998</v>
      </c>
      <c r="N379" s="478">
        <f t="shared" si="42"/>
        <v>0</v>
      </c>
      <c r="O379" s="530"/>
      <c r="P379" s="264" t="s">
        <v>2530</v>
      </c>
      <c r="Q379" s="11" t="s">
        <v>243</v>
      </c>
      <c r="R379" s="574"/>
      <c r="S379" s="427"/>
    </row>
    <row r="380" spans="1:19" s="413" customFormat="1" ht="42.75">
      <c r="A380" s="421" t="s">
        <v>2305</v>
      </c>
      <c r="B380" s="422" t="s">
        <v>1067</v>
      </c>
      <c r="C380" s="423" t="s">
        <v>15</v>
      </c>
      <c r="D380" s="424">
        <v>3</v>
      </c>
      <c r="E380" s="424">
        <v>3</v>
      </c>
      <c r="F380" s="424">
        <f>估驗單!F391</f>
        <v>3</v>
      </c>
      <c r="G380" s="478">
        <f t="shared" si="36"/>
        <v>0</v>
      </c>
      <c r="H380" s="424">
        <v>1399.92</v>
      </c>
      <c r="I380" s="424"/>
      <c r="J380" s="424"/>
      <c r="K380" s="424">
        <v>4199.76</v>
      </c>
      <c r="L380" s="424">
        <f t="shared" si="38"/>
        <v>4199.76</v>
      </c>
      <c r="M380" s="424">
        <f t="shared" si="39"/>
        <v>4199.76</v>
      </c>
      <c r="N380" s="478">
        <f t="shared" si="42"/>
        <v>0</v>
      </c>
      <c r="O380" s="530"/>
      <c r="P380" s="264" t="s">
        <v>2530</v>
      </c>
      <c r="Q380" s="11" t="s">
        <v>243</v>
      </c>
      <c r="R380" s="574"/>
      <c r="S380" s="427"/>
    </row>
    <row r="381" spans="1:19" s="413" customFormat="1" ht="42.75">
      <c r="A381" s="421" t="s">
        <v>2306</v>
      </c>
      <c r="B381" s="422" t="s">
        <v>1070</v>
      </c>
      <c r="C381" s="423" t="s">
        <v>14</v>
      </c>
      <c r="D381" s="424">
        <v>5</v>
      </c>
      <c r="E381" s="424">
        <v>5</v>
      </c>
      <c r="F381" s="424">
        <f>估驗單!F392</f>
        <v>5</v>
      </c>
      <c r="G381" s="478">
        <f t="shared" si="36"/>
        <v>0</v>
      </c>
      <c r="H381" s="424">
        <v>17999.02</v>
      </c>
      <c r="I381" s="424"/>
      <c r="J381" s="424"/>
      <c r="K381" s="424">
        <v>89995.1</v>
      </c>
      <c r="L381" s="424">
        <f t="shared" si="38"/>
        <v>89995.1</v>
      </c>
      <c r="M381" s="424">
        <f t="shared" si="39"/>
        <v>89995.1</v>
      </c>
      <c r="N381" s="478">
        <f t="shared" si="42"/>
        <v>0</v>
      </c>
      <c r="O381" s="530"/>
      <c r="P381" s="264" t="s">
        <v>242</v>
      </c>
      <c r="Q381" s="11" t="s">
        <v>243</v>
      </c>
      <c r="R381" s="574"/>
      <c r="S381" s="427"/>
    </row>
    <row r="382" spans="1:19" s="413" customFormat="1" ht="33">
      <c r="A382" s="421" t="s">
        <v>2307</v>
      </c>
      <c r="B382" s="422" t="s">
        <v>1073</v>
      </c>
      <c r="C382" s="423" t="s">
        <v>14</v>
      </c>
      <c r="D382" s="424">
        <v>1</v>
      </c>
      <c r="E382" s="424">
        <v>1</v>
      </c>
      <c r="F382" s="424">
        <f>估驗單!F393</f>
        <v>1</v>
      </c>
      <c r="G382" s="478">
        <f t="shared" si="36"/>
        <v>0</v>
      </c>
      <c r="H382" s="424">
        <v>8999.51</v>
      </c>
      <c r="I382" s="424"/>
      <c r="J382" s="424"/>
      <c r="K382" s="424">
        <v>8999.51</v>
      </c>
      <c r="L382" s="424">
        <f t="shared" si="38"/>
        <v>8999.51</v>
      </c>
      <c r="M382" s="424">
        <f t="shared" si="39"/>
        <v>8999.51</v>
      </c>
      <c r="N382" s="478">
        <f t="shared" si="42"/>
        <v>0</v>
      </c>
      <c r="O382" s="530"/>
      <c r="P382" s="264" t="s">
        <v>242</v>
      </c>
      <c r="Q382" s="11" t="s">
        <v>243</v>
      </c>
      <c r="R382" s="574"/>
      <c r="S382" s="427"/>
    </row>
    <row r="383" spans="1:19" s="413" customFormat="1" ht="33">
      <c r="A383" s="421" t="s">
        <v>2308</v>
      </c>
      <c r="B383" s="422" t="s">
        <v>1076</v>
      </c>
      <c r="C383" s="423" t="s">
        <v>15</v>
      </c>
      <c r="D383" s="424">
        <v>2</v>
      </c>
      <c r="E383" s="424">
        <v>2</v>
      </c>
      <c r="F383" s="424">
        <f>估驗單!F394</f>
        <v>2</v>
      </c>
      <c r="G383" s="478">
        <f t="shared" si="36"/>
        <v>0</v>
      </c>
      <c r="H383" s="424">
        <v>5999.67</v>
      </c>
      <c r="I383" s="424"/>
      <c r="J383" s="424"/>
      <c r="K383" s="424">
        <v>11999.34</v>
      </c>
      <c r="L383" s="424">
        <f t="shared" si="38"/>
        <v>11999.34</v>
      </c>
      <c r="M383" s="424">
        <f t="shared" si="39"/>
        <v>11999.34</v>
      </c>
      <c r="N383" s="478">
        <f t="shared" si="42"/>
        <v>0</v>
      </c>
      <c r="O383" s="530"/>
      <c r="P383" s="264" t="s">
        <v>242</v>
      </c>
      <c r="Q383" s="11" t="s">
        <v>243</v>
      </c>
      <c r="R383" s="574"/>
      <c r="S383" s="427"/>
    </row>
    <row r="384" spans="1:19" s="413" customFormat="1" ht="33">
      <c r="A384" s="421" t="s">
        <v>2309</v>
      </c>
      <c r="B384" s="422" t="s">
        <v>1079</v>
      </c>
      <c r="C384" s="423" t="s">
        <v>14</v>
      </c>
      <c r="D384" s="424">
        <v>1</v>
      </c>
      <c r="E384" s="424">
        <v>1</v>
      </c>
      <c r="F384" s="424">
        <f>估驗單!F395</f>
        <v>1</v>
      </c>
      <c r="G384" s="478">
        <f t="shared" si="36"/>
        <v>0</v>
      </c>
      <c r="H384" s="424">
        <v>2499.86</v>
      </c>
      <c r="I384" s="424"/>
      <c r="J384" s="424"/>
      <c r="K384" s="424">
        <v>2499.86</v>
      </c>
      <c r="L384" s="424">
        <f t="shared" si="38"/>
        <v>2499.86</v>
      </c>
      <c r="M384" s="424">
        <f t="shared" si="39"/>
        <v>2499.86</v>
      </c>
      <c r="N384" s="478">
        <f t="shared" si="42"/>
        <v>0</v>
      </c>
      <c r="O384" s="530"/>
      <c r="P384" s="264" t="s">
        <v>242</v>
      </c>
      <c r="Q384" s="11" t="s">
        <v>243</v>
      </c>
      <c r="R384" s="574"/>
      <c r="S384" s="427"/>
    </row>
    <row r="385" spans="1:20" s="413" customFormat="1" ht="33">
      <c r="A385" s="421" t="s">
        <v>2311</v>
      </c>
      <c r="B385" s="422" t="s">
        <v>1082</v>
      </c>
      <c r="C385" s="423" t="s">
        <v>14</v>
      </c>
      <c r="D385" s="424">
        <v>1</v>
      </c>
      <c r="E385" s="424">
        <v>1</v>
      </c>
      <c r="F385" s="424">
        <f>估驗單!F396</f>
        <v>1</v>
      </c>
      <c r="G385" s="478">
        <f t="shared" si="36"/>
        <v>0</v>
      </c>
      <c r="H385" s="424">
        <v>2499.86</v>
      </c>
      <c r="I385" s="424"/>
      <c r="J385" s="424"/>
      <c r="K385" s="424">
        <v>2499.86</v>
      </c>
      <c r="L385" s="424">
        <f t="shared" si="38"/>
        <v>2499.86</v>
      </c>
      <c r="M385" s="424">
        <f t="shared" si="39"/>
        <v>2499.86</v>
      </c>
      <c r="N385" s="478">
        <f t="shared" si="42"/>
        <v>0</v>
      </c>
      <c r="O385" s="530"/>
      <c r="P385" s="264" t="s">
        <v>242</v>
      </c>
      <c r="Q385" s="11" t="s">
        <v>243</v>
      </c>
      <c r="R385" s="574"/>
      <c r="S385" s="427"/>
    </row>
    <row r="386" spans="1:20" s="413" customFormat="1" ht="42.75">
      <c r="A386" s="421" t="s">
        <v>2312</v>
      </c>
      <c r="B386" s="422" t="s">
        <v>1085</v>
      </c>
      <c r="C386" s="423" t="s">
        <v>15</v>
      </c>
      <c r="D386" s="424">
        <v>4</v>
      </c>
      <c r="E386" s="424">
        <v>4</v>
      </c>
      <c r="F386" s="424">
        <f>估驗單!F397</f>
        <v>4</v>
      </c>
      <c r="G386" s="478">
        <f t="shared" si="36"/>
        <v>0</v>
      </c>
      <c r="H386" s="424">
        <v>2999.84</v>
      </c>
      <c r="I386" s="424"/>
      <c r="J386" s="424"/>
      <c r="K386" s="424">
        <v>11999.36</v>
      </c>
      <c r="L386" s="424">
        <f t="shared" si="38"/>
        <v>11999.36</v>
      </c>
      <c r="M386" s="424">
        <f t="shared" si="39"/>
        <v>11999.36</v>
      </c>
      <c r="N386" s="478">
        <f t="shared" si="42"/>
        <v>0</v>
      </c>
      <c r="O386" s="530"/>
      <c r="P386" s="264" t="s">
        <v>242</v>
      </c>
      <c r="Q386" s="11" t="s">
        <v>243</v>
      </c>
      <c r="R386" s="574"/>
      <c r="S386" s="427"/>
    </row>
    <row r="387" spans="1:20" s="413" customFormat="1" ht="57">
      <c r="A387" s="421" t="s">
        <v>2313</v>
      </c>
      <c r="B387" s="422" t="s">
        <v>1088</v>
      </c>
      <c r="C387" s="423" t="s">
        <v>15</v>
      </c>
      <c r="D387" s="424">
        <v>2</v>
      </c>
      <c r="E387" s="424">
        <v>2</v>
      </c>
      <c r="F387" s="424">
        <f>估驗單!F398</f>
        <v>2</v>
      </c>
      <c r="G387" s="478">
        <f t="shared" si="36"/>
        <v>0</v>
      </c>
      <c r="H387" s="424">
        <v>19998.91</v>
      </c>
      <c r="I387" s="424"/>
      <c r="J387" s="424"/>
      <c r="K387" s="424">
        <v>39997.82</v>
      </c>
      <c r="L387" s="424">
        <f t="shared" si="38"/>
        <v>39997.82</v>
      </c>
      <c r="M387" s="424">
        <f t="shared" si="39"/>
        <v>39997.82</v>
      </c>
      <c r="N387" s="478">
        <f t="shared" si="42"/>
        <v>0</v>
      </c>
      <c r="O387" s="530"/>
      <c r="P387" s="264" t="s">
        <v>2530</v>
      </c>
      <c r="Q387" s="11" t="s">
        <v>243</v>
      </c>
      <c r="R387" s="574"/>
      <c r="S387" s="427"/>
    </row>
    <row r="388" spans="1:20" s="413" customFormat="1" ht="42.75">
      <c r="A388" s="421" t="s">
        <v>2315</v>
      </c>
      <c r="B388" s="422" t="s">
        <v>1091</v>
      </c>
      <c r="C388" s="423" t="s">
        <v>14</v>
      </c>
      <c r="D388" s="424">
        <v>1</v>
      </c>
      <c r="E388" s="424">
        <v>1</v>
      </c>
      <c r="F388" s="424">
        <f>估驗單!F399</f>
        <v>1</v>
      </c>
      <c r="G388" s="478">
        <f t="shared" si="36"/>
        <v>0</v>
      </c>
      <c r="H388" s="424">
        <v>14999.18</v>
      </c>
      <c r="I388" s="424"/>
      <c r="J388" s="424"/>
      <c r="K388" s="424">
        <v>14999.18</v>
      </c>
      <c r="L388" s="424">
        <f t="shared" si="38"/>
        <v>14999.18</v>
      </c>
      <c r="M388" s="424">
        <f t="shared" si="39"/>
        <v>14999.18</v>
      </c>
      <c r="N388" s="478">
        <f t="shared" si="42"/>
        <v>0</v>
      </c>
      <c r="O388" s="530"/>
      <c r="P388" s="264" t="s">
        <v>242</v>
      </c>
      <c r="Q388" s="11" t="s">
        <v>243</v>
      </c>
      <c r="R388" s="574"/>
      <c r="S388" s="427"/>
    </row>
    <row r="389" spans="1:20" s="413" customFormat="1" ht="42.75">
      <c r="A389" s="421" t="s">
        <v>2316</v>
      </c>
      <c r="B389" s="422" t="s">
        <v>1094</v>
      </c>
      <c r="C389" s="423" t="s">
        <v>1095</v>
      </c>
      <c r="D389" s="424">
        <v>3</v>
      </c>
      <c r="E389" s="424">
        <v>3</v>
      </c>
      <c r="F389" s="424">
        <f>估驗單!F400</f>
        <v>3</v>
      </c>
      <c r="G389" s="478">
        <f t="shared" si="36"/>
        <v>0</v>
      </c>
      <c r="H389" s="424">
        <v>1299.93</v>
      </c>
      <c r="I389" s="424"/>
      <c r="J389" s="424"/>
      <c r="K389" s="424">
        <v>3899.79</v>
      </c>
      <c r="L389" s="424">
        <f t="shared" si="38"/>
        <v>3899.79</v>
      </c>
      <c r="M389" s="424">
        <f t="shared" si="39"/>
        <v>3899.79</v>
      </c>
      <c r="N389" s="478">
        <f t="shared" si="42"/>
        <v>0</v>
      </c>
      <c r="O389" s="530"/>
      <c r="P389" s="264" t="s">
        <v>242</v>
      </c>
      <c r="Q389" s="11" t="s">
        <v>243</v>
      </c>
      <c r="R389" s="574"/>
      <c r="S389" s="427"/>
    </row>
    <row r="390" spans="1:20" s="413" customFormat="1" ht="33">
      <c r="A390" s="421" t="s">
        <v>2317</v>
      </c>
      <c r="B390" s="422" t="s">
        <v>1098</v>
      </c>
      <c r="C390" s="423" t="s">
        <v>1095</v>
      </c>
      <c r="D390" s="424">
        <v>4</v>
      </c>
      <c r="E390" s="424">
        <v>4</v>
      </c>
      <c r="F390" s="424">
        <f>估驗單!F401</f>
        <v>4</v>
      </c>
      <c r="G390" s="478">
        <f t="shared" si="36"/>
        <v>0</v>
      </c>
      <c r="H390" s="424">
        <v>999.95</v>
      </c>
      <c r="I390" s="424"/>
      <c r="J390" s="424"/>
      <c r="K390" s="424">
        <v>3999.8</v>
      </c>
      <c r="L390" s="424">
        <f t="shared" si="38"/>
        <v>3999.8</v>
      </c>
      <c r="M390" s="424">
        <f t="shared" si="39"/>
        <v>3999.8</v>
      </c>
      <c r="N390" s="478">
        <f t="shared" si="42"/>
        <v>0</v>
      </c>
      <c r="O390" s="530"/>
      <c r="P390" s="264" t="s">
        <v>242</v>
      </c>
      <c r="Q390" s="11" t="s">
        <v>243</v>
      </c>
      <c r="R390" s="574"/>
      <c r="S390" s="427"/>
    </row>
    <row r="391" spans="1:20" s="413" customFormat="1" ht="33">
      <c r="A391" s="421" t="s">
        <v>2318</v>
      </c>
      <c r="B391" s="422" t="s">
        <v>1101</v>
      </c>
      <c r="C391" s="423" t="s">
        <v>15</v>
      </c>
      <c r="D391" s="424">
        <v>2</v>
      </c>
      <c r="E391" s="424">
        <v>2</v>
      </c>
      <c r="F391" s="424">
        <f>估驗單!F402</f>
        <v>2</v>
      </c>
      <c r="G391" s="478">
        <f t="shared" si="36"/>
        <v>0</v>
      </c>
      <c r="H391" s="424">
        <v>8999.51</v>
      </c>
      <c r="I391" s="424"/>
      <c r="J391" s="424"/>
      <c r="K391" s="424">
        <v>17999.02</v>
      </c>
      <c r="L391" s="424">
        <f t="shared" si="38"/>
        <v>17999.02</v>
      </c>
      <c r="M391" s="424">
        <f t="shared" si="39"/>
        <v>17999.02</v>
      </c>
      <c r="N391" s="478">
        <f t="shared" si="42"/>
        <v>0</v>
      </c>
      <c r="O391" s="530"/>
      <c r="P391" s="264" t="s">
        <v>2530</v>
      </c>
      <c r="Q391" s="11" t="s">
        <v>243</v>
      </c>
      <c r="R391" s="574"/>
      <c r="S391" s="427"/>
    </row>
    <row r="392" spans="1:20" s="413" customFormat="1" ht="42.75">
      <c r="A392" s="421" t="s">
        <v>2319</v>
      </c>
      <c r="B392" s="422" t="s">
        <v>1104</v>
      </c>
      <c r="C392" s="423" t="s">
        <v>15</v>
      </c>
      <c r="D392" s="424">
        <v>4</v>
      </c>
      <c r="E392" s="424">
        <v>4</v>
      </c>
      <c r="F392" s="424">
        <f>估驗單!F403</f>
        <v>4</v>
      </c>
      <c r="G392" s="478">
        <f t="shared" si="36"/>
        <v>0</v>
      </c>
      <c r="H392" s="424">
        <v>4199.7700000000004</v>
      </c>
      <c r="I392" s="424"/>
      <c r="J392" s="424"/>
      <c r="K392" s="424">
        <v>16799.080000000002</v>
      </c>
      <c r="L392" s="424">
        <f t="shared" si="38"/>
        <v>16799.080000000002</v>
      </c>
      <c r="M392" s="424">
        <f t="shared" si="39"/>
        <v>16799.080000000002</v>
      </c>
      <c r="N392" s="478">
        <f t="shared" si="42"/>
        <v>0</v>
      </c>
      <c r="O392" s="530"/>
      <c r="P392" s="264" t="s">
        <v>242</v>
      </c>
      <c r="Q392" s="11" t="s">
        <v>243</v>
      </c>
      <c r="R392" s="574"/>
      <c r="S392" s="427"/>
    </row>
    <row r="393" spans="1:20" ht="33">
      <c r="A393" s="421" t="s">
        <v>2320</v>
      </c>
      <c r="B393" s="422" t="s">
        <v>1107</v>
      </c>
      <c r="C393" s="423" t="s">
        <v>14</v>
      </c>
      <c r="D393" s="424">
        <v>2</v>
      </c>
      <c r="E393" s="424">
        <v>2</v>
      </c>
      <c r="F393" s="424">
        <f>估驗單!F404</f>
        <v>2</v>
      </c>
      <c r="G393" s="478">
        <f t="shared" si="36"/>
        <v>0</v>
      </c>
      <c r="H393" s="424">
        <v>999.95</v>
      </c>
      <c r="I393" s="424"/>
      <c r="J393" s="424"/>
      <c r="K393" s="424">
        <v>1999.9</v>
      </c>
      <c r="L393" s="424">
        <f t="shared" si="38"/>
        <v>1999.9</v>
      </c>
      <c r="M393" s="424">
        <f t="shared" si="39"/>
        <v>1999.9</v>
      </c>
      <c r="N393" s="478">
        <f t="shared" si="42"/>
        <v>0</v>
      </c>
      <c r="O393" s="530"/>
      <c r="P393" s="264" t="s">
        <v>242</v>
      </c>
      <c r="Q393" s="11" t="s">
        <v>243</v>
      </c>
      <c r="R393" s="574"/>
      <c r="S393" s="427"/>
    </row>
    <row r="394" spans="1:20" ht="33">
      <c r="A394" s="421" t="s">
        <v>2321</v>
      </c>
      <c r="B394" s="422" t="s">
        <v>224</v>
      </c>
      <c r="C394" s="423" t="s">
        <v>15</v>
      </c>
      <c r="D394" s="424">
        <v>12</v>
      </c>
      <c r="E394" s="424">
        <v>12</v>
      </c>
      <c r="F394" s="424">
        <f>估驗單!F405</f>
        <v>12</v>
      </c>
      <c r="G394" s="478">
        <f t="shared" si="36"/>
        <v>0</v>
      </c>
      <c r="H394" s="424">
        <v>4499.75</v>
      </c>
      <c r="I394" s="424"/>
      <c r="J394" s="424"/>
      <c r="K394" s="424">
        <v>53997</v>
      </c>
      <c r="L394" s="424">
        <f t="shared" si="38"/>
        <v>53997</v>
      </c>
      <c r="M394" s="424">
        <f t="shared" si="39"/>
        <v>53997</v>
      </c>
      <c r="N394" s="478">
        <f t="shared" si="42"/>
        <v>0</v>
      </c>
      <c r="O394" s="530"/>
      <c r="P394" s="264" t="s">
        <v>242</v>
      </c>
      <c r="Q394" s="11" t="s">
        <v>243</v>
      </c>
      <c r="R394" s="574"/>
      <c r="S394" s="427"/>
    </row>
    <row r="395" spans="1:20" ht="33">
      <c r="A395" s="421" t="s">
        <v>2322</v>
      </c>
      <c r="B395" s="422" t="s">
        <v>1112</v>
      </c>
      <c r="C395" s="423" t="s">
        <v>15</v>
      </c>
      <c r="D395" s="424">
        <v>2</v>
      </c>
      <c r="E395" s="424">
        <v>2</v>
      </c>
      <c r="F395" s="424">
        <f>估驗單!F406</f>
        <v>2</v>
      </c>
      <c r="G395" s="478">
        <f t="shared" si="36"/>
        <v>0</v>
      </c>
      <c r="H395" s="424">
        <v>636265.30000000005</v>
      </c>
      <c r="I395" s="424"/>
      <c r="J395" s="424"/>
      <c r="K395" s="424">
        <v>1272530.6000000001</v>
      </c>
      <c r="L395" s="424">
        <f t="shared" si="38"/>
        <v>1272530.6000000001</v>
      </c>
      <c r="M395" s="424">
        <f t="shared" si="39"/>
        <v>1272530.6000000001</v>
      </c>
      <c r="N395" s="478">
        <f t="shared" si="42"/>
        <v>0</v>
      </c>
      <c r="O395" s="530"/>
      <c r="P395" s="264" t="s">
        <v>242</v>
      </c>
      <c r="Q395" s="11" t="s">
        <v>243</v>
      </c>
      <c r="R395" s="574"/>
      <c r="S395" s="427"/>
    </row>
    <row r="396" spans="1:20" ht="42.75">
      <c r="A396" s="421" t="s">
        <v>2323</v>
      </c>
      <c r="B396" s="422" t="s">
        <v>1115</v>
      </c>
      <c r="C396" s="423" t="s">
        <v>1116</v>
      </c>
      <c r="D396" s="424">
        <v>4</v>
      </c>
      <c r="E396" s="424">
        <v>4</v>
      </c>
      <c r="F396" s="424">
        <f>估驗單!F407</f>
        <v>4</v>
      </c>
      <c r="G396" s="478">
        <f t="shared" si="36"/>
        <v>0</v>
      </c>
      <c r="H396" s="424">
        <v>1999.89</v>
      </c>
      <c r="I396" s="424"/>
      <c r="J396" s="424"/>
      <c r="K396" s="424">
        <v>7999.56</v>
      </c>
      <c r="L396" s="424">
        <f t="shared" si="38"/>
        <v>7999.56</v>
      </c>
      <c r="M396" s="424">
        <f t="shared" si="39"/>
        <v>7999.56</v>
      </c>
      <c r="N396" s="478">
        <f t="shared" si="42"/>
        <v>0</v>
      </c>
      <c r="O396" s="530"/>
      <c r="P396" s="264" t="s">
        <v>2530</v>
      </c>
      <c r="Q396" s="11" t="s">
        <v>243</v>
      </c>
      <c r="R396" s="574"/>
      <c r="S396" s="427"/>
    </row>
    <row r="397" spans="1:20" ht="33">
      <c r="A397" s="421" t="s">
        <v>2324</v>
      </c>
      <c r="B397" s="422" t="s">
        <v>1542</v>
      </c>
      <c r="C397" s="423" t="s">
        <v>15</v>
      </c>
      <c r="D397" s="424">
        <v>1</v>
      </c>
      <c r="E397" s="424">
        <v>1</v>
      </c>
      <c r="F397" s="424">
        <f>估驗單!F408</f>
        <v>1</v>
      </c>
      <c r="G397" s="478">
        <f t="shared" si="36"/>
        <v>0</v>
      </c>
      <c r="H397" s="424">
        <v>119722.49</v>
      </c>
      <c r="I397" s="424"/>
      <c r="J397" s="424"/>
      <c r="K397" s="424">
        <v>119722.49</v>
      </c>
      <c r="L397" s="424">
        <f t="shared" si="38"/>
        <v>119722.49</v>
      </c>
      <c r="M397" s="424">
        <f t="shared" si="39"/>
        <v>119722.49</v>
      </c>
      <c r="N397" s="478">
        <f t="shared" si="42"/>
        <v>0</v>
      </c>
      <c r="O397" s="530"/>
      <c r="P397" s="264" t="s">
        <v>242</v>
      </c>
      <c r="Q397" s="11" t="s">
        <v>243</v>
      </c>
      <c r="R397" s="574"/>
      <c r="S397" s="427"/>
    </row>
    <row r="398" spans="1:20" s="440" customFormat="1" ht="33.75">
      <c r="A398" s="431">
        <v>36</v>
      </c>
      <c r="B398" s="432" t="s">
        <v>2650</v>
      </c>
      <c r="C398" s="433" t="s">
        <v>2562</v>
      </c>
      <c r="D398" s="428">
        <v>0</v>
      </c>
      <c r="E398" s="428">
        <v>1</v>
      </c>
      <c r="F398" s="424">
        <f>估驗單!F409</f>
        <v>1</v>
      </c>
      <c r="G398" s="478">
        <f t="shared" si="36"/>
        <v>0</v>
      </c>
      <c r="H398" s="428">
        <v>0</v>
      </c>
      <c r="I398" s="428"/>
      <c r="J398" s="428">
        <v>74993.56</v>
      </c>
      <c r="K398" s="428">
        <v>0</v>
      </c>
      <c r="L398" s="424">
        <f>ROUND(E398*J398,2)</f>
        <v>74993.56</v>
      </c>
      <c r="M398" s="424">
        <f>ROUND(F398*J398,2)</f>
        <v>74993.56</v>
      </c>
      <c r="N398" s="478">
        <f t="shared" si="42"/>
        <v>0</v>
      </c>
      <c r="O398" s="530"/>
      <c r="P398" s="438" t="s">
        <v>2651</v>
      </c>
      <c r="Q398" s="435" t="s">
        <v>243</v>
      </c>
      <c r="R398" s="465" t="s">
        <v>2652</v>
      </c>
      <c r="S398" s="437"/>
      <c r="T398" s="450" t="s">
        <v>2565</v>
      </c>
    </row>
    <row r="399" spans="1:20" s="440" customFormat="1" ht="42.75">
      <c r="A399" s="511">
        <v>37</v>
      </c>
      <c r="B399" s="512" t="s">
        <v>1546</v>
      </c>
      <c r="C399" s="513" t="s">
        <v>15</v>
      </c>
      <c r="D399" s="507">
        <v>0</v>
      </c>
      <c r="E399" s="507">
        <v>2</v>
      </c>
      <c r="F399" s="507">
        <f>估驗單!F410</f>
        <v>2</v>
      </c>
      <c r="G399" s="514">
        <f t="shared" si="36"/>
        <v>0</v>
      </c>
      <c r="H399" s="507">
        <v>0</v>
      </c>
      <c r="I399" s="507"/>
      <c r="J399" s="507">
        <v>83492.83</v>
      </c>
      <c r="K399" s="507">
        <v>0</v>
      </c>
      <c r="L399" s="424">
        <f t="shared" ref="L399:L401" si="43">ROUND(E399*J399,2)</f>
        <v>166985.66</v>
      </c>
      <c r="M399" s="424">
        <f t="shared" ref="M399:M401" si="44">ROUND(F399*J399,2)</f>
        <v>166985.66</v>
      </c>
      <c r="N399" s="478">
        <f t="shared" si="42"/>
        <v>0</v>
      </c>
      <c r="O399" s="530"/>
      <c r="P399" s="464"/>
      <c r="Q399" s="445"/>
      <c r="R399" s="465"/>
      <c r="S399" s="448"/>
      <c r="T399" s="441" t="s">
        <v>2565</v>
      </c>
    </row>
    <row r="400" spans="1:20" s="440" customFormat="1" ht="42.75">
      <c r="A400" s="511">
        <v>38</v>
      </c>
      <c r="B400" s="512" t="s">
        <v>1548</v>
      </c>
      <c r="C400" s="513" t="s">
        <v>15</v>
      </c>
      <c r="D400" s="507">
        <v>0</v>
      </c>
      <c r="E400" s="507">
        <v>1</v>
      </c>
      <c r="F400" s="507">
        <f>估驗單!F411</f>
        <v>1</v>
      </c>
      <c r="G400" s="514">
        <f t="shared" si="36"/>
        <v>0</v>
      </c>
      <c r="H400" s="507">
        <v>0</v>
      </c>
      <c r="I400" s="507"/>
      <c r="J400" s="507">
        <v>76193.42</v>
      </c>
      <c r="K400" s="507">
        <v>0</v>
      </c>
      <c r="L400" s="424">
        <f t="shared" si="43"/>
        <v>76193.42</v>
      </c>
      <c r="M400" s="424">
        <f t="shared" si="44"/>
        <v>76193.42</v>
      </c>
      <c r="N400" s="478">
        <f t="shared" si="42"/>
        <v>0</v>
      </c>
      <c r="O400" s="530"/>
      <c r="P400" s="464"/>
      <c r="Q400" s="445"/>
      <c r="R400" s="465"/>
      <c r="S400" s="448"/>
      <c r="T400" s="441" t="s">
        <v>2565</v>
      </c>
    </row>
    <row r="401" spans="1:24" s="440" customFormat="1" ht="28.5">
      <c r="A401" s="511">
        <v>39</v>
      </c>
      <c r="B401" s="512" t="s">
        <v>1550</v>
      </c>
      <c r="C401" s="513" t="s">
        <v>15</v>
      </c>
      <c r="D401" s="507">
        <v>0</v>
      </c>
      <c r="E401" s="507">
        <v>2</v>
      </c>
      <c r="F401" s="507">
        <f>估驗單!F412</f>
        <v>2</v>
      </c>
      <c r="G401" s="514">
        <f t="shared" si="36"/>
        <v>0</v>
      </c>
      <c r="H401" s="507">
        <v>0</v>
      </c>
      <c r="I401" s="507"/>
      <c r="J401" s="507">
        <v>17998.46</v>
      </c>
      <c r="K401" s="507">
        <v>0</v>
      </c>
      <c r="L401" s="424">
        <f t="shared" si="43"/>
        <v>35996.92</v>
      </c>
      <c r="M401" s="424">
        <f t="shared" si="44"/>
        <v>35996.92</v>
      </c>
      <c r="N401" s="478">
        <f t="shared" si="42"/>
        <v>0</v>
      </c>
      <c r="O401" s="530"/>
      <c r="P401" s="464"/>
      <c r="Q401" s="445"/>
      <c r="R401" s="465"/>
      <c r="S401" s="448"/>
      <c r="T401" s="441" t="s">
        <v>2565</v>
      </c>
    </row>
    <row r="402" spans="1:24" ht="33">
      <c r="A402" s="494" t="s">
        <v>2387</v>
      </c>
      <c r="B402" s="495" t="s">
        <v>1118</v>
      </c>
      <c r="C402" s="496" t="s">
        <v>4</v>
      </c>
      <c r="D402" s="497">
        <v>1</v>
      </c>
      <c r="E402" s="497"/>
      <c r="F402" s="497"/>
      <c r="G402" s="498">
        <f t="shared" si="36"/>
        <v>0</v>
      </c>
      <c r="H402" s="497">
        <v>993885.6</v>
      </c>
      <c r="I402" s="497"/>
      <c r="J402" s="497"/>
      <c r="K402" s="497">
        <v>993885.6</v>
      </c>
      <c r="L402" s="497">
        <f>SUM(L403:L405)</f>
        <v>3983954.6799999997</v>
      </c>
      <c r="M402" s="497">
        <f t="shared" ref="M402:N402" si="45">SUM(M403:M405)</f>
        <v>3983954.6799999997</v>
      </c>
      <c r="N402" s="497">
        <f t="shared" si="45"/>
        <v>0</v>
      </c>
      <c r="O402" s="532"/>
      <c r="P402" s="356" t="s">
        <v>242</v>
      </c>
      <c r="Q402" s="11" t="s">
        <v>243</v>
      </c>
      <c r="R402" s="574"/>
      <c r="S402" s="427"/>
    </row>
    <row r="403" spans="1:24" ht="33">
      <c r="A403" s="421" t="s">
        <v>2288</v>
      </c>
      <c r="B403" s="422" t="s">
        <v>26</v>
      </c>
      <c r="C403" s="423" t="s">
        <v>20</v>
      </c>
      <c r="D403" s="424">
        <v>48</v>
      </c>
      <c r="E403" s="424">
        <v>48</v>
      </c>
      <c r="F403" s="424">
        <f>估驗單!F414</f>
        <v>48</v>
      </c>
      <c r="G403" s="478">
        <f t="shared" si="36"/>
        <v>0</v>
      </c>
      <c r="H403" s="424">
        <v>13067.55</v>
      </c>
      <c r="I403" s="424"/>
      <c r="J403" s="424"/>
      <c r="K403" s="424">
        <v>627242.4</v>
      </c>
      <c r="L403" s="424">
        <f t="shared" ref="L403:L404" si="46">ROUND(E403*H403,2)</f>
        <v>627242.4</v>
      </c>
      <c r="M403" s="424">
        <f t="shared" ref="M403:M404" si="47">ROUND(F403*H403,2)</f>
        <v>627242.4</v>
      </c>
      <c r="N403" s="478">
        <f t="shared" ref="N403:N405" si="48">IF(L403-M403&lt;0+AND(L403&lt;&gt;0),M403-L403,"      ")</f>
        <v>0</v>
      </c>
      <c r="O403" s="530"/>
      <c r="P403" s="264" t="s">
        <v>242</v>
      </c>
      <c r="Q403" s="11" t="s">
        <v>243</v>
      </c>
      <c r="R403" s="574"/>
      <c r="S403" s="427"/>
    </row>
    <row r="404" spans="1:24" ht="33.75">
      <c r="A404" s="421" t="s">
        <v>2289</v>
      </c>
      <c r="B404" s="422" t="s">
        <v>27</v>
      </c>
      <c r="C404" s="423" t="s">
        <v>21</v>
      </c>
      <c r="D404" s="424">
        <v>6720</v>
      </c>
      <c r="E404" s="424">
        <v>28448</v>
      </c>
      <c r="F404" s="424">
        <f>估驗單!F415</f>
        <v>28448</v>
      </c>
      <c r="G404" s="478">
        <f t="shared" si="36"/>
        <v>0</v>
      </c>
      <c r="H404" s="424">
        <v>54.56</v>
      </c>
      <c r="I404" s="424"/>
      <c r="J404" s="424"/>
      <c r="K404" s="424">
        <f>H404*D404</f>
        <v>366643.20000000001</v>
      </c>
      <c r="L404" s="424">
        <f t="shared" si="46"/>
        <v>1552122.8799999999</v>
      </c>
      <c r="M404" s="424">
        <f t="shared" si="47"/>
        <v>1552122.8799999999</v>
      </c>
      <c r="N404" s="478">
        <f t="shared" si="48"/>
        <v>0</v>
      </c>
      <c r="O404" s="530"/>
      <c r="P404" s="264" t="s">
        <v>2653</v>
      </c>
      <c r="Q404" s="11" t="s">
        <v>243</v>
      </c>
      <c r="R404" s="574" t="s">
        <v>2654</v>
      </c>
      <c r="S404" s="427" t="s">
        <v>2655</v>
      </c>
      <c r="T404" s="450" t="s">
        <v>2565</v>
      </c>
      <c r="V404" s="466" t="s">
        <v>2656</v>
      </c>
      <c r="X404" s="467"/>
    </row>
    <row r="405" spans="1:24" s="451" customFormat="1" ht="67.5">
      <c r="A405" s="431" t="s">
        <v>2290</v>
      </c>
      <c r="B405" s="432" t="s">
        <v>1553</v>
      </c>
      <c r="C405" s="433" t="s">
        <v>2657</v>
      </c>
      <c r="D405" s="428">
        <v>0</v>
      </c>
      <c r="E405" s="428">
        <v>1570</v>
      </c>
      <c r="F405" s="424">
        <f>估驗單!F416</f>
        <v>1570</v>
      </c>
      <c r="G405" s="478">
        <f t="shared" si="36"/>
        <v>0</v>
      </c>
      <c r="H405" s="428">
        <v>0</v>
      </c>
      <c r="I405" s="425"/>
      <c r="J405" s="428">
        <v>1149.42</v>
      </c>
      <c r="K405" s="428">
        <f>H405*D405</f>
        <v>0</v>
      </c>
      <c r="L405" s="424">
        <f>ROUND(E405*J405,2)</f>
        <v>1804589.4</v>
      </c>
      <c r="M405" s="424">
        <f>ROUND(F405*J405,2)</f>
        <v>1804589.4</v>
      </c>
      <c r="N405" s="478">
        <f t="shared" si="48"/>
        <v>0</v>
      </c>
      <c r="O405" s="530"/>
      <c r="P405" s="434" t="s">
        <v>242</v>
      </c>
      <c r="Q405" s="435" t="s">
        <v>243</v>
      </c>
      <c r="R405" s="574" t="s">
        <v>2658</v>
      </c>
      <c r="S405" s="437" t="s">
        <v>2659</v>
      </c>
      <c r="T405" s="446" t="s">
        <v>2550</v>
      </c>
    </row>
    <row r="406" spans="1:24" ht="33">
      <c r="A406" s="494" t="s">
        <v>2388</v>
      </c>
      <c r="B406" s="495" t="s">
        <v>1121</v>
      </c>
      <c r="C406" s="496" t="s">
        <v>4</v>
      </c>
      <c r="D406" s="497">
        <v>1</v>
      </c>
      <c r="E406" s="497"/>
      <c r="F406" s="497"/>
      <c r="G406" s="498">
        <f t="shared" si="36"/>
        <v>0</v>
      </c>
      <c r="H406" s="497">
        <v>8414342.0800000001</v>
      </c>
      <c r="I406" s="497"/>
      <c r="J406" s="497"/>
      <c r="K406" s="497">
        <v>8414342.0800000001</v>
      </c>
      <c r="L406" s="499">
        <f>SUM(L407:L424)</f>
        <v>9928418.8300000001</v>
      </c>
      <c r="M406" s="499">
        <f t="shared" ref="M406:O406" si="49">SUM(M407:M424)</f>
        <v>10597644.84</v>
      </c>
      <c r="N406" s="499">
        <f t="shared" si="49"/>
        <v>669226.00999999989</v>
      </c>
      <c r="O406" s="529">
        <f t="shared" si="49"/>
        <v>0</v>
      </c>
      <c r="P406" s="356" t="s">
        <v>242</v>
      </c>
      <c r="Q406" s="11" t="s">
        <v>243</v>
      </c>
      <c r="R406" s="574"/>
      <c r="S406" s="427"/>
    </row>
    <row r="407" spans="1:24" ht="33">
      <c r="A407" s="421" t="s">
        <v>2288</v>
      </c>
      <c r="B407" s="422" t="s">
        <v>1122</v>
      </c>
      <c r="C407" s="423" t="s">
        <v>8</v>
      </c>
      <c r="D407" s="424">
        <v>1294.97</v>
      </c>
      <c r="E407" s="424">
        <v>1294.97</v>
      </c>
      <c r="F407" s="424">
        <f>估驗單!F418</f>
        <v>1294.97</v>
      </c>
      <c r="G407" s="478">
        <f t="shared" si="36"/>
        <v>0</v>
      </c>
      <c r="H407" s="424">
        <v>3662.03</v>
      </c>
      <c r="I407" s="424"/>
      <c r="J407" s="424"/>
      <c r="K407" s="424">
        <v>4742218.99</v>
      </c>
      <c r="L407" s="424">
        <f t="shared" ref="L407:L422" si="50">ROUND(E407*H407,2)</f>
        <v>4742218.99</v>
      </c>
      <c r="M407" s="424">
        <f t="shared" ref="M407:M422" si="51">ROUND(F407*H407,2)</f>
        <v>4742218.99</v>
      </c>
      <c r="N407" s="478">
        <f t="shared" ref="N407:N424" si="52">IF(L407-M407&lt;0+AND(L407&lt;&gt;0),M407-L407,"      ")</f>
        <v>0</v>
      </c>
      <c r="O407" s="530"/>
      <c r="P407" s="264" t="s">
        <v>2660</v>
      </c>
      <c r="Q407" s="11" t="s">
        <v>243</v>
      </c>
      <c r="R407" s="574"/>
      <c r="S407" s="427"/>
    </row>
    <row r="408" spans="1:24" ht="33">
      <c r="A408" s="421" t="s">
        <v>2289</v>
      </c>
      <c r="B408" s="422" t="s">
        <v>1124</v>
      </c>
      <c r="C408" s="423" t="s">
        <v>13</v>
      </c>
      <c r="D408" s="424">
        <v>1840.93</v>
      </c>
      <c r="E408" s="424">
        <v>1840.93</v>
      </c>
      <c r="F408" s="424">
        <f>估驗單!F419</f>
        <v>1840.93</v>
      </c>
      <c r="G408" s="478">
        <f t="shared" si="36"/>
        <v>0</v>
      </c>
      <c r="H408" s="424">
        <v>352.98</v>
      </c>
      <c r="I408" s="424"/>
      <c r="J408" s="424"/>
      <c r="K408" s="424">
        <v>649811.47</v>
      </c>
      <c r="L408" s="424">
        <f t="shared" si="50"/>
        <v>649811.47</v>
      </c>
      <c r="M408" s="424">
        <f t="shared" si="51"/>
        <v>649811.47</v>
      </c>
      <c r="N408" s="478">
        <f t="shared" si="52"/>
        <v>0</v>
      </c>
      <c r="O408" s="530"/>
      <c r="P408" s="264" t="s">
        <v>2661</v>
      </c>
      <c r="Q408" s="11" t="s">
        <v>243</v>
      </c>
      <c r="R408" s="574"/>
      <c r="S408" s="427"/>
    </row>
    <row r="409" spans="1:24" ht="33">
      <c r="A409" s="421" t="s">
        <v>2290</v>
      </c>
      <c r="B409" s="422" t="s">
        <v>32</v>
      </c>
      <c r="C409" s="423" t="s">
        <v>7</v>
      </c>
      <c r="D409" s="424">
        <v>59</v>
      </c>
      <c r="E409" s="424">
        <v>59</v>
      </c>
      <c r="F409" s="424">
        <f>估驗單!F420</f>
        <v>59</v>
      </c>
      <c r="G409" s="478">
        <f t="shared" si="36"/>
        <v>0</v>
      </c>
      <c r="H409" s="424">
        <v>217.01</v>
      </c>
      <c r="I409" s="424"/>
      <c r="J409" s="424"/>
      <c r="K409" s="424">
        <v>12803.59</v>
      </c>
      <c r="L409" s="424">
        <f t="shared" si="50"/>
        <v>12803.59</v>
      </c>
      <c r="M409" s="424">
        <f t="shared" si="51"/>
        <v>12803.59</v>
      </c>
      <c r="N409" s="478">
        <f t="shared" si="52"/>
        <v>0</v>
      </c>
      <c r="O409" s="530"/>
      <c r="P409" s="264" t="s">
        <v>242</v>
      </c>
      <c r="Q409" s="11" t="s">
        <v>243</v>
      </c>
      <c r="R409" s="574"/>
      <c r="S409" s="427"/>
    </row>
    <row r="410" spans="1:24" ht="33">
      <c r="A410" s="421" t="s">
        <v>2291</v>
      </c>
      <c r="B410" s="422" t="s">
        <v>33</v>
      </c>
      <c r="C410" s="423" t="s">
        <v>5</v>
      </c>
      <c r="D410" s="424">
        <v>30</v>
      </c>
      <c r="E410" s="424">
        <v>30</v>
      </c>
      <c r="F410" s="424">
        <f>估驗單!F421</f>
        <v>30</v>
      </c>
      <c r="G410" s="478">
        <f t="shared" ref="G410:G449" si="53">F410-E410</f>
        <v>0</v>
      </c>
      <c r="H410" s="424">
        <v>50</v>
      </c>
      <c r="I410" s="424"/>
      <c r="J410" s="424"/>
      <c r="K410" s="424">
        <v>1500</v>
      </c>
      <c r="L410" s="424">
        <f t="shared" si="50"/>
        <v>1500</v>
      </c>
      <c r="M410" s="424">
        <f t="shared" si="51"/>
        <v>1500</v>
      </c>
      <c r="N410" s="478">
        <f t="shared" si="52"/>
        <v>0</v>
      </c>
      <c r="O410" s="530"/>
      <c r="P410" s="264" t="s">
        <v>242</v>
      </c>
      <c r="Q410" s="11" t="s">
        <v>243</v>
      </c>
      <c r="R410" s="574"/>
      <c r="S410" s="427"/>
    </row>
    <row r="411" spans="1:24" ht="33">
      <c r="A411" s="421" t="s">
        <v>2292</v>
      </c>
      <c r="B411" s="422" t="s">
        <v>1128</v>
      </c>
      <c r="C411" s="423" t="s">
        <v>0</v>
      </c>
      <c r="D411" s="424">
        <v>19</v>
      </c>
      <c r="E411" s="424">
        <v>19</v>
      </c>
      <c r="F411" s="424">
        <f>估驗單!F422</f>
        <v>19</v>
      </c>
      <c r="G411" s="478">
        <f t="shared" si="53"/>
        <v>0</v>
      </c>
      <c r="H411" s="424">
        <v>1900.88</v>
      </c>
      <c r="I411" s="424"/>
      <c r="J411" s="424"/>
      <c r="K411" s="424">
        <v>36116.720000000001</v>
      </c>
      <c r="L411" s="424">
        <f t="shared" si="50"/>
        <v>36116.720000000001</v>
      </c>
      <c r="M411" s="424">
        <f t="shared" si="51"/>
        <v>36116.720000000001</v>
      </c>
      <c r="N411" s="478">
        <f t="shared" si="52"/>
        <v>0</v>
      </c>
      <c r="O411" s="530"/>
      <c r="P411" s="264" t="s">
        <v>242</v>
      </c>
      <c r="Q411" s="11" t="s">
        <v>243</v>
      </c>
      <c r="R411" s="574"/>
      <c r="S411" s="427"/>
    </row>
    <row r="412" spans="1:24" ht="33">
      <c r="A412" s="421" t="s">
        <v>2293</v>
      </c>
      <c r="B412" s="422" t="s">
        <v>1130</v>
      </c>
      <c r="C412" s="423" t="s">
        <v>0</v>
      </c>
      <c r="D412" s="424">
        <v>10</v>
      </c>
      <c r="E412" s="424">
        <v>10</v>
      </c>
      <c r="F412" s="424">
        <f>估驗單!F423</f>
        <v>10</v>
      </c>
      <c r="G412" s="478">
        <f t="shared" si="53"/>
        <v>0</v>
      </c>
      <c r="H412" s="424">
        <v>1230.67</v>
      </c>
      <c r="I412" s="424"/>
      <c r="J412" s="424"/>
      <c r="K412" s="424">
        <v>12306.7</v>
      </c>
      <c r="L412" s="424">
        <f t="shared" si="50"/>
        <v>12306.7</v>
      </c>
      <c r="M412" s="424">
        <f t="shared" si="51"/>
        <v>12306.7</v>
      </c>
      <c r="N412" s="478">
        <f t="shared" si="52"/>
        <v>0</v>
      </c>
      <c r="O412" s="530"/>
      <c r="P412" s="264" t="s">
        <v>242</v>
      </c>
      <c r="Q412" s="11" t="s">
        <v>243</v>
      </c>
      <c r="R412" s="574"/>
      <c r="S412" s="427"/>
    </row>
    <row r="413" spans="1:24" ht="33">
      <c r="A413" s="421" t="s">
        <v>2294</v>
      </c>
      <c r="B413" s="422" t="s">
        <v>30</v>
      </c>
      <c r="C413" s="423" t="s">
        <v>0</v>
      </c>
      <c r="D413" s="424">
        <v>577</v>
      </c>
      <c r="E413" s="424">
        <v>577</v>
      </c>
      <c r="F413" s="424">
        <f>估驗單!F424</f>
        <v>577</v>
      </c>
      <c r="G413" s="478">
        <f t="shared" si="53"/>
        <v>0</v>
      </c>
      <c r="H413" s="424">
        <v>1666.03</v>
      </c>
      <c r="I413" s="424"/>
      <c r="J413" s="424"/>
      <c r="K413" s="424">
        <v>961299.31</v>
      </c>
      <c r="L413" s="424">
        <f t="shared" si="50"/>
        <v>961299.31</v>
      </c>
      <c r="M413" s="424">
        <f t="shared" si="51"/>
        <v>961299.31</v>
      </c>
      <c r="N413" s="478">
        <f t="shared" si="52"/>
        <v>0</v>
      </c>
      <c r="O413" s="530"/>
      <c r="P413" s="264" t="s">
        <v>242</v>
      </c>
      <c r="Q413" s="11" t="s">
        <v>243</v>
      </c>
      <c r="R413" s="574"/>
      <c r="S413" s="427"/>
    </row>
    <row r="414" spans="1:24" ht="33">
      <c r="A414" s="421" t="s">
        <v>2295</v>
      </c>
      <c r="B414" s="422" t="s">
        <v>1133</v>
      </c>
      <c r="C414" s="423" t="s">
        <v>0</v>
      </c>
      <c r="D414" s="424">
        <v>2</v>
      </c>
      <c r="E414" s="424">
        <v>2</v>
      </c>
      <c r="F414" s="424">
        <f>估驗單!F425</f>
        <v>3</v>
      </c>
      <c r="G414" s="478">
        <f t="shared" si="53"/>
        <v>1</v>
      </c>
      <c r="H414" s="424">
        <v>48510.35</v>
      </c>
      <c r="I414" s="424"/>
      <c r="J414" s="424"/>
      <c r="K414" s="424">
        <v>97020.7</v>
      </c>
      <c r="L414" s="424">
        <f t="shared" si="50"/>
        <v>97020.7</v>
      </c>
      <c r="M414" s="424">
        <f t="shared" si="51"/>
        <v>145531.04999999999</v>
      </c>
      <c r="N414" s="478">
        <f t="shared" si="52"/>
        <v>48510.349999999991</v>
      </c>
      <c r="O414" s="530"/>
      <c r="P414" s="264" t="s">
        <v>242</v>
      </c>
      <c r="Q414" s="11" t="s">
        <v>243</v>
      </c>
      <c r="R414" s="574"/>
      <c r="S414" s="427"/>
    </row>
    <row r="415" spans="1:24" ht="85.5">
      <c r="A415" s="421" t="s">
        <v>2296</v>
      </c>
      <c r="B415" s="422" t="s">
        <v>28</v>
      </c>
      <c r="C415" s="423" t="s">
        <v>22</v>
      </c>
      <c r="D415" s="424">
        <v>19</v>
      </c>
      <c r="E415" s="424">
        <v>19</v>
      </c>
      <c r="F415" s="424">
        <f>估驗單!F426</f>
        <v>19</v>
      </c>
      <c r="G415" s="478">
        <f t="shared" si="53"/>
        <v>0</v>
      </c>
      <c r="H415" s="424">
        <v>587.07000000000005</v>
      </c>
      <c r="I415" s="424"/>
      <c r="J415" s="424"/>
      <c r="K415" s="424">
        <v>11154.33</v>
      </c>
      <c r="L415" s="424">
        <f t="shared" si="50"/>
        <v>11154.33</v>
      </c>
      <c r="M415" s="424">
        <f t="shared" si="51"/>
        <v>11154.33</v>
      </c>
      <c r="N415" s="478">
        <f t="shared" si="52"/>
        <v>0</v>
      </c>
      <c r="O415" s="530"/>
      <c r="P415" s="264" t="s">
        <v>2662</v>
      </c>
      <c r="Q415" s="11" t="s">
        <v>243</v>
      </c>
      <c r="R415" s="574"/>
      <c r="S415" s="427"/>
    </row>
    <row r="416" spans="1:24" ht="33">
      <c r="A416" s="421" t="s">
        <v>2297</v>
      </c>
      <c r="B416" s="422" t="s">
        <v>1136</v>
      </c>
      <c r="C416" s="423" t="s">
        <v>7</v>
      </c>
      <c r="D416" s="424">
        <v>19</v>
      </c>
      <c r="E416" s="424">
        <v>19</v>
      </c>
      <c r="F416" s="424">
        <f>估驗單!F427</f>
        <v>19</v>
      </c>
      <c r="G416" s="478">
        <f t="shared" si="53"/>
        <v>0</v>
      </c>
      <c r="H416" s="424">
        <v>664.14</v>
      </c>
      <c r="I416" s="424"/>
      <c r="J416" s="424"/>
      <c r="K416" s="424">
        <v>12618.66</v>
      </c>
      <c r="L416" s="424">
        <f t="shared" si="50"/>
        <v>12618.66</v>
      </c>
      <c r="M416" s="424">
        <f t="shared" si="51"/>
        <v>12618.66</v>
      </c>
      <c r="N416" s="478">
        <f t="shared" si="52"/>
        <v>0</v>
      </c>
      <c r="O416" s="530"/>
      <c r="P416" s="264" t="s">
        <v>242</v>
      </c>
      <c r="Q416" s="11" t="s">
        <v>243</v>
      </c>
      <c r="R416" s="574"/>
      <c r="S416" s="427"/>
    </row>
    <row r="417" spans="1:20" ht="33">
      <c r="A417" s="421" t="s">
        <v>2298</v>
      </c>
      <c r="B417" s="422" t="s">
        <v>1138</v>
      </c>
      <c r="C417" s="423" t="s">
        <v>1139</v>
      </c>
      <c r="D417" s="424">
        <v>2</v>
      </c>
      <c r="E417" s="424">
        <v>2</v>
      </c>
      <c r="F417" s="424">
        <f>估驗單!F428</f>
        <v>2</v>
      </c>
      <c r="G417" s="478">
        <f t="shared" si="53"/>
        <v>0</v>
      </c>
      <c r="H417" s="424">
        <v>9999.4500000000007</v>
      </c>
      <c r="I417" s="424"/>
      <c r="J417" s="424"/>
      <c r="K417" s="424">
        <v>19998.900000000001</v>
      </c>
      <c r="L417" s="424">
        <f t="shared" si="50"/>
        <v>19998.900000000001</v>
      </c>
      <c r="M417" s="424">
        <f t="shared" si="51"/>
        <v>19998.900000000001</v>
      </c>
      <c r="N417" s="478">
        <f t="shared" si="52"/>
        <v>0</v>
      </c>
      <c r="O417" s="530"/>
      <c r="P417" s="264" t="s">
        <v>242</v>
      </c>
      <c r="Q417" s="11" t="s">
        <v>243</v>
      </c>
      <c r="R417" s="574"/>
      <c r="S417" s="427"/>
    </row>
    <row r="418" spans="1:20" ht="33">
      <c r="A418" s="421" t="s">
        <v>2299</v>
      </c>
      <c r="B418" s="422" t="s">
        <v>1142</v>
      </c>
      <c r="C418" s="423" t="s">
        <v>8</v>
      </c>
      <c r="D418" s="424">
        <v>698.15</v>
      </c>
      <c r="E418" s="424">
        <v>698.15</v>
      </c>
      <c r="F418" s="424">
        <f>估驗單!F429</f>
        <v>698.15</v>
      </c>
      <c r="G418" s="478">
        <f t="shared" si="53"/>
        <v>0</v>
      </c>
      <c r="H418" s="424">
        <v>209.99</v>
      </c>
      <c r="I418" s="424"/>
      <c r="J418" s="424"/>
      <c r="K418" s="424">
        <v>146604.51999999999</v>
      </c>
      <c r="L418" s="424">
        <f t="shared" si="50"/>
        <v>146604.51999999999</v>
      </c>
      <c r="M418" s="424">
        <f t="shared" si="51"/>
        <v>146604.51999999999</v>
      </c>
      <c r="N418" s="478">
        <f t="shared" si="52"/>
        <v>0</v>
      </c>
      <c r="O418" s="530"/>
      <c r="P418" s="264" t="s">
        <v>2663</v>
      </c>
      <c r="Q418" s="11" t="s">
        <v>243</v>
      </c>
      <c r="R418" s="574"/>
      <c r="S418" s="427"/>
    </row>
    <row r="419" spans="1:20" ht="33">
      <c r="A419" s="421" t="s">
        <v>2300</v>
      </c>
      <c r="B419" s="422" t="s">
        <v>1145</v>
      </c>
      <c r="C419" s="423" t="s">
        <v>8</v>
      </c>
      <c r="D419" s="424">
        <v>2498.77</v>
      </c>
      <c r="E419" s="424">
        <v>2498.77</v>
      </c>
      <c r="F419" s="424">
        <f>估驗單!F430</f>
        <v>2498.77</v>
      </c>
      <c r="G419" s="478">
        <f t="shared" si="53"/>
        <v>0</v>
      </c>
      <c r="H419" s="424">
        <v>299.98</v>
      </c>
      <c r="I419" s="424"/>
      <c r="J419" s="424"/>
      <c r="K419" s="424">
        <v>749581.02</v>
      </c>
      <c r="L419" s="424">
        <f t="shared" si="50"/>
        <v>749581.02</v>
      </c>
      <c r="M419" s="424">
        <f t="shared" si="51"/>
        <v>749581.02</v>
      </c>
      <c r="N419" s="478">
        <f t="shared" si="52"/>
        <v>0</v>
      </c>
      <c r="O419" s="530"/>
      <c r="P419" s="264" t="s">
        <v>242</v>
      </c>
      <c r="Q419" s="11" t="s">
        <v>243</v>
      </c>
      <c r="R419" s="574"/>
      <c r="S419" s="427"/>
    </row>
    <row r="420" spans="1:20" ht="33">
      <c r="A420" s="421" t="s">
        <v>2301</v>
      </c>
      <c r="B420" s="422" t="s">
        <v>1148</v>
      </c>
      <c r="C420" s="423" t="s">
        <v>8</v>
      </c>
      <c r="D420" s="424">
        <v>1396.3</v>
      </c>
      <c r="E420" s="424">
        <v>1396.3</v>
      </c>
      <c r="F420" s="424">
        <f>估驗單!F431</f>
        <v>1396.3</v>
      </c>
      <c r="G420" s="478">
        <f t="shared" si="53"/>
        <v>0</v>
      </c>
      <c r="H420" s="424">
        <v>199.99</v>
      </c>
      <c r="I420" s="424"/>
      <c r="J420" s="424"/>
      <c r="K420" s="424">
        <v>279246.03999999998</v>
      </c>
      <c r="L420" s="424">
        <f t="shared" si="50"/>
        <v>279246.03999999998</v>
      </c>
      <c r="M420" s="424">
        <f t="shared" si="51"/>
        <v>279246.03999999998</v>
      </c>
      <c r="N420" s="478">
        <f t="shared" si="52"/>
        <v>0</v>
      </c>
      <c r="O420" s="530"/>
      <c r="P420" s="264" t="s">
        <v>242</v>
      </c>
      <c r="Q420" s="11" t="s">
        <v>243</v>
      </c>
      <c r="R420" s="574"/>
      <c r="S420" s="427"/>
    </row>
    <row r="421" spans="1:20" ht="33">
      <c r="A421" s="421" t="s">
        <v>2302</v>
      </c>
      <c r="B421" s="422" t="s">
        <v>1151</v>
      </c>
      <c r="C421" s="423" t="s">
        <v>4</v>
      </c>
      <c r="D421" s="424">
        <v>1</v>
      </c>
      <c r="E421" s="424">
        <v>1</v>
      </c>
      <c r="F421" s="424">
        <f>估驗單!F432</f>
        <v>1</v>
      </c>
      <c r="G421" s="478">
        <f t="shared" si="53"/>
        <v>0</v>
      </c>
      <c r="H421" s="424">
        <v>21835.68</v>
      </c>
      <c r="I421" s="424"/>
      <c r="J421" s="424"/>
      <c r="K421" s="424">
        <v>21835.68</v>
      </c>
      <c r="L421" s="424">
        <f t="shared" si="50"/>
        <v>21835.68</v>
      </c>
      <c r="M421" s="424">
        <f t="shared" si="51"/>
        <v>21835.68</v>
      </c>
      <c r="N421" s="478">
        <f t="shared" si="52"/>
        <v>0</v>
      </c>
      <c r="O421" s="530"/>
      <c r="P421" s="264" t="s">
        <v>242</v>
      </c>
      <c r="Q421" s="11" t="s">
        <v>243</v>
      </c>
      <c r="R421" s="574"/>
      <c r="S421" s="427"/>
    </row>
    <row r="422" spans="1:20" ht="42.75">
      <c r="A422" s="421" t="s">
        <v>2303</v>
      </c>
      <c r="B422" s="422" t="s">
        <v>1556</v>
      </c>
      <c r="C422" s="423" t="s">
        <v>8</v>
      </c>
      <c r="D422" s="424">
        <v>355</v>
      </c>
      <c r="E422" s="424">
        <v>355</v>
      </c>
      <c r="F422" s="424">
        <f>估驗單!F433</f>
        <v>355</v>
      </c>
      <c r="G422" s="478">
        <f t="shared" si="53"/>
        <v>0</v>
      </c>
      <c r="H422" s="424">
        <v>1859.79</v>
      </c>
      <c r="I422" s="424"/>
      <c r="J422" s="424"/>
      <c r="K422" s="424">
        <v>660225.44999999995</v>
      </c>
      <c r="L422" s="424">
        <f t="shared" si="50"/>
        <v>660225.44999999995</v>
      </c>
      <c r="M422" s="424">
        <f t="shared" si="51"/>
        <v>660225.44999999995</v>
      </c>
      <c r="N422" s="478">
        <f t="shared" si="52"/>
        <v>0</v>
      </c>
      <c r="O422" s="530"/>
      <c r="P422" s="264" t="s">
        <v>2664</v>
      </c>
      <c r="Q422" s="11" t="s">
        <v>243</v>
      </c>
      <c r="R422" s="574"/>
      <c r="S422" s="427"/>
    </row>
    <row r="423" spans="1:20" s="440" customFormat="1" ht="128.25">
      <c r="A423" s="431">
        <v>17</v>
      </c>
      <c r="B423" s="432" t="s">
        <v>29</v>
      </c>
      <c r="C423" s="433" t="s">
        <v>8</v>
      </c>
      <c r="D423" s="428">
        <v>0</v>
      </c>
      <c r="E423" s="428">
        <v>465</v>
      </c>
      <c r="F423" s="424">
        <f>估驗單!F434</f>
        <v>465</v>
      </c>
      <c r="G423" s="478">
        <f t="shared" si="53"/>
        <v>0</v>
      </c>
      <c r="H423" s="428">
        <v>0</v>
      </c>
      <c r="I423" s="428"/>
      <c r="J423" s="428">
        <v>293.70999999999998</v>
      </c>
      <c r="K423" s="428">
        <v>0</v>
      </c>
      <c r="L423" s="424">
        <f>ROUND(E423*J423,2)</f>
        <v>136575.15</v>
      </c>
      <c r="M423" s="424">
        <f>ROUND(F423*J423,2)</f>
        <v>136575.15</v>
      </c>
      <c r="N423" s="478">
        <f t="shared" si="52"/>
        <v>0</v>
      </c>
      <c r="O423" s="530"/>
      <c r="P423" s="434" t="s">
        <v>2665</v>
      </c>
      <c r="Q423" s="435" t="s">
        <v>243</v>
      </c>
      <c r="R423" s="465" t="s">
        <v>2666</v>
      </c>
      <c r="S423" s="437" t="s">
        <v>2667</v>
      </c>
      <c r="T423" s="430" t="s">
        <v>2527</v>
      </c>
    </row>
    <row r="424" spans="1:20" s="440" customFormat="1" ht="78.75">
      <c r="A424" s="431" t="s">
        <v>2305</v>
      </c>
      <c r="B424" s="432" t="s">
        <v>2668</v>
      </c>
      <c r="C424" s="433" t="s">
        <v>16</v>
      </c>
      <c r="D424" s="428">
        <v>0</v>
      </c>
      <c r="E424" s="428">
        <v>4920</v>
      </c>
      <c r="F424" s="424">
        <f>估驗單!F435</f>
        <v>7137</v>
      </c>
      <c r="G424" s="478">
        <f t="shared" si="53"/>
        <v>2217</v>
      </c>
      <c r="H424" s="428">
        <v>0</v>
      </c>
      <c r="I424" s="428"/>
      <c r="J424" s="428">
        <v>279.98</v>
      </c>
      <c r="K424" s="428">
        <v>0</v>
      </c>
      <c r="L424" s="424">
        <f>ROUND(E424*J424,2)</f>
        <v>1377501.6</v>
      </c>
      <c r="M424" s="424">
        <f>ROUND(F424*J424,2)</f>
        <v>1998217.26</v>
      </c>
      <c r="N424" s="478">
        <f t="shared" si="52"/>
        <v>620715.65999999992</v>
      </c>
      <c r="O424" s="530"/>
      <c r="P424" s="434" t="s">
        <v>2669</v>
      </c>
      <c r="Q424" s="435" t="s">
        <v>243</v>
      </c>
      <c r="R424" s="465" t="s">
        <v>2670</v>
      </c>
      <c r="S424" s="437" t="s">
        <v>2671</v>
      </c>
      <c r="T424" s="430" t="s">
        <v>2527</v>
      </c>
    </row>
    <row r="425" spans="1:20" ht="33">
      <c r="A425" s="494" t="s">
        <v>2389</v>
      </c>
      <c r="B425" s="495" t="s">
        <v>34</v>
      </c>
      <c r="C425" s="496" t="s">
        <v>4</v>
      </c>
      <c r="D425" s="497">
        <v>1</v>
      </c>
      <c r="E425" s="497"/>
      <c r="F425" s="497"/>
      <c r="G425" s="498">
        <f t="shared" si="53"/>
        <v>0</v>
      </c>
      <c r="H425" s="497">
        <v>3112577.47</v>
      </c>
      <c r="I425" s="497"/>
      <c r="J425" s="497"/>
      <c r="K425" s="497">
        <v>3112577.47</v>
      </c>
      <c r="L425" s="497">
        <f>SUM(L426:L444)</f>
        <v>3112577.47</v>
      </c>
      <c r="M425" s="497">
        <f t="shared" ref="M425:O425" si="54">SUM(M426:M444)</f>
        <v>3112577.47</v>
      </c>
      <c r="N425" s="497">
        <f t="shared" si="54"/>
        <v>0</v>
      </c>
      <c r="O425" s="533">
        <f t="shared" si="54"/>
        <v>0</v>
      </c>
      <c r="P425" s="356"/>
      <c r="Q425" s="11" t="s">
        <v>243</v>
      </c>
      <c r="R425" s="574"/>
      <c r="S425" s="427"/>
    </row>
    <row r="426" spans="1:20" ht="33">
      <c r="A426" s="421" t="s">
        <v>2288</v>
      </c>
      <c r="B426" s="422" t="s">
        <v>146</v>
      </c>
      <c r="C426" s="423" t="s">
        <v>1007</v>
      </c>
      <c r="D426" s="424">
        <v>10</v>
      </c>
      <c r="E426" s="424">
        <v>10</v>
      </c>
      <c r="F426" s="424">
        <f>估驗單!F438</f>
        <v>10</v>
      </c>
      <c r="G426" s="478">
        <f t="shared" si="53"/>
        <v>0</v>
      </c>
      <c r="H426" s="424">
        <v>770</v>
      </c>
      <c r="I426" s="424"/>
      <c r="J426" s="424"/>
      <c r="K426" s="424">
        <v>7700</v>
      </c>
      <c r="L426" s="424">
        <f t="shared" ref="L426:L444" si="55">ROUND(E426*H426,2)</f>
        <v>7700</v>
      </c>
      <c r="M426" s="424">
        <f t="shared" ref="M426:M444" si="56">ROUND(F426*H426,2)</f>
        <v>7700</v>
      </c>
      <c r="N426" s="478">
        <f t="shared" ref="N426:N444" si="57">IF(L426-M426&lt;0+AND(L426&lt;&gt;0),M426-L426,"      ")</f>
        <v>0</v>
      </c>
      <c r="O426" s="530"/>
      <c r="P426" s="264" t="s">
        <v>242</v>
      </c>
      <c r="Q426" s="11" t="s">
        <v>243</v>
      </c>
      <c r="R426" s="574"/>
      <c r="S426" s="427"/>
    </row>
    <row r="427" spans="1:20" ht="33">
      <c r="A427" s="421" t="s">
        <v>2289</v>
      </c>
      <c r="B427" s="422" t="s">
        <v>145</v>
      </c>
      <c r="C427" s="423" t="s">
        <v>1</v>
      </c>
      <c r="D427" s="424">
        <v>100</v>
      </c>
      <c r="E427" s="424">
        <v>100</v>
      </c>
      <c r="F427" s="424">
        <f>估驗單!F439</f>
        <v>100</v>
      </c>
      <c r="G427" s="478">
        <f t="shared" si="53"/>
        <v>0</v>
      </c>
      <c r="H427" s="424">
        <v>201</v>
      </c>
      <c r="I427" s="424"/>
      <c r="J427" s="424"/>
      <c r="K427" s="424">
        <v>20100</v>
      </c>
      <c r="L427" s="424">
        <f t="shared" si="55"/>
        <v>20100</v>
      </c>
      <c r="M427" s="424">
        <f t="shared" si="56"/>
        <v>20100</v>
      </c>
      <c r="N427" s="478">
        <f t="shared" si="57"/>
        <v>0</v>
      </c>
      <c r="O427" s="530"/>
      <c r="P427" s="264" t="s">
        <v>242</v>
      </c>
      <c r="Q427" s="11" t="s">
        <v>243</v>
      </c>
      <c r="R427" s="574"/>
      <c r="S427" s="427"/>
    </row>
    <row r="428" spans="1:20" ht="33">
      <c r="A428" s="421" t="s">
        <v>2290</v>
      </c>
      <c r="B428" s="422" t="s">
        <v>144</v>
      </c>
      <c r="C428" s="423" t="s">
        <v>9</v>
      </c>
      <c r="D428" s="424">
        <v>50</v>
      </c>
      <c r="E428" s="424">
        <v>50</v>
      </c>
      <c r="F428" s="424">
        <f>估驗單!F440</f>
        <v>50</v>
      </c>
      <c r="G428" s="478">
        <f t="shared" si="53"/>
        <v>0</v>
      </c>
      <c r="H428" s="424">
        <v>300</v>
      </c>
      <c r="I428" s="424"/>
      <c r="J428" s="424"/>
      <c r="K428" s="424">
        <v>15000</v>
      </c>
      <c r="L428" s="424">
        <f t="shared" si="55"/>
        <v>15000</v>
      </c>
      <c r="M428" s="424">
        <f t="shared" si="56"/>
        <v>15000</v>
      </c>
      <c r="N428" s="478">
        <f t="shared" si="57"/>
        <v>0</v>
      </c>
      <c r="O428" s="530"/>
      <c r="P428" s="264" t="s">
        <v>242</v>
      </c>
      <c r="Q428" s="11" t="s">
        <v>243</v>
      </c>
      <c r="R428" s="574"/>
      <c r="S428" s="427"/>
    </row>
    <row r="429" spans="1:20" s="413" customFormat="1" ht="33">
      <c r="A429" s="421" t="s">
        <v>2291</v>
      </c>
      <c r="B429" s="422" t="s">
        <v>35</v>
      </c>
      <c r="C429" s="423" t="s">
        <v>15</v>
      </c>
      <c r="D429" s="424">
        <v>75</v>
      </c>
      <c r="E429" s="424">
        <v>75</v>
      </c>
      <c r="F429" s="424">
        <f>估驗單!F441</f>
        <v>75</v>
      </c>
      <c r="G429" s="478">
        <f t="shared" si="53"/>
        <v>0</v>
      </c>
      <c r="H429" s="424">
        <v>650</v>
      </c>
      <c r="I429" s="424"/>
      <c r="J429" s="424"/>
      <c r="K429" s="424">
        <v>48750</v>
      </c>
      <c r="L429" s="424">
        <f t="shared" si="55"/>
        <v>48750</v>
      </c>
      <c r="M429" s="424">
        <f t="shared" si="56"/>
        <v>48750</v>
      </c>
      <c r="N429" s="478">
        <f t="shared" si="57"/>
        <v>0</v>
      </c>
      <c r="O429" s="530"/>
      <c r="P429" s="264" t="s">
        <v>242</v>
      </c>
      <c r="Q429" s="11" t="s">
        <v>243</v>
      </c>
      <c r="R429" s="574"/>
      <c r="S429" s="427"/>
    </row>
    <row r="430" spans="1:20" s="413" customFormat="1" ht="33">
      <c r="A430" s="421" t="s">
        <v>2292</v>
      </c>
      <c r="B430" s="422" t="s">
        <v>2689</v>
      </c>
      <c r="C430" s="423" t="s">
        <v>3</v>
      </c>
      <c r="D430" s="424">
        <v>200</v>
      </c>
      <c r="E430" s="424">
        <v>200</v>
      </c>
      <c r="F430" s="424">
        <f>估驗單!F442</f>
        <v>200</v>
      </c>
      <c r="G430" s="478">
        <f t="shared" si="53"/>
        <v>0</v>
      </c>
      <c r="H430" s="424">
        <v>28</v>
      </c>
      <c r="I430" s="424"/>
      <c r="J430" s="424"/>
      <c r="K430" s="424">
        <v>5600</v>
      </c>
      <c r="L430" s="424">
        <f t="shared" si="55"/>
        <v>5600</v>
      </c>
      <c r="M430" s="424">
        <f t="shared" si="56"/>
        <v>5600</v>
      </c>
      <c r="N430" s="478">
        <f t="shared" si="57"/>
        <v>0</v>
      </c>
      <c r="O430" s="530"/>
      <c r="P430" s="264" t="s">
        <v>2690</v>
      </c>
      <c r="Q430" s="11" t="s">
        <v>243</v>
      </c>
      <c r="R430" s="574"/>
      <c r="S430" s="427"/>
    </row>
    <row r="431" spans="1:20" s="413" customFormat="1" ht="33">
      <c r="A431" s="421" t="s">
        <v>2293</v>
      </c>
      <c r="B431" s="422" t="s">
        <v>36</v>
      </c>
      <c r="C431" s="423" t="s">
        <v>3</v>
      </c>
      <c r="D431" s="424">
        <v>100</v>
      </c>
      <c r="E431" s="424">
        <v>100</v>
      </c>
      <c r="F431" s="424">
        <f>估驗單!F443</f>
        <v>100</v>
      </c>
      <c r="G431" s="478">
        <f t="shared" si="53"/>
        <v>0</v>
      </c>
      <c r="H431" s="424">
        <v>500</v>
      </c>
      <c r="I431" s="424"/>
      <c r="J431" s="424"/>
      <c r="K431" s="424">
        <v>50000</v>
      </c>
      <c r="L431" s="424">
        <f t="shared" si="55"/>
        <v>50000</v>
      </c>
      <c r="M431" s="424">
        <f t="shared" si="56"/>
        <v>50000</v>
      </c>
      <c r="N431" s="478">
        <f t="shared" si="57"/>
        <v>0</v>
      </c>
      <c r="O431" s="530"/>
      <c r="P431" s="264" t="s">
        <v>242</v>
      </c>
      <c r="Q431" s="11" t="s">
        <v>243</v>
      </c>
      <c r="R431" s="574"/>
      <c r="S431" s="427"/>
    </row>
    <row r="432" spans="1:20" s="413" customFormat="1" ht="33">
      <c r="A432" s="470" t="s">
        <v>2294</v>
      </c>
      <c r="B432" s="471" t="s">
        <v>2688</v>
      </c>
      <c r="C432" s="472" t="s">
        <v>18</v>
      </c>
      <c r="D432" s="473">
        <v>75</v>
      </c>
      <c r="E432" s="473">
        <v>75</v>
      </c>
      <c r="F432" s="473">
        <f>估驗單!F444</f>
        <v>75</v>
      </c>
      <c r="G432" s="505">
        <f t="shared" si="53"/>
        <v>0</v>
      </c>
      <c r="H432" s="473">
        <v>280</v>
      </c>
      <c r="I432" s="473"/>
      <c r="J432" s="473"/>
      <c r="K432" s="473">
        <v>21000</v>
      </c>
      <c r="L432" s="473">
        <f t="shared" si="55"/>
        <v>21000</v>
      </c>
      <c r="M432" s="473">
        <f t="shared" si="56"/>
        <v>21000</v>
      </c>
      <c r="N432" s="479">
        <f t="shared" si="57"/>
        <v>0</v>
      </c>
      <c r="O432" s="534">
        <f>M432-L432</f>
        <v>0</v>
      </c>
      <c r="P432" s="474" t="s">
        <v>242</v>
      </c>
      <c r="Q432" s="11" t="s">
        <v>243</v>
      </c>
      <c r="R432" s="574"/>
      <c r="S432" s="427"/>
    </row>
    <row r="433" spans="1:19" s="413" customFormat="1" ht="42.75">
      <c r="A433" s="421" t="s">
        <v>2295</v>
      </c>
      <c r="B433" s="422" t="s">
        <v>37</v>
      </c>
      <c r="C433" s="423" t="s">
        <v>18</v>
      </c>
      <c r="D433" s="424">
        <v>50</v>
      </c>
      <c r="E433" s="424">
        <v>50</v>
      </c>
      <c r="F433" s="424">
        <f>估驗單!F445</f>
        <v>50</v>
      </c>
      <c r="G433" s="478">
        <f t="shared" si="53"/>
        <v>0</v>
      </c>
      <c r="H433" s="424">
        <v>350</v>
      </c>
      <c r="I433" s="424"/>
      <c r="J433" s="424"/>
      <c r="K433" s="424">
        <v>17500</v>
      </c>
      <c r="L433" s="424">
        <f t="shared" si="55"/>
        <v>17500</v>
      </c>
      <c r="M433" s="424">
        <f t="shared" si="56"/>
        <v>17500</v>
      </c>
      <c r="N433" s="478">
        <f t="shared" si="57"/>
        <v>0</v>
      </c>
      <c r="O433" s="530"/>
      <c r="P433" s="264" t="s">
        <v>242</v>
      </c>
      <c r="Q433" s="11" t="s">
        <v>243</v>
      </c>
      <c r="R433" s="574"/>
      <c r="S433" s="427"/>
    </row>
    <row r="434" spans="1:19" s="413" customFormat="1" ht="33">
      <c r="A434" s="421" t="s">
        <v>2296</v>
      </c>
      <c r="B434" s="422" t="s">
        <v>1162</v>
      </c>
      <c r="C434" s="423" t="s">
        <v>15</v>
      </c>
      <c r="D434" s="424">
        <v>10</v>
      </c>
      <c r="E434" s="424">
        <v>10</v>
      </c>
      <c r="F434" s="424">
        <f>估驗單!F446</f>
        <v>10</v>
      </c>
      <c r="G434" s="478">
        <f t="shared" si="53"/>
        <v>0</v>
      </c>
      <c r="H434" s="424">
        <v>560</v>
      </c>
      <c r="I434" s="424"/>
      <c r="J434" s="424"/>
      <c r="K434" s="424">
        <v>5600</v>
      </c>
      <c r="L434" s="424">
        <f t="shared" si="55"/>
        <v>5600</v>
      </c>
      <c r="M434" s="424">
        <f t="shared" si="56"/>
        <v>5600</v>
      </c>
      <c r="N434" s="478">
        <f t="shared" si="57"/>
        <v>0</v>
      </c>
      <c r="O434" s="530"/>
      <c r="P434" s="264" t="s">
        <v>242</v>
      </c>
      <c r="Q434" s="11" t="s">
        <v>243</v>
      </c>
      <c r="R434" s="574"/>
      <c r="S434" s="427"/>
    </row>
    <row r="435" spans="1:19" s="413" customFormat="1" ht="33">
      <c r="A435" s="421" t="s">
        <v>2297</v>
      </c>
      <c r="B435" s="422" t="s">
        <v>38</v>
      </c>
      <c r="C435" s="423" t="s">
        <v>7</v>
      </c>
      <c r="D435" s="424">
        <v>4</v>
      </c>
      <c r="E435" s="424">
        <v>4</v>
      </c>
      <c r="F435" s="424">
        <f>估驗單!F447</f>
        <v>4</v>
      </c>
      <c r="G435" s="478">
        <f t="shared" si="53"/>
        <v>0</v>
      </c>
      <c r="H435" s="424">
        <v>250</v>
      </c>
      <c r="I435" s="424"/>
      <c r="J435" s="424"/>
      <c r="K435" s="424">
        <v>1000</v>
      </c>
      <c r="L435" s="424">
        <f t="shared" si="55"/>
        <v>1000</v>
      </c>
      <c r="M435" s="424">
        <f t="shared" si="56"/>
        <v>1000</v>
      </c>
      <c r="N435" s="478">
        <f t="shared" si="57"/>
        <v>0</v>
      </c>
      <c r="O435" s="530"/>
      <c r="P435" s="264" t="s">
        <v>242</v>
      </c>
      <c r="Q435" s="11" t="s">
        <v>243</v>
      </c>
      <c r="R435" s="574"/>
      <c r="S435" s="427"/>
    </row>
    <row r="436" spans="1:19" s="413" customFormat="1" ht="33">
      <c r="A436" s="421" t="s">
        <v>2298</v>
      </c>
      <c r="B436" s="422" t="s">
        <v>1165</v>
      </c>
      <c r="C436" s="423" t="s">
        <v>15</v>
      </c>
      <c r="D436" s="424">
        <v>5</v>
      </c>
      <c r="E436" s="424">
        <v>5</v>
      </c>
      <c r="F436" s="424">
        <f>估驗單!F448</f>
        <v>5</v>
      </c>
      <c r="G436" s="478">
        <f t="shared" si="53"/>
        <v>0</v>
      </c>
      <c r="H436" s="424">
        <v>8300</v>
      </c>
      <c r="I436" s="424"/>
      <c r="J436" s="424"/>
      <c r="K436" s="424">
        <v>41500</v>
      </c>
      <c r="L436" s="424">
        <f t="shared" si="55"/>
        <v>41500</v>
      </c>
      <c r="M436" s="424">
        <f t="shared" si="56"/>
        <v>41500</v>
      </c>
      <c r="N436" s="478">
        <f t="shared" si="57"/>
        <v>0</v>
      </c>
      <c r="O436" s="530"/>
      <c r="P436" s="264" t="s">
        <v>242</v>
      </c>
      <c r="Q436" s="11" t="s">
        <v>243</v>
      </c>
      <c r="R436" s="574"/>
      <c r="S436" s="427"/>
    </row>
    <row r="437" spans="1:19" s="413" customFormat="1" ht="33">
      <c r="A437" s="421" t="s">
        <v>2299</v>
      </c>
      <c r="B437" s="422" t="s">
        <v>1168</v>
      </c>
      <c r="C437" s="423" t="s">
        <v>15</v>
      </c>
      <c r="D437" s="424">
        <v>5</v>
      </c>
      <c r="E437" s="424">
        <v>5</v>
      </c>
      <c r="F437" s="424">
        <f>估驗單!F449</f>
        <v>5</v>
      </c>
      <c r="G437" s="478">
        <f t="shared" si="53"/>
        <v>0</v>
      </c>
      <c r="H437" s="424">
        <v>1160</v>
      </c>
      <c r="I437" s="424"/>
      <c r="J437" s="424"/>
      <c r="K437" s="424">
        <v>5800</v>
      </c>
      <c r="L437" s="424">
        <f t="shared" si="55"/>
        <v>5800</v>
      </c>
      <c r="M437" s="424">
        <f t="shared" si="56"/>
        <v>5800</v>
      </c>
      <c r="N437" s="478">
        <f t="shared" si="57"/>
        <v>0</v>
      </c>
      <c r="O437" s="530"/>
      <c r="P437" s="264" t="s">
        <v>242</v>
      </c>
      <c r="Q437" s="11" t="s">
        <v>243</v>
      </c>
      <c r="R437" s="574"/>
      <c r="S437" s="427"/>
    </row>
    <row r="438" spans="1:19" s="413" customFormat="1" ht="33">
      <c r="A438" s="421" t="s">
        <v>2300</v>
      </c>
      <c r="B438" s="422" t="s">
        <v>1171</v>
      </c>
      <c r="C438" s="423" t="s">
        <v>15</v>
      </c>
      <c r="D438" s="424">
        <v>5</v>
      </c>
      <c r="E438" s="424">
        <v>5</v>
      </c>
      <c r="F438" s="424">
        <f>估驗單!F450</f>
        <v>5</v>
      </c>
      <c r="G438" s="478">
        <f t="shared" si="53"/>
        <v>0</v>
      </c>
      <c r="H438" s="424">
        <v>600</v>
      </c>
      <c r="I438" s="424"/>
      <c r="J438" s="424"/>
      <c r="K438" s="424">
        <v>3000</v>
      </c>
      <c r="L438" s="424">
        <f t="shared" si="55"/>
        <v>3000</v>
      </c>
      <c r="M438" s="424">
        <f t="shared" si="56"/>
        <v>3000</v>
      </c>
      <c r="N438" s="478">
        <f t="shared" si="57"/>
        <v>0</v>
      </c>
      <c r="O438" s="530"/>
      <c r="P438" s="264" t="s">
        <v>242</v>
      </c>
      <c r="Q438" s="11" t="s">
        <v>243</v>
      </c>
      <c r="R438" s="574"/>
      <c r="S438" s="427"/>
    </row>
    <row r="439" spans="1:19" s="413" customFormat="1" ht="33">
      <c r="A439" s="421" t="s">
        <v>2301</v>
      </c>
      <c r="B439" s="422" t="s">
        <v>1174</v>
      </c>
      <c r="C439" s="423" t="s">
        <v>15</v>
      </c>
      <c r="D439" s="424">
        <v>5</v>
      </c>
      <c r="E439" s="424">
        <v>5</v>
      </c>
      <c r="F439" s="424">
        <f>估驗單!F451</f>
        <v>5</v>
      </c>
      <c r="G439" s="478">
        <f t="shared" si="53"/>
        <v>0</v>
      </c>
      <c r="H439" s="424">
        <v>1800</v>
      </c>
      <c r="I439" s="424"/>
      <c r="J439" s="424"/>
      <c r="K439" s="424">
        <v>9000</v>
      </c>
      <c r="L439" s="424">
        <f t="shared" si="55"/>
        <v>9000</v>
      </c>
      <c r="M439" s="424">
        <f t="shared" si="56"/>
        <v>9000</v>
      </c>
      <c r="N439" s="478">
        <f t="shared" si="57"/>
        <v>0</v>
      </c>
      <c r="O439" s="530"/>
      <c r="P439" s="264" t="s">
        <v>242</v>
      </c>
      <c r="Q439" s="11" t="s">
        <v>243</v>
      </c>
      <c r="R439" s="574"/>
      <c r="S439" s="427"/>
    </row>
    <row r="440" spans="1:19" s="413" customFormat="1" ht="33">
      <c r="A440" s="421" t="s">
        <v>2302</v>
      </c>
      <c r="B440" s="422" t="s">
        <v>1177</v>
      </c>
      <c r="C440" s="423" t="s">
        <v>15</v>
      </c>
      <c r="D440" s="424">
        <v>80</v>
      </c>
      <c r="E440" s="424">
        <v>80</v>
      </c>
      <c r="F440" s="424">
        <f>估驗單!F452</f>
        <v>80</v>
      </c>
      <c r="G440" s="478">
        <f t="shared" si="53"/>
        <v>0</v>
      </c>
      <c r="H440" s="424">
        <v>2200</v>
      </c>
      <c r="I440" s="424"/>
      <c r="J440" s="424"/>
      <c r="K440" s="424">
        <v>176000</v>
      </c>
      <c r="L440" s="424">
        <f t="shared" si="55"/>
        <v>176000</v>
      </c>
      <c r="M440" s="424">
        <f t="shared" si="56"/>
        <v>176000</v>
      </c>
      <c r="N440" s="478">
        <f t="shared" si="57"/>
        <v>0</v>
      </c>
      <c r="O440" s="530"/>
      <c r="P440" s="264" t="s">
        <v>242</v>
      </c>
      <c r="Q440" s="11" t="s">
        <v>243</v>
      </c>
      <c r="R440" s="574"/>
      <c r="S440" s="427"/>
    </row>
    <row r="441" spans="1:19" s="413" customFormat="1" ht="33">
      <c r="A441" s="421" t="s">
        <v>2303</v>
      </c>
      <c r="B441" s="422" t="s">
        <v>39</v>
      </c>
      <c r="C441" s="423" t="s">
        <v>4</v>
      </c>
      <c r="D441" s="424">
        <v>1</v>
      </c>
      <c r="E441" s="424">
        <v>1</v>
      </c>
      <c r="F441" s="424">
        <f>估驗單!F453</f>
        <v>1</v>
      </c>
      <c r="G441" s="478">
        <f t="shared" si="53"/>
        <v>0</v>
      </c>
      <c r="H441" s="424">
        <v>232697.98</v>
      </c>
      <c r="I441" s="424"/>
      <c r="J441" s="424"/>
      <c r="K441" s="424">
        <v>232697.98</v>
      </c>
      <c r="L441" s="424">
        <f t="shared" si="55"/>
        <v>232697.98</v>
      </c>
      <c r="M441" s="424">
        <f t="shared" si="56"/>
        <v>232697.98</v>
      </c>
      <c r="N441" s="478">
        <f t="shared" si="57"/>
        <v>0</v>
      </c>
      <c r="O441" s="530"/>
      <c r="P441" s="264" t="s">
        <v>242</v>
      </c>
      <c r="Q441" s="11" t="s">
        <v>243</v>
      </c>
      <c r="R441" s="574"/>
      <c r="S441" s="427"/>
    </row>
    <row r="442" spans="1:19" s="413" customFormat="1" ht="33">
      <c r="A442" s="421" t="s">
        <v>2304</v>
      </c>
      <c r="B442" s="422" t="s">
        <v>1182</v>
      </c>
      <c r="C442" s="423" t="s">
        <v>8</v>
      </c>
      <c r="D442" s="424">
        <v>5000</v>
      </c>
      <c r="E442" s="424">
        <v>5000</v>
      </c>
      <c r="F442" s="424">
        <f>估驗單!F454</f>
        <v>5000</v>
      </c>
      <c r="G442" s="478">
        <f t="shared" si="53"/>
        <v>0</v>
      </c>
      <c r="H442" s="424">
        <v>13</v>
      </c>
      <c r="I442" s="424"/>
      <c r="J442" s="424"/>
      <c r="K442" s="424">
        <v>65000</v>
      </c>
      <c r="L442" s="424">
        <f t="shared" si="55"/>
        <v>65000</v>
      </c>
      <c r="M442" s="424">
        <f t="shared" si="56"/>
        <v>65000</v>
      </c>
      <c r="N442" s="478">
        <f t="shared" si="57"/>
        <v>0</v>
      </c>
      <c r="O442" s="530"/>
      <c r="P442" s="264" t="s">
        <v>242</v>
      </c>
      <c r="Q442" s="11" t="s">
        <v>243</v>
      </c>
      <c r="R442" s="574"/>
      <c r="S442" s="427"/>
    </row>
    <row r="443" spans="1:19" s="413" customFormat="1" ht="42.75">
      <c r="A443" s="421" t="s">
        <v>2305</v>
      </c>
      <c r="B443" s="422" t="s">
        <v>225</v>
      </c>
      <c r="C443" s="423" t="s">
        <v>226</v>
      </c>
      <c r="D443" s="424">
        <v>48</v>
      </c>
      <c r="E443" s="424">
        <v>48</v>
      </c>
      <c r="F443" s="424">
        <f>估驗單!F455</f>
        <v>48</v>
      </c>
      <c r="G443" s="478">
        <f t="shared" si="53"/>
        <v>0</v>
      </c>
      <c r="H443" s="424">
        <v>47468</v>
      </c>
      <c r="I443" s="424"/>
      <c r="J443" s="424"/>
      <c r="K443" s="424">
        <v>2278464</v>
      </c>
      <c r="L443" s="424">
        <f t="shared" si="55"/>
        <v>2278464</v>
      </c>
      <c r="M443" s="424">
        <f t="shared" si="56"/>
        <v>2278464</v>
      </c>
      <c r="N443" s="478">
        <f t="shared" si="57"/>
        <v>0</v>
      </c>
      <c r="O443" s="530"/>
      <c r="P443" s="264" t="s">
        <v>2672</v>
      </c>
      <c r="Q443" s="11" t="s">
        <v>243</v>
      </c>
      <c r="R443" s="574"/>
      <c r="S443" s="427"/>
    </row>
    <row r="444" spans="1:19" s="413" customFormat="1" ht="33">
      <c r="A444" s="421" t="s">
        <v>2306</v>
      </c>
      <c r="B444" s="422" t="s">
        <v>1187</v>
      </c>
      <c r="C444" s="423" t="s">
        <v>4</v>
      </c>
      <c r="D444" s="424">
        <v>1</v>
      </c>
      <c r="E444" s="424">
        <v>1</v>
      </c>
      <c r="F444" s="424">
        <f>估驗單!F456</f>
        <v>1</v>
      </c>
      <c r="G444" s="478">
        <f t="shared" si="53"/>
        <v>0</v>
      </c>
      <c r="H444" s="424">
        <v>108865.49</v>
      </c>
      <c r="I444" s="424"/>
      <c r="J444" s="424"/>
      <c r="K444" s="424">
        <v>108865.49</v>
      </c>
      <c r="L444" s="424">
        <f t="shared" si="55"/>
        <v>108865.49</v>
      </c>
      <c r="M444" s="424">
        <f t="shared" si="56"/>
        <v>108865.49</v>
      </c>
      <c r="N444" s="478">
        <f t="shared" si="57"/>
        <v>0</v>
      </c>
      <c r="O444" s="530"/>
      <c r="P444" s="264" t="s">
        <v>2673</v>
      </c>
      <c r="Q444" s="11" t="s">
        <v>243</v>
      </c>
      <c r="R444" s="574"/>
      <c r="S444" s="427"/>
    </row>
    <row r="445" spans="1:19" s="413" customFormat="1" ht="33">
      <c r="A445" s="494" t="s">
        <v>2390</v>
      </c>
      <c r="B445" s="495" t="s">
        <v>227</v>
      </c>
      <c r="C445" s="496" t="s">
        <v>4</v>
      </c>
      <c r="D445" s="497">
        <v>1</v>
      </c>
      <c r="E445" s="497"/>
      <c r="F445" s="497"/>
      <c r="G445" s="498">
        <f t="shared" si="53"/>
        <v>0</v>
      </c>
      <c r="H445" s="497">
        <v>2769229.16</v>
      </c>
      <c r="I445" s="497"/>
      <c r="J445" s="497"/>
      <c r="K445" s="497">
        <v>2769229.16</v>
      </c>
      <c r="L445" s="497">
        <f>SUM(L446:L447)</f>
        <v>2769229.16</v>
      </c>
      <c r="M445" s="497">
        <f>SUM(M446:M447)</f>
        <v>2769229.16</v>
      </c>
      <c r="N445" s="497">
        <f>SUM(N446:N447)</f>
        <v>0</v>
      </c>
      <c r="O445" s="532">
        <f>SUM(O446:O447)</f>
        <v>0</v>
      </c>
      <c r="P445" s="356" t="s">
        <v>242</v>
      </c>
      <c r="Q445" s="11" t="s">
        <v>243</v>
      </c>
      <c r="R445" s="574"/>
      <c r="S445" s="427"/>
    </row>
    <row r="446" spans="1:19" s="413" customFormat="1" ht="42.75">
      <c r="A446" s="421" t="s">
        <v>2288</v>
      </c>
      <c r="B446" s="422" t="s">
        <v>228</v>
      </c>
      <c r="C446" s="423" t="s">
        <v>226</v>
      </c>
      <c r="D446" s="424">
        <v>48</v>
      </c>
      <c r="E446" s="424">
        <v>48</v>
      </c>
      <c r="F446" s="424">
        <f>估驗單!F458</f>
        <v>48</v>
      </c>
      <c r="G446" s="478">
        <f t="shared" si="53"/>
        <v>0</v>
      </c>
      <c r="H446" s="424">
        <v>47468</v>
      </c>
      <c r="I446" s="424"/>
      <c r="J446" s="424"/>
      <c r="K446" s="424">
        <v>2278464</v>
      </c>
      <c r="L446" s="424">
        <f t="shared" ref="L446:L447" si="58">ROUND(E446*H446,2)</f>
        <v>2278464</v>
      </c>
      <c r="M446" s="424">
        <f t="shared" ref="M446:M447" si="59">ROUND(F446*H446,2)</f>
        <v>2278464</v>
      </c>
      <c r="N446" s="478">
        <f t="shared" ref="N446:N448" si="60">IF(L446-M446&lt;0+AND(L446&lt;&gt;0),M446-L446,"      ")</f>
        <v>0</v>
      </c>
      <c r="O446" s="530"/>
      <c r="P446" s="264" t="s">
        <v>2672</v>
      </c>
      <c r="Q446" s="11" t="s">
        <v>243</v>
      </c>
      <c r="R446" s="574"/>
      <c r="S446" s="427"/>
    </row>
    <row r="447" spans="1:19" s="413" customFormat="1" ht="42.75">
      <c r="A447" s="421" t="s">
        <v>2289</v>
      </c>
      <c r="B447" s="422" t="s">
        <v>1193</v>
      </c>
      <c r="C447" s="423" t="s">
        <v>4</v>
      </c>
      <c r="D447" s="424">
        <v>1</v>
      </c>
      <c r="E447" s="424">
        <v>1</v>
      </c>
      <c r="F447" s="424">
        <f>估驗單!F459</f>
        <v>1</v>
      </c>
      <c r="G447" s="478">
        <f t="shared" si="53"/>
        <v>0</v>
      </c>
      <c r="H447" s="424">
        <v>490765.16</v>
      </c>
      <c r="I447" s="424"/>
      <c r="J447" s="424"/>
      <c r="K447" s="424">
        <v>490765.16</v>
      </c>
      <c r="L447" s="424">
        <f t="shared" si="58"/>
        <v>490765.16</v>
      </c>
      <c r="M447" s="424">
        <f t="shared" si="59"/>
        <v>490765.16</v>
      </c>
      <c r="N447" s="478">
        <f t="shared" si="60"/>
        <v>0</v>
      </c>
      <c r="O447" s="530"/>
      <c r="P447" s="264" t="s">
        <v>2674</v>
      </c>
      <c r="Q447" s="11" t="s">
        <v>243</v>
      </c>
      <c r="R447" s="574"/>
      <c r="S447" s="427"/>
    </row>
    <row r="448" spans="1:19" s="413" customFormat="1" ht="42.75">
      <c r="A448" s="494" t="s">
        <v>2391</v>
      </c>
      <c r="B448" s="495" t="s">
        <v>1196</v>
      </c>
      <c r="C448" s="496" t="s">
        <v>4</v>
      </c>
      <c r="D448" s="497">
        <v>1</v>
      </c>
      <c r="E448" s="497">
        <v>1</v>
      </c>
      <c r="F448" s="497">
        <f>估驗單!F460</f>
        <v>1</v>
      </c>
      <c r="G448" s="498">
        <f t="shared" si="53"/>
        <v>0</v>
      </c>
      <c r="H448" s="497">
        <v>26543985.719999999</v>
      </c>
      <c r="I448" s="497"/>
      <c r="J448" s="497"/>
      <c r="K448" s="497">
        <v>26543985.719999999</v>
      </c>
      <c r="L448" s="497">
        <f>ROUND((L445+L425+L406+L402+L362+L351+L10)*10.94944113%,2)+0.29</f>
        <v>29883681.059999999</v>
      </c>
      <c r="M448" s="497">
        <f>ROUND((M445+M425+M406+M402+M362+M351+M10)*10.94944113%,2)+0.81</f>
        <v>31581954.989999998</v>
      </c>
      <c r="N448" s="498">
        <f t="shared" si="60"/>
        <v>1698273.9299999997</v>
      </c>
      <c r="O448" s="532"/>
      <c r="P448" s="356" t="s">
        <v>2392</v>
      </c>
      <c r="Q448" s="11" t="s">
        <v>243</v>
      </c>
      <c r="R448" s="578">
        <f>ROUND((L445+L425+L406+L402+L362+L351+L10)*10.94944113%,2)</f>
        <v>29883680.77</v>
      </c>
      <c r="S448" s="427"/>
    </row>
    <row r="449" spans="1:19" s="413" customFormat="1" ht="128.25">
      <c r="A449" s="494" t="s">
        <v>2393</v>
      </c>
      <c r="B449" s="495" t="s">
        <v>1199</v>
      </c>
      <c r="C449" s="496" t="s">
        <v>4</v>
      </c>
      <c r="D449" s="497">
        <v>1</v>
      </c>
      <c r="E449" s="497"/>
      <c r="F449" s="497">
        <f>估驗單!F461</f>
        <v>1</v>
      </c>
      <c r="G449" s="498">
        <f t="shared" si="53"/>
        <v>1</v>
      </c>
      <c r="H449" s="497">
        <v>1987650</v>
      </c>
      <c r="I449" s="497"/>
      <c r="J449" s="497"/>
      <c r="K449" s="497">
        <v>1987650</v>
      </c>
      <c r="L449" s="497">
        <f>L450</f>
        <v>1987650</v>
      </c>
      <c r="M449" s="497">
        <f t="shared" ref="M449:N449" si="61">M450</f>
        <v>1987650</v>
      </c>
      <c r="N449" s="497">
        <f t="shared" si="61"/>
        <v>0</v>
      </c>
      <c r="O449" s="532"/>
      <c r="P449" s="356" t="s">
        <v>1200</v>
      </c>
      <c r="Q449" s="11" t="s">
        <v>243</v>
      </c>
      <c r="R449" s="574"/>
      <c r="S449" s="427"/>
    </row>
    <row r="450" spans="1:19" s="413" customFormat="1" ht="33">
      <c r="A450" s="421" t="s">
        <v>2288</v>
      </c>
      <c r="B450" s="422" t="s">
        <v>1199</v>
      </c>
      <c r="C450" s="423" t="s">
        <v>6</v>
      </c>
      <c r="D450" s="424">
        <v>13251</v>
      </c>
      <c r="E450" s="424">
        <v>13251</v>
      </c>
      <c r="F450" s="424">
        <f>估驗單!F462</f>
        <v>13251</v>
      </c>
      <c r="G450" s="478"/>
      <c r="H450" s="424">
        <v>150</v>
      </c>
      <c r="I450" s="424"/>
      <c r="J450" s="424"/>
      <c r="K450" s="424">
        <v>1987650</v>
      </c>
      <c r="L450" s="424">
        <f t="shared" ref="L450" si="62">ROUND(E450*H450,2)</f>
        <v>1987650</v>
      </c>
      <c r="M450" s="424">
        <f t="shared" ref="M450" si="63">ROUND(F450*H450,2)</f>
        <v>1987650</v>
      </c>
      <c r="N450" s="478">
        <f t="shared" ref="N450" si="64">IF(L450-M450&lt;0+AND(L450&lt;&gt;0),M450-L450,"      ")</f>
        <v>0</v>
      </c>
      <c r="O450" s="530"/>
      <c r="P450" s="264" t="s">
        <v>242</v>
      </c>
      <c r="Q450" s="11" t="s">
        <v>243</v>
      </c>
      <c r="R450" s="574"/>
      <c r="S450" s="427"/>
    </row>
    <row r="451" spans="1:19" s="413" customFormat="1" ht="128.25">
      <c r="A451" s="494" t="s">
        <v>2394</v>
      </c>
      <c r="B451" s="495" t="s">
        <v>1204</v>
      </c>
      <c r="C451" s="496" t="s">
        <v>4</v>
      </c>
      <c r="D451" s="497">
        <v>1</v>
      </c>
      <c r="E451" s="497"/>
      <c r="F451" s="497"/>
      <c r="G451" s="498"/>
      <c r="H451" s="497">
        <v>179691.68</v>
      </c>
      <c r="I451" s="497"/>
      <c r="J451" s="497"/>
      <c r="K451" s="497">
        <v>179691.68</v>
      </c>
      <c r="L451" s="497">
        <f>L452</f>
        <v>179691.68</v>
      </c>
      <c r="M451" s="497">
        <f t="shared" ref="M451:N451" si="65">M452</f>
        <v>179691.68</v>
      </c>
      <c r="N451" s="497">
        <f t="shared" si="65"/>
        <v>0</v>
      </c>
      <c r="O451" s="532"/>
      <c r="P451" s="356" t="s">
        <v>1205</v>
      </c>
      <c r="Q451" s="11" t="s">
        <v>243</v>
      </c>
      <c r="R451" s="574"/>
      <c r="S451" s="427"/>
    </row>
    <row r="452" spans="1:19" s="413" customFormat="1" ht="33">
      <c r="A452" s="515" t="s">
        <v>2288</v>
      </c>
      <c r="B452" s="516" t="s">
        <v>1207</v>
      </c>
      <c r="C452" s="517" t="s">
        <v>13</v>
      </c>
      <c r="D452" s="518">
        <v>3208.78</v>
      </c>
      <c r="E452" s="518">
        <v>3208.78</v>
      </c>
      <c r="F452" s="518">
        <f>估驗單!F464</f>
        <v>3208.78</v>
      </c>
      <c r="G452" s="519"/>
      <c r="H452" s="518">
        <v>56</v>
      </c>
      <c r="I452" s="518"/>
      <c r="J452" s="518"/>
      <c r="K452" s="518">
        <v>179691.68</v>
      </c>
      <c r="L452" s="424">
        <f t="shared" ref="L452" si="66">ROUND(E452*H452,2)</f>
        <v>179691.68</v>
      </c>
      <c r="M452" s="424">
        <f t="shared" ref="M452" si="67">ROUND(F452*H452,2)</f>
        <v>179691.68</v>
      </c>
      <c r="N452" s="478">
        <f t="shared" ref="N452" si="68">IF(L452-M452&lt;0+AND(L452&lt;&gt;0),M452-L452,"      ")</f>
        <v>0</v>
      </c>
      <c r="O452" s="530"/>
      <c r="P452" s="520" t="s">
        <v>242</v>
      </c>
      <c r="Q452" s="11" t="s">
        <v>243</v>
      </c>
      <c r="R452" s="580"/>
      <c r="S452" s="469"/>
    </row>
  </sheetData>
  <mergeCells count="29">
    <mergeCell ref="A4:K4"/>
    <mergeCell ref="O4:P4"/>
    <mergeCell ref="C1:N1"/>
    <mergeCell ref="A2:B2"/>
    <mergeCell ref="C2:N2"/>
    <mergeCell ref="A3:L3"/>
    <mergeCell ref="O3:P3"/>
    <mergeCell ref="A5:K5"/>
    <mergeCell ref="A6:K6"/>
    <mergeCell ref="O6:P6"/>
    <mergeCell ref="A7:A8"/>
    <mergeCell ref="B7:B8"/>
    <mergeCell ref="C7:C8"/>
    <mergeCell ref="D7:D8"/>
    <mergeCell ref="E7:E8"/>
    <mergeCell ref="F7:F8"/>
    <mergeCell ref="G7:G8"/>
    <mergeCell ref="T7:T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R7:R8"/>
    <mergeCell ref="S7:S8"/>
  </mergeCells>
  <phoneticPr fontId="1" type="noConversion"/>
  <printOptions horizontalCentered="1"/>
  <pageMargins left="0.70866141732283472" right="0.70866141732283472" top="0.15748031496062992" bottom="0.15748031496062992" header="0.31496062992125984" footer="0.31496062992125984"/>
  <pageSetup paperSize="9" scale="80" orientation="landscape" r:id="rId1"/>
  <colBreaks count="1" manualBreakCount="1">
    <brk id="16" max="45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B44C-31DC-46DF-8F33-A0ABEE77BFE9}">
  <dimension ref="A1:W99"/>
  <sheetViews>
    <sheetView topLeftCell="B1" zoomScale="115" zoomScaleNormal="115" workbookViewId="0">
      <selection activeCell="W6" sqref="W6"/>
    </sheetView>
  </sheetViews>
  <sheetFormatPr defaultRowHeight="12.75"/>
  <cols>
    <col min="1" max="5" width="9.140625" style="81"/>
    <col min="6" max="6" width="12.140625" style="81" customWidth="1"/>
    <col min="7" max="11" width="9.140625" style="81"/>
    <col min="12" max="12" width="1.7109375" style="81" customWidth="1"/>
    <col min="13" max="16384" width="9.140625" style="81"/>
  </cols>
  <sheetData>
    <row r="1" spans="1:23" ht="13.5">
      <c r="A1" s="81" t="s">
        <v>2009</v>
      </c>
      <c r="C1" s="81" t="s">
        <v>2033</v>
      </c>
      <c r="D1" s="81">
        <f>E20+Q6</f>
        <v>731.4</v>
      </c>
      <c r="H1" s="179" t="s">
        <v>2042</v>
      </c>
      <c r="I1" s="179" t="s">
        <v>2043</v>
      </c>
      <c r="M1" s="179" t="s">
        <v>2760</v>
      </c>
      <c r="T1" s="179" t="s">
        <v>2042</v>
      </c>
      <c r="U1" s="179" t="s">
        <v>2043</v>
      </c>
    </row>
    <row r="2" spans="1:23" ht="13.5">
      <c r="A2" s="179" t="s">
        <v>1794</v>
      </c>
      <c r="B2" s="179" t="s">
        <v>2010</v>
      </c>
      <c r="C2" s="179" t="s">
        <v>2011</v>
      </c>
      <c r="D2" s="179" t="s">
        <v>2012</v>
      </c>
      <c r="E2" s="179" t="s">
        <v>1796</v>
      </c>
      <c r="F2" s="179" t="s">
        <v>2045</v>
      </c>
      <c r="G2" s="179" t="s">
        <v>2046</v>
      </c>
      <c r="H2" s="179" t="s">
        <v>2040</v>
      </c>
      <c r="I2" s="179" t="s">
        <v>2041</v>
      </c>
      <c r="J2" s="179" t="s">
        <v>2044</v>
      </c>
      <c r="K2" s="179" t="s">
        <v>2034</v>
      </c>
      <c r="L2" s="179"/>
      <c r="M2" s="179" t="s">
        <v>1794</v>
      </c>
      <c r="N2" s="179" t="s">
        <v>2010</v>
      </c>
      <c r="O2" s="179" t="s">
        <v>2011</v>
      </c>
      <c r="P2" s="179" t="s">
        <v>2012</v>
      </c>
      <c r="Q2" s="179" t="s">
        <v>1796</v>
      </c>
      <c r="R2" s="179" t="s">
        <v>2045</v>
      </c>
      <c r="S2" s="179" t="s">
        <v>2046</v>
      </c>
      <c r="T2" s="179" t="s">
        <v>2040</v>
      </c>
      <c r="U2" s="179" t="s">
        <v>2041</v>
      </c>
      <c r="V2" s="179" t="s">
        <v>2044</v>
      </c>
      <c r="W2" s="179" t="s">
        <v>2034</v>
      </c>
    </row>
    <row r="3" spans="1:23">
      <c r="A3" s="81" t="s">
        <v>2013</v>
      </c>
      <c r="B3" s="81">
        <f>ROUND((C3+D3)/2,2)</f>
        <v>0.5</v>
      </c>
      <c r="C3" s="81">
        <v>0.5</v>
      </c>
      <c r="D3" s="81">
        <v>0.5</v>
      </c>
      <c r="E3" s="81">
        <v>43</v>
      </c>
      <c r="F3" s="81">
        <f>ROUND(((B3*2+0.7)*(1/0.15)*1.56+((B3*2+0.7)/0.15+1)*1*0.994)*E3,2)</f>
        <v>1287.3900000000001</v>
      </c>
      <c r="G3" s="81">
        <f>ROUND((4.33/0.13*1.6+4.33*10+2*1.85*2*2+0.7*2*4*2+0.4*13*2)*0.994*E3/5,2)</f>
        <v>1136.8699999999999</v>
      </c>
      <c r="H3" s="81">
        <f>ROUND((B3*1.1*2)*E3,2)</f>
        <v>47.3</v>
      </c>
      <c r="I3" s="81">
        <f>ROUND((B3+0.2)*2*E3,2)</f>
        <v>60.2</v>
      </c>
      <c r="J3" s="81">
        <f>(0.4+0.2)*E3</f>
        <v>25.800000000000004</v>
      </c>
      <c r="K3" s="81">
        <f>ROUND((B3*0.2*2+(0.4+0.2*2)*0.2*2+0.8*0.15)*E3-(E3/5*0.53*0.45*0.15),2)</f>
        <v>27.21</v>
      </c>
      <c r="M3" s="81" t="s">
        <v>2030</v>
      </c>
      <c r="N3" s="81">
        <f>ROUND((O3+P3)/2,2)</f>
        <v>0.36</v>
      </c>
      <c r="O3" s="81">
        <v>0.3</v>
      </c>
      <c r="P3" s="81">
        <v>0.41</v>
      </c>
      <c r="Q3" s="81">
        <v>52.7</v>
      </c>
      <c r="R3" s="568">
        <f>ROUND(((N3*2+0.7)*(1/0.15)*1.56+((N3*2+0.7)/0.15+1)*1*0.994)*Q3,2)</f>
        <v>1326.56</v>
      </c>
      <c r="S3" s="568">
        <f>ROUND((4.33/0.13*1.6+4.33*10+2*1.85*2*2+0.7*2*4*2+0.4*13*2)*0.994*Q3/5,2)</f>
        <v>1393.33</v>
      </c>
      <c r="T3" s="81">
        <f>ROUND(N3*2*Q3,2)</f>
        <v>37.94</v>
      </c>
      <c r="U3" s="81">
        <f>ROUND((N3+0.2)*2*Q3,2)</f>
        <v>59.02</v>
      </c>
      <c r="V3" s="568">
        <f>(0.4+0.2)*Q3</f>
        <v>31.620000000000008</v>
      </c>
      <c r="W3" s="81">
        <f>ROUND((N3*0.2*2+(0.4+0.2*2)*0.2*2+0.8*0.15)*Q3-(E3/5*0.53*0.45*0.15),2)</f>
        <v>30.47</v>
      </c>
    </row>
    <row r="4" spans="1:23">
      <c r="A4" s="81" t="s">
        <v>2014</v>
      </c>
      <c r="B4" s="81">
        <f t="shared" ref="B4:B19" si="0">ROUND((C4+D4)/2,2)</f>
        <v>0.53</v>
      </c>
      <c r="C4" s="81">
        <v>0.5</v>
      </c>
      <c r="D4" s="81">
        <v>0.55000000000000004</v>
      </c>
      <c r="E4" s="81">
        <v>9.4</v>
      </c>
      <c r="F4" s="81">
        <f t="shared" ref="F4:F19" si="1">ROUND(((B4*2+0.7)*(1/0.15)*1.56+((B4*2+0.7)/0.15+1)*1*0.994)*E4,2)</f>
        <v>291.02999999999997</v>
      </c>
      <c r="G4" s="81">
        <f t="shared" ref="G4:G19" si="2">ROUND((4.33/0.13*1.6+4.33*10+2*1.85*2*2+0.7*2*4*2+0.4*13*2)*0.994*E4/5,2)</f>
        <v>248.53</v>
      </c>
      <c r="H4" s="81">
        <f t="shared" ref="H4:H19" si="3">ROUND((B4*1.1*2)*E4,2)</f>
        <v>10.96</v>
      </c>
      <c r="I4" s="81">
        <f t="shared" ref="I4:I19" si="4">ROUND((B4+0.2)*2*E4,2)</f>
        <v>13.72</v>
      </c>
      <c r="J4" s="81">
        <f t="shared" ref="J4:J19" si="5">(0.4+0.2)*E4</f>
        <v>5.6400000000000015</v>
      </c>
      <c r="K4" s="81">
        <f t="shared" ref="K4:K19" si="6">ROUND((B4*0.2*2+(0.4+0.2*2)*0.2*2+0.8*0.15)*E4-(E4/5*0.53*0.45*0.15),2)</f>
        <v>6.06</v>
      </c>
      <c r="M4" s="81" t="s">
        <v>2031</v>
      </c>
      <c r="N4" s="81">
        <f t="shared" ref="N4:N5" si="7">ROUND((O4+P4)/2,2)</f>
        <v>0.41</v>
      </c>
      <c r="O4" s="81">
        <v>0.3</v>
      </c>
      <c r="P4" s="81">
        <v>0.52</v>
      </c>
      <c r="Q4" s="81">
        <v>48.3</v>
      </c>
      <c r="R4" s="568">
        <f t="shared" ref="R4:R5" si="8">ROUND(((N4*2+0.7)*(1/0.15)*1.56+((N4*2+0.7)/0.15+1)*1*0.994)*Q4,2)</f>
        <v>1298.04</v>
      </c>
      <c r="S4" s="568">
        <f t="shared" ref="S4:S5" si="9">ROUND((4.33/0.13*1.6+4.33*10+2*1.85*2*2+0.7*2*4*2+0.4*13*2)*0.994*Q4/5,2)</f>
        <v>1277</v>
      </c>
      <c r="T4" s="81">
        <f t="shared" ref="T4:T5" si="10">ROUND(N4*2*Q4,2)</f>
        <v>39.61</v>
      </c>
      <c r="U4" s="81">
        <f t="shared" ref="U4:U5" si="11">ROUND((N4+0.2)*2*Q4,2)</f>
        <v>58.93</v>
      </c>
      <c r="V4" s="568">
        <f t="shared" ref="V4:V5" si="12">(0.4+0.2)*Q4</f>
        <v>28.980000000000004</v>
      </c>
      <c r="W4" s="81">
        <f t="shared" ref="W4:W5" si="13">ROUND((N4*0.2*2+(0.4+0.2*2)*0.2*2+0.8*0.15)*Q4-(E4/5*0.53*0.45*0.15),2)</f>
        <v>29.11</v>
      </c>
    </row>
    <row r="5" spans="1:23">
      <c r="A5" s="568" t="s">
        <v>2015</v>
      </c>
      <c r="B5" s="81">
        <f t="shared" si="0"/>
        <v>0.45</v>
      </c>
      <c r="C5" s="81">
        <v>0.4</v>
      </c>
      <c r="D5" s="81">
        <v>0.5</v>
      </c>
      <c r="E5" s="81">
        <v>42</v>
      </c>
      <c r="F5" s="81">
        <f t="shared" si="1"/>
        <v>1185.94</v>
      </c>
      <c r="G5" s="568">
        <f t="shared" si="2"/>
        <v>1110.43</v>
      </c>
      <c r="H5" s="81">
        <f t="shared" si="3"/>
        <v>41.58</v>
      </c>
      <c r="I5" s="81">
        <f t="shared" si="4"/>
        <v>54.6</v>
      </c>
      <c r="J5" s="81">
        <f t="shared" si="5"/>
        <v>25.200000000000003</v>
      </c>
      <c r="K5" s="81">
        <f t="shared" si="6"/>
        <v>25.74</v>
      </c>
      <c r="M5" s="568" t="s">
        <v>2032</v>
      </c>
      <c r="N5" s="81">
        <f t="shared" si="7"/>
        <v>0.4</v>
      </c>
      <c r="O5" s="81">
        <v>0.4</v>
      </c>
      <c r="P5" s="81">
        <v>0.4</v>
      </c>
      <c r="Q5" s="81">
        <v>21.2</v>
      </c>
      <c r="R5" s="568">
        <f t="shared" si="8"/>
        <v>562.52</v>
      </c>
      <c r="S5" s="568">
        <f t="shared" si="9"/>
        <v>560.5</v>
      </c>
      <c r="T5" s="81">
        <f t="shared" si="10"/>
        <v>16.96</v>
      </c>
      <c r="U5" s="81">
        <f t="shared" si="11"/>
        <v>25.44</v>
      </c>
      <c r="V5" s="568">
        <f t="shared" si="12"/>
        <v>12.72</v>
      </c>
      <c r="W5" s="81">
        <f t="shared" si="13"/>
        <v>12.42</v>
      </c>
    </row>
    <row r="6" spans="1:23" ht="13.5">
      <c r="A6" s="568" t="s">
        <v>2016</v>
      </c>
      <c r="B6" s="81">
        <f t="shared" si="0"/>
        <v>0.43</v>
      </c>
      <c r="C6" s="81">
        <v>0.35</v>
      </c>
      <c r="D6" s="81">
        <v>0.5</v>
      </c>
      <c r="E6" s="81">
        <v>43.6</v>
      </c>
      <c r="F6" s="81">
        <f t="shared" si="1"/>
        <v>1201.42</v>
      </c>
      <c r="G6" s="568">
        <f t="shared" si="2"/>
        <v>1152.73</v>
      </c>
      <c r="H6" s="81">
        <f t="shared" si="3"/>
        <v>41.25</v>
      </c>
      <c r="I6" s="81">
        <f t="shared" si="4"/>
        <v>54.94</v>
      </c>
      <c r="J6" s="568">
        <f t="shared" si="5"/>
        <v>26.160000000000004</v>
      </c>
      <c r="K6" s="81">
        <f t="shared" si="6"/>
        <v>26.37</v>
      </c>
      <c r="M6" s="179" t="s">
        <v>142</v>
      </c>
      <c r="Q6" s="81">
        <f>SUM(Q3:Q5)</f>
        <v>122.2</v>
      </c>
      <c r="R6" s="81">
        <f t="shared" ref="R6:W6" si="14">SUM(R3:R5)</f>
        <v>3187.12</v>
      </c>
      <c r="S6" s="81">
        <f t="shared" si="14"/>
        <v>3230.83</v>
      </c>
      <c r="T6" s="81">
        <f t="shared" si="14"/>
        <v>94.509999999999991</v>
      </c>
      <c r="U6" s="81">
        <f t="shared" si="14"/>
        <v>143.39000000000001</v>
      </c>
      <c r="V6" s="81">
        <f t="shared" si="14"/>
        <v>73.320000000000007</v>
      </c>
      <c r="W6" s="81">
        <f t="shared" si="14"/>
        <v>72</v>
      </c>
    </row>
    <row r="7" spans="1:23">
      <c r="A7" s="81" t="s">
        <v>2017</v>
      </c>
      <c r="B7" s="81">
        <f t="shared" si="0"/>
        <v>0.6</v>
      </c>
      <c r="C7" s="81">
        <v>0.5</v>
      </c>
      <c r="D7" s="81">
        <v>0.7</v>
      </c>
      <c r="E7" s="81">
        <v>20.100000000000001</v>
      </c>
      <c r="F7" s="81">
        <f t="shared" si="1"/>
        <v>670.23</v>
      </c>
      <c r="G7" s="81">
        <f t="shared" si="2"/>
        <v>531.41999999999996</v>
      </c>
      <c r="H7" s="81">
        <f t="shared" si="3"/>
        <v>26.53</v>
      </c>
      <c r="I7" s="81">
        <f t="shared" si="4"/>
        <v>32.159999999999997</v>
      </c>
      <c r="J7" s="81">
        <f t="shared" si="5"/>
        <v>12.060000000000002</v>
      </c>
      <c r="K7" s="81">
        <f t="shared" si="6"/>
        <v>13.52</v>
      </c>
    </row>
    <row r="8" spans="1:23">
      <c r="A8" s="81" t="s">
        <v>2018</v>
      </c>
      <c r="B8" s="81">
        <f t="shared" si="0"/>
        <v>0.6</v>
      </c>
      <c r="C8" s="81">
        <v>0.5</v>
      </c>
      <c r="D8" s="81">
        <v>0.7</v>
      </c>
      <c r="E8" s="81">
        <v>9.1</v>
      </c>
      <c r="F8" s="81">
        <f t="shared" si="1"/>
        <v>303.44</v>
      </c>
      <c r="G8" s="81">
        <f t="shared" si="2"/>
        <v>240.59</v>
      </c>
      <c r="H8" s="81">
        <f t="shared" si="3"/>
        <v>12.01</v>
      </c>
      <c r="I8" s="81">
        <f t="shared" si="4"/>
        <v>14.56</v>
      </c>
      <c r="J8" s="81">
        <f t="shared" si="5"/>
        <v>5.4600000000000009</v>
      </c>
      <c r="K8" s="81">
        <f t="shared" si="6"/>
        <v>6.12</v>
      </c>
    </row>
    <row r="9" spans="1:23">
      <c r="A9" s="568" t="s">
        <v>2019</v>
      </c>
      <c r="B9" s="568">
        <f t="shared" si="0"/>
        <v>0.8</v>
      </c>
      <c r="C9" s="568">
        <v>0.7</v>
      </c>
      <c r="D9" s="568">
        <v>0.9</v>
      </c>
      <c r="E9" s="568">
        <v>77.7</v>
      </c>
      <c r="F9" s="81">
        <f t="shared" si="1"/>
        <v>3120.07</v>
      </c>
      <c r="G9" s="81">
        <f t="shared" si="2"/>
        <v>2054.3000000000002</v>
      </c>
      <c r="H9" s="81">
        <f t="shared" si="3"/>
        <v>136.75</v>
      </c>
      <c r="I9" s="81">
        <f t="shared" si="4"/>
        <v>155.4</v>
      </c>
      <c r="J9" s="568">
        <f t="shared" si="5"/>
        <v>46.620000000000012</v>
      </c>
      <c r="K9" s="81">
        <f t="shared" si="6"/>
        <v>58.5</v>
      </c>
    </row>
    <row r="10" spans="1:23" ht="13.5">
      <c r="A10" s="81" t="s">
        <v>2020</v>
      </c>
      <c r="B10" s="81">
        <f t="shared" si="0"/>
        <v>0.5</v>
      </c>
      <c r="C10" s="81">
        <v>0.5</v>
      </c>
      <c r="D10" s="81">
        <v>0.5</v>
      </c>
      <c r="E10" s="81">
        <v>67.400000000000006</v>
      </c>
      <c r="F10" s="81">
        <f t="shared" si="1"/>
        <v>2017.91</v>
      </c>
      <c r="G10" s="81">
        <f t="shared" si="2"/>
        <v>1781.98</v>
      </c>
      <c r="H10" s="81">
        <f t="shared" si="3"/>
        <v>74.14</v>
      </c>
      <c r="I10" s="81">
        <f t="shared" si="4"/>
        <v>94.36</v>
      </c>
      <c r="J10" s="81">
        <f t="shared" si="5"/>
        <v>40.440000000000012</v>
      </c>
      <c r="K10" s="81">
        <f t="shared" si="6"/>
        <v>42.65</v>
      </c>
      <c r="Q10" s="179" t="s">
        <v>2042</v>
      </c>
      <c r="R10" s="179" t="s">
        <v>2043</v>
      </c>
    </row>
    <row r="11" spans="1:23" ht="13.5">
      <c r="A11" s="568" t="s">
        <v>2021</v>
      </c>
      <c r="B11" s="568">
        <f t="shared" si="0"/>
        <v>0.73</v>
      </c>
      <c r="C11" s="568">
        <v>0.7</v>
      </c>
      <c r="D11" s="568">
        <v>0.75</v>
      </c>
      <c r="E11" s="568">
        <v>13.8</v>
      </c>
      <c r="F11" s="81">
        <f t="shared" si="1"/>
        <v>521.25</v>
      </c>
      <c r="G11" s="81">
        <f t="shared" si="2"/>
        <v>364.86</v>
      </c>
      <c r="H11" s="81">
        <f t="shared" si="3"/>
        <v>22.16</v>
      </c>
      <c r="I11" s="81">
        <f t="shared" si="4"/>
        <v>25.67</v>
      </c>
      <c r="J11" s="568">
        <f t="shared" si="5"/>
        <v>8.2800000000000011</v>
      </c>
      <c r="K11" s="81">
        <f t="shared" si="6"/>
        <v>10</v>
      </c>
      <c r="N11" s="179" t="s">
        <v>1796</v>
      </c>
      <c r="O11" s="179" t="s">
        <v>2045</v>
      </c>
      <c r="P11" s="179" t="s">
        <v>2046</v>
      </c>
      <c r="Q11" s="179" t="s">
        <v>2040</v>
      </c>
      <c r="R11" s="179" t="s">
        <v>2041</v>
      </c>
      <c r="S11" s="179" t="s">
        <v>2044</v>
      </c>
      <c r="T11" s="179" t="s">
        <v>2034</v>
      </c>
    </row>
    <row r="12" spans="1:23" ht="13.5">
      <c r="A12" s="568" t="s">
        <v>2022</v>
      </c>
      <c r="B12" s="568">
        <f t="shared" si="0"/>
        <v>0.63</v>
      </c>
      <c r="C12" s="568">
        <v>0.5</v>
      </c>
      <c r="D12" s="568">
        <v>0.75</v>
      </c>
      <c r="E12" s="568">
        <v>49.3</v>
      </c>
      <c r="F12" s="81">
        <f t="shared" si="1"/>
        <v>1694.26</v>
      </c>
      <c r="G12" s="81">
        <f t="shared" si="2"/>
        <v>1303.44</v>
      </c>
      <c r="H12" s="81">
        <f t="shared" si="3"/>
        <v>68.33</v>
      </c>
      <c r="I12" s="81">
        <f t="shared" si="4"/>
        <v>81.84</v>
      </c>
      <c r="J12" s="568">
        <f t="shared" si="5"/>
        <v>29.580000000000002</v>
      </c>
      <c r="K12" s="81">
        <f t="shared" si="6"/>
        <v>33.76</v>
      </c>
      <c r="M12" s="81" t="s">
        <v>2033</v>
      </c>
      <c r="N12" s="81">
        <f>E20+Q6</f>
        <v>731.4</v>
      </c>
      <c r="O12" s="81">
        <f t="shared" ref="O12:T12" si="15">F20+R6</f>
        <v>22279.3</v>
      </c>
      <c r="P12" s="81">
        <f t="shared" si="15"/>
        <v>19337.39</v>
      </c>
      <c r="Q12" s="81">
        <f t="shared" si="15"/>
        <v>819.75</v>
      </c>
      <c r="R12" s="81">
        <f t="shared" si="15"/>
        <v>1046.3800000000001</v>
      </c>
      <c r="S12" s="81">
        <f t="shared" si="15"/>
        <v>438.84000000000003</v>
      </c>
      <c r="T12" s="81">
        <f t="shared" si="15"/>
        <v>467.51</v>
      </c>
    </row>
    <row r="13" spans="1:23" ht="13.5">
      <c r="A13" s="281" t="s">
        <v>2023</v>
      </c>
      <c r="B13" s="281">
        <f t="shared" si="0"/>
        <v>0.5</v>
      </c>
      <c r="C13" s="281">
        <v>0.5</v>
      </c>
      <c r="D13" s="281">
        <v>0.5</v>
      </c>
      <c r="E13" s="281">
        <v>24.2</v>
      </c>
      <c r="F13" s="81">
        <f t="shared" si="1"/>
        <v>724.53</v>
      </c>
      <c r="G13" s="81">
        <f t="shared" si="2"/>
        <v>639.82000000000005</v>
      </c>
      <c r="H13" s="81">
        <f t="shared" si="3"/>
        <v>26.62</v>
      </c>
      <c r="I13" s="81">
        <f t="shared" si="4"/>
        <v>33.880000000000003</v>
      </c>
      <c r="J13" s="281">
        <f t="shared" si="5"/>
        <v>14.520000000000001</v>
      </c>
      <c r="K13" s="81">
        <f t="shared" si="6"/>
        <v>15.31</v>
      </c>
      <c r="M13" s="179" t="s">
        <v>2047</v>
      </c>
      <c r="O13" s="720">
        <f>O12+P12</f>
        <v>41616.69</v>
      </c>
      <c r="P13" s="720"/>
    </row>
    <row r="14" spans="1:23">
      <c r="A14" s="281" t="s">
        <v>2024</v>
      </c>
      <c r="B14" s="281">
        <f t="shared" si="0"/>
        <v>0.5</v>
      </c>
      <c r="C14" s="281">
        <v>0.5</v>
      </c>
      <c r="D14" s="281">
        <v>0.5</v>
      </c>
      <c r="E14" s="281">
        <v>23.9</v>
      </c>
      <c r="F14" s="81">
        <f t="shared" si="1"/>
        <v>715.55</v>
      </c>
      <c r="G14" s="81">
        <f t="shared" si="2"/>
        <v>631.89</v>
      </c>
      <c r="H14" s="81">
        <f t="shared" si="3"/>
        <v>26.29</v>
      </c>
      <c r="I14" s="81">
        <f t="shared" si="4"/>
        <v>33.46</v>
      </c>
      <c r="J14" s="281">
        <f t="shared" si="5"/>
        <v>14.340000000000002</v>
      </c>
      <c r="K14" s="81">
        <f t="shared" si="6"/>
        <v>15.12</v>
      </c>
    </row>
    <row r="15" spans="1:23">
      <c r="A15" s="281" t="s">
        <v>2025</v>
      </c>
      <c r="B15" s="281">
        <f t="shared" si="0"/>
        <v>0.45</v>
      </c>
      <c r="C15" s="281">
        <v>0.4</v>
      </c>
      <c r="D15" s="281">
        <v>0.5</v>
      </c>
      <c r="E15" s="281">
        <v>49.8</v>
      </c>
      <c r="F15" s="81">
        <f t="shared" si="1"/>
        <v>1406.19</v>
      </c>
      <c r="G15" s="81">
        <f t="shared" si="2"/>
        <v>1316.66</v>
      </c>
      <c r="H15" s="81">
        <f t="shared" si="3"/>
        <v>49.3</v>
      </c>
      <c r="I15" s="81">
        <f t="shared" si="4"/>
        <v>64.739999999999995</v>
      </c>
      <c r="J15" s="281">
        <f t="shared" si="5"/>
        <v>29.880000000000003</v>
      </c>
      <c r="K15" s="81">
        <f t="shared" si="6"/>
        <v>30.52</v>
      </c>
      <c r="N15" s="81" t="s">
        <v>2113</v>
      </c>
      <c r="O15" s="81" t="s">
        <v>2114</v>
      </c>
    </row>
    <row r="16" spans="1:23" ht="13.5">
      <c r="A16" s="568" t="s">
        <v>2026</v>
      </c>
      <c r="B16" s="81">
        <f t="shared" si="0"/>
        <v>0.4</v>
      </c>
      <c r="C16" s="81">
        <v>0.4</v>
      </c>
      <c r="D16" s="81">
        <v>0.4</v>
      </c>
      <c r="E16" s="81">
        <v>26.4</v>
      </c>
      <c r="F16" s="81">
        <f t="shared" si="1"/>
        <v>700.5</v>
      </c>
      <c r="G16" s="81">
        <f t="shared" si="2"/>
        <v>697.99</v>
      </c>
      <c r="H16" s="81">
        <f t="shared" si="3"/>
        <v>23.23</v>
      </c>
      <c r="I16" s="81">
        <f t="shared" si="4"/>
        <v>31.68</v>
      </c>
      <c r="J16" s="81">
        <f t="shared" si="5"/>
        <v>15.840000000000002</v>
      </c>
      <c r="K16" s="81">
        <f t="shared" si="6"/>
        <v>15.65</v>
      </c>
      <c r="N16" s="81">
        <f>ROUND((B3*2+0.7)*(1/0.15)*E3*1.56,2)</f>
        <v>760.24</v>
      </c>
      <c r="O16" s="81">
        <f>((B3*2+0.7)/0.15+1)*1*0.994*E3</f>
        <v>527.15133333333335</v>
      </c>
      <c r="Q16" s="566" t="s">
        <v>2754</v>
      </c>
      <c r="R16" s="81">
        <f>E3+E4+E8+E10+E13+E14+E15+E18+E19</f>
        <v>314.90000000000003</v>
      </c>
      <c r="S16" s="81">
        <f>E13+E14+E15</f>
        <v>97.899999999999991</v>
      </c>
    </row>
    <row r="17" spans="1:18" ht="13.5">
      <c r="A17" s="568" t="s">
        <v>2027</v>
      </c>
      <c r="B17" s="81">
        <f t="shared" si="0"/>
        <v>0.45</v>
      </c>
      <c r="C17" s="81">
        <v>0.5</v>
      </c>
      <c r="D17" s="81">
        <v>0.4</v>
      </c>
      <c r="E17" s="81">
        <v>21.4</v>
      </c>
      <c r="F17" s="81">
        <f t="shared" si="1"/>
        <v>604.26</v>
      </c>
      <c r="G17" s="81">
        <f t="shared" si="2"/>
        <v>565.79</v>
      </c>
      <c r="H17" s="81">
        <f t="shared" si="3"/>
        <v>21.19</v>
      </c>
      <c r="I17" s="81">
        <f t="shared" si="4"/>
        <v>27.82</v>
      </c>
      <c r="J17" s="81">
        <f t="shared" si="5"/>
        <v>12.840000000000002</v>
      </c>
      <c r="K17" s="81">
        <f t="shared" si="6"/>
        <v>13.11</v>
      </c>
      <c r="N17" s="81">
        <f t="shared" ref="N17:N32" si="16">ROUND((B4*2+0.7)*(1/0.15)*E4*1.56,2)</f>
        <v>172.06</v>
      </c>
      <c r="O17" s="81">
        <f t="shared" ref="O17:O32" si="17">((B4*2+0.7)/0.15+1)*1*0.994*E4</f>
        <v>118.97517333333334</v>
      </c>
      <c r="Q17" s="567" t="s">
        <v>2755</v>
      </c>
      <c r="R17" s="81">
        <f>E20-R16</f>
        <v>294.2999999999999</v>
      </c>
    </row>
    <row r="18" spans="1:18">
      <c r="A18" s="281" t="s">
        <v>2028</v>
      </c>
      <c r="B18" s="81">
        <f t="shared" si="0"/>
        <v>0.55000000000000004</v>
      </c>
      <c r="C18" s="81">
        <v>0.6</v>
      </c>
      <c r="D18" s="81">
        <v>0.5</v>
      </c>
      <c r="E18" s="81">
        <v>29.6</v>
      </c>
      <c r="F18" s="81">
        <f t="shared" si="1"/>
        <v>936.6</v>
      </c>
      <c r="G18" s="81">
        <f t="shared" si="2"/>
        <v>782.59</v>
      </c>
      <c r="H18" s="81">
        <f t="shared" si="3"/>
        <v>35.82</v>
      </c>
      <c r="I18" s="81">
        <f t="shared" si="4"/>
        <v>44.4</v>
      </c>
      <c r="J18" s="81">
        <f t="shared" si="5"/>
        <v>17.760000000000005</v>
      </c>
      <c r="K18" s="81">
        <f t="shared" si="6"/>
        <v>19.32</v>
      </c>
      <c r="N18" s="81">
        <f t="shared" si="16"/>
        <v>698.88</v>
      </c>
      <c r="O18" s="81">
        <f t="shared" si="17"/>
        <v>487.06000000000006</v>
      </c>
    </row>
    <row r="19" spans="1:18">
      <c r="A19" s="281" t="s">
        <v>2029</v>
      </c>
      <c r="B19" s="81">
        <f t="shared" si="0"/>
        <v>0.48</v>
      </c>
      <c r="C19" s="81">
        <v>0.55000000000000004</v>
      </c>
      <c r="D19" s="81">
        <v>0.4</v>
      </c>
      <c r="E19" s="81">
        <v>58.5</v>
      </c>
      <c r="F19" s="81">
        <f t="shared" si="1"/>
        <v>1711.61</v>
      </c>
      <c r="G19" s="81">
        <f t="shared" si="2"/>
        <v>1546.67</v>
      </c>
      <c r="H19" s="81">
        <f t="shared" si="3"/>
        <v>61.78</v>
      </c>
      <c r="I19" s="81">
        <f t="shared" si="4"/>
        <v>79.56</v>
      </c>
      <c r="J19" s="81">
        <f t="shared" si="5"/>
        <v>35.100000000000009</v>
      </c>
      <c r="K19" s="81">
        <f t="shared" si="6"/>
        <v>36.549999999999997</v>
      </c>
      <c r="N19" s="81">
        <f t="shared" si="16"/>
        <v>707.37</v>
      </c>
      <c r="O19" s="81">
        <f t="shared" si="17"/>
        <v>494.05776000000003</v>
      </c>
    </row>
    <row r="20" spans="1:18" ht="13.5">
      <c r="A20" s="179" t="s">
        <v>142</v>
      </c>
      <c r="E20" s="81">
        <f t="shared" ref="E20:K20" si="18">SUM(E3:E19)</f>
        <v>609.19999999999993</v>
      </c>
      <c r="F20" s="81">
        <f t="shared" si="18"/>
        <v>19092.18</v>
      </c>
      <c r="G20" s="81">
        <f t="shared" si="18"/>
        <v>16106.56</v>
      </c>
      <c r="H20" s="81">
        <f t="shared" si="18"/>
        <v>725.24</v>
      </c>
      <c r="I20" s="81">
        <f t="shared" si="18"/>
        <v>902.99</v>
      </c>
      <c r="J20" s="81">
        <f t="shared" si="18"/>
        <v>365.52000000000004</v>
      </c>
      <c r="K20" s="81">
        <f t="shared" si="18"/>
        <v>395.51</v>
      </c>
      <c r="N20" s="81">
        <f t="shared" si="16"/>
        <v>397.18</v>
      </c>
      <c r="O20" s="81">
        <f t="shared" si="17"/>
        <v>273.05180000000001</v>
      </c>
    </row>
    <row r="21" spans="1:18">
      <c r="N21" s="81">
        <f t="shared" si="16"/>
        <v>179.82</v>
      </c>
      <c r="O21" s="81">
        <f t="shared" si="17"/>
        <v>123.62046666666664</v>
      </c>
    </row>
    <row r="22" spans="1:18" ht="13.5">
      <c r="H22" s="179" t="s">
        <v>2042</v>
      </c>
      <c r="I22" s="179" t="s">
        <v>2043</v>
      </c>
      <c r="N22" s="81">
        <f t="shared" si="16"/>
        <v>1858.58</v>
      </c>
      <c r="O22" s="81">
        <f t="shared" si="17"/>
        <v>1261.4854</v>
      </c>
    </row>
    <row r="23" spans="1:18" ht="13.5">
      <c r="B23" s="569" t="s">
        <v>2048</v>
      </c>
      <c r="C23" s="179" t="s">
        <v>2062</v>
      </c>
      <c r="D23" s="179" t="s">
        <v>2063</v>
      </c>
      <c r="E23" s="179" t="s">
        <v>2064</v>
      </c>
      <c r="F23" s="179" t="s">
        <v>1720</v>
      </c>
      <c r="G23" s="179" t="s">
        <v>1836</v>
      </c>
      <c r="H23" s="179" t="s">
        <v>2040</v>
      </c>
      <c r="I23" s="179" t="s">
        <v>2041</v>
      </c>
      <c r="J23" s="179" t="s">
        <v>2044</v>
      </c>
      <c r="K23" s="179" t="s">
        <v>2034</v>
      </c>
      <c r="N23" s="81">
        <f t="shared" si="16"/>
        <v>1191.6300000000001</v>
      </c>
      <c r="O23" s="81">
        <f t="shared" si="17"/>
        <v>826.27906666666684</v>
      </c>
    </row>
    <row r="24" spans="1:18">
      <c r="A24" s="81">
        <v>1</v>
      </c>
      <c r="B24" s="81" t="s">
        <v>2049</v>
      </c>
      <c r="C24" s="81">
        <v>0.7</v>
      </c>
      <c r="D24" s="81">
        <v>0.5</v>
      </c>
      <c r="E24" s="81">
        <v>0.65</v>
      </c>
      <c r="G24" s="81">
        <f>ROUND(((E24*2+0.8)*7+(E24*2+1)*6)*1.56+((E24/0.15*1*4)+(0.4*(1+0.8)/0.15)+(3*(0.8*2+1*2)*2))*0.994,2)</f>
        <v>87.93</v>
      </c>
      <c r="H24" s="81">
        <f>(C24+D24)*E24*2-0.4*0.6*2</f>
        <v>1.08</v>
      </c>
      <c r="I24" s="81">
        <f>(C24+0.2*2+D24+0.2*2)*2*(E24+0.2+0.2)-(0.8*1)*2</f>
        <v>2.6</v>
      </c>
      <c r="J24" s="81">
        <v>0</v>
      </c>
      <c r="K24" s="81">
        <f>ROUND(C24*0.2*2*E24+0.1*0.2*2*E24+0.9*1.1*0.15*2-(0.53*0.65*0.15),2)</f>
        <v>0.45</v>
      </c>
      <c r="N24" s="81">
        <f t="shared" si="16"/>
        <v>310</v>
      </c>
      <c r="O24" s="81">
        <f t="shared" si="17"/>
        <v>211.24488000000005</v>
      </c>
    </row>
    <row r="25" spans="1:18">
      <c r="A25" s="81">
        <v>2</v>
      </c>
      <c r="B25" s="81" t="s">
        <v>2050</v>
      </c>
      <c r="C25" s="81">
        <v>0.7</v>
      </c>
      <c r="D25" s="81">
        <v>0.5</v>
      </c>
      <c r="E25" s="81">
        <v>0.65</v>
      </c>
      <c r="G25" s="81">
        <f>ROUND(((E25*2+0.8)*7+(E25*2+1)*6)*1.56+((E25/0.15*1*4)+(0.4*(1+0.8)/0.15)+(3*(0.8*2+1*2)*2))*0.994,2)</f>
        <v>87.93</v>
      </c>
      <c r="H25" s="81">
        <f t="shared" ref="H25:H38" si="19">(C25+D25)*E25*2-0.4*0.6*2</f>
        <v>1.08</v>
      </c>
      <c r="I25" s="81">
        <f t="shared" ref="I25:I38" si="20">(C25+0.2*2+D25+0.2*2)*2*(E25+0.2+0.2)-(0.8*1)*2</f>
        <v>2.6</v>
      </c>
      <c r="K25" s="81">
        <f t="shared" ref="K25:K38" si="21">ROUND(C25*0.2*2*E25+0.1*0.2*2*E25+0.9*1.1*0.15*2-(0.53*0.65*0.15),2)</f>
        <v>0.45</v>
      </c>
      <c r="N25" s="81">
        <f t="shared" si="16"/>
        <v>1004.93</v>
      </c>
      <c r="O25" s="81">
        <f t="shared" si="17"/>
        <v>689.32574666666665</v>
      </c>
    </row>
    <row r="26" spans="1:18">
      <c r="A26" s="81">
        <v>3</v>
      </c>
      <c r="B26" s="81" t="s">
        <v>2051</v>
      </c>
      <c r="C26" s="81">
        <v>0.7</v>
      </c>
      <c r="D26" s="81">
        <v>0.5</v>
      </c>
      <c r="E26" s="81">
        <v>0.65</v>
      </c>
      <c r="G26" s="81">
        <f t="shared" ref="G26:G38" si="22">ROUND(((E26*2+0.8)*7+(E26*2+1)*6)*1.56+((E26/0.15*1*4)+(0.4*(1+0.8)/0.15)+(3*(0.8*2+1*2)*2))*0.994,2)</f>
        <v>87.93</v>
      </c>
      <c r="H26" s="81">
        <f t="shared" si="19"/>
        <v>1.08</v>
      </c>
      <c r="I26" s="81">
        <f t="shared" si="20"/>
        <v>2.6</v>
      </c>
      <c r="K26" s="81">
        <f t="shared" si="21"/>
        <v>0.45</v>
      </c>
      <c r="N26" s="81">
        <f t="shared" si="16"/>
        <v>427.86</v>
      </c>
      <c r="O26" s="81">
        <f t="shared" si="17"/>
        <v>296.67586666666665</v>
      </c>
    </row>
    <row r="27" spans="1:18">
      <c r="A27" s="81">
        <v>4</v>
      </c>
      <c r="B27" s="81" t="s">
        <v>2052</v>
      </c>
      <c r="C27" s="81">
        <v>0.7</v>
      </c>
      <c r="D27" s="81">
        <v>0.5</v>
      </c>
      <c r="E27" s="81">
        <v>0.65</v>
      </c>
      <c r="G27" s="81">
        <f t="shared" si="22"/>
        <v>87.93</v>
      </c>
      <c r="H27" s="81">
        <f t="shared" si="19"/>
        <v>1.08</v>
      </c>
      <c r="I27" s="81">
        <f t="shared" si="20"/>
        <v>2.6</v>
      </c>
      <c r="K27" s="81">
        <f t="shared" si="21"/>
        <v>0.45</v>
      </c>
      <c r="N27" s="81">
        <f t="shared" si="16"/>
        <v>422.55</v>
      </c>
      <c r="O27" s="81">
        <f t="shared" si="17"/>
        <v>292.99806666666666</v>
      </c>
    </row>
    <row r="28" spans="1:18">
      <c r="A28" s="81">
        <v>5</v>
      </c>
      <c r="B28" s="570" t="s">
        <v>2061</v>
      </c>
      <c r="C28" s="570">
        <v>0.7</v>
      </c>
      <c r="D28" s="570">
        <v>0.5</v>
      </c>
      <c r="E28" s="570">
        <v>1.8</v>
      </c>
      <c r="F28" s="570"/>
      <c r="G28" s="570">
        <f t="shared" si="22"/>
        <v>165.06</v>
      </c>
      <c r="H28" s="570">
        <f t="shared" si="19"/>
        <v>3.8400000000000003</v>
      </c>
      <c r="I28" s="570">
        <f t="shared" si="20"/>
        <v>7.2000000000000011</v>
      </c>
      <c r="K28" s="81">
        <f t="shared" si="21"/>
        <v>0.82</v>
      </c>
      <c r="N28" s="81">
        <f t="shared" si="16"/>
        <v>828.67</v>
      </c>
      <c r="O28" s="81">
        <f t="shared" si="17"/>
        <v>577.51400000000001</v>
      </c>
    </row>
    <row r="29" spans="1:18">
      <c r="A29" s="81">
        <v>6</v>
      </c>
      <c r="B29" s="81" t="s">
        <v>2053</v>
      </c>
      <c r="C29" s="81">
        <v>0.7</v>
      </c>
      <c r="D29" s="81">
        <v>0.5</v>
      </c>
      <c r="E29" s="81">
        <v>0.8</v>
      </c>
      <c r="G29" s="81">
        <f t="shared" si="22"/>
        <v>97.99</v>
      </c>
      <c r="H29" s="81">
        <f t="shared" si="19"/>
        <v>1.44</v>
      </c>
      <c r="I29" s="81">
        <f t="shared" si="20"/>
        <v>3.1999999999999997</v>
      </c>
      <c r="K29" s="81">
        <f t="shared" si="21"/>
        <v>0.5</v>
      </c>
      <c r="N29" s="81">
        <f t="shared" si="16"/>
        <v>411.84</v>
      </c>
      <c r="O29" s="81">
        <f t="shared" si="17"/>
        <v>288.65759999999995</v>
      </c>
    </row>
    <row r="30" spans="1:18">
      <c r="A30" s="81">
        <v>7</v>
      </c>
      <c r="B30" s="81" t="s">
        <v>2054</v>
      </c>
      <c r="C30" s="81">
        <v>0.7</v>
      </c>
      <c r="D30" s="81">
        <v>0.5</v>
      </c>
      <c r="E30" s="81">
        <v>0.65</v>
      </c>
      <c r="G30" s="81">
        <f t="shared" si="22"/>
        <v>87.93</v>
      </c>
      <c r="H30" s="81">
        <f t="shared" si="19"/>
        <v>1.08</v>
      </c>
      <c r="I30" s="81">
        <f t="shared" si="20"/>
        <v>2.6</v>
      </c>
      <c r="K30" s="81">
        <f t="shared" si="21"/>
        <v>0.45</v>
      </c>
      <c r="N30" s="81">
        <f t="shared" si="16"/>
        <v>356.1</v>
      </c>
      <c r="O30" s="81">
        <f t="shared" si="17"/>
        <v>248.16866666666667</v>
      </c>
    </row>
    <row r="31" spans="1:18">
      <c r="A31" s="81">
        <v>8</v>
      </c>
      <c r="B31" s="81" t="s">
        <v>2055</v>
      </c>
      <c r="C31" s="81">
        <v>0.7</v>
      </c>
      <c r="D31" s="81">
        <v>0.5</v>
      </c>
      <c r="E31" s="81">
        <v>0.65</v>
      </c>
      <c r="G31" s="81">
        <f t="shared" si="22"/>
        <v>87.93</v>
      </c>
      <c r="H31" s="81">
        <f t="shared" si="19"/>
        <v>1.08</v>
      </c>
      <c r="I31" s="81">
        <f t="shared" si="20"/>
        <v>2.6</v>
      </c>
      <c r="K31" s="81">
        <f t="shared" si="21"/>
        <v>0.45</v>
      </c>
      <c r="N31" s="81">
        <f t="shared" si="16"/>
        <v>554.11</v>
      </c>
      <c r="O31" s="81">
        <f t="shared" si="17"/>
        <v>382.49120000000005</v>
      </c>
    </row>
    <row r="32" spans="1:18">
      <c r="A32" s="81">
        <v>9</v>
      </c>
      <c r="B32" s="81" t="s">
        <v>2056</v>
      </c>
      <c r="C32" s="81">
        <v>0.7</v>
      </c>
      <c r="D32" s="81">
        <v>0.5</v>
      </c>
      <c r="E32" s="81">
        <v>0.65</v>
      </c>
      <c r="G32" s="81">
        <f t="shared" si="22"/>
        <v>87.93</v>
      </c>
      <c r="H32" s="81">
        <f t="shared" si="19"/>
        <v>1.08</v>
      </c>
      <c r="I32" s="81">
        <f t="shared" si="20"/>
        <v>2.6</v>
      </c>
      <c r="K32" s="81">
        <f t="shared" si="21"/>
        <v>0.45</v>
      </c>
      <c r="N32" s="81">
        <f t="shared" si="16"/>
        <v>1009.94</v>
      </c>
      <c r="O32" s="81">
        <f t="shared" si="17"/>
        <v>701.66459999999995</v>
      </c>
    </row>
    <row r="33" spans="1:15">
      <c r="A33" s="81">
        <v>10</v>
      </c>
      <c r="B33" s="81" t="s">
        <v>2057</v>
      </c>
      <c r="C33" s="81">
        <v>0.7</v>
      </c>
      <c r="D33" s="81">
        <v>0.5</v>
      </c>
      <c r="E33" s="81">
        <v>0.55000000000000004</v>
      </c>
      <c r="F33" s="292">
        <v>0.41</v>
      </c>
      <c r="G33" s="81">
        <f t="shared" si="22"/>
        <v>81.22</v>
      </c>
      <c r="H33" s="81">
        <f t="shared" si="19"/>
        <v>0.84000000000000008</v>
      </c>
      <c r="I33" s="81">
        <f t="shared" si="20"/>
        <v>2.1999999999999997</v>
      </c>
      <c r="K33" s="81">
        <f t="shared" si="21"/>
        <v>0.42</v>
      </c>
    </row>
    <row r="34" spans="1:15">
      <c r="A34" s="81">
        <v>11</v>
      </c>
      <c r="B34" s="570" t="s">
        <v>2065</v>
      </c>
      <c r="C34" s="570">
        <v>0.7</v>
      </c>
      <c r="D34" s="570">
        <v>0.5</v>
      </c>
      <c r="E34" s="572">
        <v>0.67</v>
      </c>
      <c r="F34" s="571">
        <v>0.51</v>
      </c>
      <c r="G34" s="570">
        <f t="shared" si="22"/>
        <v>89.27</v>
      </c>
      <c r="H34" s="570">
        <f t="shared" si="19"/>
        <v>1.1280000000000001</v>
      </c>
      <c r="I34" s="570">
        <f t="shared" si="20"/>
        <v>2.68</v>
      </c>
      <c r="K34" s="81">
        <f t="shared" si="21"/>
        <v>0.46</v>
      </c>
      <c r="N34" s="81">
        <f>ROUND((N3*2+0.7)*(1/0.15)*Q3*1.56,2)</f>
        <v>778.27</v>
      </c>
      <c r="O34" s="81">
        <f>((N3*2+0.7)/0.15+1)*1*0.994*Q3</f>
        <v>548.28377333333344</v>
      </c>
    </row>
    <row r="35" spans="1:15">
      <c r="A35" s="81">
        <v>12</v>
      </c>
      <c r="B35" s="570" t="s">
        <v>2066</v>
      </c>
      <c r="C35" s="570">
        <v>0.7</v>
      </c>
      <c r="D35" s="570">
        <v>0.5</v>
      </c>
      <c r="E35" s="572">
        <v>0.7</v>
      </c>
      <c r="F35" s="570"/>
      <c r="G35" s="570">
        <f t="shared" si="22"/>
        <v>91.28</v>
      </c>
      <c r="H35" s="570">
        <f t="shared" si="19"/>
        <v>1.2</v>
      </c>
      <c r="I35" s="570">
        <f t="shared" si="20"/>
        <v>2.7999999999999994</v>
      </c>
      <c r="K35" s="81">
        <f t="shared" si="21"/>
        <v>0.47</v>
      </c>
      <c r="N35" s="81">
        <f t="shared" ref="N35:N36" si="23">ROUND((N4*2+0.7)*(1/0.15)*Q4*1.56,2)</f>
        <v>763.53</v>
      </c>
      <c r="O35" s="81">
        <f t="shared" ref="O35:O36" si="24">((N4*2+0.7)/0.15+1)*1*0.994*Q4</f>
        <v>534.51355999999998</v>
      </c>
    </row>
    <row r="36" spans="1:15">
      <c r="A36" s="81">
        <v>13</v>
      </c>
      <c r="B36" s="570" t="s">
        <v>2058</v>
      </c>
      <c r="C36" s="570">
        <v>0.7</v>
      </c>
      <c r="D36" s="570">
        <v>0.5</v>
      </c>
      <c r="E36" s="570">
        <v>0.65</v>
      </c>
      <c r="F36" s="570"/>
      <c r="G36" s="570">
        <f t="shared" si="22"/>
        <v>87.93</v>
      </c>
      <c r="H36" s="570">
        <f t="shared" si="19"/>
        <v>1.08</v>
      </c>
      <c r="I36" s="570">
        <f t="shared" si="20"/>
        <v>2.6</v>
      </c>
      <c r="K36" s="81">
        <f t="shared" si="21"/>
        <v>0.45</v>
      </c>
      <c r="N36" s="81">
        <f t="shared" si="23"/>
        <v>330.72</v>
      </c>
      <c r="O36" s="81">
        <f t="shared" si="24"/>
        <v>231.80079999999998</v>
      </c>
    </row>
    <row r="37" spans="1:15" ht="13.5">
      <c r="A37" s="81">
        <v>14</v>
      </c>
      <c r="B37" s="570" t="s">
        <v>2059</v>
      </c>
      <c r="C37" s="570">
        <v>0.7</v>
      </c>
      <c r="D37" s="570">
        <v>0.5</v>
      </c>
      <c r="E37" s="570">
        <v>1.1499999999999999</v>
      </c>
      <c r="F37" s="571">
        <v>0.8</v>
      </c>
      <c r="G37" s="570">
        <f t="shared" si="22"/>
        <v>121.46</v>
      </c>
      <c r="H37" s="570">
        <f t="shared" si="19"/>
        <v>2.2799999999999998</v>
      </c>
      <c r="I37" s="570">
        <f t="shared" si="20"/>
        <v>4.5999999999999996</v>
      </c>
      <c r="K37" s="81">
        <f t="shared" si="21"/>
        <v>0.61</v>
      </c>
      <c r="M37" s="179" t="s">
        <v>2115</v>
      </c>
      <c r="N37" s="81">
        <f>SUM(N16:N36)</f>
        <v>13164.28</v>
      </c>
      <c r="O37" s="81">
        <f>SUM(O16:O36)+G20+S6</f>
        <v>28452.409760000002</v>
      </c>
    </row>
    <row r="38" spans="1:15">
      <c r="A38" s="81">
        <v>15</v>
      </c>
      <c r="B38" s="570" t="s">
        <v>2060</v>
      </c>
      <c r="C38" s="570">
        <v>0.7</v>
      </c>
      <c r="D38" s="570">
        <v>0.5</v>
      </c>
      <c r="E38" s="570">
        <v>0.75</v>
      </c>
      <c r="F38" s="571">
        <v>2.6</v>
      </c>
      <c r="G38" s="570">
        <f t="shared" si="22"/>
        <v>94.64</v>
      </c>
      <c r="H38" s="570">
        <f t="shared" si="19"/>
        <v>1.3199999999999998</v>
      </c>
      <c r="I38" s="570">
        <f t="shared" si="20"/>
        <v>2.9999999999999996</v>
      </c>
      <c r="K38" s="81">
        <f t="shared" si="21"/>
        <v>0.49</v>
      </c>
    </row>
    <row r="39" spans="1:15" ht="13.5">
      <c r="A39" s="81">
        <v>16</v>
      </c>
      <c r="B39" s="281" t="s">
        <v>2072</v>
      </c>
      <c r="C39" s="81">
        <v>1</v>
      </c>
      <c r="D39" s="81">
        <v>1</v>
      </c>
      <c r="E39" s="81">
        <v>3.31</v>
      </c>
      <c r="F39" s="179" t="s">
        <v>2073</v>
      </c>
      <c r="N39" s="81">
        <f>ROUND(((E24*2+0.8)*7+(E24*2+1)*6)*1.56,2)</f>
        <v>44.46</v>
      </c>
      <c r="O39" s="81">
        <f>((E24/0.15*1*4)+(0.4*(1+0.8)/0.15)+(3*(0.8*2+1*2)*2))*0.994</f>
        <v>43.470933333333335</v>
      </c>
    </row>
    <row r="40" spans="1:15" ht="13.5">
      <c r="A40" s="81">
        <v>17</v>
      </c>
      <c r="B40" s="281" t="s">
        <v>2067</v>
      </c>
      <c r="C40" s="179">
        <v>1</v>
      </c>
      <c r="D40" s="81">
        <v>1</v>
      </c>
      <c r="E40" s="81">
        <v>2.5299999999999998</v>
      </c>
      <c r="F40" s="179" t="s">
        <v>2073</v>
      </c>
      <c r="N40" s="81">
        <f t="shared" ref="N40:N84" si="25">ROUND(((E25*2+0.8)*7+(E25*2+1)*6)*1.56,2)</f>
        <v>44.46</v>
      </c>
      <c r="O40" s="81">
        <f t="shared" ref="O40:O97" si="26">((E25/0.15*1*4)+(0.4*(1+0.8)/0.15)+(3*(0.8*2+1*2)*2))*0.994</f>
        <v>43.470933333333335</v>
      </c>
    </row>
    <row r="41" spans="1:15">
      <c r="A41" s="81">
        <v>18</v>
      </c>
      <c r="B41" s="81" t="s">
        <v>2068</v>
      </c>
      <c r="C41" s="81">
        <v>0.7</v>
      </c>
      <c r="D41" s="81">
        <v>0.5</v>
      </c>
      <c r="E41" s="81">
        <v>0.75</v>
      </c>
      <c r="G41" s="81">
        <f t="shared" ref="G41:G82" si="27">ROUND(((E41*2+0.8)*7+(E41*2+1)*6)*1.56+((E41/0.15*1*4)+(0.4*(1+0.8)/0.15)+(3*(0.8*2+1*2)*2))*0.994,2)</f>
        <v>94.64</v>
      </c>
      <c r="H41" s="81">
        <f t="shared" ref="H41" si="28">(C41+D41)*E41*2-0.4*0.6*2</f>
        <v>1.3199999999999998</v>
      </c>
      <c r="I41" s="81">
        <f t="shared" ref="I41:I82" si="29">(C41+0.2*2+D41+0.2*2)*2*(E41+0.2+0.2)-(0.8*1)*2</f>
        <v>2.9999999999999996</v>
      </c>
      <c r="K41" s="81">
        <f t="shared" ref="K41:K82" si="30">ROUND(C41*0.2*2*E41+0.1*0.2*2*E41+0.9*1.1*0.15*2-(0.53*0.65*0.15),2)</f>
        <v>0.49</v>
      </c>
      <c r="N41" s="81">
        <f t="shared" si="25"/>
        <v>44.46</v>
      </c>
      <c r="O41" s="81">
        <f t="shared" si="26"/>
        <v>43.470933333333335</v>
      </c>
    </row>
    <row r="42" spans="1:15">
      <c r="A42" s="81">
        <v>19</v>
      </c>
      <c r="B42" s="81" t="s">
        <v>2069</v>
      </c>
      <c r="C42" s="81">
        <v>0.7</v>
      </c>
      <c r="D42" s="81">
        <v>0.5</v>
      </c>
      <c r="E42" s="81">
        <v>0.65</v>
      </c>
      <c r="G42" s="81">
        <f t="shared" si="27"/>
        <v>87.93</v>
      </c>
      <c r="H42" s="81">
        <f t="shared" ref="H42:H82" si="31">(C42+D42)*E42*2-0.4*0.6*2</f>
        <v>1.08</v>
      </c>
      <c r="I42" s="81">
        <f t="shared" si="29"/>
        <v>2.6</v>
      </c>
      <c r="K42" s="81">
        <f t="shared" si="30"/>
        <v>0.45</v>
      </c>
      <c r="N42" s="81">
        <f t="shared" si="25"/>
        <v>44.46</v>
      </c>
      <c r="O42" s="81">
        <f t="shared" si="26"/>
        <v>43.470933333333335</v>
      </c>
    </row>
    <row r="43" spans="1:15">
      <c r="A43" s="81">
        <v>20</v>
      </c>
      <c r="B43" s="81" t="s">
        <v>2070</v>
      </c>
      <c r="C43" s="81">
        <v>0.7</v>
      </c>
      <c r="D43" s="81">
        <v>0.5</v>
      </c>
      <c r="E43" s="81">
        <v>0.7</v>
      </c>
      <c r="G43" s="81">
        <f t="shared" si="27"/>
        <v>91.28</v>
      </c>
      <c r="H43" s="81">
        <f t="shared" si="31"/>
        <v>1.2</v>
      </c>
      <c r="I43" s="81">
        <f t="shared" si="29"/>
        <v>2.7999999999999994</v>
      </c>
      <c r="K43" s="81">
        <f t="shared" si="30"/>
        <v>0.47</v>
      </c>
      <c r="N43" s="81">
        <f t="shared" si="25"/>
        <v>91.1</v>
      </c>
      <c r="O43" s="81">
        <f t="shared" si="26"/>
        <v>73.953600000000009</v>
      </c>
    </row>
    <row r="44" spans="1:15">
      <c r="A44" s="81">
        <v>21</v>
      </c>
      <c r="B44" s="81" t="s">
        <v>2071</v>
      </c>
      <c r="C44" s="81">
        <v>0.7</v>
      </c>
      <c r="D44" s="81">
        <v>0.5</v>
      </c>
      <c r="E44" s="81">
        <v>0.55000000000000004</v>
      </c>
      <c r="G44" s="81">
        <f t="shared" si="27"/>
        <v>81.22</v>
      </c>
      <c r="H44" s="81">
        <f t="shared" si="31"/>
        <v>0.84000000000000008</v>
      </c>
      <c r="I44" s="81">
        <f t="shared" si="29"/>
        <v>2.1999999999999997</v>
      </c>
      <c r="K44" s="81">
        <f t="shared" si="30"/>
        <v>0.42</v>
      </c>
      <c r="N44" s="81">
        <f t="shared" si="25"/>
        <v>50.54</v>
      </c>
      <c r="O44" s="81">
        <f t="shared" si="26"/>
        <v>47.446933333333334</v>
      </c>
    </row>
    <row r="45" spans="1:15" ht="13.5">
      <c r="A45" s="81">
        <v>22</v>
      </c>
      <c r="B45" s="81" t="s">
        <v>2074</v>
      </c>
      <c r="C45" s="81">
        <v>0.7</v>
      </c>
      <c r="D45" s="81">
        <v>0.5</v>
      </c>
      <c r="E45" s="293">
        <v>0.9</v>
      </c>
      <c r="F45" s="179" t="s">
        <v>2112</v>
      </c>
      <c r="G45" s="81">
        <f t="shared" si="27"/>
        <v>104.7</v>
      </c>
      <c r="H45" s="81">
        <f t="shared" si="31"/>
        <v>1.6800000000000002</v>
      </c>
      <c r="I45" s="81">
        <f t="shared" si="29"/>
        <v>3.6</v>
      </c>
      <c r="K45" s="81">
        <f t="shared" si="30"/>
        <v>0.53</v>
      </c>
      <c r="N45" s="81">
        <f t="shared" si="25"/>
        <v>44.46</v>
      </c>
      <c r="O45" s="81">
        <f t="shared" si="26"/>
        <v>43.470933333333335</v>
      </c>
    </row>
    <row r="46" spans="1:15" ht="13.5">
      <c r="A46" s="81">
        <v>23</v>
      </c>
      <c r="B46" s="81" t="s">
        <v>2075</v>
      </c>
      <c r="C46" s="81">
        <v>0.7</v>
      </c>
      <c r="D46" s="81">
        <v>0.5</v>
      </c>
      <c r="E46" s="293">
        <v>0.9</v>
      </c>
      <c r="F46" s="179" t="s">
        <v>2112</v>
      </c>
      <c r="G46" s="81">
        <f t="shared" si="27"/>
        <v>104.7</v>
      </c>
      <c r="H46" s="81">
        <f t="shared" si="31"/>
        <v>1.6800000000000002</v>
      </c>
      <c r="I46" s="81">
        <f t="shared" si="29"/>
        <v>3.6</v>
      </c>
      <c r="K46" s="81">
        <f t="shared" si="30"/>
        <v>0.53</v>
      </c>
      <c r="N46" s="81">
        <f t="shared" si="25"/>
        <v>44.46</v>
      </c>
      <c r="O46" s="81">
        <f t="shared" si="26"/>
        <v>43.470933333333335</v>
      </c>
    </row>
    <row r="47" spans="1:15" ht="13.5">
      <c r="A47" s="81">
        <v>24</v>
      </c>
      <c r="B47" s="81" t="s">
        <v>2076</v>
      </c>
      <c r="C47" s="81">
        <v>0.7</v>
      </c>
      <c r="D47" s="81">
        <v>0.5</v>
      </c>
      <c r="E47" s="293">
        <v>0.9</v>
      </c>
      <c r="F47" s="179" t="s">
        <v>2112</v>
      </c>
      <c r="G47" s="81">
        <f t="shared" si="27"/>
        <v>104.7</v>
      </c>
      <c r="H47" s="81">
        <f t="shared" si="31"/>
        <v>1.6800000000000002</v>
      </c>
      <c r="I47" s="81">
        <f t="shared" si="29"/>
        <v>3.6</v>
      </c>
      <c r="K47" s="81">
        <f t="shared" si="30"/>
        <v>0.53</v>
      </c>
      <c r="N47" s="81">
        <f t="shared" si="25"/>
        <v>44.46</v>
      </c>
      <c r="O47" s="81">
        <f t="shared" si="26"/>
        <v>43.470933333333335</v>
      </c>
    </row>
    <row r="48" spans="1:15" ht="13.5">
      <c r="A48" s="81">
        <v>25</v>
      </c>
      <c r="B48" s="81" t="s">
        <v>2077</v>
      </c>
      <c r="C48" s="81">
        <v>0.7</v>
      </c>
      <c r="D48" s="81">
        <v>0.5</v>
      </c>
      <c r="E48" s="293">
        <v>0.9</v>
      </c>
      <c r="F48" s="179" t="s">
        <v>2112</v>
      </c>
      <c r="G48" s="81">
        <f t="shared" si="27"/>
        <v>104.7</v>
      </c>
      <c r="H48" s="81">
        <f t="shared" si="31"/>
        <v>1.6800000000000002</v>
      </c>
      <c r="I48" s="81">
        <f t="shared" si="29"/>
        <v>3.6</v>
      </c>
      <c r="K48" s="81">
        <f t="shared" si="30"/>
        <v>0.53</v>
      </c>
      <c r="N48" s="81">
        <f t="shared" si="25"/>
        <v>40.4</v>
      </c>
      <c r="O48" s="81">
        <f t="shared" si="26"/>
        <v>40.820266666666669</v>
      </c>
    </row>
    <row r="49" spans="1:15" ht="13.5">
      <c r="A49" s="81">
        <v>26</v>
      </c>
      <c r="B49" s="81" t="s">
        <v>2078</v>
      </c>
      <c r="C49" s="81">
        <v>0.7</v>
      </c>
      <c r="D49" s="81">
        <v>0.5</v>
      </c>
      <c r="E49" s="293">
        <v>0.9</v>
      </c>
      <c r="F49" s="179" t="s">
        <v>2112</v>
      </c>
      <c r="G49" s="81">
        <f t="shared" si="27"/>
        <v>104.7</v>
      </c>
      <c r="H49" s="81">
        <f t="shared" si="31"/>
        <v>1.6800000000000002</v>
      </c>
      <c r="I49" s="81">
        <f t="shared" si="29"/>
        <v>3.6</v>
      </c>
      <c r="K49" s="81">
        <f t="shared" si="30"/>
        <v>0.53</v>
      </c>
      <c r="N49" s="81">
        <f t="shared" si="25"/>
        <v>45.27</v>
      </c>
      <c r="O49" s="81">
        <f t="shared" si="26"/>
        <v>44.001066666666667</v>
      </c>
    </row>
    <row r="50" spans="1:15" ht="13.5">
      <c r="A50" s="81">
        <v>27</v>
      </c>
      <c r="B50" s="81" t="s">
        <v>2079</v>
      </c>
      <c r="C50" s="81">
        <v>0.7</v>
      </c>
      <c r="D50" s="81">
        <v>0.5</v>
      </c>
      <c r="E50" s="293">
        <v>0.9</v>
      </c>
      <c r="F50" s="179" t="s">
        <v>2112</v>
      </c>
      <c r="G50" s="81">
        <f t="shared" si="27"/>
        <v>104.7</v>
      </c>
      <c r="H50" s="81">
        <f t="shared" si="31"/>
        <v>1.6800000000000002</v>
      </c>
      <c r="I50" s="81">
        <f t="shared" si="29"/>
        <v>3.6</v>
      </c>
      <c r="K50" s="81">
        <f t="shared" si="30"/>
        <v>0.53</v>
      </c>
      <c r="N50" s="81">
        <f t="shared" si="25"/>
        <v>46.49</v>
      </c>
      <c r="O50" s="81">
        <f t="shared" si="26"/>
        <v>44.796266666666668</v>
      </c>
    </row>
    <row r="51" spans="1:15" ht="13.5">
      <c r="A51" s="81">
        <v>28</v>
      </c>
      <c r="B51" s="81" t="s">
        <v>2080</v>
      </c>
      <c r="C51" s="81">
        <v>0.7</v>
      </c>
      <c r="D51" s="81">
        <v>0.5</v>
      </c>
      <c r="E51" s="293">
        <v>0.9</v>
      </c>
      <c r="F51" s="179" t="s">
        <v>2112</v>
      </c>
      <c r="G51" s="81">
        <f t="shared" si="27"/>
        <v>104.7</v>
      </c>
      <c r="H51" s="81">
        <f t="shared" si="31"/>
        <v>1.6800000000000002</v>
      </c>
      <c r="I51" s="81">
        <f t="shared" si="29"/>
        <v>3.6</v>
      </c>
      <c r="K51" s="81">
        <f t="shared" si="30"/>
        <v>0.53</v>
      </c>
      <c r="N51" s="81">
        <f t="shared" si="25"/>
        <v>44.46</v>
      </c>
      <c r="O51" s="81">
        <f t="shared" si="26"/>
        <v>43.470933333333335</v>
      </c>
    </row>
    <row r="52" spans="1:15" ht="13.5">
      <c r="A52" s="81">
        <v>29</v>
      </c>
      <c r="B52" s="81" t="s">
        <v>2081</v>
      </c>
      <c r="C52" s="81">
        <v>0.7</v>
      </c>
      <c r="D52" s="81">
        <v>0.5</v>
      </c>
      <c r="E52" s="293">
        <v>0.9</v>
      </c>
      <c r="F52" s="179" t="s">
        <v>2112</v>
      </c>
      <c r="G52" s="81">
        <f t="shared" si="27"/>
        <v>104.7</v>
      </c>
      <c r="H52" s="81">
        <f t="shared" si="31"/>
        <v>1.6800000000000002</v>
      </c>
      <c r="I52" s="81">
        <f t="shared" si="29"/>
        <v>3.6</v>
      </c>
      <c r="K52" s="81">
        <f t="shared" si="30"/>
        <v>0.53</v>
      </c>
      <c r="N52" s="81">
        <f t="shared" si="25"/>
        <v>64.739999999999995</v>
      </c>
      <c r="O52" s="81">
        <f t="shared" si="26"/>
        <v>56.724266666666672</v>
      </c>
    </row>
    <row r="53" spans="1:15" ht="13.5">
      <c r="A53" s="81">
        <v>30</v>
      </c>
      <c r="B53" s="81" t="s">
        <v>2082</v>
      </c>
      <c r="C53" s="81">
        <v>0.7</v>
      </c>
      <c r="D53" s="81">
        <v>0.5</v>
      </c>
      <c r="E53" s="293">
        <v>0.9</v>
      </c>
      <c r="F53" s="179" t="s">
        <v>2112</v>
      </c>
      <c r="G53" s="81">
        <f t="shared" si="27"/>
        <v>104.7</v>
      </c>
      <c r="H53" s="81">
        <f t="shared" si="31"/>
        <v>1.6800000000000002</v>
      </c>
      <c r="I53" s="81">
        <f t="shared" si="29"/>
        <v>3.6</v>
      </c>
      <c r="K53" s="81">
        <f t="shared" si="30"/>
        <v>0.53</v>
      </c>
      <c r="N53" s="81">
        <f t="shared" si="25"/>
        <v>48.52</v>
      </c>
      <c r="O53" s="81">
        <f t="shared" si="26"/>
        <v>46.121600000000008</v>
      </c>
    </row>
    <row r="54" spans="1:15" ht="13.5">
      <c r="A54" s="81">
        <v>31</v>
      </c>
      <c r="B54" s="81" t="s">
        <v>2083</v>
      </c>
      <c r="C54" s="81">
        <v>0.7</v>
      </c>
      <c r="D54" s="81">
        <v>0.5</v>
      </c>
      <c r="E54" s="293">
        <v>0.9</v>
      </c>
      <c r="F54" s="179" t="s">
        <v>2112</v>
      </c>
      <c r="G54" s="81">
        <f t="shared" si="27"/>
        <v>104.7</v>
      </c>
      <c r="H54" s="81">
        <f t="shared" si="31"/>
        <v>1.6800000000000002</v>
      </c>
      <c r="I54" s="81">
        <f t="shared" si="29"/>
        <v>3.6</v>
      </c>
      <c r="K54" s="81">
        <f t="shared" si="30"/>
        <v>0.53</v>
      </c>
    </row>
    <row r="55" spans="1:15">
      <c r="A55" s="81">
        <v>32</v>
      </c>
      <c r="B55" s="81" t="s">
        <v>2084</v>
      </c>
      <c r="C55" s="81">
        <v>0.7</v>
      </c>
      <c r="D55" s="81">
        <v>0.5</v>
      </c>
      <c r="E55" s="81">
        <v>0.43</v>
      </c>
      <c r="G55" s="81">
        <f t="shared" si="27"/>
        <v>73.180000000000007</v>
      </c>
      <c r="H55" s="81">
        <f t="shared" si="31"/>
        <v>0.55200000000000005</v>
      </c>
      <c r="I55" s="81">
        <f t="shared" si="29"/>
        <v>1.7200000000000002</v>
      </c>
      <c r="K55" s="81">
        <f t="shared" si="30"/>
        <v>0.38</v>
      </c>
    </row>
    <row r="56" spans="1:15">
      <c r="A56" s="81">
        <v>33</v>
      </c>
      <c r="B56" s="81" t="s">
        <v>2085</v>
      </c>
      <c r="C56" s="81">
        <v>0.7</v>
      </c>
      <c r="D56" s="81">
        <v>0.5</v>
      </c>
      <c r="E56" s="81">
        <v>0.74</v>
      </c>
      <c r="G56" s="81">
        <f t="shared" si="27"/>
        <v>93.97</v>
      </c>
      <c r="H56" s="81">
        <f t="shared" si="31"/>
        <v>1.296</v>
      </c>
      <c r="I56" s="81">
        <f t="shared" si="29"/>
        <v>2.9599999999999995</v>
      </c>
      <c r="K56" s="81">
        <f t="shared" si="30"/>
        <v>0.48</v>
      </c>
      <c r="N56" s="81">
        <f t="shared" si="25"/>
        <v>48.52</v>
      </c>
      <c r="O56" s="81">
        <f t="shared" si="26"/>
        <v>46.121600000000008</v>
      </c>
    </row>
    <row r="57" spans="1:15">
      <c r="A57" s="81">
        <v>34</v>
      </c>
      <c r="B57" s="81" t="s">
        <v>2086</v>
      </c>
      <c r="C57" s="81">
        <v>0.7</v>
      </c>
      <c r="D57" s="81">
        <v>0.5</v>
      </c>
      <c r="E57" s="81">
        <v>0.43</v>
      </c>
      <c r="G57" s="81">
        <f t="shared" si="27"/>
        <v>73.180000000000007</v>
      </c>
      <c r="H57" s="81">
        <f t="shared" si="31"/>
        <v>0.55200000000000005</v>
      </c>
      <c r="I57" s="81">
        <f t="shared" si="29"/>
        <v>1.7200000000000002</v>
      </c>
      <c r="K57" s="81">
        <f t="shared" si="30"/>
        <v>0.38</v>
      </c>
      <c r="N57" s="81">
        <f t="shared" si="25"/>
        <v>44.46</v>
      </c>
      <c r="O57" s="81">
        <f t="shared" si="26"/>
        <v>43.470933333333335</v>
      </c>
    </row>
    <row r="58" spans="1:15">
      <c r="A58" s="81">
        <v>35</v>
      </c>
      <c r="B58" s="81" t="s">
        <v>2087</v>
      </c>
      <c r="C58" s="81">
        <v>0.7</v>
      </c>
      <c r="D58" s="81">
        <v>0.5</v>
      </c>
      <c r="E58" s="81">
        <v>0.43</v>
      </c>
      <c r="G58" s="81">
        <f t="shared" si="27"/>
        <v>73.180000000000007</v>
      </c>
      <c r="H58" s="81">
        <f t="shared" si="31"/>
        <v>0.55200000000000005</v>
      </c>
      <c r="I58" s="81">
        <f t="shared" si="29"/>
        <v>1.7200000000000002</v>
      </c>
      <c r="K58" s="81">
        <f t="shared" si="30"/>
        <v>0.38</v>
      </c>
      <c r="N58" s="81">
        <f t="shared" si="25"/>
        <v>46.49</v>
      </c>
      <c r="O58" s="81">
        <f t="shared" si="26"/>
        <v>44.796266666666668</v>
      </c>
    </row>
    <row r="59" spans="1:15">
      <c r="A59" s="81">
        <v>36</v>
      </c>
      <c r="B59" s="81" t="s">
        <v>2088</v>
      </c>
      <c r="C59" s="81">
        <v>0.7</v>
      </c>
      <c r="D59" s="81">
        <v>0.5</v>
      </c>
      <c r="E59" s="81">
        <v>0.43</v>
      </c>
      <c r="G59" s="81">
        <f t="shared" si="27"/>
        <v>73.180000000000007</v>
      </c>
      <c r="H59" s="81">
        <f t="shared" si="31"/>
        <v>0.55200000000000005</v>
      </c>
      <c r="I59" s="81">
        <f t="shared" si="29"/>
        <v>1.7200000000000002</v>
      </c>
      <c r="K59" s="81">
        <f t="shared" si="30"/>
        <v>0.38</v>
      </c>
      <c r="N59" s="81">
        <f t="shared" si="25"/>
        <v>40.4</v>
      </c>
      <c r="O59" s="81">
        <f t="shared" si="26"/>
        <v>40.820266666666669</v>
      </c>
    </row>
    <row r="60" spans="1:15">
      <c r="A60" s="81">
        <v>37</v>
      </c>
      <c r="B60" s="81" t="s">
        <v>2089</v>
      </c>
      <c r="C60" s="81">
        <v>0.7</v>
      </c>
      <c r="D60" s="81">
        <v>0.5</v>
      </c>
      <c r="E60" s="81">
        <v>0.43</v>
      </c>
      <c r="G60" s="81">
        <f t="shared" si="27"/>
        <v>73.180000000000007</v>
      </c>
      <c r="H60" s="81">
        <f t="shared" si="31"/>
        <v>0.55200000000000005</v>
      </c>
      <c r="I60" s="81">
        <f t="shared" si="29"/>
        <v>1.7200000000000002</v>
      </c>
      <c r="K60" s="81">
        <f t="shared" si="30"/>
        <v>0.38</v>
      </c>
      <c r="N60" s="81">
        <f t="shared" si="25"/>
        <v>54.6</v>
      </c>
      <c r="O60" s="81">
        <f t="shared" si="26"/>
        <v>50.097600000000007</v>
      </c>
    </row>
    <row r="61" spans="1:15">
      <c r="A61" s="81">
        <v>38</v>
      </c>
      <c r="B61" s="81" t="s">
        <v>2090</v>
      </c>
      <c r="C61" s="81">
        <v>0.7</v>
      </c>
      <c r="D61" s="81">
        <v>0.5</v>
      </c>
      <c r="E61" s="81">
        <v>0.42</v>
      </c>
      <c r="G61" s="81">
        <f t="shared" si="27"/>
        <v>72.510000000000005</v>
      </c>
      <c r="H61" s="81">
        <f t="shared" si="31"/>
        <v>0.52800000000000002</v>
      </c>
      <c r="I61" s="81">
        <f t="shared" si="29"/>
        <v>1.6800000000000002</v>
      </c>
      <c r="K61" s="81">
        <f t="shared" si="30"/>
        <v>0.38</v>
      </c>
      <c r="N61" s="81">
        <f t="shared" si="25"/>
        <v>54.6</v>
      </c>
      <c r="O61" s="81">
        <f t="shared" si="26"/>
        <v>50.097600000000007</v>
      </c>
    </row>
    <row r="62" spans="1:15">
      <c r="A62" s="81">
        <v>39</v>
      </c>
      <c r="B62" s="81" t="s">
        <v>2091</v>
      </c>
      <c r="C62" s="81">
        <v>0.7</v>
      </c>
      <c r="D62" s="81">
        <v>0.5</v>
      </c>
      <c r="E62" s="81">
        <v>0.42</v>
      </c>
      <c r="G62" s="81">
        <f t="shared" si="27"/>
        <v>72.510000000000005</v>
      </c>
      <c r="H62" s="81">
        <f t="shared" si="31"/>
        <v>0.52800000000000002</v>
      </c>
      <c r="I62" s="81">
        <f t="shared" si="29"/>
        <v>1.6800000000000002</v>
      </c>
      <c r="K62" s="81">
        <f t="shared" si="30"/>
        <v>0.38</v>
      </c>
      <c r="N62" s="81">
        <f t="shared" si="25"/>
        <v>54.6</v>
      </c>
      <c r="O62" s="81">
        <f t="shared" si="26"/>
        <v>50.097600000000007</v>
      </c>
    </row>
    <row r="63" spans="1:15">
      <c r="A63" s="81">
        <v>40</v>
      </c>
      <c r="B63" s="81" t="s">
        <v>2092</v>
      </c>
      <c r="C63" s="81">
        <v>0.7</v>
      </c>
      <c r="D63" s="81">
        <v>0.5</v>
      </c>
      <c r="E63" s="81">
        <v>0.41</v>
      </c>
      <c r="G63" s="81">
        <f t="shared" si="27"/>
        <v>71.83</v>
      </c>
      <c r="H63" s="81">
        <f t="shared" si="31"/>
        <v>0.50399999999999989</v>
      </c>
      <c r="I63" s="81">
        <f t="shared" si="29"/>
        <v>1.6400000000000001</v>
      </c>
      <c r="K63" s="81">
        <f t="shared" si="30"/>
        <v>0.38</v>
      </c>
      <c r="N63" s="81">
        <f t="shared" si="25"/>
        <v>54.6</v>
      </c>
      <c r="O63" s="81">
        <f t="shared" si="26"/>
        <v>50.097600000000007</v>
      </c>
    </row>
    <row r="64" spans="1:15">
      <c r="A64" s="81">
        <v>41</v>
      </c>
      <c r="B64" s="81" t="s">
        <v>2093</v>
      </c>
      <c r="C64" s="81">
        <v>0.7</v>
      </c>
      <c r="D64" s="81">
        <v>0.5</v>
      </c>
      <c r="E64" s="81">
        <v>0.41</v>
      </c>
      <c r="G64" s="81">
        <f t="shared" si="27"/>
        <v>71.83</v>
      </c>
      <c r="H64" s="81">
        <f t="shared" si="31"/>
        <v>0.50399999999999989</v>
      </c>
      <c r="I64" s="81">
        <f t="shared" si="29"/>
        <v>1.6400000000000001</v>
      </c>
      <c r="K64" s="81">
        <f t="shared" si="30"/>
        <v>0.38</v>
      </c>
      <c r="N64" s="81">
        <f t="shared" si="25"/>
        <v>54.6</v>
      </c>
      <c r="O64" s="81">
        <f t="shared" si="26"/>
        <v>50.097600000000007</v>
      </c>
    </row>
    <row r="65" spans="1:15" ht="13.5">
      <c r="A65" s="81">
        <v>42</v>
      </c>
      <c r="B65" s="81" t="s">
        <v>2094</v>
      </c>
      <c r="C65" s="81">
        <v>0.7</v>
      </c>
      <c r="D65" s="81">
        <v>0.5</v>
      </c>
      <c r="E65" s="293">
        <v>0.65</v>
      </c>
      <c r="F65" s="179" t="s">
        <v>2112</v>
      </c>
      <c r="G65" s="81">
        <f t="shared" si="27"/>
        <v>87.93</v>
      </c>
      <c r="H65" s="81">
        <f t="shared" si="31"/>
        <v>1.08</v>
      </c>
      <c r="I65" s="81">
        <f t="shared" si="29"/>
        <v>2.6</v>
      </c>
      <c r="K65" s="81">
        <f t="shared" si="30"/>
        <v>0.45</v>
      </c>
      <c r="N65" s="81">
        <f t="shared" si="25"/>
        <v>54.6</v>
      </c>
      <c r="O65" s="81">
        <f t="shared" si="26"/>
        <v>50.097600000000007</v>
      </c>
    </row>
    <row r="66" spans="1:15" ht="13.5">
      <c r="A66" s="81">
        <v>43</v>
      </c>
      <c r="B66" s="81" t="s">
        <v>2095</v>
      </c>
      <c r="C66" s="81">
        <v>0.7</v>
      </c>
      <c r="D66" s="81">
        <v>0.5</v>
      </c>
      <c r="E66" s="293">
        <v>0.65</v>
      </c>
      <c r="F66" s="179" t="s">
        <v>2112</v>
      </c>
      <c r="G66" s="81">
        <f t="shared" si="27"/>
        <v>87.93</v>
      </c>
      <c r="H66" s="81">
        <f t="shared" si="31"/>
        <v>1.08</v>
      </c>
      <c r="I66" s="81">
        <f t="shared" si="29"/>
        <v>2.6</v>
      </c>
      <c r="K66" s="81">
        <f t="shared" si="30"/>
        <v>0.45</v>
      </c>
      <c r="N66" s="81">
        <f t="shared" si="25"/>
        <v>54.6</v>
      </c>
      <c r="O66" s="81">
        <f t="shared" si="26"/>
        <v>50.097600000000007</v>
      </c>
    </row>
    <row r="67" spans="1:15">
      <c r="A67" s="81">
        <v>44</v>
      </c>
      <c r="B67" s="81" t="s">
        <v>2096</v>
      </c>
      <c r="C67" s="81">
        <v>0.7</v>
      </c>
      <c r="D67" s="81">
        <v>0.5</v>
      </c>
      <c r="E67" s="81">
        <v>0.85</v>
      </c>
      <c r="F67" s="292"/>
      <c r="G67" s="81">
        <f t="shared" si="27"/>
        <v>101.34</v>
      </c>
      <c r="H67" s="81">
        <f t="shared" si="31"/>
        <v>1.56</v>
      </c>
      <c r="I67" s="81">
        <f t="shared" si="29"/>
        <v>3.4</v>
      </c>
      <c r="K67" s="81">
        <f t="shared" si="30"/>
        <v>0.52</v>
      </c>
      <c r="N67" s="81">
        <f t="shared" si="25"/>
        <v>54.6</v>
      </c>
      <c r="O67" s="81">
        <f t="shared" si="26"/>
        <v>50.097600000000007</v>
      </c>
    </row>
    <row r="68" spans="1:15">
      <c r="A68" s="81">
        <v>45</v>
      </c>
      <c r="B68" s="81" t="s">
        <v>2097</v>
      </c>
      <c r="C68" s="81">
        <v>0.7</v>
      </c>
      <c r="D68" s="81">
        <v>0.5</v>
      </c>
      <c r="E68" s="81">
        <v>0.85</v>
      </c>
      <c r="F68" s="292"/>
      <c r="G68" s="81">
        <f t="shared" si="27"/>
        <v>101.34</v>
      </c>
      <c r="H68" s="81">
        <f t="shared" si="31"/>
        <v>1.56</v>
      </c>
      <c r="I68" s="81">
        <f t="shared" si="29"/>
        <v>3.4</v>
      </c>
      <c r="K68" s="81">
        <f t="shared" si="30"/>
        <v>0.52</v>
      </c>
      <c r="N68" s="81">
        <f t="shared" si="25"/>
        <v>54.6</v>
      </c>
      <c r="O68" s="81">
        <f t="shared" si="26"/>
        <v>50.097600000000007</v>
      </c>
    </row>
    <row r="69" spans="1:15">
      <c r="A69" s="81">
        <v>46</v>
      </c>
      <c r="B69" s="81" t="s">
        <v>2098</v>
      </c>
      <c r="C69" s="81">
        <v>0.7</v>
      </c>
      <c r="D69" s="81">
        <v>0.5</v>
      </c>
      <c r="E69" s="81">
        <v>0.85</v>
      </c>
      <c r="F69" s="292"/>
      <c r="G69" s="81">
        <f t="shared" si="27"/>
        <v>101.34</v>
      </c>
      <c r="H69" s="81">
        <f t="shared" si="31"/>
        <v>1.56</v>
      </c>
      <c r="I69" s="81">
        <f t="shared" si="29"/>
        <v>3.4</v>
      </c>
      <c r="K69" s="81">
        <f t="shared" si="30"/>
        <v>0.52</v>
      </c>
      <c r="N69" s="81">
        <f t="shared" si="25"/>
        <v>54.6</v>
      </c>
      <c r="O69" s="81">
        <f t="shared" si="26"/>
        <v>50.097600000000007</v>
      </c>
    </row>
    <row r="70" spans="1:15">
      <c r="A70" s="81">
        <v>47</v>
      </c>
      <c r="B70" s="81" t="s">
        <v>2099</v>
      </c>
      <c r="C70" s="81">
        <v>0.7</v>
      </c>
      <c r="D70" s="81">
        <v>0.5</v>
      </c>
      <c r="E70" s="81">
        <v>0.85</v>
      </c>
      <c r="F70" s="292"/>
      <c r="G70" s="81">
        <f t="shared" si="27"/>
        <v>101.34</v>
      </c>
      <c r="H70" s="81">
        <f t="shared" si="31"/>
        <v>1.56</v>
      </c>
      <c r="I70" s="81">
        <f t="shared" si="29"/>
        <v>3.4</v>
      </c>
      <c r="K70" s="81">
        <f t="shared" si="30"/>
        <v>0.52</v>
      </c>
      <c r="N70" s="81">
        <f t="shared" si="25"/>
        <v>35.54</v>
      </c>
      <c r="O70" s="81">
        <f t="shared" si="26"/>
        <v>37.639466666666664</v>
      </c>
    </row>
    <row r="71" spans="1:15">
      <c r="A71" s="81">
        <v>48</v>
      </c>
      <c r="B71" s="81" t="s">
        <v>2100</v>
      </c>
      <c r="C71" s="81">
        <v>0.7</v>
      </c>
      <c r="D71" s="81">
        <v>0.5</v>
      </c>
      <c r="E71" s="81">
        <v>0.85</v>
      </c>
      <c r="F71" s="292"/>
      <c r="G71" s="81">
        <f t="shared" si="27"/>
        <v>101.34</v>
      </c>
      <c r="H71" s="81">
        <f t="shared" si="31"/>
        <v>1.56</v>
      </c>
      <c r="I71" s="81">
        <f t="shared" si="29"/>
        <v>3.4</v>
      </c>
      <c r="K71" s="81">
        <f t="shared" si="30"/>
        <v>0.52</v>
      </c>
      <c r="N71" s="81">
        <f t="shared" si="25"/>
        <v>48.11</v>
      </c>
      <c r="O71" s="81">
        <f t="shared" si="26"/>
        <v>45.856533333333338</v>
      </c>
    </row>
    <row r="72" spans="1:15">
      <c r="A72" s="81">
        <v>49</v>
      </c>
      <c r="B72" s="81" t="s">
        <v>2101</v>
      </c>
      <c r="C72" s="81">
        <v>0.7</v>
      </c>
      <c r="D72" s="81">
        <v>0.5</v>
      </c>
      <c r="E72" s="81">
        <v>0.28999999999999998</v>
      </c>
      <c r="F72" s="292"/>
      <c r="G72" s="81">
        <f t="shared" si="27"/>
        <v>63.79</v>
      </c>
      <c r="H72" s="81">
        <f t="shared" si="31"/>
        <v>0.21599999999999997</v>
      </c>
      <c r="I72" s="81">
        <f t="shared" si="29"/>
        <v>1.1599999999999997</v>
      </c>
      <c r="K72" s="81">
        <f t="shared" si="30"/>
        <v>0.34</v>
      </c>
      <c r="N72" s="81">
        <f t="shared" si="25"/>
        <v>35.54</v>
      </c>
      <c r="O72" s="81">
        <f t="shared" si="26"/>
        <v>37.639466666666664</v>
      </c>
    </row>
    <row r="73" spans="1:15">
      <c r="A73" s="81">
        <v>50</v>
      </c>
      <c r="B73" s="81" t="s">
        <v>2102</v>
      </c>
      <c r="C73" s="81">
        <v>0.7</v>
      </c>
      <c r="D73" s="81">
        <v>0.5</v>
      </c>
      <c r="E73" s="81">
        <v>0.28999999999999998</v>
      </c>
      <c r="G73" s="81">
        <f t="shared" si="27"/>
        <v>63.79</v>
      </c>
      <c r="H73" s="81">
        <f t="shared" si="31"/>
        <v>0.21599999999999997</v>
      </c>
      <c r="I73" s="81">
        <f t="shared" si="29"/>
        <v>1.1599999999999997</v>
      </c>
      <c r="K73" s="81">
        <f t="shared" si="30"/>
        <v>0.34</v>
      </c>
      <c r="N73" s="81">
        <f t="shared" si="25"/>
        <v>35.54</v>
      </c>
      <c r="O73" s="81">
        <f t="shared" si="26"/>
        <v>37.639466666666664</v>
      </c>
    </row>
    <row r="74" spans="1:15" ht="13.5">
      <c r="A74" s="81">
        <v>51</v>
      </c>
      <c r="B74" s="81" t="s">
        <v>2103</v>
      </c>
      <c r="C74" s="81">
        <v>0.7</v>
      </c>
      <c r="D74" s="81">
        <v>0.5</v>
      </c>
      <c r="E74" s="573">
        <v>0.7</v>
      </c>
      <c r="F74" s="179" t="s">
        <v>2112</v>
      </c>
      <c r="G74" s="81">
        <f t="shared" si="27"/>
        <v>91.28</v>
      </c>
      <c r="H74" s="81">
        <f t="shared" si="31"/>
        <v>1.2</v>
      </c>
      <c r="I74" s="81">
        <f t="shared" si="29"/>
        <v>2.7999999999999994</v>
      </c>
      <c r="K74" s="81">
        <f t="shared" si="30"/>
        <v>0.47</v>
      </c>
      <c r="N74" s="81">
        <f t="shared" si="25"/>
        <v>35.54</v>
      </c>
      <c r="O74" s="81">
        <f t="shared" si="26"/>
        <v>37.639466666666664</v>
      </c>
    </row>
    <row r="75" spans="1:15" ht="13.5">
      <c r="A75" s="81">
        <v>52</v>
      </c>
      <c r="B75" s="81" t="s">
        <v>2104</v>
      </c>
      <c r="C75" s="81">
        <v>0.7</v>
      </c>
      <c r="D75" s="81">
        <v>0.5</v>
      </c>
      <c r="E75" s="573">
        <v>0.7</v>
      </c>
      <c r="F75" s="179" t="s">
        <v>2112</v>
      </c>
      <c r="G75" s="81">
        <f t="shared" si="27"/>
        <v>91.28</v>
      </c>
      <c r="H75" s="81">
        <f t="shared" si="31"/>
        <v>1.2</v>
      </c>
      <c r="I75" s="81">
        <f t="shared" si="29"/>
        <v>2.7999999999999994</v>
      </c>
      <c r="K75" s="81">
        <f t="shared" si="30"/>
        <v>0.47</v>
      </c>
      <c r="N75" s="81">
        <f t="shared" si="25"/>
        <v>35.54</v>
      </c>
      <c r="O75" s="81">
        <f t="shared" si="26"/>
        <v>37.639466666666664</v>
      </c>
    </row>
    <row r="76" spans="1:15" ht="13.5">
      <c r="A76" s="81">
        <v>53</v>
      </c>
      <c r="B76" s="81" t="s">
        <v>2105</v>
      </c>
      <c r="C76" s="81">
        <v>0.7</v>
      </c>
      <c r="D76" s="81">
        <v>0.5</v>
      </c>
      <c r="E76" s="573">
        <v>0.7</v>
      </c>
      <c r="F76" s="179" t="s">
        <v>2112</v>
      </c>
      <c r="G76" s="81">
        <f t="shared" si="27"/>
        <v>91.28</v>
      </c>
      <c r="H76" s="81">
        <f t="shared" si="31"/>
        <v>1.2</v>
      </c>
      <c r="I76" s="81">
        <f t="shared" si="29"/>
        <v>2.7999999999999994</v>
      </c>
      <c r="K76" s="81">
        <f t="shared" si="30"/>
        <v>0.47</v>
      </c>
      <c r="N76" s="81">
        <f t="shared" si="25"/>
        <v>35.130000000000003</v>
      </c>
      <c r="O76" s="81">
        <f t="shared" si="26"/>
        <v>37.374400000000001</v>
      </c>
    </row>
    <row r="77" spans="1:15">
      <c r="A77" s="81">
        <v>54</v>
      </c>
      <c r="B77" s="570" t="s">
        <v>2111</v>
      </c>
      <c r="C77" s="570">
        <v>0.7</v>
      </c>
      <c r="D77" s="570">
        <v>0.5</v>
      </c>
      <c r="E77" s="570">
        <v>0.85</v>
      </c>
      <c r="F77" s="570"/>
      <c r="G77" s="570">
        <f t="shared" si="27"/>
        <v>101.34</v>
      </c>
      <c r="H77" s="570">
        <f t="shared" si="31"/>
        <v>1.56</v>
      </c>
      <c r="I77" s="570">
        <f t="shared" si="29"/>
        <v>3.4</v>
      </c>
      <c r="K77" s="81">
        <f t="shared" si="30"/>
        <v>0.52</v>
      </c>
      <c r="N77" s="81">
        <f t="shared" si="25"/>
        <v>35.130000000000003</v>
      </c>
      <c r="O77" s="81">
        <f t="shared" si="26"/>
        <v>37.374400000000001</v>
      </c>
    </row>
    <row r="78" spans="1:15">
      <c r="A78" s="81">
        <v>55</v>
      </c>
      <c r="B78" s="570" t="s">
        <v>2106</v>
      </c>
      <c r="C78" s="570">
        <v>0.7</v>
      </c>
      <c r="D78" s="570">
        <v>0.5</v>
      </c>
      <c r="E78" s="570">
        <v>1.05</v>
      </c>
      <c r="F78" s="570"/>
      <c r="G78" s="570">
        <f t="shared" si="27"/>
        <v>114.76</v>
      </c>
      <c r="H78" s="570">
        <f t="shared" si="31"/>
        <v>2.04</v>
      </c>
      <c r="I78" s="570">
        <f t="shared" si="29"/>
        <v>4.1999999999999993</v>
      </c>
      <c r="K78" s="81">
        <f t="shared" si="30"/>
        <v>0.57999999999999996</v>
      </c>
      <c r="N78" s="81">
        <f t="shared" si="25"/>
        <v>34.729999999999997</v>
      </c>
      <c r="O78" s="81">
        <f t="shared" si="26"/>
        <v>37.109333333333332</v>
      </c>
    </row>
    <row r="79" spans="1:15">
      <c r="A79" s="81">
        <v>56</v>
      </c>
      <c r="B79" s="570" t="s">
        <v>2107</v>
      </c>
      <c r="C79" s="570">
        <v>0.7</v>
      </c>
      <c r="D79" s="570">
        <v>0.5</v>
      </c>
      <c r="E79" s="570">
        <v>0.9</v>
      </c>
      <c r="F79" s="570"/>
      <c r="G79" s="570">
        <f t="shared" si="27"/>
        <v>104.7</v>
      </c>
      <c r="H79" s="570">
        <f t="shared" si="31"/>
        <v>1.6800000000000002</v>
      </c>
      <c r="I79" s="570">
        <f t="shared" si="29"/>
        <v>3.6</v>
      </c>
      <c r="K79" s="81">
        <f t="shared" si="30"/>
        <v>0.53</v>
      </c>
      <c r="N79" s="81">
        <f t="shared" si="25"/>
        <v>34.729999999999997</v>
      </c>
      <c r="O79" s="81">
        <f t="shared" si="26"/>
        <v>37.109333333333332</v>
      </c>
    </row>
    <row r="80" spans="1:15">
      <c r="A80" s="81">
        <v>57</v>
      </c>
      <c r="B80" s="81" t="s">
        <v>2108</v>
      </c>
      <c r="C80" s="81">
        <v>0.7</v>
      </c>
      <c r="D80" s="81">
        <v>0.5</v>
      </c>
      <c r="E80" s="81">
        <v>0.55000000000000004</v>
      </c>
      <c r="G80" s="81">
        <f t="shared" si="27"/>
        <v>81.22</v>
      </c>
      <c r="H80" s="81">
        <f t="shared" si="31"/>
        <v>0.84000000000000008</v>
      </c>
      <c r="I80" s="81">
        <f t="shared" si="29"/>
        <v>2.1999999999999997</v>
      </c>
      <c r="K80" s="81">
        <f t="shared" si="30"/>
        <v>0.42</v>
      </c>
      <c r="N80" s="81">
        <f t="shared" si="25"/>
        <v>44.46</v>
      </c>
      <c r="O80" s="81">
        <f t="shared" si="26"/>
        <v>43.470933333333335</v>
      </c>
    </row>
    <row r="81" spans="1:15">
      <c r="A81" s="81">
        <v>58</v>
      </c>
      <c r="B81" s="81" t="s">
        <v>2109</v>
      </c>
      <c r="C81" s="81">
        <v>0.7</v>
      </c>
      <c r="D81" s="81">
        <v>0.5</v>
      </c>
      <c r="E81" s="81">
        <v>0.65</v>
      </c>
      <c r="G81" s="81">
        <f t="shared" si="27"/>
        <v>87.93</v>
      </c>
      <c r="H81" s="81">
        <f t="shared" si="31"/>
        <v>1.08</v>
      </c>
      <c r="I81" s="81">
        <f t="shared" si="29"/>
        <v>2.6</v>
      </c>
      <c r="K81" s="81">
        <f t="shared" si="30"/>
        <v>0.45</v>
      </c>
      <c r="N81" s="81">
        <f t="shared" si="25"/>
        <v>44.46</v>
      </c>
      <c r="O81" s="81">
        <f t="shared" si="26"/>
        <v>43.470933333333335</v>
      </c>
    </row>
    <row r="82" spans="1:15">
      <c r="A82" s="81">
        <v>59</v>
      </c>
      <c r="B82" s="81" t="s">
        <v>2110</v>
      </c>
      <c r="C82" s="81">
        <v>0.7</v>
      </c>
      <c r="D82" s="81">
        <v>0.5</v>
      </c>
      <c r="E82" s="81">
        <v>0.55000000000000004</v>
      </c>
      <c r="G82" s="81">
        <f t="shared" si="27"/>
        <v>81.22</v>
      </c>
      <c r="H82" s="81">
        <f t="shared" si="31"/>
        <v>0.84000000000000008</v>
      </c>
      <c r="I82" s="81">
        <f t="shared" si="29"/>
        <v>2.1999999999999997</v>
      </c>
      <c r="K82" s="81">
        <f t="shared" si="30"/>
        <v>0.42</v>
      </c>
      <c r="N82" s="81">
        <f t="shared" si="25"/>
        <v>52.57</v>
      </c>
      <c r="O82" s="81">
        <f t="shared" si="26"/>
        <v>48.772266666666667</v>
      </c>
    </row>
    <row r="83" spans="1:15" ht="13.5">
      <c r="F83" s="179" t="s">
        <v>142</v>
      </c>
      <c r="G83" s="81">
        <f>SUM(G24:G82)</f>
        <v>5250.1299999999992</v>
      </c>
      <c r="H83" s="81">
        <f t="shared" ref="H83:I83" si="32">SUM(H24:H82)</f>
        <v>70.080000000000027</v>
      </c>
      <c r="I83" s="81">
        <f t="shared" si="32"/>
        <v>162.39999999999995</v>
      </c>
      <c r="K83" s="81">
        <f>SUM(K24:K82)</f>
        <v>26.909999999999986</v>
      </c>
      <c r="N83" s="81">
        <f t="shared" si="25"/>
        <v>52.57</v>
      </c>
      <c r="O83" s="81">
        <f t="shared" si="26"/>
        <v>48.772266666666667</v>
      </c>
    </row>
    <row r="84" spans="1:15">
      <c r="N84" s="81">
        <f t="shared" si="25"/>
        <v>52.57</v>
      </c>
      <c r="O84" s="81">
        <f t="shared" si="26"/>
        <v>48.772266666666667</v>
      </c>
    </row>
    <row r="85" spans="1:15">
      <c r="N85" s="81">
        <f t="shared" ref="N85:N96" si="33">ROUND(((E70*2+0.8)*7+(E70*2+1)*6)*1.56,2)</f>
        <v>52.57</v>
      </c>
      <c r="O85" s="81">
        <f t="shared" si="26"/>
        <v>48.772266666666667</v>
      </c>
    </row>
    <row r="86" spans="1:15">
      <c r="N86" s="81">
        <f t="shared" si="33"/>
        <v>52.57</v>
      </c>
      <c r="O86" s="81">
        <f t="shared" si="26"/>
        <v>48.772266666666667</v>
      </c>
    </row>
    <row r="87" spans="1:15">
      <c r="N87" s="81">
        <f t="shared" si="33"/>
        <v>29.86</v>
      </c>
      <c r="O87" s="81">
        <f t="shared" si="26"/>
        <v>33.928533333333341</v>
      </c>
    </row>
    <row r="88" spans="1:15">
      <c r="F88" s="81" t="s">
        <v>2144</v>
      </c>
      <c r="G88" s="81" t="s">
        <v>2145</v>
      </c>
      <c r="N88" s="81">
        <f t="shared" si="33"/>
        <v>29.86</v>
      </c>
      <c r="O88" s="81">
        <f t="shared" si="26"/>
        <v>33.928533333333341</v>
      </c>
    </row>
    <row r="89" spans="1:15">
      <c r="C89" s="81" t="s">
        <v>1801</v>
      </c>
      <c r="D89" s="81" t="s">
        <v>2146</v>
      </c>
      <c r="E89" s="81" t="s">
        <v>2147</v>
      </c>
      <c r="F89" s="81" t="s">
        <v>2148</v>
      </c>
      <c r="G89" s="81" t="s">
        <v>2149</v>
      </c>
      <c r="H89" s="81" t="s">
        <v>2150</v>
      </c>
      <c r="I89" s="81" t="s">
        <v>2151</v>
      </c>
      <c r="N89" s="81">
        <f t="shared" si="33"/>
        <v>46.49</v>
      </c>
      <c r="O89" s="81">
        <f t="shared" si="26"/>
        <v>44.796266666666668</v>
      </c>
    </row>
    <row r="90" spans="1:15">
      <c r="B90" s="81" t="s">
        <v>2152</v>
      </c>
      <c r="C90" s="81">
        <f>N12</f>
        <v>731.4</v>
      </c>
      <c r="D90" s="81">
        <f t="shared" ref="D90:I90" si="34">O12</f>
        <v>22279.3</v>
      </c>
      <c r="E90" s="81">
        <f t="shared" si="34"/>
        <v>19337.39</v>
      </c>
      <c r="F90" s="81">
        <f t="shared" si="34"/>
        <v>819.75</v>
      </c>
      <c r="G90" s="81">
        <f t="shared" si="34"/>
        <v>1046.3800000000001</v>
      </c>
      <c r="H90" s="81">
        <f t="shared" si="34"/>
        <v>438.84000000000003</v>
      </c>
      <c r="I90" s="81">
        <f t="shared" si="34"/>
        <v>467.51</v>
      </c>
      <c r="N90" s="81">
        <f t="shared" si="33"/>
        <v>46.49</v>
      </c>
      <c r="O90" s="81">
        <f t="shared" si="26"/>
        <v>44.796266666666668</v>
      </c>
    </row>
    <row r="91" spans="1:15" ht="13.5">
      <c r="B91" s="179" t="s">
        <v>2154</v>
      </c>
      <c r="D91" s="81">
        <f>G83</f>
        <v>5250.1299999999992</v>
      </c>
      <c r="F91" s="81">
        <f>H83</f>
        <v>70.080000000000027</v>
      </c>
      <c r="G91" s="81">
        <f>I83</f>
        <v>162.39999999999995</v>
      </c>
      <c r="I91" s="81">
        <f>K83</f>
        <v>26.909999999999986</v>
      </c>
      <c r="N91" s="81">
        <f t="shared" si="33"/>
        <v>46.49</v>
      </c>
      <c r="O91" s="81">
        <f t="shared" si="26"/>
        <v>44.796266666666668</v>
      </c>
    </row>
    <row r="92" spans="1:15" ht="13.5">
      <c r="B92" s="81" t="s">
        <v>2155</v>
      </c>
      <c r="D92" s="720">
        <f>D90+E90+D91</f>
        <v>46866.82</v>
      </c>
      <c r="E92" s="720"/>
      <c r="F92" s="81">
        <f>F90+F91</f>
        <v>889.83</v>
      </c>
      <c r="G92" s="81">
        <f t="shared" ref="G92:I92" si="35">G90+G91</f>
        <v>1208.78</v>
      </c>
      <c r="H92" s="81">
        <f t="shared" si="35"/>
        <v>438.84000000000003</v>
      </c>
      <c r="I92" s="81">
        <f t="shared" si="35"/>
        <v>494.41999999999996</v>
      </c>
      <c r="N92" s="81">
        <f t="shared" si="33"/>
        <v>52.57</v>
      </c>
      <c r="O92" s="81">
        <f t="shared" si="26"/>
        <v>48.772266666666667</v>
      </c>
    </row>
    <row r="93" spans="1:15" ht="13.5">
      <c r="A93" s="81" t="s">
        <v>2152</v>
      </c>
      <c r="B93" s="279" t="s">
        <v>2422</v>
      </c>
      <c r="C93" s="278" t="s">
        <v>2418</v>
      </c>
      <c r="D93" s="81">
        <f>'數量計算(FOR4變)'!H387*3.2</f>
        <v>1496.0320000000002</v>
      </c>
      <c r="E93" s="401">
        <f>D90+E90+D93</f>
        <v>43112.722000000002</v>
      </c>
      <c r="F93" s="402" t="s">
        <v>2430</v>
      </c>
      <c r="N93" s="81">
        <f t="shared" si="33"/>
        <v>60.68</v>
      </c>
      <c r="O93" s="81">
        <f t="shared" si="26"/>
        <v>54.073600000000006</v>
      </c>
    </row>
    <row r="94" spans="1:15" ht="13.5">
      <c r="A94" s="179" t="s">
        <v>2154</v>
      </c>
      <c r="B94" s="279" t="s">
        <v>2422</v>
      </c>
      <c r="C94" s="278" t="s">
        <v>2418</v>
      </c>
      <c r="D94" s="81">
        <f>'數量計算(FOR4變)'!H388*3.2</f>
        <v>86.111999999999966</v>
      </c>
      <c r="E94" s="401">
        <f>D91+D94</f>
        <v>5336.2419999999993</v>
      </c>
      <c r="N94" s="81">
        <f t="shared" si="33"/>
        <v>54.6</v>
      </c>
      <c r="O94" s="81">
        <f t="shared" si="26"/>
        <v>50.097600000000007</v>
      </c>
    </row>
    <row r="95" spans="1:15">
      <c r="N95" s="81">
        <f t="shared" si="33"/>
        <v>40.4</v>
      </c>
      <c r="O95" s="81">
        <f t="shared" si="26"/>
        <v>40.820266666666669</v>
      </c>
    </row>
    <row r="96" spans="1:15">
      <c r="N96" s="81">
        <f t="shared" si="33"/>
        <v>44.46</v>
      </c>
      <c r="O96" s="81">
        <f t="shared" si="26"/>
        <v>43.470933333333335</v>
      </c>
    </row>
    <row r="97" spans="13:15">
      <c r="N97" s="81">
        <f t="shared" ref="N97" si="36">ROUND(((E82*2+0.8)*7+(E82*2+1)*6)*1.56,2)</f>
        <v>40.4</v>
      </c>
      <c r="O97" s="81">
        <f t="shared" si="26"/>
        <v>40.820266666666669</v>
      </c>
    </row>
    <row r="98" spans="13:15" ht="13.5">
      <c r="M98" s="179" t="s">
        <v>2116</v>
      </c>
      <c r="N98" s="81">
        <f>SUM(N39:N97)</f>
        <v>2678.2099999999991</v>
      </c>
      <c r="O98" s="81">
        <f>SUM(O39:O97)</f>
        <v>2571.9418666666679</v>
      </c>
    </row>
    <row r="99" spans="13:15" ht="13.5">
      <c r="M99" s="179" t="s">
        <v>142</v>
      </c>
      <c r="N99" s="81">
        <f>N37+N98</f>
        <v>15842.49</v>
      </c>
      <c r="O99" s="81">
        <f>O37+O98</f>
        <v>31024.35162666667</v>
      </c>
    </row>
  </sheetData>
  <mergeCells count="2">
    <mergeCell ref="O13:P13"/>
    <mergeCell ref="D92:E9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B75A-87CD-418A-ABB0-671074B0A791}">
  <dimension ref="A1:I881"/>
  <sheetViews>
    <sheetView workbookViewId="0">
      <selection activeCell="I18" sqref="I18"/>
    </sheetView>
  </sheetViews>
  <sheetFormatPr defaultRowHeight="12.75"/>
  <cols>
    <col min="1" max="1" width="11" bestFit="1" customWidth="1"/>
    <col min="6" max="6" width="10.28515625" customWidth="1"/>
    <col min="7" max="8" width="11.42578125" customWidth="1"/>
    <col min="9" max="9" width="11.5703125" customWidth="1"/>
  </cols>
  <sheetData>
    <row r="1" spans="1:9" ht="14.25">
      <c r="A1" s="583" t="s">
        <v>2766</v>
      </c>
      <c r="B1" s="318" t="s">
        <v>2183</v>
      </c>
      <c r="C1" s="318" t="s">
        <v>2184</v>
      </c>
      <c r="D1" s="318" t="s">
        <v>2185</v>
      </c>
      <c r="E1" s="318" t="s">
        <v>2727</v>
      </c>
      <c r="F1" s="318" t="s">
        <v>2728</v>
      </c>
      <c r="G1" s="318" t="s">
        <v>2729</v>
      </c>
      <c r="H1" s="318" t="s">
        <v>2730</v>
      </c>
      <c r="I1" s="318" t="s">
        <v>2731</v>
      </c>
    </row>
    <row r="2" spans="1:9" ht="13.5">
      <c r="A2" s="20" t="s">
        <v>2770</v>
      </c>
      <c r="B2">
        <v>56.2</v>
      </c>
      <c r="C2">
        <v>294</v>
      </c>
      <c r="D2">
        <v>616</v>
      </c>
      <c r="E2">
        <v>820.1</v>
      </c>
      <c r="F2">
        <v>909.7</v>
      </c>
      <c r="G2">
        <v>849.7</v>
      </c>
      <c r="H2">
        <v>722.2</v>
      </c>
      <c r="I2">
        <v>710</v>
      </c>
    </row>
    <row r="3" spans="1:9" ht="13.5">
      <c r="A3" s="20" t="s">
        <v>2771</v>
      </c>
      <c r="B3">
        <v>1789.2</v>
      </c>
      <c r="C3">
        <v>1325.9</v>
      </c>
      <c r="D3">
        <v>690.7</v>
      </c>
      <c r="E3">
        <v>288.5</v>
      </c>
      <c r="F3">
        <v>111.7</v>
      </c>
      <c r="G3">
        <v>229.4</v>
      </c>
      <c r="H3">
        <v>480.9</v>
      </c>
      <c r="I3">
        <v>606.5</v>
      </c>
    </row>
    <row r="4" spans="1:9" ht="13.5">
      <c r="A4" s="20" t="s">
        <v>2772</v>
      </c>
      <c r="B4">
        <v>540</v>
      </c>
      <c r="C4">
        <v>540</v>
      </c>
      <c r="D4">
        <v>540</v>
      </c>
      <c r="E4">
        <v>540</v>
      </c>
      <c r="F4">
        <v>540</v>
      </c>
      <c r="G4">
        <v>540</v>
      </c>
      <c r="H4">
        <v>540</v>
      </c>
      <c r="I4">
        <v>540</v>
      </c>
    </row>
    <row r="5" spans="1:9" ht="13.5">
      <c r="A5" s="582" t="s">
        <v>142</v>
      </c>
      <c r="B5">
        <f>SUM(B2:B4)</f>
        <v>2385.4</v>
      </c>
      <c r="C5">
        <f t="shared" ref="C5:I5" si="0">SUM(C2:C4)</f>
        <v>2159.9</v>
      </c>
      <c r="D5">
        <f t="shared" si="0"/>
        <v>1846.7</v>
      </c>
      <c r="E5">
        <f t="shared" si="0"/>
        <v>1648.6</v>
      </c>
      <c r="F5">
        <f t="shared" si="0"/>
        <v>1561.4</v>
      </c>
      <c r="G5">
        <f t="shared" si="0"/>
        <v>1619.1000000000001</v>
      </c>
      <c r="H5">
        <f t="shared" si="0"/>
        <v>1743.1</v>
      </c>
      <c r="I5">
        <f t="shared" si="0"/>
        <v>1856.5</v>
      </c>
    </row>
    <row r="6" spans="1:9">
      <c r="A6" s="20"/>
    </row>
    <row r="7" spans="1:9">
      <c r="A7" s="20"/>
    </row>
    <row r="8" spans="1:9" ht="13.5">
      <c r="A8" s="581" t="s">
        <v>2767</v>
      </c>
    </row>
    <row r="9" spans="1:9" ht="13.5">
      <c r="A9" s="20"/>
      <c r="B9" s="551" t="s">
        <v>2735</v>
      </c>
      <c r="C9" s="551" t="s">
        <v>2736</v>
      </c>
      <c r="D9" s="551" t="s">
        <v>2737</v>
      </c>
      <c r="E9" s="551" t="s">
        <v>2738</v>
      </c>
      <c r="F9" s="550" t="s">
        <v>2732</v>
      </c>
      <c r="G9" s="550" t="s">
        <v>2774</v>
      </c>
      <c r="H9" s="550" t="s">
        <v>2733</v>
      </c>
    </row>
    <row r="10" spans="1:9">
      <c r="A10" s="318" t="s">
        <v>2183</v>
      </c>
      <c r="B10">
        <v>56.2</v>
      </c>
      <c r="C10">
        <v>1789.2</v>
      </c>
      <c r="D10">
        <v>540</v>
      </c>
      <c r="E10">
        <f t="shared" ref="E10:E17" si="1">SUM(B10:D10)</f>
        <v>2385.4</v>
      </c>
      <c r="H10">
        <f>2190/(1.525*6.096)</f>
        <v>235.57506131405705</v>
      </c>
      <c r="I10">
        <f>ROUND(F10*G10*H10,2)</f>
        <v>0</v>
      </c>
    </row>
    <row r="11" spans="1:9">
      <c r="A11" s="318" t="s">
        <v>2184</v>
      </c>
      <c r="B11">
        <v>294</v>
      </c>
      <c r="C11">
        <v>1325.9</v>
      </c>
      <c r="D11">
        <v>540</v>
      </c>
      <c r="E11">
        <f t="shared" si="1"/>
        <v>2159.9</v>
      </c>
      <c r="F11">
        <v>3.6</v>
      </c>
      <c r="G11">
        <f t="shared" ref="G11:G17" si="2">ROUND((E10+E11)/2/1000,2)</f>
        <v>2.27</v>
      </c>
      <c r="H11">
        <f t="shared" ref="H11:H17" si="3">2190/(1.525*6.096)</f>
        <v>235.57506131405705</v>
      </c>
      <c r="I11">
        <f t="shared" ref="I11:I17" si="4">ROUND(F11*G11*H11,2)</f>
        <v>1925.12</v>
      </c>
    </row>
    <row r="12" spans="1:9">
      <c r="A12" s="318" t="s">
        <v>2185</v>
      </c>
      <c r="B12">
        <v>616</v>
      </c>
      <c r="C12">
        <v>690.7</v>
      </c>
      <c r="D12">
        <v>540</v>
      </c>
      <c r="E12">
        <f t="shared" si="1"/>
        <v>1846.7</v>
      </c>
      <c r="F12">
        <v>5.9</v>
      </c>
      <c r="G12">
        <f t="shared" si="2"/>
        <v>2</v>
      </c>
      <c r="H12">
        <f t="shared" si="3"/>
        <v>235.57506131405705</v>
      </c>
      <c r="I12">
        <f t="shared" si="4"/>
        <v>2779.79</v>
      </c>
    </row>
    <row r="13" spans="1:9">
      <c r="A13" s="318" t="s">
        <v>2727</v>
      </c>
      <c r="B13">
        <v>820.1</v>
      </c>
      <c r="C13">
        <v>288.5</v>
      </c>
      <c r="D13">
        <v>540</v>
      </c>
      <c r="E13">
        <f t="shared" si="1"/>
        <v>1648.6</v>
      </c>
      <c r="F13">
        <v>6.8</v>
      </c>
      <c r="G13">
        <f t="shared" si="2"/>
        <v>1.75</v>
      </c>
      <c r="H13">
        <f t="shared" si="3"/>
        <v>235.57506131405705</v>
      </c>
      <c r="I13">
        <f t="shared" si="4"/>
        <v>2803.34</v>
      </c>
    </row>
    <row r="14" spans="1:9">
      <c r="A14" s="318" t="s">
        <v>2728</v>
      </c>
      <c r="B14">
        <v>909.7</v>
      </c>
      <c r="C14">
        <v>111.7</v>
      </c>
      <c r="D14">
        <v>540</v>
      </c>
      <c r="E14">
        <f t="shared" si="1"/>
        <v>1561.4</v>
      </c>
      <c r="F14">
        <v>4</v>
      </c>
      <c r="G14">
        <f t="shared" si="2"/>
        <v>1.61</v>
      </c>
      <c r="H14">
        <f t="shared" si="3"/>
        <v>235.57506131405705</v>
      </c>
      <c r="I14">
        <f t="shared" si="4"/>
        <v>1517.1</v>
      </c>
    </row>
    <row r="15" spans="1:9">
      <c r="A15" s="318" t="s">
        <v>2729</v>
      </c>
      <c r="B15">
        <v>849.7</v>
      </c>
      <c r="C15">
        <v>229.4</v>
      </c>
      <c r="D15">
        <v>540</v>
      </c>
      <c r="E15">
        <f t="shared" si="1"/>
        <v>1619.1000000000001</v>
      </c>
      <c r="F15">
        <v>2.2000000000000002</v>
      </c>
      <c r="G15">
        <f t="shared" si="2"/>
        <v>1.59</v>
      </c>
      <c r="H15">
        <f t="shared" si="3"/>
        <v>235.57506131405705</v>
      </c>
      <c r="I15">
        <f t="shared" si="4"/>
        <v>824.04</v>
      </c>
    </row>
    <row r="16" spans="1:9">
      <c r="A16" s="318" t="s">
        <v>2730</v>
      </c>
      <c r="B16">
        <v>722.2</v>
      </c>
      <c r="C16">
        <v>480.9</v>
      </c>
      <c r="D16">
        <v>540</v>
      </c>
      <c r="E16">
        <f t="shared" si="1"/>
        <v>1743.1</v>
      </c>
      <c r="F16">
        <v>6.5</v>
      </c>
      <c r="G16">
        <f t="shared" si="2"/>
        <v>1.68</v>
      </c>
      <c r="H16">
        <f t="shared" si="3"/>
        <v>235.57506131405705</v>
      </c>
      <c r="I16">
        <f t="shared" si="4"/>
        <v>2572.48</v>
      </c>
    </row>
    <row r="17" spans="1:9">
      <c r="A17" s="318" t="s">
        <v>2731</v>
      </c>
      <c r="B17">
        <v>710</v>
      </c>
      <c r="C17">
        <v>606.5</v>
      </c>
      <c r="D17">
        <v>540</v>
      </c>
      <c r="E17">
        <f t="shared" si="1"/>
        <v>1856.5</v>
      </c>
      <c r="F17">
        <v>3.6</v>
      </c>
      <c r="G17">
        <f t="shared" si="2"/>
        <v>1.8</v>
      </c>
      <c r="H17">
        <f t="shared" si="3"/>
        <v>235.57506131405705</v>
      </c>
      <c r="I17">
        <f t="shared" si="4"/>
        <v>1526.53</v>
      </c>
    </row>
    <row r="18" spans="1:9">
      <c r="A18" s="20"/>
      <c r="I18" s="625">
        <f>SUM(I10:I17)</f>
        <v>13948.4</v>
      </c>
    </row>
    <row r="19" spans="1:9">
      <c r="A19" s="20"/>
    </row>
    <row r="20" spans="1:9" ht="13.5">
      <c r="A20" s="581" t="s">
        <v>2768</v>
      </c>
      <c r="B20" s="318" t="s">
        <v>2183</v>
      </c>
      <c r="C20" s="318" t="s">
        <v>2184</v>
      </c>
      <c r="D20" s="318" t="s">
        <v>2185</v>
      </c>
      <c r="E20" s="318" t="s">
        <v>2727</v>
      </c>
      <c r="F20" s="318" t="s">
        <v>2728</v>
      </c>
      <c r="G20" s="318" t="s">
        <v>2729</v>
      </c>
      <c r="H20" s="318" t="s">
        <v>2730</v>
      </c>
      <c r="I20" s="318" t="s">
        <v>2731</v>
      </c>
    </row>
    <row r="21" spans="1:9" ht="13.5">
      <c r="A21" s="20" t="s">
        <v>2770</v>
      </c>
      <c r="B21">
        <v>537.5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537.5</v>
      </c>
    </row>
    <row r="22" spans="1:9" ht="13.5">
      <c r="A22" s="20" t="s">
        <v>2771</v>
      </c>
      <c r="B22">
        <v>137.9</v>
      </c>
      <c r="C22">
        <v>756</v>
      </c>
      <c r="D22">
        <v>756</v>
      </c>
      <c r="E22">
        <v>756</v>
      </c>
      <c r="F22">
        <v>756</v>
      </c>
      <c r="G22">
        <v>756</v>
      </c>
      <c r="H22">
        <v>756</v>
      </c>
      <c r="I22">
        <v>137.9</v>
      </c>
    </row>
    <row r="23" spans="1:9" ht="13.5">
      <c r="A23" s="582" t="s">
        <v>142</v>
      </c>
      <c r="B23">
        <f>B21+B22</f>
        <v>675.4</v>
      </c>
      <c r="C23">
        <f t="shared" ref="C23:I23" si="5">C21+C22</f>
        <v>756</v>
      </c>
      <c r="D23">
        <f t="shared" si="5"/>
        <v>756</v>
      </c>
      <c r="E23">
        <f t="shared" si="5"/>
        <v>756</v>
      </c>
      <c r="F23">
        <f t="shared" si="5"/>
        <v>756</v>
      </c>
      <c r="G23">
        <f t="shared" si="5"/>
        <v>756</v>
      </c>
      <c r="H23">
        <f t="shared" si="5"/>
        <v>756</v>
      </c>
      <c r="I23">
        <f t="shared" si="5"/>
        <v>675.4</v>
      </c>
    </row>
    <row r="24" spans="1:9">
      <c r="A24" s="20"/>
    </row>
    <row r="25" spans="1:9">
      <c r="A25" s="20"/>
    </row>
    <row r="26" spans="1:9" ht="13.5">
      <c r="A26" s="20"/>
      <c r="G26" t="s">
        <v>2776</v>
      </c>
    </row>
    <row r="27" spans="1:9" ht="13.5">
      <c r="A27" s="582" t="s">
        <v>2769</v>
      </c>
      <c r="B27" s="551" t="s">
        <v>2735</v>
      </c>
      <c r="C27" s="551" t="s">
        <v>2736</v>
      </c>
      <c r="D27" t="s">
        <v>2773</v>
      </c>
      <c r="E27" s="550" t="s">
        <v>2775</v>
      </c>
      <c r="F27" s="550" t="s">
        <v>2734</v>
      </c>
      <c r="G27" s="584" t="s">
        <v>1798</v>
      </c>
    </row>
    <row r="28" spans="1:9">
      <c r="A28" s="318" t="s">
        <v>2183</v>
      </c>
      <c r="B28">
        <v>537.5</v>
      </c>
      <c r="C28">
        <v>137.9</v>
      </c>
      <c r="D28">
        <f>B28+C28</f>
        <v>675.4</v>
      </c>
      <c r="G28">
        <f>ROUND(F28*6*0.00793*E28,2)</f>
        <v>0</v>
      </c>
    </row>
    <row r="29" spans="1:9">
      <c r="A29" s="318" t="s">
        <v>2184</v>
      </c>
      <c r="B29">
        <v>0</v>
      </c>
      <c r="C29">
        <v>756</v>
      </c>
      <c r="D29">
        <f t="shared" ref="D29:D35" si="6">B29+C29</f>
        <v>756</v>
      </c>
      <c r="E29">
        <f>3.6*1000</f>
        <v>3600</v>
      </c>
      <c r="F29">
        <f>ROUND((D28+D29)/2,2)</f>
        <v>715.7</v>
      </c>
      <c r="G29">
        <f>ROUND(F29*6*0.00793*E29/1000,2)</f>
        <v>122.59</v>
      </c>
    </row>
    <row r="30" spans="1:9">
      <c r="A30" s="318" t="s">
        <v>2185</v>
      </c>
      <c r="B30">
        <v>0</v>
      </c>
      <c r="C30">
        <v>756</v>
      </c>
      <c r="D30">
        <f t="shared" si="6"/>
        <v>756</v>
      </c>
      <c r="E30">
        <f>5.9*1000</f>
        <v>5900</v>
      </c>
      <c r="F30">
        <f t="shared" ref="F30:F35" si="7">ROUND((D29+D30)/2,2)</f>
        <v>756</v>
      </c>
      <c r="G30">
        <f t="shared" ref="G30:G35" si="8">ROUND(F30*6*0.00793*E30/1000,2)</f>
        <v>212.23</v>
      </c>
    </row>
    <row r="31" spans="1:9">
      <c r="A31" s="318" t="s">
        <v>2727</v>
      </c>
      <c r="B31">
        <v>0</v>
      </c>
      <c r="C31">
        <v>756</v>
      </c>
      <c r="D31">
        <f t="shared" si="6"/>
        <v>756</v>
      </c>
      <c r="E31">
        <f>6.8*1000</f>
        <v>6800</v>
      </c>
      <c r="F31">
        <f t="shared" si="7"/>
        <v>756</v>
      </c>
      <c r="G31">
        <f t="shared" si="8"/>
        <v>244.6</v>
      </c>
    </row>
    <row r="32" spans="1:9">
      <c r="A32" s="318" t="s">
        <v>2728</v>
      </c>
      <c r="B32">
        <v>0</v>
      </c>
      <c r="C32">
        <v>756</v>
      </c>
      <c r="D32">
        <f t="shared" si="6"/>
        <v>756</v>
      </c>
      <c r="E32">
        <f>4*1000</f>
        <v>4000</v>
      </c>
      <c r="F32">
        <f t="shared" si="7"/>
        <v>756</v>
      </c>
      <c r="G32">
        <f t="shared" si="8"/>
        <v>143.88</v>
      </c>
    </row>
    <row r="33" spans="1:7">
      <c r="A33" s="318" t="s">
        <v>2729</v>
      </c>
      <c r="B33">
        <v>0</v>
      </c>
      <c r="C33">
        <v>756</v>
      </c>
      <c r="D33">
        <f t="shared" si="6"/>
        <v>756</v>
      </c>
      <c r="E33">
        <f>2.2*1000</f>
        <v>2200</v>
      </c>
      <c r="F33">
        <f t="shared" si="7"/>
        <v>756</v>
      </c>
      <c r="G33">
        <f t="shared" si="8"/>
        <v>79.14</v>
      </c>
    </row>
    <row r="34" spans="1:7">
      <c r="A34" s="318" t="s">
        <v>2730</v>
      </c>
      <c r="B34">
        <v>0</v>
      </c>
      <c r="C34">
        <v>756</v>
      </c>
      <c r="D34">
        <f t="shared" si="6"/>
        <v>756</v>
      </c>
      <c r="E34">
        <f>6.5*1000</f>
        <v>6500</v>
      </c>
      <c r="F34">
        <f t="shared" si="7"/>
        <v>756</v>
      </c>
      <c r="G34">
        <f t="shared" si="8"/>
        <v>233.81</v>
      </c>
    </row>
    <row r="35" spans="1:7">
      <c r="A35" s="318" t="s">
        <v>2731</v>
      </c>
      <c r="B35">
        <v>537.5</v>
      </c>
      <c r="C35">
        <v>137.9</v>
      </c>
      <c r="D35">
        <f t="shared" si="6"/>
        <v>675.4</v>
      </c>
      <c r="E35">
        <f>3.6*1000</f>
        <v>3600</v>
      </c>
      <c r="F35">
        <f t="shared" si="7"/>
        <v>715.7</v>
      </c>
      <c r="G35">
        <f t="shared" si="8"/>
        <v>122.59</v>
      </c>
    </row>
    <row r="36" spans="1:7" ht="13.5">
      <c r="A36" s="582" t="s">
        <v>142</v>
      </c>
      <c r="G36" s="625">
        <f>SUM(G28:G35)</f>
        <v>1158.8399999999999</v>
      </c>
    </row>
    <row r="37" spans="1:7">
      <c r="A37" s="20"/>
    </row>
    <row r="38" spans="1:7">
      <c r="A38" s="20"/>
    </row>
    <row r="39" spans="1:7">
      <c r="A39" s="20"/>
    </row>
    <row r="40" spans="1:7">
      <c r="A40" s="20"/>
    </row>
    <row r="41" spans="1:7">
      <c r="A41" s="20"/>
    </row>
    <row r="42" spans="1:7">
      <c r="A42" s="20"/>
    </row>
    <row r="43" spans="1:7">
      <c r="A43" s="20"/>
    </row>
    <row r="44" spans="1:7">
      <c r="A44" s="20"/>
    </row>
    <row r="45" spans="1:7">
      <c r="A45" s="20"/>
    </row>
    <row r="46" spans="1:7">
      <c r="A46" s="20"/>
    </row>
    <row r="47" spans="1:7">
      <c r="A47" s="20"/>
    </row>
    <row r="48" spans="1:7">
      <c r="A48" s="20"/>
    </row>
    <row r="49" spans="1:1">
      <c r="A49" s="20"/>
    </row>
    <row r="50" spans="1:1">
      <c r="A50" s="20"/>
    </row>
    <row r="51" spans="1:1">
      <c r="A51" s="20"/>
    </row>
    <row r="52" spans="1:1">
      <c r="A52" s="20"/>
    </row>
    <row r="53" spans="1:1">
      <c r="A53" s="20"/>
    </row>
    <row r="54" spans="1:1">
      <c r="A54" s="20"/>
    </row>
    <row r="55" spans="1:1">
      <c r="A55" s="20"/>
    </row>
    <row r="56" spans="1:1">
      <c r="A56" s="20"/>
    </row>
    <row r="57" spans="1:1">
      <c r="A57" s="20"/>
    </row>
    <row r="58" spans="1:1">
      <c r="A58" s="20"/>
    </row>
    <row r="59" spans="1:1">
      <c r="A59" s="20"/>
    </row>
    <row r="60" spans="1:1">
      <c r="A60" s="20"/>
    </row>
    <row r="61" spans="1:1">
      <c r="A61" s="20"/>
    </row>
    <row r="62" spans="1:1">
      <c r="A62" s="20"/>
    </row>
    <row r="63" spans="1:1">
      <c r="A63" s="20"/>
    </row>
    <row r="64" spans="1:1">
      <c r="A64" s="20"/>
    </row>
    <row r="65" spans="1:1">
      <c r="A65" s="20"/>
    </row>
    <row r="66" spans="1:1">
      <c r="A66" s="20"/>
    </row>
    <row r="67" spans="1:1">
      <c r="A67" s="20"/>
    </row>
    <row r="68" spans="1:1">
      <c r="A68" s="20"/>
    </row>
    <row r="69" spans="1:1">
      <c r="A69" s="20"/>
    </row>
    <row r="70" spans="1:1">
      <c r="A70" s="20"/>
    </row>
    <row r="71" spans="1:1">
      <c r="A71" s="20"/>
    </row>
    <row r="72" spans="1:1">
      <c r="A72" s="20"/>
    </row>
    <row r="73" spans="1:1">
      <c r="A73" s="20"/>
    </row>
    <row r="74" spans="1:1">
      <c r="A74" s="20"/>
    </row>
    <row r="75" spans="1:1">
      <c r="A75" s="20"/>
    </row>
    <row r="76" spans="1:1">
      <c r="A76" s="20"/>
    </row>
    <row r="77" spans="1:1">
      <c r="A77" s="20"/>
    </row>
    <row r="78" spans="1:1">
      <c r="A78" s="20"/>
    </row>
    <row r="79" spans="1:1">
      <c r="A79" s="20"/>
    </row>
    <row r="80" spans="1:1">
      <c r="A80" s="20"/>
    </row>
    <row r="81" spans="1:1">
      <c r="A81" s="20"/>
    </row>
    <row r="82" spans="1:1">
      <c r="A82" s="20"/>
    </row>
    <row r="83" spans="1:1">
      <c r="A83" s="20"/>
    </row>
    <row r="84" spans="1:1">
      <c r="A84" s="20"/>
    </row>
    <row r="85" spans="1:1">
      <c r="A85" s="20"/>
    </row>
    <row r="86" spans="1:1">
      <c r="A86" s="20"/>
    </row>
    <row r="87" spans="1:1">
      <c r="A87" s="20"/>
    </row>
    <row r="88" spans="1:1">
      <c r="A88" s="20"/>
    </row>
    <row r="89" spans="1:1">
      <c r="A89" s="20"/>
    </row>
    <row r="90" spans="1:1">
      <c r="A90" s="20"/>
    </row>
    <row r="91" spans="1:1">
      <c r="A91" s="20"/>
    </row>
    <row r="92" spans="1:1">
      <c r="A92" s="20"/>
    </row>
    <row r="93" spans="1:1">
      <c r="A93" s="20"/>
    </row>
    <row r="94" spans="1:1">
      <c r="A94" s="20"/>
    </row>
    <row r="95" spans="1:1">
      <c r="A95" s="20"/>
    </row>
    <row r="96" spans="1:1">
      <c r="A96" s="20"/>
    </row>
    <row r="97" spans="1:1">
      <c r="A97" s="20"/>
    </row>
    <row r="98" spans="1:1">
      <c r="A98" s="20"/>
    </row>
    <row r="99" spans="1:1">
      <c r="A99" s="20"/>
    </row>
    <row r="100" spans="1:1">
      <c r="A100" s="20"/>
    </row>
    <row r="101" spans="1:1">
      <c r="A101" s="20"/>
    </row>
    <row r="102" spans="1:1">
      <c r="A102" s="20"/>
    </row>
    <row r="103" spans="1:1">
      <c r="A103" s="20"/>
    </row>
    <row r="104" spans="1:1">
      <c r="A104" s="20"/>
    </row>
    <row r="105" spans="1:1">
      <c r="A105" s="20"/>
    </row>
    <row r="106" spans="1:1">
      <c r="A106" s="20"/>
    </row>
    <row r="107" spans="1:1">
      <c r="A107" s="20"/>
    </row>
    <row r="108" spans="1:1">
      <c r="A108" s="20"/>
    </row>
    <row r="109" spans="1:1">
      <c r="A109" s="20"/>
    </row>
    <row r="110" spans="1:1">
      <c r="A110" s="20"/>
    </row>
    <row r="111" spans="1:1">
      <c r="A111" s="20"/>
    </row>
    <row r="112" spans="1:1">
      <c r="A112" s="20"/>
    </row>
    <row r="113" spans="1:1">
      <c r="A113" s="20"/>
    </row>
    <row r="114" spans="1:1">
      <c r="A114" s="20"/>
    </row>
    <row r="115" spans="1:1">
      <c r="A115" s="20"/>
    </row>
    <row r="116" spans="1:1">
      <c r="A116" s="20"/>
    </row>
    <row r="117" spans="1:1">
      <c r="A117" s="20"/>
    </row>
    <row r="118" spans="1:1">
      <c r="A118" s="20"/>
    </row>
    <row r="119" spans="1:1">
      <c r="A119" s="20"/>
    </row>
    <row r="120" spans="1:1">
      <c r="A120" s="20"/>
    </row>
    <row r="121" spans="1:1">
      <c r="A121" s="20"/>
    </row>
    <row r="122" spans="1:1">
      <c r="A122" s="20"/>
    </row>
    <row r="123" spans="1:1">
      <c r="A123" s="20"/>
    </row>
    <row r="124" spans="1:1">
      <c r="A124" s="20"/>
    </row>
    <row r="125" spans="1:1">
      <c r="A125" s="20"/>
    </row>
    <row r="126" spans="1:1">
      <c r="A126" s="20"/>
    </row>
    <row r="127" spans="1:1">
      <c r="A127" s="20"/>
    </row>
    <row r="128" spans="1:1">
      <c r="A128" s="20"/>
    </row>
    <row r="129" spans="1:1">
      <c r="A129" s="20"/>
    </row>
    <row r="130" spans="1:1">
      <c r="A130" s="20"/>
    </row>
    <row r="131" spans="1:1">
      <c r="A131" s="20"/>
    </row>
    <row r="132" spans="1:1">
      <c r="A132" s="20"/>
    </row>
    <row r="133" spans="1:1">
      <c r="A133" s="20"/>
    </row>
    <row r="134" spans="1:1">
      <c r="A134" s="20"/>
    </row>
    <row r="135" spans="1:1">
      <c r="A135" s="20"/>
    </row>
    <row r="136" spans="1:1">
      <c r="A136" s="20"/>
    </row>
    <row r="137" spans="1:1">
      <c r="A137" s="20"/>
    </row>
    <row r="138" spans="1:1">
      <c r="A138" s="20"/>
    </row>
    <row r="139" spans="1:1">
      <c r="A139" s="20"/>
    </row>
    <row r="140" spans="1:1">
      <c r="A140" s="20"/>
    </row>
    <row r="141" spans="1:1">
      <c r="A141" s="20"/>
    </row>
    <row r="142" spans="1:1">
      <c r="A142" s="20"/>
    </row>
    <row r="143" spans="1:1">
      <c r="A143" s="20"/>
    </row>
    <row r="144" spans="1:1">
      <c r="A144" s="20"/>
    </row>
    <row r="145" spans="1:1">
      <c r="A145" s="20"/>
    </row>
    <row r="146" spans="1:1">
      <c r="A146" s="20"/>
    </row>
    <row r="147" spans="1:1">
      <c r="A147" s="20"/>
    </row>
    <row r="148" spans="1:1">
      <c r="A148" s="20"/>
    </row>
    <row r="149" spans="1:1">
      <c r="A149" s="20"/>
    </row>
    <row r="150" spans="1:1">
      <c r="A150" s="20"/>
    </row>
    <row r="151" spans="1:1">
      <c r="A151" s="20"/>
    </row>
    <row r="152" spans="1:1">
      <c r="A152" s="20"/>
    </row>
    <row r="153" spans="1:1">
      <c r="A153" s="20"/>
    </row>
    <row r="154" spans="1:1">
      <c r="A154" s="20"/>
    </row>
    <row r="155" spans="1:1">
      <c r="A155" s="20"/>
    </row>
    <row r="156" spans="1:1">
      <c r="A156" s="20"/>
    </row>
    <row r="157" spans="1:1">
      <c r="A157" s="20"/>
    </row>
    <row r="158" spans="1:1">
      <c r="A158" s="20"/>
    </row>
    <row r="159" spans="1:1">
      <c r="A159" s="20"/>
    </row>
    <row r="160" spans="1:1">
      <c r="A160" s="20"/>
    </row>
    <row r="161" spans="1:1">
      <c r="A161" s="20"/>
    </row>
    <row r="162" spans="1:1">
      <c r="A162" s="20"/>
    </row>
    <row r="163" spans="1:1">
      <c r="A163" s="20"/>
    </row>
    <row r="164" spans="1:1">
      <c r="A164" s="20"/>
    </row>
    <row r="165" spans="1:1">
      <c r="A165" s="20"/>
    </row>
    <row r="166" spans="1:1">
      <c r="A166" s="20"/>
    </row>
    <row r="167" spans="1:1">
      <c r="A167" s="20"/>
    </row>
    <row r="168" spans="1:1">
      <c r="A168" s="20"/>
    </row>
    <row r="169" spans="1:1">
      <c r="A169" s="20"/>
    </row>
    <row r="170" spans="1:1">
      <c r="A170" s="20"/>
    </row>
    <row r="171" spans="1:1">
      <c r="A171" s="20"/>
    </row>
    <row r="172" spans="1:1">
      <c r="A172" s="20"/>
    </row>
    <row r="173" spans="1:1">
      <c r="A173" s="20"/>
    </row>
    <row r="174" spans="1:1">
      <c r="A174" s="20"/>
    </row>
    <row r="175" spans="1:1">
      <c r="A175" s="20"/>
    </row>
    <row r="176" spans="1:1">
      <c r="A176" s="20"/>
    </row>
    <row r="177" spans="1:1">
      <c r="A177" s="20"/>
    </row>
    <row r="178" spans="1:1">
      <c r="A178" s="20"/>
    </row>
    <row r="179" spans="1:1">
      <c r="A179" s="20"/>
    </row>
    <row r="180" spans="1:1">
      <c r="A180" s="20"/>
    </row>
    <row r="181" spans="1:1">
      <c r="A181" s="20"/>
    </row>
    <row r="182" spans="1:1">
      <c r="A182" s="20"/>
    </row>
    <row r="183" spans="1:1">
      <c r="A183" s="20"/>
    </row>
    <row r="184" spans="1:1">
      <c r="A184" s="20"/>
    </row>
    <row r="185" spans="1:1">
      <c r="A185" s="20"/>
    </row>
    <row r="186" spans="1:1">
      <c r="A186" s="20"/>
    </row>
    <row r="187" spans="1:1">
      <c r="A187" s="20"/>
    </row>
    <row r="188" spans="1:1">
      <c r="A188" s="20"/>
    </row>
    <row r="189" spans="1:1">
      <c r="A189" s="20"/>
    </row>
    <row r="190" spans="1:1">
      <c r="A190" s="20"/>
    </row>
    <row r="191" spans="1:1">
      <c r="A191" s="20"/>
    </row>
    <row r="192" spans="1:1">
      <c r="A192" s="20"/>
    </row>
    <row r="193" spans="1:1">
      <c r="A193" s="20"/>
    </row>
    <row r="194" spans="1:1">
      <c r="A194" s="20"/>
    </row>
    <row r="195" spans="1:1">
      <c r="A195" s="20"/>
    </row>
    <row r="196" spans="1:1">
      <c r="A196" s="20"/>
    </row>
    <row r="197" spans="1:1">
      <c r="A197" s="20"/>
    </row>
    <row r="198" spans="1:1">
      <c r="A198" s="20"/>
    </row>
    <row r="199" spans="1:1">
      <c r="A199" s="20"/>
    </row>
    <row r="200" spans="1:1">
      <c r="A200" s="20"/>
    </row>
    <row r="201" spans="1:1">
      <c r="A201" s="20"/>
    </row>
    <row r="202" spans="1:1">
      <c r="A202" s="20"/>
    </row>
    <row r="203" spans="1:1">
      <c r="A203" s="20"/>
    </row>
    <row r="204" spans="1:1">
      <c r="A204" s="20"/>
    </row>
    <row r="205" spans="1:1">
      <c r="A205" s="20"/>
    </row>
    <row r="206" spans="1:1">
      <c r="A206" s="20"/>
    </row>
    <row r="207" spans="1:1">
      <c r="A207" s="20"/>
    </row>
    <row r="208" spans="1:1">
      <c r="A208" s="20"/>
    </row>
    <row r="209" spans="1:1">
      <c r="A209" s="20"/>
    </row>
    <row r="210" spans="1:1">
      <c r="A210" s="20"/>
    </row>
    <row r="211" spans="1:1">
      <c r="A211" s="20"/>
    </row>
    <row r="212" spans="1:1">
      <c r="A212" s="20"/>
    </row>
    <row r="213" spans="1:1">
      <c r="A213" s="20"/>
    </row>
    <row r="214" spans="1:1">
      <c r="A214" s="20"/>
    </row>
    <row r="215" spans="1:1">
      <c r="A215" s="20"/>
    </row>
    <row r="216" spans="1:1">
      <c r="A216" s="20"/>
    </row>
    <row r="217" spans="1:1">
      <c r="A217" s="20"/>
    </row>
    <row r="218" spans="1:1">
      <c r="A218" s="20"/>
    </row>
    <row r="219" spans="1:1">
      <c r="A219" s="20"/>
    </row>
    <row r="220" spans="1:1">
      <c r="A220" s="20"/>
    </row>
    <row r="221" spans="1:1">
      <c r="A221" s="20"/>
    </row>
    <row r="222" spans="1:1">
      <c r="A222" s="20"/>
    </row>
    <row r="223" spans="1:1">
      <c r="A223" s="20"/>
    </row>
    <row r="224" spans="1:1">
      <c r="A224" s="20"/>
    </row>
    <row r="225" spans="1:1">
      <c r="A225" s="20"/>
    </row>
    <row r="226" spans="1:1">
      <c r="A226" s="20"/>
    </row>
    <row r="227" spans="1:1">
      <c r="A227" s="20"/>
    </row>
    <row r="228" spans="1:1">
      <c r="A228" s="20"/>
    </row>
    <row r="229" spans="1:1">
      <c r="A229" s="20"/>
    </row>
    <row r="230" spans="1:1">
      <c r="A230" s="20"/>
    </row>
    <row r="231" spans="1:1">
      <c r="A231" s="20"/>
    </row>
    <row r="232" spans="1:1">
      <c r="A232" s="20"/>
    </row>
    <row r="233" spans="1:1">
      <c r="A233" s="20"/>
    </row>
    <row r="234" spans="1:1">
      <c r="A234" s="20"/>
    </row>
    <row r="235" spans="1:1">
      <c r="A235" s="20"/>
    </row>
    <row r="236" spans="1:1">
      <c r="A236" s="20"/>
    </row>
    <row r="237" spans="1:1">
      <c r="A237" s="20"/>
    </row>
    <row r="238" spans="1:1">
      <c r="A238" s="20"/>
    </row>
    <row r="239" spans="1:1">
      <c r="A239" s="20"/>
    </row>
    <row r="240" spans="1:1">
      <c r="A240" s="20"/>
    </row>
    <row r="241" spans="1:1">
      <c r="A241" s="20"/>
    </row>
    <row r="242" spans="1:1">
      <c r="A242" s="20"/>
    </row>
    <row r="243" spans="1:1">
      <c r="A243" s="20"/>
    </row>
    <row r="244" spans="1:1">
      <c r="A244" s="20"/>
    </row>
    <row r="245" spans="1:1">
      <c r="A245" s="20"/>
    </row>
    <row r="246" spans="1:1">
      <c r="A246" s="20"/>
    </row>
    <row r="247" spans="1:1">
      <c r="A247" s="20"/>
    </row>
    <row r="248" spans="1:1">
      <c r="A248" s="20"/>
    </row>
    <row r="249" spans="1:1">
      <c r="A249" s="20"/>
    </row>
    <row r="250" spans="1:1">
      <c r="A250" s="20"/>
    </row>
    <row r="251" spans="1:1">
      <c r="A251" s="20"/>
    </row>
    <row r="252" spans="1:1">
      <c r="A252" s="20"/>
    </row>
    <row r="253" spans="1:1">
      <c r="A253" s="20"/>
    </row>
    <row r="254" spans="1:1">
      <c r="A254" s="20"/>
    </row>
    <row r="255" spans="1:1">
      <c r="A255" s="20"/>
    </row>
    <row r="256" spans="1:1">
      <c r="A256" s="20"/>
    </row>
    <row r="257" spans="1:1">
      <c r="A257" s="20"/>
    </row>
    <row r="258" spans="1:1">
      <c r="A258" s="20"/>
    </row>
    <row r="259" spans="1:1">
      <c r="A259" s="20"/>
    </row>
    <row r="260" spans="1:1">
      <c r="A260" s="20"/>
    </row>
    <row r="261" spans="1:1">
      <c r="A261" s="20"/>
    </row>
    <row r="262" spans="1:1">
      <c r="A262" s="20"/>
    </row>
    <row r="263" spans="1:1">
      <c r="A263" s="20"/>
    </row>
    <row r="264" spans="1:1">
      <c r="A264" s="20"/>
    </row>
    <row r="265" spans="1:1">
      <c r="A265" s="20"/>
    </row>
    <row r="266" spans="1:1">
      <c r="A266" s="20"/>
    </row>
    <row r="267" spans="1:1">
      <c r="A267" s="20"/>
    </row>
    <row r="268" spans="1:1">
      <c r="A268" s="20"/>
    </row>
    <row r="269" spans="1:1">
      <c r="A269" s="20"/>
    </row>
    <row r="270" spans="1:1">
      <c r="A270" s="20"/>
    </row>
    <row r="271" spans="1:1">
      <c r="A271" s="20"/>
    </row>
    <row r="272" spans="1:1">
      <c r="A272" s="20"/>
    </row>
    <row r="273" spans="1:1">
      <c r="A273" s="20"/>
    </row>
    <row r="274" spans="1:1">
      <c r="A274" s="20"/>
    </row>
    <row r="275" spans="1:1">
      <c r="A275" s="20"/>
    </row>
    <row r="276" spans="1:1">
      <c r="A276" s="20"/>
    </row>
    <row r="277" spans="1:1">
      <c r="A277" s="20"/>
    </row>
    <row r="278" spans="1:1">
      <c r="A278" s="20"/>
    </row>
    <row r="279" spans="1:1">
      <c r="A279" s="20"/>
    </row>
    <row r="280" spans="1:1">
      <c r="A280" s="20"/>
    </row>
    <row r="281" spans="1:1">
      <c r="A281" s="20"/>
    </row>
    <row r="282" spans="1:1">
      <c r="A282" s="20"/>
    </row>
    <row r="283" spans="1:1">
      <c r="A283" s="20"/>
    </row>
    <row r="284" spans="1:1">
      <c r="A284" s="20"/>
    </row>
    <row r="285" spans="1:1">
      <c r="A285" s="20"/>
    </row>
    <row r="286" spans="1:1">
      <c r="A286" s="20"/>
    </row>
    <row r="287" spans="1:1">
      <c r="A287" s="20"/>
    </row>
    <row r="288" spans="1:1">
      <c r="A288" s="20"/>
    </row>
    <row r="289" spans="1:1">
      <c r="A289" s="20"/>
    </row>
    <row r="290" spans="1:1">
      <c r="A290" s="20"/>
    </row>
    <row r="291" spans="1:1">
      <c r="A291" s="20"/>
    </row>
    <row r="292" spans="1:1">
      <c r="A292" s="20"/>
    </row>
    <row r="293" spans="1:1">
      <c r="A293" s="20"/>
    </row>
    <row r="294" spans="1:1">
      <c r="A294" s="20"/>
    </row>
    <row r="295" spans="1:1">
      <c r="A295" s="20"/>
    </row>
    <row r="296" spans="1:1">
      <c r="A296" s="20"/>
    </row>
    <row r="297" spans="1:1">
      <c r="A297" s="20"/>
    </row>
    <row r="298" spans="1:1">
      <c r="A298" s="20"/>
    </row>
    <row r="299" spans="1:1">
      <c r="A299" s="20"/>
    </row>
    <row r="300" spans="1:1">
      <c r="A300" s="20"/>
    </row>
    <row r="301" spans="1:1">
      <c r="A301" s="20"/>
    </row>
    <row r="302" spans="1:1">
      <c r="A302" s="20"/>
    </row>
    <row r="303" spans="1:1">
      <c r="A303" s="20"/>
    </row>
    <row r="304" spans="1:1">
      <c r="A304" s="20"/>
    </row>
    <row r="305" spans="1:1">
      <c r="A305" s="20"/>
    </row>
    <row r="306" spans="1:1">
      <c r="A306" s="20"/>
    </row>
    <row r="307" spans="1:1">
      <c r="A307" s="20"/>
    </row>
    <row r="308" spans="1:1">
      <c r="A308" s="20"/>
    </row>
    <row r="309" spans="1:1">
      <c r="A309" s="20"/>
    </row>
    <row r="310" spans="1:1">
      <c r="A310" s="20"/>
    </row>
    <row r="311" spans="1:1">
      <c r="A311" s="20"/>
    </row>
    <row r="312" spans="1:1">
      <c r="A312" s="20"/>
    </row>
    <row r="313" spans="1:1">
      <c r="A313" s="20"/>
    </row>
    <row r="314" spans="1:1">
      <c r="A314" s="20"/>
    </row>
    <row r="315" spans="1:1">
      <c r="A315" s="20"/>
    </row>
    <row r="316" spans="1:1">
      <c r="A316" s="20"/>
    </row>
    <row r="317" spans="1:1">
      <c r="A317" s="20"/>
    </row>
    <row r="318" spans="1:1">
      <c r="A318" s="20"/>
    </row>
    <row r="319" spans="1:1">
      <c r="A319" s="20"/>
    </row>
    <row r="320" spans="1:1">
      <c r="A320" s="20"/>
    </row>
    <row r="321" spans="1:1">
      <c r="A321" s="20"/>
    </row>
    <row r="322" spans="1:1">
      <c r="A322" s="20"/>
    </row>
    <row r="323" spans="1:1">
      <c r="A323" s="20"/>
    </row>
    <row r="324" spans="1:1">
      <c r="A324" s="20"/>
    </row>
    <row r="325" spans="1:1">
      <c r="A325" s="20"/>
    </row>
    <row r="326" spans="1:1">
      <c r="A326" s="20"/>
    </row>
    <row r="327" spans="1:1">
      <c r="A327" s="20"/>
    </row>
    <row r="328" spans="1:1">
      <c r="A328" s="20"/>
    </row>
    <row r="329" spans="1:1">
      <c r="A329" s="20"/>
    </row>
    <row r="330" spans="1:1">
      <c r="A330" s="20"/>
    </row>
    <row r="331" spans="1:1">
      <c r="A331" s="20"/>
    </row>
    <row r="332" spans="1:1">
      <c r="A332" s="20"/>
    </row>
    <row r="333" spans="1:1">
      <c r="A333" s="20"/>
    </row>
    <row r="334" spans="1:1">
      <c r="A334" s="20"/>
    </row>
    <row r="335" spans="1:1">
      <c r="A335" s="20"/>
    </row>
    <row r="336" spans="1:1">
      <c r="A336" s="20"/>
    </row>
    <row r="337" spans="1:1">
      <c r="A337" s="20"/>
    </row>
    <row r="338" spans="1:1">
      <c r="A338" s="20"/>
    </row>
    <row r="339" spans="1:1">
      <c r="A339" s="20"/>
    </row>
    <row r="340" spans="1:1">
      <c r="A340" s="20"/>
    </row>
    <row r="341" spans="1:1">
      <c r="A341" s="20"/>
    </row>
    <row r="342" spans="1:1">
      <c r="A342" s="20"/>
    </row>
    <row r="343" spans="1:1">
      <c r="A343" s="20"/>
    </row>
    <row r="344" spans="1:1">
      <c r="A344" s="20"/>
    </row>
    <row r="345" spans="1:1">
      <c r="A345" s="20"/>
    </row>
    <row r="346" spans="1:1">
      <c r="A346" s="20"/>
    </row>
    <row r="347" spans="1:1">
      <c r="A347" s="20"/>
    </row>
    <row r="348" spans="1:1">
      <c r="A348" s="20"/>
    </row>
    <row r="349" spans="1:1">
      <c r="A349" s="20"/>
    </row>
    <row r="350" spans="1:1">
      <c r="A350" s="20"/>
    </row>
    <row r="351" spans="1:1">
      <c r="A351" s="20"/>
    </row>
    <row r="352" spans="1:1">
      <c r="A352" s="20"/>
    </row>
    <row r="353" spans="1:1">
      <c r="A353" s="20"/>
    </row>
    <row r="354" spans="1:1">
      <c r="A354" s="20"/>
    </row>
    <row r="355" spans="1:1">
      <c r="A355" s="20"/>
    </row>
    <row r="356" spans="1:1">
      <c r="A356" s="20"/>
    </row>
    <row r="357" spans="1:1">
      <c r="A357" s="20"/>
    </row>
    <row r="358" spans="1:1">
      <c r="A358" s="20"/>
    </row>
    <row r="359" spans="1:1">
      <c r="A359" s="20"/>
    </row>
    <row r="360" spans="1:1">
      <c r="A360" s="20"/>
    </row>
    <row r="361" spans="1:1">
      <c r="A361" s="20"/>
    </row>
    <row r="362" spans="1:1">
      <c r="A362" s="20"/>
    </row>
    <row r="363" spans="1:1">
      <c r="A363" s="20"/>
    </row>
    <row r="364" spans="1:1">
      <c r="A364" s="20"/>
    </row>
    <row r="365" spans="1:1">
      <c r="A365" s="20"/>
    </row>
    <row r="366" spans="1:1">
      <c r="A366" s="20"/>
    </row>
    <row r="367" spans="1:1">
      <c r="A367" s="20"/>
    </row>
    <row r="368" spans="1:1">
      <c r="A368" s="20"/>
    </row>
    <row r="369" spans="1:1">
      <c r="A369" s="20"/>
    </row>
    <row r="370" spans="1:1">
      <c r="A370" s="20"/>
    </row>
    <row r="371" spans="1:1">
      <c r="A371" s="20"/>
    </row>
    <row r="372" spans="1:1">
      <c r="A372" s="20"/>
    </row>
    <row r="373" spans="1:1">
      <c r="A373" s="20"/>
    </row>
    <row r="374" spans="1:1">
      <c r="A374" s="20"/>
    </row>
    <row r="375" spans="1:1">
      <c r="A375" s="20"/>
    </row>
    <row r="376" spans="1:1">
      <c r="A376" s="20"/>
    </row>
    <row r="377" spans="1:1">
      <c r="A377" s="20"/>
    </row>
    <row r="378" spans="1:1">
      <c r="A378" s="20"/>
    </row>
    <row r="379" spans="1:1">
      <c r="A379" s="20"/>
    </row>
    <row r="380" spans="1:1">
      <c r="A380" s="20"/>
    </row>
    <row r="381" spans="1:1">
      <c r="A381" s="20"/>
    </row>
    <row r="382" spans="1:1">
      <c r="A382" s="20"/>
    </row>
    <row r="383" spans="1:1">
      <c r="A383" s="20"/>
    </row>
    <row r="384" spans="1:1">
      <c r="A384" s="20"/>
    </row>
    <row r="385" spans="1:1">
      <c r="A385" s="20"/>
    </row>
    <row r="386" spans="1:1">
      <c r="A386" s="20"/>
    </row>
    <row r="387" spans="1:1">
      <c r="A387" s="20"/>
    </row>
    <row r="388" spans="1:1">
      <c r="A388" s="20"/>
    </row>
    <row r="389" spans="1:1">
      <c r="A389" s="20"/>
    </row>
    <row r="390" spans="1:1">
      <c r="A390" s="20"/>
    </row>
    <row r="391" spans="1:1">
      <c r="A391" s="20"/>
    </row>
    <row r="392" spans="1:1">
      <c r="A392" s="20"/>
    </row>
    <row r="393" spans="1:1">
      <c r="A393" s="20"/>
    </row>
    <row r="394" spans="1:1">
      <c r="A394" s="20"/>
    </row>
    <row r="395" spans="1:1">
      <c r="A395" s="20"/>
    </row>
    <row r="396" spans="1:1">
      <c r="A396" s="20"/>
    </row>
    <row r="397" spans="1:1">
      <c r="A397" s="20"/>
    </row>
    <row r="398" spans="1:1">
      <c r="A398" s="20"/>
    </row>
    <row r="399" spans="1:1">
      <c r="A399" s="20"/>
    </row>
    <row r="400" spans="1:1">
      <c r="A400" s="20"/>
    </row>
    <row r="401" spans="1:1">
      <c r="A401" s="20"/>
    </row>
    <row r="402" spans="1:1">
      <c r="A402" s="20"/>
    </row>
    <row r="403" spans="1:1">
      <c r="A403" s="20"/>
    </row>
    <row r="404" spans="1:1">
      <c r="A404" s="20"/>
    </row>
    <row r="405" spans="1:1">
      <c r="A405" s="20"/>
    </row>
    <row r="406" spans="1:1">
      <c r="A406" s="20"/>
    </row>
    <row r="407" spans="1:1">
      <c r="A407" s="20"/>
    </row>
    <row r="408" spans="1:1">
      <c r="A408" s="20"/>
    </row>
    <row r="409" spans="1:1">
      <c r="A409" s="20"/>
    </row>
    <row r="410" spans="1:1">
      <c r="A410" s="20"/>
    </row>
    <row r="411" spans="1:1">
      <c r="A411" s="20"/>
    </row>
    <row r="412" spans="1:1">
      <c r="A412" s="20"/>
    </row>
    <row r="413" spans="1:1">
      <c r="A413" s="20"/>
    </row>
    <row r="414" spans="1:1">
      <c r="A414" s="20"/>
    </row>
    <row r="415" spans="1:1">
      <c r="A415" s="20"/>
    </row>
    <row r="416" spans="1:1">
      <c r="A416" s="20"/>
    </row>
    <row r="417" spans="1:1">
      <c r="A417" s="20"/>
    </row>
    <row r="418" spans="1:1">
      <c r="A418" s="20"/>
    </row>
    <row r="419" spans="1:1">
      <c r="A419" s="20"/>
    </row>
    <row r="420" spans="1:1">
      <c r="A420" s="20"/>
    </row>
    <row r="421" spans="1:1">
      <c r="A421" s="20"/>
    </row>
    <row r="422" spans="1:1">
      <c r="A422" s="20"/>
    </row>
    <row r="423" spans="1:1">
      <c r="A423" s="20"/>
    </row>
    <row r="424" spans="1:1">
      <c r="A424" s="20"/>
    </row>
    <row r="425" spans="1:1">
      <c r="A425" s="20"/>
    </row>
    <row r="426" spans="1:1">
      <c r="A426" s="20"/>
    </row>
    <row r="427" spans="1:1">
      <c r="A427" s="20"/>
    </row>
    <row r="428" spans="1:1">
      <c r="A428" s="20"/>
    </row>
    <row r="429" spans="1:1">
      <c r="A429" s="20"/>
    </row>
    <row r="430" spans="1:1">
      <c r="A430" s="20"/>
    </row>
    <row r="431" spans="1:1">
      <c r="A431" s="20"/>
    </row>
    <row r="432" spans="1:1">
      <c r="A432" s="20"/>
    </row>
    <row r="433" spans="1:1">
      <c r="A433" s="20"/>
    </row>
    <row r="434" spans="1:1">
      <c r="A434" s="20"/>
    </row>
    <row r="435" spans="1:1">
      <c r="A435" s="20"/>
    </row>
    <row r="436" spans="1:1">
      <c r="A436" s="20"/>
    </row>
    <row r="437" spans="1:1">
      <c r="A437" s="20"/>
    </row>
    <row r="438" spans="1:1">
      <c r="A438" s="20"/>
    </row>
    <row r="439" spans="1:1">
      <c r="A439" s="20"/>
    </row>
    <row r="440" spans="1:1">
      <c r="A440" s="20"/>
    </row>
    <row r="441" spans="1:1">
      <c r="A441" s="20"/>
    </row>
    <row r="442" spans="1:1">
      <c r="A442" s="20"/>
    </row>
    <row r="443" spans="1:1">
      <c r="A443" s="20"/>
    </row>
    <row r="444" spans="1:1">
      <c r="A444" s="20"/>
    </row>
    <row r="445" spans="1:1">
      <c r="A445" s="20"/>
    </row>
    <row r="446" spans="1:1">
      <c r="A446" s="20"/>
    </row>
    <row r="447" spans="1:1">
      <c r="A447" s="20"/>
    </row>
    <row r="448" spans="1:1">
      <c r="A448" s="20"/>
    </row>
    <row r="449" spans="1:1">
      <c r="A449" s="20"/>
    </row>
    <row r="450" spans="1:1">
      <c r="A450" s="20"/>
    </row>
    <row r="451" spans="1:1">
      <c r="A451" s="20"/>
    </row>
    <row r="452" spans="1:1">
      <c r="A452" s="20"/>
    </row>
    <row r="453" spans="1:1">
      <c r="A453" s="20"/>
    </row>
    <row r="454" spans="1:1">
      <c r="A454" s="20"/>
    </row>
    <row r="455" spans="1:1">
      <c r="A455" s="20"/>
    </row>
    <row r="456" spans="1:1">
      <c r="A456" s="20"/>
    </row>
    <row r="457" spans="1:1">
      <c r="A457" s="20"/>
    </row>
    <row r="458" spans="1:1">
      <c r="A458" s="20"/>
    </row>
    <row r="459" spans="1:1">
      <c r="A459" s="20"/>
    </row>
    <row r="460" spans="1:1">
      <c r="A460" s="20"/>
    </row>
    <row r="461" spans="1:1">
      <c r="A461" s="20"/>
    </row>
    <row r="462" spans="1:1">
      <c r="A462" s="20"/>
    </row>
    <row r="463" spans="1:1">
      <c r="A463" s="20"/>
    </row>
    <row r="464" spans="1:1">
      <c r="A464" s="20"/>
    </row>
    <row r="465" spans="1:1">
      <c r="A465" s="20"/>
    </row>
    <row r="466" spans="1:1">
      <c r="A466" s="20"/>
    </row>
    <row r="467" spans="1:1">
      <c r="A467" s="20"/>
    </row>
    <row r="468" spans="1:1">
      <c r="A468" s="20"/>
    </row>
    <row r="469" spans="1:1">
      <c r="A469" s="20"/>
    </row>
    <row r="470" spans="1:1">
      <c r="A470" s="20"/>
    </row>
    <row r="471" spans="1:1">
      <c r="A471" s="20"/>
    </row>
    <row r="472" spans="1:1">
      <c r="A472" s="20"/>
    </row>
    <row r="473" spans="1:1">
      <c r="A473" s="20"/>
    </row>
    <row r="474" spans="1:1">
      <c r="A474" s="20"/>
    </row>
    <row r="475" spans="1:1">
      <c r="A475" s="20"/>
    </row>
    <row r="476" spans="1:1">
      <c r="A476" s="20"/>
    </row>
    <row r="477" spans="1:1">
      <c r="A477" s="20"/>
    </row>
    <row r="478" spans="1:1">
      <c r="A478" s="20"/>
    </row>
    <row r="479" spans="1:1">
      <c r="A479" s="20"/>
    </row>
    <row r="480" spans="1:1">
      <c r="A480" s="20"/>
    </row>
    <row r="481" spans="1:1">
      <c r="A481" s="20"/>
    </row>
    <row r="482" spans="1:1">
      <c r="A482" s="20"/>
    </row>
    <row r="483" spans="1:1">
      <c r="A483" s="20"/>
    </row>
    <row r="484" spans="1:1">
      <c r="A484" s="20"/>
    </row>
    <row r="485" spans="1:1">
      <c r="A485" s="20"/>
    </row>
    <row r="486" spans="1:1">
      <c r="A486" s="20"/>
    </row>
    <row r="487" spans="1:1">
      <c r="A487" s="20"/>
    </row>
    <row r="488" spans="1:1">
      <c r="A488" s="20"/>
    </row>
    <row r="489" spans="1:1">
      <c r="A489" s="20"/>
    </row>
    <row r="490" spans="1:1">
      <c r="A490" s="20"/>
    </row>
    <row r="491" spans="1:1">
      <c r="A491" s="20"/>
    </row>
    <row r="492" spans="1:1">
      <c r="A492" s="20"/>
    </row>
    <row r="493" spans="1:1">
      <c r="A493" s="20"/>
    </row>
    <row r="494" spans="1:1">
      <c r="A494" s="20"/>
    </row>
    <row r="495" spans="1:1">
      <c r="A495" s="20"/>
    </row>
    <row r="496" spans="1:1">
      <c r="A496" s="20"/>
    </row>
    <row r="497" spans="1:1">
      <c r="A497" s="20"/>
    </row>
    <row r="498" spans="1:1">
      <c r="A498" s="20"/>
    </row>
    <row r="499" spans="1:1">
      <c r="A499" s="20"/>
    </row>
    <row r="500" spans="1:1">
      <c r="A500" s="20"/>
    </row>
    <row r="501" spans="1:1">
      <c r="A501" s="20"/>
    </row>
    <row r="502" spans="1:1">
      <c r="A502" s="20"/>
    </row>
    <row r="503" spans="1:1">
      <c r="A503" s="20"/>
    </row>
    <row r="504" spans="1:1">
      <c r="A504" s="20"/>
    </row>
    <row r="505" spans="1:1">
      <c r="A505" s="20"/>
    </row>
    <row r="506" spans="1:1">
      <c r="A506" s="20"/>
    </row>
    <row r="507" spans="1:1">
      <c r="A507" s="20"/>
    </row>
    <row r="508" spans="1:1">
      <c r="A508" s="20"/>
    </row>
    <row r="509" spans="1:1">
      <c r="A509" s="20"/>
    </row>
    <row r="510" spans="1:1">
      <c r="A510" s="20"/>
    </row>
    <row r="511" spans="1:1">
      <c r="A511" s="20"/>
    </row>
    <row r="512" spans="1:1">
      <c r="A512" s="20"/>
    </row>
    <row r="513" spans="1:1">
      <c r="A513" s="20"/>
    </row>
    <row r="514" spans="1:1">
      <c r="A514" s="20"/>
    </row>
    <row r="515" spans="1:1">
      <c r="A515" s="20"/>
    </row>
    <row r="516" spans="1:1">
      <c r="A516" s="20"/>
    </row>
    <row r="517" spans="1:1">
      <c r="A517" s="20"/>
    </row>
    <row r="518" spans="1:1">
      <c r="A518" s="20"/>
    </row>
    <row r="519" spans="1:1">
      <c r="A519" s="20"/>
    </row>
    <row r="520" spans="1:1">
      <c r="A520" s="20"/>
    </row>
    <row r="521" spans="1:1">
      <c r="A521" s="20"/>
    </row>
    <row r="522" spans="1:1">
      <c r="A522" s="20"/>
    </row>
    <row r="523" spans="1:1">
      <c r="A523" s="20"/>
    </row>
    <row r="524" spans="1:1">
      <c r="A524" s="20"/>
    </row>
    <row r="525" spans="1:1">
      <c r="A525" s="20"/>
    </row>
    <row r="526" spans="1:1">
      <c r="A526" s="20"/>
    </row>
    <row r="527" spans="1:1">
      <c r="A527" s="20"/>
    </row>
    <row r="528" spans="1:1">
      <c r="A528" s="20"/>
    </row>
    <row r="529" spans="1:1">
      <c r="A529" s="20"/>
    </row>
    <row r="530" spans="1:1">
      <c r="A530" s="20"/>
    </row>
    <row r="531" spans="1:1">
      <c r="A531" s="20"/>
    </row>
    <row r="532" spans="1:1">
      <c r="A532" s="20"/>
    </row>
    <row r="533" spans="1:1">
      <c r="A533" s="20"/>
    </row>
    <row r="534" spans="1:1">
      <c r="A534" s="20"/>
    </row>
    <row r="535" spans="1:1">
      <c r="A535" s="20"/>
    </row>
    <row r="536" spans="1:1">
      <c r="A536" s="20"/>
    </row>
    <row r="537" spans="1:1">
      <c r="A537" s="20"/>
    </row>
    <row r="538" spans="1:1">
      <c r="A538" s="20"/>
    </row>
    <row r="539" spans="1:1">
      <c r="A539" s="20"/>
    </row>
    <row r="540" spans="1:1">
      <c r="A540" s="20"/>
    </row>
    <row r="541" spans="1:1">
      <c r="A541" s="20"/>
    </row>
    <row r="542" spans="1:1">
      <c r="A542" s="20"/>
    </row>
    <row r="543" spans="1:1">
      <c r="A543" s="20"/>
    </row>
    <row r="544" spans="1:1">
      <c r="A544" s="20"/>
    </row>
    <row r="545" spans="1:1">
      <c r="A545" s="20"/>
    </row>
    <row r="546" spans="1:1">
      <c r="A546" s="20"/>
    </row>
    <row r="547" spans="1:1">
      <c r="A547" s="20"/>
    </row>
    <row r="548" spans="1:1">
      <c r="A548" s="20"/>
    </row>
    <row r="549" spans="1:1">
      <c r="A549" s="20"/>
    </row>
    <row r="550" spans="1:1">
      <c r="A550" s="20"/>
    </row>
    <row r="551" spans="1:1">
      <c r="A551" s="20"/>
    </row>
    <row r="552" spans="1:1">
      <c r="A552" s="20"/>
    </row>
    <row r="553" spans="1:1">
      <c r="A553" s="20"/>
    </row>
    <row r="554" spans="1:1">
      <c r="A554" s="20"/>
    </row>
    <row r="555" spans="1:1">
      <c r="A555" s="20"/>
    </row>
    <row r="556" spans="1:1">
      <c r="A556" s="20"/>
    </row>
    <row r="557" spans="1:1">
      <c r="A557" s="20"/>
    </row>
    <row r="558" spans="1:1">
      <c r="A558" s="20"/>
    </row>
    <row r="559" spans="1:1">
      <c r="A559" s="20"/>
    </row>
    <row r="560" spans="1:1">
      <c r="A560" s="20"/>
    </row>
    <row r="561" spans="1:1">
      <c r="A561" s="20"/>
    </row>
    <row r="562" spans="1:1">
      <c r="A562" s="20"/>
    </row>
    <row r="563" spans="1:1">
      <c r="A563" s="20"/>
    </row>
    <row r="564" spans="1:1">
      <c r="A564" s="20"/>
    </row>
    <row r="565" spans="1:1">
      <c r="A565" s="20"/>
    </row>
    <row r="566" spans="1:1">
      <c r="A566" s="20"/>
    </row>
    <row r="567" spans="1:1">
      <c r="A567" s="20"/>
    </row>
    <row r="568" spans="1:1">
      <c r="A568" s="20"/>
    </row>
    <row r="569" spans="1:1">
      <c r="A569" s="20"/>
    </row>
    <row r="570" spans="1:1">
      <c r="A570" s="20"/>
    </row>
    <row r="571" spans="1:1">
      <c r="A571" s="20"/>
    </row>
    <row r="572" spans="1:1">
      <c r="A572" s="20"/>
    </row>
    <row r="573" spans="1:1">
      <c r="A573" s="20"/>
    </row>
    <row r="574" spans="1:1">
      <c r="A574" s="20"/>
    </row>
    <row r="575" spans="1:1">
      <c r="A575" s="20"/>
    </row>
    <row r="576" spans="1:1">
      <c r="A576" s="20"/>
    </row>
    <row r="577" spans="1:1">
      <c r="A577" s="20"/>
    </row>
    <row r="578" spans="1:1">
      <c r="A578" s="20"/>
    </row>
    <row r="579" spans="1:1">
      <c r="A579" s="20"/>
    </row>
    <row r="580" spans="1:1">
      <c r="A580" s="20"/>
    </row>
    <row r="581" spans="1:1">
      <c r="A581" s="20"/>
    </row>
    <row r="582" spans="1:1">
      <c r="A582" s="20"/>
    </row>
    <row r="583" spans="1:1">
      <c r="A583" s="20"/>
    </row>
    <row r="584" spans="1:1">
      <c r="A584" s="20"/>
    </row>
    <row r="585" spans="1:1">
      <c r="A585" s="20"/>
    </row>
    <row r="586" spans="1:1">
      <c r="A586" s="20"/>
    </row>
    <row r="587" spans="1:1">
      <c r="A587" s="20"/>
    </row>
    <row r="588" spans="1:1">
      <c r="A588" s="20"/>
    </row>
    <row r="589" spans="1:1">
      <c r="A589" s="20"/>
    </row>
    <row r="590" spans="1:1">
      <c r="A590" s="20"/>
    </row>
    <row r="591" spans="1:1">
      <c r="A591" s="20"/>
    </row>
    <row r="592" spans="1:1">
      <c r="A592" s="20"/>
    </row>
    <row r="593" spans="1:1">
      <c r="A593" s="20"/>
    </row>
    <row r="594" spans="1:1">
      <c r="A594" s="20"/>
    </row>
    <row r="595" spans="1:1">
      <c r="A595" s="20"/>
    </row>
    <row r="596" spans="1:1">
      <c r="A596" s="20"/>
    </row>
    <row r="597" spans="1:1">
      <c r="A597" s="20"/>
    </row>
    <row r="598" spans="1:1">
      <c r="A598" s="20"/>
    </row>
    <row r="599" spans="1:1">
      <c r="A599" s="20"/>
    </row>
    <row r="600" spans="1:1">
      <c r="A600" s="20"/>
    </row>
    <row r="601" spans="1:1">
      <c r="A601" s="20"/>
    </row>
    <row r="602" spans="1:1">
      <c r="A602" s="20"/>
    </row>
    <row r="603" spans="1:1">
      <c r="A603" s="20"/>
    </row>
    <row r="604" spans="1:1">
      <c r="A604" s="20"/>
    </row>
    <row r="605" spans="1:1">
      <c r="A605" s="20"/>
    </row>
    <row r="606" spans="1:1">
      <c r="A606" s="20"/>
    </row>
    <row r="607" spans="1:1">
      <c r="A607" s="20"/>
    </row>
    <row r="608" spans="1:1">
      <c r="A608" s="20"/>
    </row>
    <row r="609" spans="1:1">
      <c r="A609" s="20"/>
    </row>
    <row r="610" spans="1:1">
      <c r="A610" s="20"/>
    </row>
    <row r="611" spans="1:1">
      <c r="A611" s="20"/>
    </row>
    <row r="612" spans="1:1">
      <c r="A612" s="20"/>
    </row>
    <row r="613" spans="1:1">
      <c r="A613" s="20"/>
    </row>
    <row r="614" spans="1:1">
      <c r="A614" s="20"/>
    </row>
    <row r="615" spans="1:1">
      <c r="A615" s="20"/>
    </row>
    <row r="616" spans="1:1">
      <c r="A616" s="20"/>
    </row>
    <row r="617" spans="1:1">
      <c r="A617" s="20"/>
    </row>
    <row r="618" spans="1:1">
      <c r="A618" s="20"/>
    </row>
    <row r="619" spans="1:1">
      <c r="A619" s="20"/>
    </row>
    <row r="620" spans="1:1">
      <c r="A620" s="20"/>
    </row>
    <row r="621" spans="1:1">
      <c r="A621" s="20"/>
    </row>
    <row r="622" spans="1:1">
      <c r="A622" s="20"/>
    </row>
    <row r="623" spans="1:1">
      <c r="A623" s="20"/>
    </row>
    <row r="624" spans="1:1">
      <c r="A624" s="20"/>
    </row>
    <row r="625" spans="1:1">
      <c r="A625" s="20"/>
    </row>
    <row r="626" spans="1:1">
      <c r="A626" s="20"/>
    </row>
    <row r="627" spans="1:1">
      <c r="A627" s="20"/>
    </row>
    <row r="628" spans="1:1">
      <c r="A628" s="20"/>
    </row>
    <row r="629" spans="1:1">
      <c r="A629" s="20"/>
    </row>
    <row r="630" spans="1:1">
      <c r="A630" s="20"/>
    </row>
    <row r="631" spans="1:1">
      <c r="A631" s="20"/>
    </row>
    <row r="632" spans="1:1">
      <c r="A632" s="20"/>
    </row>
    <row r="633" spans="1:1">
      <c r="A633" s="20"/>
    </row>
    <row r="634" spans="1:1">
      <c r="A634" s="20"/>
    </row>
    <row r="635" spans="1:1">
      <c r="A635" s="20"/>
    </row>
    <row r="636" spans="1:1">
      <c r="A636" s="20"/>
    </row>
    <row r="637" spans="1:1">
      <c r="A637" s="20"/>
    </row>
    <row r="638" spans="1:1">
      <c r="A638" s="20"/>
    </row>
    <row r="639" spans="1:1">
      <c r="A639" s="20"/>
    </row>
    <row r="640" spans="1:1">
      <c r="A640" s="20"/>
    </row>
    <row r="641" spans="1:1">
      <c r="A641" s="20"/>
    </row>
    <row r="642" spans="1:1">
      <c r="A642" s="20"/>
    </row>
    <row r="643" spans="1:1">
      <c r="A643" s="20"/>
    </row>
    <row r="644" spans="1:1">
      <c r="A644" s="20"/>
    </row>
    <row r="645" spans="1:1">
      <c r="A645" s="20"/>
    </row>
    <row r="646" spans="1:1">
      <c r="A646" s="20"/>
    </row>
    <row r="647" spans="1:1">
      <c r="A647" s="20"/>
    </row>
    <row r="648" spans="1:1">
      <c r="A648" s="20"/>
    </row>
    <row r="649" spans="1:1">
      <c r="A649" s="20"/>
    </row>
    <row r="650" spans="1:1">
      <c r="A650" s="20"/>
    </row>
    <row r="651" spans="1:1">
      <c r="A651" s="20"/>
    </row>
    <row r="652" spans="1:1">
      <c r="A652" s="20"/>
    </row>
    <row r="653" spans="1:1">
      <c r="A653" s="20"/>
    </row>
    <row r="654" spans="1:1">
      <c r="A654" s="20"/>
    </row>
    <row r="655" spans="1:1">
      <c r="A655" s="20"/>
    </row>
    <row r="656" spans="1:1">
      <c r="A656" s="20"/>
    </row>
    <row r="657" spans="1:1">
      <c r="A657" s="20"/>
    </row>
    <row r="658" spans="1:1">
      <c r="A658" s="20"/>
    </row>
    <row r="659" spans="1:1">
      <c r="A659" s="20"/>
    </row>
    <row r="660" spans="1:1">
      <c r="A660" s="20"/>
    </row>
    <row r="661" spans="1:1">
      <c r="A661" s="20"/>
    </row>
    <row r="662" spans="1:1">
      <c r="A662" s="20"/>
    </row>
    <row r="663" spans="1:1">
      <c r="A663" s="20"/>
    </row>
    <row r="664" spans="1:1">
      <c r="A664" s="20"/>
    </row>
    <row r="665" spans="1:1">
      <c r="A665" s="20"/>
    </row>
    <row r="666" spans="1:1">
      <c r="A666" s="20"/>
    </row>
    <row r="667" spans="1:1">
      <c r="A667" s="20"/>
    </row>
    <row r="668" spans="1:1">
      <c r="A668" s="20"/>
    </row>
    <row r="669" spans="1:1">
      <c r="A669" s="20"/>
    </row>
    <row r="670" spans="1:1">
      <c r="A670" s="20"/>
    </row>
    <row r="671" spans="1:1">
      <c r="A671" s="20"/>
    </row>
    <row r="672" spans="1:1">
      <c r="A672" s="20"/>
    </row>
    <row r="673" spans="1:1">
      <c r="A673" s="20"/>
    </row>
    <row r="674" spans="1:1">
      <c r="A674" s="20"/>
    </row>
    <row r="675" spans="1:1">
      <c r="A675" s="20"/>
    </row>
    <row r="676" spans="1:1">
      <c r="A676" s="20"/>
    </row>
    <row r="677" spans="1:1">
      <c r="A677" s="20"/>
    </row>
    <row r="678" spans="1:1">
      <c r="A678" s="20"/>
    </row>
    <row r="679" spans="1:1">
      <c r="A679" s="20"/>
    </row>
    <row r="680" spans="1:1">
      <c r="A680" s="20"/>
    </row>
    <row r="681" spans="1:1">
      <c r="A681" s="20"/>
    </row>
    <row r="682" spans="1:1">
      <c r="A682" s="20"/>
    </row>
    <row r="683" spans="1:1">
      <c r="A683" s="20"/>
    </row>
    <row r="684" spans="1:1">
      <c r="A684" s="20"/>
    </row>
    <row r="685" spans="1:1">
      <c r="A685" s="20"/>
    </row>
    <row r="686" spans="1:1">
      <c r="A686" s="20"/>
    </row>
    <row r="687" spans="1:1">
      <c r="A687" s="20"/>
    </row>
    <row r="688" spans="1:1">
      <c r="A688" s="20"/>
    </row>
    <row r="689" spans="1:1">
      <c r="A689" s="20"/>
    </row>
    <row r="690" spans="1:1">
      <c r="A690" s="20"/>
    </row>
    <row r="691" spans="1:1">
      <c r="A691" s="20"/>
    </row>
    <row r="692" spans="1:1">
      <c r="A692" s="20"/>
    </row>
    <row r="693" spans="1:1">
      <c r="A693" s="20"/>
    </row>
    <row r="694" spans="1:1">
      <c r="A694" s="20"/>
    </row>
    <row r="695" spans="1:1">
      <c r="A695" s="20"/>
    </row>
    <row r="696" spans="1:1">
      <c r="A696" s="20"/>
    </row>
    <row r="697" spans="1:1">
      <c r="A697" s="20"/>
    </row>
    <row r="698" spans="1:1">
      <c r="A698" s="20"/>
    </row>
    <row r="699" spans="1:1">
      <c r="A699" s="20"/>
    </row>
    <row r="700" spans="1:1">
      <c r="A700" s="20"/>
    </row>
    <row r="701" spans="1:1">
      <c r="A701" s="20"/>
    </row>
    <row r="702" spans="1:1">
      <c r="A702" s="20"/>
    </row>
    <row r="703" spans="1:1">
      <c r="A703" s="20"/>
    </row>
    <row r="704" spans="1:1">
      <c r="A704" s="20"/>
    </row>
    <row r="705" spans="1:1">
      <c r="A705" s="20"/>
    </row>
    <row r="706" spans="1:1">
      <c r="A706" s="20"/>
    </row>
    <row r="707" spans="1:1">
      <c r="A707" s="20"/>
    </row>
    <row r="708" spans="1:1">
      <c r="A708" s="20"/>
    </row>
    <row r="709" spans="1:1">
      <c r="A709" s="20"/>
    </row>
    <row r="710" spans="1:1">
      <c r="A710" s="20"/>
    </row>
    <row r="711" spans="1:1">
      <c r="A711" s="20"/>
    </row>
    <row r="712" spans="1:1">
      <c r="A712" s="20"/>
    </row>
    <row r="713" spans="1:1">
      <c r="A713" s="20"/>
    </row>
    <row r="714" spans="1:1">
      <c r="A714" s="20"/>
    </row>
    <row r="715" spans="1:1">
      <c r="A715" s="20"/>
    </row>
    <row r="716" spans="1:1">
      <c r="A716" s="20"/>
    </row>
    <row r="717" spans="1:1">
      <c r="A717" s="20"/>
    </row>
    <row r="718" spans="1:1">
      <c r="A718" s="20"/>
    </row>
    <row r="719" spans="1:1">
      <c r="A719" s="20"/>
    </row>
    <row r="720" spans="1:1">
      <c r="A720" s="20"/>
    </row>
    <row r="721" spans="1:1">
      <c r="A721" s="20"/>
    </row>
    <row r="722" spans="1:1">
      <c r="A722" s="20"/>
    </row>
    <row r="723" spans="1:1">
      <c r="A723" s="20"/>
    </row>
    <row r="724" spans="1:1">
      <c r="A724" s="20"/>
    </row>
    <row r="725" spans="1:1">
      <c r="A725" s="20"/>
    </row>
    <row r="726" spans="1:1">
      <c r="A726" s="20"/>
    </row>
    <row r="727" spans="1:1">
      <c r="A727" s="20"/>
    </row>
    <row r="728" spans="1:1">
      <c r="A728" s="20"/>
    </row>
    <row r="729" spans="1:1">
      <c r="A729" s="20"/>
    </row>
    <row r="730" spans="1:1">
      <c r="A730" s="20"/>
    </row>
    <row r="731" spans="1:1">
      <c r="A731" s="20"/>
    </row>
    <row r="732" spans="1:1">
      <c r="A732" s="20"/>
    </row>
    <row r="733" spans="1:1">
      <c r="A733" s="20"/>
    </row>
    <row r="734" spans="1:1">
      <c r="A734" s="20"/>
    </row>
    <row r="735" spans="1:1">
      <c r="A735" s="20"/>
    </row>
    <row r="736" spans="1:1">
      <c r="A736" s="20"/>
    </row>
    <row r="737" spans="1:1">
      <c r="A737" s="20"/>
    </row>
    <row r="738" spans="1:1">
      <c r="A738" s="20"/>
    </row>
    <row r="739" spans="1:1">
      <c r="A739" s="20"/>
    </row>
    <row r="740" spans="1:1">
      <c r="A740" s="20"/>
    </row>
    <row r="741" spans="1:1">
      <c r="A741" s="20"/>
    </row>
    <row r="742" spans="1:1">
      <c r="A742" s="20"/>
    </row>
    <row r="743" spans="1:1">
      <c r="A743" s="20"/>
    </row>
    <row r="744" spans="1:1">
      <c r="A744" s="20"/>
    </row>
    <row r="745" spans="1:1">
      <c r="A745" s="20"/>
    </row>
    <row r="746" spans="1:1">
      <c r="A746" s="20"/>
    </row>
    <row r="747" spans="1:1">
      <c r="A747" s="20"/>
    </row>
    <row r="748" spans="1:1">
      <c r="A748" s="20"/>
    </row>
    <row r="749" spans="1:1">
      <c r="A749" s="20"/>
    </row>
    <row r="750" spans="1:1">
      <c r="A750" s="20"/>
    </row>
    <row r="751" spans="1:1">
      <c r="A751" s="20"/>
    </row>
    <row r="752" spans="1:1">
      <c r="A752" s="20"/>
    </row>
    <row r="753" spans="1:1">
      <c r="A753" s="20"/>
    </row>
    <row r="754" spans="1:1">
      <c r="A754" s="20"/>
    </row>
    <row r="755" spans="1:1">
      <c r="A755" s="20"/>
    </row>
    <row r="756" spans="1:1">
      <c r="A756" s="20"/>
    </row>
    <row r="757" spans="1:1">
      <c r="A757" s="20"/>
    </row>
    <row r="758" spans="1:1">
      <c r="A758" s="20"/>
    </row>
    <row r="759" spans="1:1">
      <c r="A759" s="20"/>
    </row>
    <row r="760" spans="1:1">
      <c r="A760" s="20"/>
    </row>
    <row r="761" spans="1:1">
      <c r="A761" s="20"/>
    </row>
    <row r="762" spans="1:1">
      <c r="A762" s="20"/>
    </row>
    <row r="763" spans="1:1">
      <c r="A763" s="20"/>
    </row>
    <row r="764" spans="1:1">
      <c r="A764" s="20"/>
    </row>
    <row r="765" spans="1:1">
      <c r="A765" s="20"/>
    </row>
    <row r="766" spans="1:1">
      <c r="A766" s="20"/>
    </row>
    <row r="767" spans="1:1">
      <c r="A767" s="20"/>
    </row>
    <row r="768" spans="1:1">
      <c r="A768" s="20"/>
    </row>
    <row r="769" spans="1:1">
      <c r="A769" s="20"/>
    </row>
    <row r="770" spans="1:1">
      <c r="A770" s="20"/>
    </row>
    <row r="771" spans="1:1">
      <c r="A771" s="20"/>
    </row>
    <row r="772" spans="1:1">
      <c r="A772" s="20"/>
    </row>
    <row r="773" spans="1:1">
      <c r="A773" s="20"/>
    </row>
    <row r="774" spans="1:1">
      <c r="A774" s="20"/>
    </row>
    <row r="775" spans="1:1">
      <c r="A775" s="20"/>
    </row>
    <row r="776" spans="1:1">
      <c r="A776" s="20"/>
    </row>
    <row r="777" spans="1:1">
      <c r="A777" s="20"/>
    </row>
    <row r="778" spans="1:1">
      <c r="A778" s="20"/>
    </row>
    <row r="779" spans="1:1">
      <c r="A779" s="20"/>
    </row>
    <row r="780" spans="1:1">
      <c r="A780" s="20"/>
    </row>
    <row r="781" spans="1:1">
      <c r="A781" s="20"/>
    </row>
    <row r="782" spans="1:1">
      <c r="A782" s="20"/>
    </row>
    <row r="783" spans="1:1">
      <c r="A783" s="20"/>
    </row>
    <row r="784" spans="1:1">
      <c r="A784" s="20"/>
    </row>
    <row r="785" spans="1:1">
      <c r="A785" s="20"/>
    </row>
    <row r="786" spans="1:1">
      <c r="A786" s="20"/>
    </row>
    <row r="787" spans="1:1">
      <c r="A787" s="20"/>
    </row>
    <row r="788" spans="1:1">
      <c r="A788" s="20"/>
    </row>
    <row r="789" spans="1:1">
      <c r="A789" s="20"/>
    </row>
    <row r="790" spans="1:1">
      <c r="A790" s="20"/>
    </row>
    <row r="791" spans="1:1">
      <c r="A791" s="20"/>
    </row>
    <row r="792" spans="1:1">
      <c r="A792" s="20"/>
    </row>
    <row r="793" spans="1:1">
      <c r="A793" s="20"/>
    </row>
    <row r="794" spans="1:1">
      <c r="A794" s="20"/>
    </row>
    <row r="795" spans="1:1">
      <c r="A795" s="20"/>
    </row>
    <row r="796" spans="1:1">
      <c r="A796" s="20"/>
    </row>
    <row r="797" spans="1:1">
      <c r="A797" s="20"/>
    </row>
    <row r="798" spans="1:1">
      <c r="A798" s="20"/>
    </row>
    <row r="799" spans="1:1">
      <c r="A799" s="20"/>
    </row>
    <row r="800" spans="1:1">
      <c r="A800" s="20"/>
    </row>
    <row r="801" spans="1:1">
      <c r="A801" s="20"/>
    </row>
    <row r="802" spans="1:1">
      <c r="A802" s="20"/>
    </row>
    <row r="803" spans="1:1">
      <c r="A803" s="20"/>
    </row>
    <row r="804" spans="1:1">
      <c r="A804" s="20"/>
    </row>
    <row r="805" spans="1:1">
      <c r="A805" s="20"/>
    </row>
    <row r="806" spans="1:1">
      <c r="A806" s="20"/>
    </row>
    <row r="807" spans="1:1">
      <c r="A807" s="20"/>
    </row>
    <row r="808" spans="1:1">
      <c r="A808" s="20"/>
    </row>
    <row r="809" spans="1:1">
      <c r="A809" s="20"/>
    </row>
    <row r="810" spans="1:1">
      <c r="A810" s="20"/>
    </row>
    <row r="811" spans="1:1">
      <c r="A811" s="20"/>
    </row>
    <row r="812" spans="1:1">
      <c r="A812" s="20"/>
    </row>
    <row r="813" spans="1:1">
      <c r="A813" s="20"/>
    </row>
    <row r="814" spans="1:1">
      <c r="A814" s="20"/>
    </row>
    <row r="815" spans="1:1">
      <c r="A815" s="20"/>
    </row>
    <row r="816" spans="1:1">
      <c r="A816" s="20"/>
    </row>
    <row r="817" spans="1:1">
      <c r="A817" s="20"/>
    </row>
    <row r="818" spans="1:1">
      <c r="A818" s="20"/>
    </row>
    <row r="819" spans="1:1">
      <c r="A819" s="20"/>
    </row>
    <row r="820" spans="1:1">
      <c r="A820" s="20"/>
    </row>
    <row r="821" spans="1:1">
      <c r="A821" s="20"/>
    </row>
    <row r="822" spans="1:1">
      <c r="A822" s="20"/>
    </row>
    <row r="823" spans="1:1">
      <c r="A823" s="20"/>
    </row>
    <row r="824" spans="1:1">
      <c r="A824" s="20"/>
    </row>
    <row r="825" spans="1:1">
      <c r="A825" s="20"/>
    </row>
    <row r="826" spans="1:1">
      <c r="A826" s="20"/>
    </row>
    <row r="827" spans="1:1">
      <c r="A827" s="20"/>
    </row>
    <row r="828" spans="1:1">
      <c r="A828" s="20"/>
    </row>
    <row r="829" spans="1:1">
      <c r="A829" s="20"/>
    </row>
    <row r="830" spans="1:1">
      <c r="A830" s="20"/>
    </row>
    <row r="831" spans="1:1">
      <c r="A831" s="20"/>
    </row>
    <row r="832" spans="1:1">
      <c r="A832" s="20"/>
    </row>
    <row r="833" spans="1:1">
      <c r="A833" s="20"/>
    </row>
    <row r="834" spans="1:1">
      <c r="A834" s="20"/>
    </row>
    <row r="835" spans="1:1">
      <c r="A835" s="20"/>
    </row>
    <row r="836" spans="1:1">
      <c r="A836" s="20"/>
    </row>
    <row r="837" spans="1:1">
      <c r="A837" s="20"/>
    </row>
    <row r="838" spans="1:1">
      <c r="A838" s="20"/>
    </row>
    <row r="839" spans="1:1">
      <c r="A839" s="20"/>
    </row>
    <row r="840" spans="1:1">
      <c r="A840" s="20"/>
    </row>
    <row r="841" spans="1:1">
      <c r="A841" s="20"/>
    </row>
    <row r="842" spans="1:1">
      <c r="A842" s="20"/>
    </row>
    <row r="843" spans="1:1">
      <c r="A843" s="20"/>
    </row>
    <row r="844" spans="1:1">
      <c r="A844" s="20"/>
    </row>
    <row r="845" spans="1:1">
      <c r="A845" s="20"/>
    </row>
    <row r="846" spans="1:1">
      <c r="A846" s="20"/>
    </row>
    <row r="847" spans="1:1">
      <c r="A847" s="20"/>
    </row>
    <row r="848" spans="1:1">
      <c r="A848" s="20"/>
    </row>
    <row r="849" spans="1:1">
      <c r="A849" s="20"/>
    </row>
    <row r="850" spans="1:1">
      <c r="A850" s="20"/>
    </row>
    <row r="851" spans="1:1">
      <c r="A851" s="20"/>
    </row>
    <row r="852" spans="1:1">
      <c r="A852" s="20"/>
    </row>
    <row r="853" spans="1:1">
      <c r="A853" s="20"/>
    </row>
    <row r="854" spans="1:1">
      <c r="A854" s="20"/>
    </row>
    <row r="855" spans="1:1">
      <c r="A855" s="20"/>
    </row>
    <row r="856" spans="1:1">
      <c r="A856" s="20"/>
    </row>
    <row r="857" spans="1:1">
      <c r="A857" s="20"/>
    </row>
    <row r="858" spans="1:1">
      <c r="A858" s="20"/>
    </row>
    <row r="859" spans="1:1">
      <c r="A859" s="20"/>
    </row>
    <row r="860" spans="1:1">
      <c r="A860" s="20"/>
    </row>
    <row r="861" spans="1:1">
      <c r="A861" s="20"/>
    </row>
    <row r="862" spans="1:1">
      <c r="A862" s="20"/>
    </row>
    <row r="863" spans="1:1">
      <c r="A863" s="20"/>
    </row>
    <row r="864" spans="1:1">
      <c r="A864" s="20"/>
    </row>
    <row r="865" spans="1:1">
      <c r="A865" s="20"/>
    </row>
    <row r="866" spans="1:1">
      <c r="A866" s="20"/>
    </row>
    <row r="867" spans="1:1">
      <c r="A867" s="20"/>
    </row>
    <row r="868" spans="1:1">
      <c r="A868" s="20"/>
    </row>
    <row r="869" spans="1:1">
      <c r="A869" s="20"/>
    </row>
    <row r="870" spans="1:1">
      <c r="A870" s="20"/>
    </row>
    <row r="871" spans="1:1">
      <c r="A871" s="20"/>
    </row>
    <row r="872" spans="1:1">
      <c r="A872" s="20"/>
    </row>
    <row r="873" spans="1:1">
      <c r="A873" s="20"/>
    </row>
    <row r="874" spans="1:1">
      <c r="A874" s="20"/>
    </row>
    <row r="875" spans="1:1">
      <c r="A875" s="20"/>
    </row>
    <row r="876" spans="1:1">
      <c r="A876" s="20"/>
    </row>
    <row r="877" spans="1:1">
      <c r="A877" s="20"/>
    </row>
    <row r="878" spans="1:1">
      <c r="A878" s="20"/>
    </row>
    <row r="879" spans="1:1">
      <c r="A879" s="20"/>
    </row>
    <row r="880" spans="1:1">
      <c r="A880" s="20"/>
    </row>
    <row r="881" spans="1:1">
      <c r="A881" s="20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DB7F-5993-452F-91B0-F3B53E359AE9}">
  <dimension ref="A1:T171"/>
  <sheetViews>
    <sheetView topLeftCell="A125" zoomScale="95" zoomScaleNormal="95" workbookViewId="0">
      <selection activeCell="G161" sqref="G161"/>
    </sheetView>
  </sheetViews>
  <sheetFormatPr defaultRowHeight="12.75"/>
  <cols>
    <col min="1" max="2" width="9.140625" style="81"/>
    <col min="3" max="3" width="14.7109375" style="81" customWidth="1"/>
    <col min="4" max="4" width="9.140625" style="82"/>
    <col min="5" max="13" width="14.42578125" style="82" customWidth="1"/>
    <col min="14" max="14" width="16.85546875" style="82" customWidth="1"/>
    <col min="15" max="15" width="17.42578125" style="82" customWidth="1"/>
    <col min="16" max="16384" width="9.140625" style="82"/>
  </cols>
  <sheetData>
    <row r="1" spans="1:15" ht="21" hidden="1">
      <c r="A1" s="721" t="s">
        <v>1640</v>
      </c>
      <c r="B1" s="721"/>
      <c r="C1" s="721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</row>
    <row r="2" spans="1:15" s="81" customFormat="1" hidden="1">
      <c r="A2" s="116" t="s">
        <v>1641</v>
      </c>
      <c r="B2" s="116" t="s">
        <v>1642</v>
      </c>
      <c r="C2" s="116" t="s">
        <v>1643</v>
      </c>
      <c r="D2" s="116" t="s">
        <v>1644</v>
      </c>
      <c r="E2" s="116" t="s">
        <v>1645</v>
      </c>
      <c r="F2" s="116" t="s">
        <v>1646</v>
      </c>
      <c r="G2" s="116" t="s">
        <v>1647</v>
      </c>
      <c r="H2" s="116" t="s">
        <v>1648</v>
      </c>
      <c r="I2" s="116" t="s">
        <v>1649</v>
      </c>
      <c r="J2" s="116" t="s">
        <v>1650</v>
      </c>
      <c r="K2" s="116" t="s">
        <v>1651</v>
      </c>
      <c r="L2" s="116" t="s">
        <v>1652</v>
      </c>
      <c r="M2" s="116" t="s">
        <v>1653</v>
      </c>
      <c r="N2" s="116" t="s">
        <v>1654</v>
      </c>
    </row>
    <row r="3" spans="1:15" s="81" customFormat="1" hidden="1">
      <c r="A3" s="116"/>
      <c r="B3" s="116"/>
      <c r="C3" s="116" t="s">
        <v>1655</v>
      </c>
      <c r="D3" s="116"/>
      <c r="E3" s="116" t="s">
        <v>1656</v>
      </c>
      <c r="F3" s="116" t="s">
        <v>1657</v>
      </c>
      <c r="G3" s="116" t="s">
        <v>1658</v>
      </c>
      <c r="H3" s="116" t="s">
        <v>1659</v>
      </c>
      <c r="I3" s="116" t="s">
        <v>1660</v>
      </c>
      <c r="J3" s="116" t="s">
        <v>1661</v>
      </c>
      <c r="K3" s="116" t="s">
        <v>1662</v>
      </c>
      <c r="L3" s="116" t="s">
        <v>1663</v>
      </c>
      <c r="M3" s="116"/>
      <c r="N3" s="116"/>
    </row>
    <row r="4" spans="1:15" hidden="1">
      <c r="A4" s="116" t="s">
        <v>1664</v>
      </c>
      <c r="B4" s="116" t="s">
        <v>1665</v>
      </c>
      <c r="C4" s="123">
        <v>6240.88</v>
      </c>
      <c r="D4" s="116" t="s">
        <v>1666</v>
      </c>
      <c r="E4" s="123"/>
      <c r="F4" s="123"/>
      <c r="G4" s="123"/>
      <c r="H4" s="123"/>
      <c r="I4" s="123"/>
      <c r="J4" s="123"/>
      <c r="K4" s="123"/>
      <c r="L4" s="123"/>
      <c r="M4" s="123"/>
      <c r="N4" s="123">
        <f>SUM(E4:M4)</f>
        <v>0</v>
      </c>
      <c r="O4" s="124">
        <f>C4-N4</f>
        <v>6240.88</v>
      </c>
    </row>
    <row r="5" spans="1:15" s="128" customFormat="1" hidden="1">
      <c r="A5" s="125" t="s">
        <v>1664</v>
      </c>
      <c r="B5" s="125" t="s">
        <v>1667</v>
      </c>
      <c r="C5" s="126">
        <v>102796.95</v>
      </c>
      <c r="D5" s="125" t="s">
        <v>1668</v>
      </c>
      <c r="E5" s="126"/>
      <c r="F5" s="126"/>
      <c r="G5" s="126">
        <v>18695</v>
      </c>
      <c r="H5" s="126">
        <v>7520</v>
      </c>
      <c r="I5" s="126"/>
      <c r="J5" s="126"/>
      <c r="K5" s="126"/>
      <c r="L5" s="126">
        <f>3360+10360+18510+3650</f>
        <v>35880</v>
      </c>
      <c r="M5" s="126"/>
      <c r="N5" s="126">
        <f t="shared" ref="N5:N11" si="0">SUM(E5:M5)</f>
        <v>62095</v>
      </c>
      <c r="O5" s="127">
        <f t="shared" ref="O5:O12" si="1">C5-N5</f>
        <v>40701.949999999997</v>
      </c>
    </row>
    <row r="6" spans="1:15" s="128" customFormat="1" hidden="1">
      <c r="A6" s="125" t="s">
        <v>1669</v>
      </c>
      <c r="B6" s="125" t="s">
        <v>1670</v>
      </c>
      <c r="C6" s="126">
        <v>45080</v>
      </c>
      <c r="D6" s="125" t="s">
        <v>1668</v>
      </c>
      <c r="E6" s="126">
        <f>14505+36440</f>
        <v>50945</v>
      </c>
      <c r="F6" s="126"/>
      <c r="G6" s="126"/>
      <c r="H6" s="126"/>
      <c r="I6" s="126"/>
      <c r="J6" s="126"/>
      <c r="K6" s="126"/>
      <c r="L6" s="126"/>
      <c r="M6" s="126"/>
      <c r="N6" s="126">
        <f t="shared" si="0"/>
        <v>50945</v>
      </c>
      <c r="O6" s="127">
        <f t="shared" si="1"/>
        <v>-5865</v>
      </c>
    </row>
    <row r="7" spans="1:15" hidden="1">
      <c r="A7" s="116" t="s">
        <v>1671</v>
      </c>
      <c r="B7" s="116" t="s">
        <v>1672</v>
      </c>
      <c r="C7" s="123">
        <v>13138</v>
      </c>
      <c r="D7" s="116" t="s">
        <v>1666</v>
      </c>
      <c r="E7" s="123"/>
      <c r="F7" s="123">
        <v>6450</v>
      </c>
      <c r="G7" s="123"/>
      <c r="H7" s="123">
        <v>16651</v>
      </c>
      <c r="I7" s="123"/>
      <c r="J7" s="123"/>
      <c r="K7" s="123"/>
      <c r="L7" s="123"/>
      <c r="M7" s="123"/>
      <c r="N7" s="123">
        <f t="shared" si="0"/>
        <v>23101</v>
      </c>
      <c r="O7" s="124">
        <f t="shared" si="1"/>
        <v>-9963</v>
      </c>
    </row>
    <row r="8" spans="1:15" s="128" customFormat="1" hidden="1">
      <c r="A8" s="125" t="s">
        <v>1671</v>
      </c>
      <c r="B8" s="125" t="s">
        <v>1673</v>
      </c>
      <c r="C8" s="126">
        <v>15589</v>
      </c>
      <c r="D8" s="125" t="s">
        <v>1668</v>
      </c>
      <c r="E8" s="126"/>
      <c r="F8" s="126"/>
      <c r="G8" s="126"/>
      <c r="H8" s="126">
        <v>23840</v>
      </c>
      <c r="I8" s="126"/>
      <c r="J8" s="126"/>
      <c r="K8" s="126"/>
      <c r="L8" s="126"/>
      <c r="M8" s="126"/>
      <c r="N8" s="126">
        <f t="shared" si="0"/>
        <v>23840</v>
      </c>
      <c r="O8" s="127">
        <f t="shared" si="1"/>
        <v>-8251</v>
      </c>
    </row>
    <row r="9" spans="1:15" hidden="1">
      <c r="A9" s="116" t="s">
        <v>1674</v>
      </c>
      <c r="B9" s="116" t="s">
        <v>1675</v>
      </c>
      <c r="C9" s="123">
        <v>137462</v>
      </c>
      <c r="D9" s="116" t="s">
        <v>1666</v>
      </c>
      <c r="E9" s="123"/>
      <c r="F9" s="123">
        <v>16650</v>
      </c>
      <c r="G9" s="123">
        <v>23095</v>
      </c>
      <c r="H9" s="123">
        <v>394</v>
      </c>
      <c r="I9" s="123">
        <v>16715</v>
      </c>
      <c r="J9" s="123">
        <v>45120</v>
      </c>
      <c r="K9" s="123">
        <f>44780+20900</f>
        <v>65680</v>
      </c>
      <c r="L9" s="123">
        <f>21900+8440</f>
        <v>30340</v>
      </c>
      <c r="M9" s="123">
        <v>23895</v>
      </c>
      <c r="N9" s="123">
        <f t="shared" si="0"/>
        <v>221889</v>
      </c>
      <c r="O9" s="124">
        <f t="shared" si="1"/>
        <v>-84427</v>
      </c>
    </row>
    <row r="10" spans="1:15" s="128" customFormat="1" hidden="1">
      <c r="A10" s="125" t="s">
        <v>1674</v>
      </c>
      <c r="B10" s="125" t="s">
        <v>1676</v>
      </c>
      <c r="C10" s="126">
        <v>116638</v>
      </c>
      <c r="D10" s="125" t="s">
        <v>1668</v>
      </c>
      <c r="E10" s="126"/>
      <c r="F10" s="126">
        <v>26170</v>
      </c>
      <c r="G10" s="126">
        <v>14390</v>
      </c>
      <c r="H10" s="126">
        <v>5695</v>
      </c>
      <c r="I10" s="126"/>
      <c r="J10" s="126"/>
      <c r="K10" s="126">
        <v>57640</v>
      </c>
      <c r="L10" s="126">
        <v>29305</v>
      </c>
      <c r="M10" s="126">
        <v>45750</v>
      </c>
      <c r="N10" s="126">
        <f t="shared" si="0"/>
        <v>178950</v>
      </c>
      <c r="O10" s="127">
        <f t="shared" si="1"/>
        <v>-62312</v>
      </c>
    </row>
    <row r="11" spans="1:15" hidden="1">
      <c r="A11" s="116" t="s">
        <v>1677</v>
      </c>
      <c r="B11" s="116" t="s">
        <v>1678</v>
      </c>
      <c r="C11" s="123">
        <v>18865.759999999998</v>
      </c>
      <c r="D11" s="116" t="s">
        <v>1666</v>
      </c>
      <c r="E11" s="123"/>
      <c r="F11" s="123"/>
      <c r="G11" s="123"/>
      <c r="H11" s="123"/>
      <c r="I11" s="123"/>
      <c r="J11" s="123">
        <v>3130</v>
      </c>
      <c r="K11" s="123"/>
      <c r="L11" s="129"/>
      <c r="M11" s="123">
        <f>1500+1720</f>
        <v>3220</v>
      </c>
      <c r="N11" s="123">
        <f t="shared" si="0"/>
        <v>6350</v>
      </c>
      <c r="O11" s="124">
        <f t="shared" si="1"/>
        <v>12515.759999999998</v>
      </c>
    </row>
    <row r="12" spans="1:15" hidden="1">
      <c r="A12" s="116" t="s">
        <v>1679</v>
      </c>
      <c r="B12" s="116" t="s">
        <v>1680</v>
      </c>
      <c r="C12" s="123">
        <v>12810</v>
      </c>
      <c r="D12" s="116" t="s">
        <v>1666</v>
      </c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4">
        <f t="shared" si="1"/>
        <v>12810</v>
      </c>
    </row>
    <row r="13" spans="1:15" hidden="1">
      <c r="A13" s="116"/>
      <c r="B13" s="116"/>
      <c r="C13" s="130"/>
      <c r="D13" s="117"/>
      <c r="E13" s="123"/>
      <c r="F13" s="123"/>
      <c r="G13" s="123"/>
      <c r="H13" s="123"/>
      <c r="I13" s="123"/>
      <c r="J13" s="123"/>
      <c r="K13" s="123"/>
      <c r="L13" s="123"/>
      <c r="M13" s="123"/>
      <c r="N13" s="123"/>
    </row>
    <row r="14" spans="1:15" hidden="1">
      <c r="A14" s="116"/>
      <c r="B14" s="116"/>
      <c r="C14" s="123">
        <f>SUM(C4:C13)</f>
        <v>468620.59</v>
      </c>
      <c r="D14" s="116" t="s">
        <v>1603</v>
      </c>
      <c r="E14" s="123">
        <f t="shared" ref="E14:N14" si="2">SUM(E4:E13)</f>
        <v>50945</v>
      </c>
      <c r="F14" s="123">
        <f t="shared" si="2"/>
        <v>49270</v>
      </c>
      <c r="G14" s="123">
        <f t="shared" si="2"/>
        <v>56180</v>
      </c>
      <c r="H14" s="123">
        <f t="shared" si="2"/>
        <v>54100</v>
      </c>
      <c r="I14" s="123">
        <f t="shared" si="2"/>
        <v>16715</v>
      </c>
      <c r="J14" s="123">
        <f t="shared" si="2"/>
        <v>48250</v>
      </c>
      <c r="K14" s="123">
        <f t="shared" si="2"/>
        <v>123320</v>
      </c>
      <c r="L14" s="123">
        <f t="shared" si="2"/>
        <v>95525</v>
      </c>
      <c r="M14" s="123">
        <f t="shared" si="2"/>
        <v>72865</v>
      </c>
      <c r="N14" s="123">
        <f t="shared" si="2"/>
        <v>567170</v>
      </c>
    </row>
    <row r="15" spans="1:15" hidden="1">
      <c r="A15" s="116"/>
      <c r="B15" s="116"/>
      <c r="C15" s="116"/>
      <c r="D15" s="117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81" t="s">
        <v>1681</v>
      </c>
    </row>
    <row r="16" spans="1:15" hidden="1">
      <c r="A16" s="116"/>
      <c r="B16" s="116"/>
      <c r="C16" s="722" t="s">
        <v>1682</v>
      </c>
      <c r="D16" s="116" t="s">
        <v>1666</v>
      </c>
      <c r="E16" s="123">
        <f>E4+E7+E9+E11</f>
        <v>0</v>
      </c>
      <c r="F16" s="123">
        <f t="shared" ref="F16:N16" si="3">F4+F7+F9+F11</f>
        <v>23100</v>
      </c>
      <c r="G16" s="123">
        <f t="shared" si="3"/>
        <v>23095</v>
      </c>
      <c r="H16" s="123">
        <f t="shared" si="3"/>
        <v>17045</v>
      </c>
      <c r="I16" s="123">
        <f t="shared" si="3"/>
        <v>16715</v>
      </c>
      <c r="J16" s="123">
        <f t="shared" si="3"/>
        <v>48250</v>
      </c>
      <c r="K16" s="123">
        <f t="shared" si="3"/>
        <v>65680</v>
      </c>
      <c r="L16" s="123">
        <f t="shared" si="3"/>
        <v>30340</v>
      </c>
      <c r="M16" s="123">
        <f>M4+M7+M9+M11+M12</f>
        <v>27115</v>
      </c>
      <c r="N16" s="123">
        <f t="shared" si="3"/>
        <v>251340</v>
      </c>
      <c r="O16" s="131">
        <f>N16-C20</f>
        <v>62823.359999999986</v>
      </c>
    </row>
    <row r="17" spans="1:15" s="128" customFormat="1" hidden="1">
      <c r="A17" s="125"/>
      <c r="B17" s="125"/>
      <c r="C17" s="723"/>
      <c r="D17" s="125" t="s">
        <v>1668</v>
      </c>
      <c r="E17" s="126">
        <f>E5+E6+E8+E10</f>
        <v>50945</v>
      </c>
      <c r="F17" s="126">
        <f t="shared" ref="F17:N17" si="4">F5+F6+F8+F10</f>
        <v>26170</v>
      </c>
      <c r="G17" s="126">
        <f t="shared" si="4"/>
        <v>33085</v>
      </c>
      <c r="H17" s="126">
        <f t="shared" si="4"/>
        <v>37055</v>
      </c>
      <c r="I17" s="126">
        <f t="shared" si="4"/>
        <v>0</v>
      </c>
      <c r="J17" s="126">
        <f t="shared" si="4"/>
        <v>0</v>
      </c>
      <c r="K17" s="126">
        <f t="shared" si="4"/>
        <v>57640</v>
      </c>
      <c r="L17" s="126">
        <f t="shared" si="4"/>
        <v>65185</v>
      </c>
      <c r="M17" s="126">
        <f t="shared" si="4"/>
        <v>45750</v>
      </c>
      <c r="N17" s="126">
        <f t="shared" si="4"/>
        <v>315830</v>
      </c>
      <c r="O17" s="133">
        <f>N17-C21</f>
        <v>35726.049999999988</v>
      </c>
    </row>
    <row r="18" spans="1:15" hidden="1">
      <c r="D18" s="81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1"/>
    </row>
    <row r="19" spans="1:15" hidden="1">
      <c r="B19" s="81" t="s">
        <v>1683</v>
      </c>
      <c r="D19" s="81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1"/>
    </row>
    <row r="20" spans="1:15" hidden="1">
      <c r="B20" s="81" t="s">
        <v>1684</v>
      </c>
      <c r="C20" s="135">
        <f>C4+C7+C9+C11+C12</f>
        <v>188516.64</v>
      </c>
      <c r="E20" s="135">
        <f>197.94*1000</f>
        <v>197940</v>
      </c>
      <c r="N20" s="131">
        <f>N16+N17</f>
        <v>567170</v>
      </c>
    </row>
    <row r="21" spans="1:15" s="128" customFormat="1" hidden="1">
      <c r="A21" s="136"/>
      <c r="B21" s="136" t="s">
        <v>1685</v>
      </c>
      <c r="C21" s="137">
        <f>C5+C6+C8+C10</f>
        <v>280103.95</v>
      </c>
      <c r="E21" s="137">
        <f>308.11*1000</f>
        <v>308110</v>
      </c>
    </row>
    <row r="22" spans="1:15" hidden="1">
      <c r="C22" s="135">
        <f>C20+C21</f>
        <v>468620.59</v>
      </c>
      <c r="L22" s="82">
        <v>280</v>
      </c>
      <c r="M22" s="131">
        <f>N7+N9</f>
        <v>244990</v>
      </c>
    </row>
    <row r="23" spans="1:15" hidden="1">
      <c r="L23" s="82">
        <v>420</v>
      </c>
      <c r="M23" s="131">
        <f>N8+N10</f>
        <v>202790</v>
      </c>
    </row>
    <row r="24" spans="1:15" ht="13.5" hidden="1">
      <c r="H24" s="178"/>
    </row>
    <row r="25" spans="1:15" ht="13.5" hidden="1">
      <c r="C25" s="179" t="s">
        <v>1778</v>
      </c>
      <c r="E25" s="82">
        <v>380</v>
      </c>
      <c r="F25" s="191">
        <f>300/20</f>
        <v>15</v>
      </c>
      <c r="G25" s="192">
        <f>E25*F25</f>
        <v>5700</v>
      </c>
      <c r="H25" s="192"/>
    </row>
    <row r="26" spans="1:15" ht="13.5" hidden="1">
      <c r="C26" s="179" t="s">
        <v>1779</v>
      </c>
      <c r="E26" s="82">
        <f>119+315+48+140+46+70+119+101</f>
        <v>958</v>
      </c>
      <c r="F26" s="191">
        <f>280/20</f>
        <v>14</v>
      </c>
      <c r="G26" s="192">
        <f>E26*F26</f>
        <v>13412</v>
      </c>
      <c r="H26" s="131">
        <f>N9</f>
        <v>221889</v>
      </c>
      <c r="I26" s="192">
        <f>H26-G25-G27-G29</f>
        <v>207083</v>
      </c>
    </row>
    <row r="27" spans="1:15" ht="13.5" hidden="1">
      <c r="B27" s="720" t="s">
        <v>1991</v>
      </c>
      <c r="C27" s="720"/>
      <c r="D27" s="113" t="s">
        <v>1785</v>
      </c>
      <c r="E27" s="82">
        <f>E26-E28</f>
        <v>643</v>
      </c>
      <c r="F27" s="191">
        <f t="shared" ref="F27:F28" si="5">280/20</f>
        <v>14</v>
      </c>
      <c r="G27" s="192">
        <f t="shared" ref="G27" si="6">E27*F27</f>
        <v>9002</v>
      </c>
      <c r="H27" s="131">
        <f>N10</f>
        <v>178950</v>
      </c>
      <c r="I27" s="192">
        <f>H27-G28-G30</f>
        <v>174262</v>
      </c>
    </row>
    <row r="28" spans="1:15" ht="13.5" hidden="1">
      <c r="C28" s="179"/>
      <c r="D28" s="113" t="s">
        <v>1786</v>
      </c>
      <c r="E28" s="82">
        <v>315</v>
      </c>
      <c r="F28" s="191">
        <f t="shared" si="5"/>
        <v>14</v>
      </c>
      <c r="G28" s="192">
        <f>E28*F27</f>
        <v>4410</v>
      </c>
    </row>
    <row r="29" spans="1:15" ht="13.5" hidden="1">
      <c r="C29" s="179" t="s">
        <v>1780</v>
      </c>
      <c r="D29" s="113" t="s">
        <v>1785</v>
      </c>
      <c r="E29" s="82">
        <f>16+24+48+16</f>
        <v>104</v>
      </c>
      <c r="F29" s="193">
        <v>1</v>
      </c>
      <c r="G29" s="192">
        <f>E29*F29</f>
        <v>104</v>
      </c>
    </row>
    <row r="30" spans="1:15" hidden="1">
      <c r="D30" s="113" t="s">
        <v>1786</v>
      </c>
      <c r="E30" s="82">
        <f>73+66+73+66</f>
        <v>278</v>
      </c>
      <c r="G30" s="192">
        <f>E30*F29</f>
        <v>278</v>
      </c>
    </row>
    <row r="31" spans="1:15" ht="13.5" hidden="1">
      <c r="C31" s="179" t="s">
        <v>1784</v>
      </c>
      <c r="D31" s="113" t="s">
        <v>1786</v>
      </c>
      <c r="E31" s="82">
        <f>630+313+608</f>
        <v>1551</v>
      </c>
      <c r="F31" s="193">
        <v>1</v>
      </c>
      <c r="G31" s="192">
        <f>E31*F31</f>
        <v>1551</v>
      </c>
    </row>
    <row r="32" spans="1:15" hidden="1"/>
    <row r="33" spans="1:18" ht="15">
      <c r="B33" s="195">
        <v>4</v>
      </c>
      <c r="C33" s="195">
        <v>5</v>
      </c>
      <c r="D33" s="195">
        <v>6</v>
      </c>
      <c r="E33" s="195">
        <v>7</v>
      </c>
      <c r="F33" s="195">
        <v>8</v>
      </c>
      <c r="G33" s="195">
        <v>9</v>
      </c>
      <c r="H33" s="195">
        <v>10</v>
      </c>
      <c r="I33" s="195"/>
      <c r="J33" s="195">
        <v>4</v>
      </c>
      <c r="K33" s="195">
        <v>5</v>
      </c>
      <c r="L33" s="195">
        <v>6</v>
      </c>
      <c r="M33" s="195">
        <v>7</v>
      </c>
      <c r="N33" s="195">
        <v>8</v>
      </c>
      <c r="O33" s="195">
        <v>9</v>
      </c>
      <c r="P33" s="195">
        <v>10</v>
      </c>
    </row>
    <row r="34" spans="1:18" ht="15">
      <c r="B34" s="195">
        <v>0.99399999999999999</v>
      </c>
      <c r="C34" s="195">
        <v>1.56</v>
      </c>
      <c r="D34" s="195">
        <v>2.25</v>
      </c>
      <c r="E34" s="195">
        <v>3.04</v>
      </c>
      <c r="F34" s="195">
        <v>3.98</v>
      </c>
      <c r="G34" s="195">
        <v>5.08</v>
      </c>
      <c r="H34" s="195">
        <v>6.39</v>
      </c>
      <c r="I34" s="195"/>
      <c r="J34" s="195">
        <v>0.99399999999999999</v>
      </c>
      <c r="K34" s="195">
        <v>1.56</v>
      </c>
      <c r="L34" s="195">
        <v>2.25</v>
      </c>
      <c r="M34" s="195">
        <v>3.04</v>
      </c>
      <c r="N34" s="195">
        <v>3.98</v>
      </c>
      <c r="O34" s="195">
        <v>5.08</v>
      </c>
      <c r="P34" s="195">
        <v>6.39</v>
      </c>
    </row>
    <row r="35" spans="1:18" ht="16.5">
      <c r="A35" s="194"/>
      <c r="B35" s="194" t="s">
        <v>1234</v>
      </c>
      <c r="C35" s="195" t="s">
        <v>1789</v>
      </c>
      <c r="D35" s="195"/>
      <c r="E35" s="195"/>
      <c r="F35" s="195"/>
      <c r="G35" s="194"/>
      <c r="H35" s="194" t="s">
        <v>1234</v>
      </c>
      <c r="I35" s="195" t="s">
        <v>1790</v>
      </c>
      <c r="J35" s="195"/>
      <c r="K35" s="195"/>
      <c r="L35" s="195"/>
      <c r="M35" s="195"/>
      <c r="N35" s="196" t="s">
        <v>1791</v>
      </c>
      <c r="O35" s="195" t="s">
        <v>1792</v>
      </c>
      <c r="P35" s="195" t="s">
        <v>1793</v>
      </c>
      <c r="Q35" s="195"/>
      <c r="R35" s="195"/>
    </row>
    <row r="36" spans="1:18" ht="15.75">
      <c r="A36" s="197" t="s">
        <v>1794</v>
      </c>
      <c r="B36" s="197" t="s">
        <v>1795</v>
      </c>
      <c r="C36" s="197" t="s">
        <v>1796</v>
      </c>
      <c r="D36" s="198" t="s">
        <v>1797</v>
      </c>
      <c r="E36" s="197" t="s">
        <v>1798</v>
      </c>
      <c r="F36" s="195"/>
      <c r="G36" s="197" t="s">
        <v>1794</v>
      </c>
      <c r="H36" s="197" t="s">
        <v>1795</v>
      </c>
      <c r="I36" s="197" t="s">
        <v>1796</v>
      </c>
      <c r="J36" s="198" t="s">
        <v>1797</v>
      </c>
      <c r="K36" s="197" t="s">
        <v>1798</v>
      </c>
      <c r="L36" s="195"/>
      <c r="M36" s="195" t="s">
        <v>1799</v>
      </c>
      <c r="N36" s="195" t="s">
        <v>1800</v>
      </c>
      <c r="O36" s="195" t="s">
        <v>1801</v>
      </c>
      <c r="P36" s="195" t="s">
        <v>1802</v>
      </c>
      <c r="Q36" s="195" t="s">
        <v>1803</v>
      </c>
      <c r="R36" s="195"/>
    </row>
    <row r="37" spans="1:18" ht="15">
      <c r="A37" s="195">
        <v>1</v>
      </c>
      <c r="B37" s="195">
        <v>10</v>
      </c>
      <c r="C37" s="195">
        <f>6.8+9.5+0.7*2</f>
        <v>17.7</v>
      </c>
      <c r="D37" s="195">
        <v>15</v>
      </c>
      <c r="E37" s="195">
        <f>C37*D37*H34</f>
        <v>1696.5449999999998</v>
      </c>
      <c r="F37" s="195"/>
      <c r="G37" s="195">
        <v>1</v>
      </c>
      <c r="H37" s="195">
        <v>10</v>
      </c>
      <c r="I37" s="195">
        <f>6.8+10.7+0.7*2</f>
        <v>18.899999999999999</v>
      </c>
      <c r="J37" s="195">
        <v>15</v>
      </c>
      <c r="K37" s="195">
        <f>I37*J37*P34</f>
        <v>1811.5649999999998</v>
      </c>
      <c r="L37" s="195"/>
      <c r="M37" s="195">
        <v>1</v>
      </c>
      <c r="N37" s="195">
        <v>6</v>
      </c>
      <c r="O37" s="195">
        <f>1.78+0.26*2</f>
        <v>2.2999999999999998</v>
      </c>
      <c r="P37" s="195">
        <f>4*18</f>
        <v>72</v>
      </c>
      <c r="Q37" s="195">
        <f>O37*P37*L34</f>
        <v>372.59999999999997</v>
      </c>
      <c r="R37" s="195"/>
    </row>
    <row r="38" spans="1:18" ht="15">
      <c r="A38" s="195">
        <v>2</v>
      </c>
      <c r="B38" s="195">
        <v>10</v>
      </c>
      <c r="C38" s="195">
        <f>6.8+8.9+0.7*2</f>
        <v>17.099999999999998</v>
      </c>
      <c r="D38" s="195">
        <v>15</v>
      </c>
      <c r="E38" s="195">
        <f>C38*D38*H34</f>
        <v>1639.0349999999996</v>
      </c>
      <c r="F38" s="195"/>
      <c r="G38" s="195">
        <v>2</v>
      </c>
      <c r="H38" s="195">
        <v>10</v>
      </c>
      <c r="I38" s="195">
        <f>6.8+10.1+0.7*2</f>
        <v>18.299999999999997</v>
      </c>
      <c r="J38" s="195">
        <v>15</v>
      </c>
      <c r="K38" s="195">
        <f>I38*J38*P34</f>
        <v>1754.0549999999996</v>
      </c>
      <c r="L38" s="195"/>
      <c r="M38" s="195">
        <v>4</v>
      </c>
      <c r="N38" s="195">
        <v>10</v>
      </c>
      <c r="O38" s="195">
        <f>1.08+0.46</f>
        <v>1.54</v>
      </c>
      <c r="P38" s="195">
        <f>7*18</f>
        <v>126</v>
      </c>
      <c r="Q38" s="195">
        <f>O38*P38*P34</f>
        <v>1239.9155999999998</v>
      </c>
      <c r="R38" s="195"/>
    </row>
    <row r="39" spans="1:18" ht="15">
      <c r="A39" s="195">
        <v>3</v>
      </c>
      <c r="B39" s="195">
        <v>8</v>
      </c>
      <c r="C39" s="195">
        <f>6.3+9.1+1.2*2</f>
        <v>17.799999999999997</v>
      </c>
      <c r="D39" s="195">
        <v>12</v>
      </c>
      <c r="E39" s="195">
        <f>C39*D39*F34</f>
        <v>850.12799999999982</v>
      </c>
      <c r="F39" s="195"/>
      <c r="G39" s="195">
        <v>3</v>
      </c>
      <c r="H39" s="195">
        <v>8</v>
      </c>
      <c r="I39" s="195">
        <f>6.3+10.3+1.2*2</f>
        <v>19</v>
      </c>
      <c r="J39" s="195">
        <v>12</v>
      </c>
      <c r="K39" s="195">
        <f>I39*J39*N34</f>
        <v>907.43999999999994</v>
      </c>
      <c r="L39" s="195"/>
      <c r="M39" s="195">
        <v>5</v>
      </c>
      <c r="N39" s="195">
        <v>6</v>
      </c>
      <c r="O39" s="195">
        <f>0.8+0.7+0.21+0.26</f>
        <v>1.97</v>
      </c>
      <c r="P39" s="195">
        <f>7*18</f>
        <v>126</v>
      </c>
      <c r="Q39" s="195">
        <f>O39*P39*L34</f>
        <v>558.495</v>
      </c>
      <c r="R39" s="195"/>
    </row>
    <row r="40" spans="1:18" ht="15">
      <c r="A40" s="195">
        <v>4</v>
      </c>
      <c r="B40" s="195">
        <v>5</v>
      </c>
      <c r="C40" s="195">
        <f>0.87*2+1.35+0.15*2</f>
        <v>3.3899999999999997</v>
      </c>
      <c r="D40" s="195">
        <v>95</v>
      </c>
      <c r="E40" s="195">
        <f>C40*D40*C34</f>
        <v>502.39799999999997</v>
      </c>
      <c r="F40" s="195"/>
      <c r="G40" s="195">
        <v>4</v>
      </c>
      <c r="H40" s="195">
        <v>5</v>
      </c>
      <c r="I40" s="195">
        <f>0.87*2+1.35+0.15*2</f>
        <v>3.3899999999999997</v>
      </c>
      <c r="J40" s="195">
        <v>104</v>
      </c>
      <c r="K40" s="195">
        <f>I40*J40*K34</f>
        <v>549.9935999999999</v>
      </c>
      <c r="L40" s="195"/>
      <c r="M40" s="195">
        <v>6</v>
      </c>
      <c r="N40" s="195">
        <v>5</v>
      </c>
      <c r="O40" s="195">
        <f>0.6+0.62*2</f>
        <v>1.8399999999999999</v>
      </c>
      <c r="P40" s="195">
        <f>7*18</f>
        <v>126</v>
      </c>
      <c r="Q40" s="195">
        <f>O40*P40*K34</f>
        <v>361.67039999999997</v>
      </c>
      <c r="R40" s="195"/>
    </row>
    <row r="41" spans="1:18" ht="15">
      <c r="A41" s="195"/>
      <c r="B41" s="195">
        <v>5</v>
      </c>
      <c r="C41" s="195">
        <v>1.65</v>
      </c>
      <c r="D41" s="195">
        <v>95</v>
      </c>
      <c r="E41" s="195">
        <f>C41*D41*C34</f>
        <v>244.53</v>
      </c>
      <c r="F41" s="195"/>
      <c r="G41" s="195"/>
      <c r="H41" s="195">
        <v>5</v>
      </c>
      <c r="I41" s="195">
        <v>1.65</v>
      </c>
      <c r="J41" s="195">
        <v>104</v>
      </c>
      <c r="K41" s="195">
        <f>I41*J41*K34</f>
        <v>267.69600000000003</v>
      </c>
      <c r="L41" s="195"/>
      <c r="M41" s="195"/>
      <c r="N41" s="195">
        <v>5</v>
      </c>
      <c r="O41" s="195">
        <f>0.6+0.82*2</f>
        <v>2.2399999999999998</v>
      </c>
      <c r="P41" s="195">
        <f>8*18</f>
        <v>144</v>
      </c>
      <c r="Q41" s="195">
        <f>O41*P41*K34</f>
        <v>503.19359999999995</v>
      </c>
      <c r="R41" s="195"/>
    </row>
    <row r="42" spans="1:18" ht="15.75">
      <c r="A42" s="195">
        <v>5</v>
      </c>
      <c r="B42" s="195">
        <v>5</v>
      </c>
      <c r="C42" s="195">
        <f>0.87*2+1.35+0.15*2</f>
        <v>3.3899999999999997</v>
      </c>
      <c r="D42" s="195">
        <v>95</v>
      </c>
      <c r="E42" s="195">
        <f>C42*D42*C34</f>
        <v>502.39799999999997</v>
      </c>
      <c r="F42" s="195"/>
      <c r="G42" s="195">
        <v>5</v>
      </c>
      <c r="H42" s="195">
        <v>5</v>
      </c>
      <c r="I42" s="195">
        <f>0.87*2+1.35+0.15*2</f>
        <v>3.3899999999999997</v>
      </c>
      <c r="J42" s="195">
        <v>104</v>
      </c>
      <c r="K42" s="195">
        <f>I42*J42*K34</f>
        <v>549.9935999999999</v>
      </c>
      <c r="L42" s="195"/>
      <c r="M42" s="197" t="s">
        <v>1804</v>
      </c>
      <c r="N42" s="195">
        <v>6</v>
      </c>
      <c r="O42" s="195">
        <v>0.8</v>
      </c>
      <c r="P42" s="195">
        <f>8*18</f>
        <v>144</v>
      </c>
      <c r="Q42" s="195">
        <f>O42*P42*L34</f>
        <v>259.2</v>
      </c>
      <c r="R42" s="195"/>
    </row>
    <row r="43" spans="1:18" ht="15.75">
      <c r="A43" s="195">
        <v>6</v>
      </c>
      <c r="B43" s="195">
        <v>8</v>
      </c>
      <c r="C43" s="195">
        <f>7.5</f>
        <v>7.5</v>
      </c>
      <c r="D43" s="195">
        <v>6</v>
      </c>
      <c r="E43" s="195">
        <f>C43*D43*F34</f>
        <v>179.1</v>
      </c>
      <c r="F43" s="195"/>
      <c r="G43" s="195">
        <v>6</v>
      </c>
      <c r="H43" s="195">
        <v>8</v>
      </c>
      <c r="I43" s="195">
        <f>7.5</f>
        <v>7.5</v>
      </c>
      <c r="J43" s="195">
        <v>6</v>
      </c>
      <c r="K43" s="195">
        <f>I43*J43*N34</f>
        <v>179.1</v>
      </c>
      <c r="L43" s="195"/>
      <c r="M43" s="197" t="s">
        <v>1804</v>
      </c>
      <c r="N43" s="195">
        <v>6</v>
      </c>
      <c r="O43" s="195">
        <v>1</v>
      </c>
      <c r="P43" s="195">
        <f>6*18</f>
        <v>108</v>
      </c>
      <c r="Q43" s="195">
        <f>O43*P43*L34</f>
        <v>243</v>
      </c>
      <c r="R43" s="195"/>
    </row>
    <row r="44" spans="1:18" ht="15.75">
      <c r="A44" s="195"/>
      <c r="B44" s="195">
        <v>5</v>
      </c>
      <c r="C44" s="195">
        <v>2.8</v>
      </c>
      <c r="D44" s="195">
        <v>30</v>
      </c>
      <c r="E44" s="195">
        <f>C44*D44*C34</f>
        <v>131.04</v>
      </c>
      <c r="F44" s="195"/>
      <c r="G44" s="195"/>
      <c r="H44" s="195">
        <v>5</v>
      </c>
      <c r="I44" s="195">
        <v>2.8</v>
      </c>
      <c r="J44" s="195">
        <v>30</v>
      </c>
      <c r="K44" s="195">
        <f>I44*J44*K34</f>
        <v>131.04</v>
      </c>
      <c r="L44" s="195"/>
      <c r="M44" s="198" t="s">
        <v>1805</v>
      </c>
      <c r="N44" s="195">
        <v>6</v>
      </c>
      <c r="O44" s="195">
        <f>0.36+0.65*2</f>
        <v>1.6600000000000001</v>
      </c>
      <c r="P44" s="195">
        <f>6*18</f>
        <v>108</v>
      </c>
      <c r="Q44" s="195">
        <f>O44*P44*L34</f>
        <v>403.38000000000005</v>
      </c>
      <c r="R44" s="195"/>
    </row>
    <row r="45" spans="1:18" ht="15">
      <c r="A45" s="195"/>
      <c r="B45" s="195">
        <v>8</v>
      </c>
      <c r="C45" s="195">
        <f>0.95*2+0.25</f>
        <v>2.15</v>
      </c>
      <c r="D45" s="195">
        <v>20</v>
      </c>
      <c r="E45" s="195">
        <f>C45*D45*F34</f>
        <v>171.14</v>
      </c>
      <c r="F45" s="195"/>
      <c r="G45" s="195"/>
      <c r="H45" s="195">
        <v>8</v>
      </c>
      <c r="I45" s="195">
        <f>0.95*2+0.25</f>
        <v>2.15</v>
      </c>
      <c r="J45" s="195">
        <v>20</v>
      </c>
      <c r="K45" s="195">
        <f>I45*J45*N34</f>
        <v>171.14</v>
      </c>
      <c r="L45" s="195"/>
      <c r="M45" s="195"/>
      <c r="N45" s="195">
        <v>6</v>
      </c>
      <c r="O45" s="195">
        <f>0.28+0.65*2</f>
        <v>1.58</v>
      </c>
      <c r="P45" s="195">
        <f>6*18</f>
        <v>108</v>
      </c>
      <c r="Q45" s="195">
        <f>O45*P45*L34</f>
        <v>383.94000000000005</v>
      </c>
      <c r="R45" s="195"/>
    </row>
    <row r="46" spans="1:18" ht="15">
      <c r="A46" s="195">
        <v>7</v>
      </c>
      <c r="B46" s="195">
        <v>5</v>
      </c>
      <c r="C46" s="195">
        <f>1.95+0.25*2</f>
        <v>2.4500000000000002</v>
      </c>
      <c r="D46" s="195">
        <v>95</v>
      </c>
      <c r="E46" s="195">
        <f>C46*D46*C34</f>
        <v>363.09000000000003</v>
      </c>
      <c r="F46" s="195"/>
      <c r="G46" s="195">
        <v>7</v>
      </c>
      <c r="H46" s="195">
        <v>5</v>
      </c>
      <c r="I46" s="195">
        <f>1.95+0.25*2</f>
        <v>2.4500000000000002</v>
      </c>
      <c r="J46" s="195">
        <v>104</v>
      </c>
      <c r="K46" s="195">
        <f>I46*J46*K34</f>
        <v>397.48800000000006</v>
      </c>
      <c r="L46" s="195"/>
      <c r="M46" s="195"/>
      <c r="N46" s="195"/>
      <c r="O46" s="195"/>
      <c r="P46" s="195" t="s">
        <v>1806</v>
      </c>
      <c r="Q46" s="199">
        <f>SUM(Q37:Q45)</f>
        <v>4325.3945999999996</v>
      </c>
      <c r="R46" s="195"/>
    </row>
    <row r="47" spans="1:18" ht="15">
      <c r="A47" s="195">
        <v>8</v>
      </c>
      <c r="B47" s="195">
        <v>4</v>
      </c>
      <c r="C47" s="195">
        <f>1.95+0.2*2</f>
        <v>2.35</v>
      </c>
      <c r="D47" s="195">
        <v>95</v>
      </c>
      <c r="E47" s="195">
        <f>C47*D47*B34</f>
        <v>221.91049999999998</v>
      </c>
      <c r="F47" s="195"/>
      <c r="G47" s="195">
        <v>8</v>
      </c>
      <c r="H47" s="195">
        <v>4</v>
      </c>
      <c r="I47" s="195">
        <f>1.95+0.2*2</f>
        <v>2.35</v>
      </c>
      <c r="J47" s="195">
        <v>104</v>
      </c>
      <c r="K47" s="195">
        <f>I47*J47*J34</f>
        <v>242.93360000000001</v>
      </c>
      <c r="L47" s="195"/>
      <c r="M47" s="195"/>
      <c r="N47" s="195"/>
      <c r="O47" s="195"/>
      <c r="P47" s="195"/>
      <c r="Q47" s="195"/>
      <c r="R47" s="195"/>
    </row>
    <row r="48" spans="1:18" ht="15">
      <c r="A48" s="195">
        <v>9</v>
      </c>
      <c r="B48" s="195">
        <v>4</v>
      </c>
      <c r="C48" s="195">
        <f>4+6+5.2+0.2*2</f>
        <v>15.6</v>
      </c>
      <c r="D48" s="195">
        <v>22</v>
      </c>
      <c r="E48" s="195">
        <f>C48*D48*B34</f>
        <v>341.14080000000001</v>
      </c>
      <c r="F48" s="195"/>
      <c r="G48" s="195">
        <v>9</v>
      </c>
      <c r="H48" s="195">
        <v>4</v>
      </c>
      <c r="I48" s="195">
        <f>4.6+6+5.8+0.2*2</f>
        <v>16.799999999999997</v>
      </c>
      <c r="J48" s="195">
        <v>22</v>
      </c>
      <c r="K48" s="195">
        <f>I48*J48*J34</f>
        <v>367.3823999999999</v>
      </c>
      <c r="L48" s="195"/>
      <c r="M48" s="195"/>
      <c r="N48" s="195"/>
      <c r="O48" s="195"/>
      <c r="P48" s="195"/>
      <c r="Q48" s="195"/>
      <c r="R48" s="195"/>
    </row>
    <row r="49" spans="1:18" ht="15">
      <c r="A49" s="195">
        <v>10</v>
      </c>
      <c r="B49" s="195">
        <v>4</v>
      </c>
      <c r="C49" s="195">
        <f>0.77+0.85+0.15*2</f>
        <v>1.9200000000000002</v>
      </c>
      <c r="D49" s="195">
        <v>95</v>
      </c>
      <c r="E49" s="195">
        <f>C49*D49*B34</f>
        <v>181.3056</v>
      </c>
      <c r="F49" s="195"/>
      <c r="G49" s="195">
        <v>10</v>
      </c>
      <c r="H49" s="195">
        <v>4</v>
      </c>
      <c r="I49" s="195">
        <f>0.77+0.85+0.15*2</f>
        <v>1.9200000000000002</v>
      </c>
      <c r="J49" s="195">
        <v>104</v>
      </c>
      <c r="K49" s="195">
        <f>I49*J49*J34</f>
        <v>198.48192</v>
      </c>
      <c r="L49" s="195"/>
      <c r="M49" s="195"/>
      <c r="N49" s="195"/>
      <c r="O49" s="195"/>
      <c r="P49" s="195"/>
      <c r="Q49" s="195"/>
      <c r="R49" s="195"/>
    </row>
    <row r="50" spans="1:18" ht="15">
      <c r="A50" s="195">
        <v>11</v>
      </c>
      <c r="B50" s="195">
        <v>4</v>
      </c>
      <c r="C50" s="195">
        <f>4+6+5.2+0.2*2</f>
        <v>15.6</v>
      </c>
      <c r="D50" s="195">
        <v>4</v>
      </c>
      <c r="E50" s="195">
        <f>C50*D50*B34</f>
        <v>62.025599999999997</v>
      </c>
      <c r="F50" s="195"/>
      <c r="G50" s="195">
        <v>11</v>
      </c>
      <c r="H50" s="195">
        <v>4</v>
      </c>
      <c r="I50" s="195">
        <f>4.6+6+5.8+0.2*2</f>
        <v>16.799999999999997</v>
      </c>
      <c r="J50" s="195">
        <v>4</v>
      </c>
      <c r="K50" s="195">
        <f>I50*J50*J34</f>
        <v>66.79679999999999</v>
      </c>
      <c r="L50" s="195"/>
      <c r="M50" s="195"/>
      <c r="N50" s="195"/>
      <c r="O50" s="195"/>
      <c r="P50" s="195"/>
      <c r="Q50" s="195"/>
      <c r="R50" s="195"/>
    </row>
    <row r="51" spans="1:18" ht="15">
      <c r="A51" s="195">
        <v>12</v>
      </c>
      <c r="B51" s="195">
        <v>6</v>
      </c>
      <c r="C51" s="195">
        <f>0.85*2+0.18</f>
        <v>1.88</v>
      </c>
      <c r="D51" s="195">
        <v>14</v>
      </c>
      <c r="E51" s="195">
        <f>C51*D51*D34</f>
        <v>59.22</v>
      </c>
      <c r="F51" s="195"/>
      <c r="G51" s="195">
        <v>12</v>
      </c>
      <c r="H51" s="195">
        <v>6</v>
      </c>
      <c r="I51" s="195">
        <f>0.85*2+0.18</f>
        <v>1.88</v>
      </c>
      <c r="J51" s="195">
        <v>14</v>
      </c>
      <c r="K51" s="195">
        <f>I51*J51*L34</f>
        <v>59.22</v>
      </c>
      <c r="L51" s="195"/>
      <c r="M51" s="195"/>
      <c r="N51" s="195"/>
      <c r="O51" s="195"/>
      <c r="P51" s="195"/>
      <c r="Q51" s="195"/>
      <c r="R51" s="195"/>
    </row>
    <row r="52" spans="1:18" ht="15">
      <c r="A52" s="195">
        <v>13</v>
      </c>
      <c r="B52" s="195">
        <v>5</v>
      </c>
      <c r="C52" s="195">
        <f>0.18*2+0.9</f>
        <v>1.26</v>
      </c>
      <c r="D52" s="195">
        <v>16</v>
      </c>
      <c r="E52" s="195">
        <f>C52*D52*C34</f>
        <v>31.4496</v>
      </c>
      <c r="F52" s="195"/>
      <c r="G52" s="195">
        <v>13</v>
      </c>
      <c r="H52" s="195">
        <v>5</v>
      </c>
      <c r="I52" s="195">
        <f>0.18*2+0.9</f>
        <v>1.26</v>
      </c>
      <c r="J52" s="195">
        <v>16</v>
      </c>
      <c r="K52" s="195">
        <f>I52*J52*K34</f>
        <v>31.4496</v>
      </c>
      <c r="L52" s="195"/>
      <c r="M52" s="195"/>
      <c r="N52" s="195"/>
      <c r="O52" s="195"/>
      <c r="P52" s="195"/>
      <c r="Q52" s="195"/>
      <c r="R52" s="195"/>
    </row>
    <row r="53" spans="1:18" ht="15">
      <c r="A53" s="195">
        <v>14</v>
      </c>
      <c r="B53" s="195">
        <v>4</v>
      </c>
      <c r="C53" s="195">
        <f>0.3*3</f>
        <v>0.89999999999999991</v>
      </c>
      <c r="D53" s="195">
        <v>20</v>
      </c>
      <c r="E53" s="195">
        <f>C53*D53*B34</f>
        <v>17.891999999999999</v>
      </c>
      <c r="F53" s="195"/>
      <c r="G53" s="195">
        <v>14</v>
      </c>
      <c r="H53" s="195">
        <v>4</v>
      </c>
      <c r="I53" s="195">
        <f>0.3*3</f>
        <v>0.89999999999999991</v>
      </c>
      <c r="J53" s="195">
        <v>20</v>
      </c>
      <c r="K53" s="195">
        <f>I53*J53*J34</f>
        <v>17.891999999999999</v>
      </c>
      <c r="L53" s="195"/>
      <c r="M53" s="195"/>
      <c r="N53" s="195"/>
      <c r="O53" s="195"/>
      <c r="P53" s="195"/>
      <c r="Q53" s="195"/>
      <c r="R53" s="195"/>
    </row>
    <row r="54" spans="1:18" ht="15.75">
      <c r="A54" s="195"/>
      <c r="B54" s="195"/>
      <c r="C54" s="195"/>
      <c r="D54" s="195"/>
      <c r="E54" s="199">
        <f>SUM(E37:E53)</f>
        <v>7194.3481000000002</v>
      </c>
      <c r="F54" s="195"/>
      <c r="G54" s="195"/>
      <c r="H54" s="195"/>
      <c r="I54" s="195"/>
      <c r="J54" s="197" t="s">
        <v>1807</v>
      </c>
      <c r="K54" s="199">
        <f>SUM(K37:K53)</f>
        <v>7703.66752</v>
      </c>
      <c r="L54" s="195"/>
      <c r="M54" s="195"/>
      <c r="N54" s="195"/>
      <c r="O54" s="195"/>
      <c r="P54" s="195"/>
      <c r="Q54" s="195"/>
      <c r="R54" s="195"/>
    </row>
    <row r="55" spans="1:18" ht="15">
      <c r="A55" s="195"/>
      <c r="B55" s="195"/>
      <c r="C55" s="279"/>
      <c r="D55" s="278"/>
      <c r="E55" s="195"/>
      <c r="F55" s="195"/>
      <c r="G55" s="195"/>
      <c r="H55" s="279" t="s">
        <v>2422</v>
      </c>
      <c r="I55" s="278" t="s">
        <v>2418</v>
      </c>
      <c r="J55" s="195">
        <f>('數量計算(FOR4變)'!H194+'數量計算(FOR4變)'!H198+'數量計算(FOR4變)'!H199+'數量計算(FOR4變)'!H200)*3.2</f>
        <v>664.75319999999999</v>
      </c>
      <c r="K55" s="200">
        <f>E54+K54+Q46</f>
        <v>19223.410219999998</v>
      </c>
      <c r="L55" s="195"/>
      <c r="M55" s="195"/>
      <c r="N55" s="195"/>
      <c r="O55" s="195"/>
      <c r="P55" s="195"/>
      <c r="Q55" s="195"/>
      <c r="R55" s="195"/>
    </row>
    <row r="56" spans="1:18" ht="15">
      <c r="A56" s="195"/>
      <c r="B56" s="195"/>
      <c r="C56" s="195"/>
      <c r="D56" s="195"/>
      <c r="E56" s="195"/>
      <c r="F56" s="195"/>
      <c r="G56" s="195"/>
      <c r="H56" s="195"/>
      <c r="I56" s="195"/>
      <c r="J56" s="195"/>
      <c r="K56" s="398">
        <f>K55+J55</f>
        <v>19888.163419999997</v>
      </c>
      <c r="L56" s="195"/>
      <c r="M56" s="195"/>
      <c r="N56" s="195"/>
      <c r="O56" s="195"/>
      <c r="P56" s="195"/>
      <c r="Q56" s="195"/>
      <c r="R56" s="195"/>
    </row>
    <row r="57" spans="1:18" ht="15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</row>
    <row r="58" spans="1:18" ht="16.5">
      <c r="A58" s="194"/>
      <c r="B58" s="194" t="s">
        <v>1324</v>
      </c>
      <c r="C58" s="195" t="s">
        <v>1789</v>
      </c>
      <c r="D58" s="195"/>
      <c r="E58" s="195"/>
      <c r="F58" s="195"/>
      <c r="G58" s="194"/>
      <c r="H58" s="194" t="s">
        <v>1324</v>
      </c>
      <c r="I58" s="195" t="s">
        <v>1789</v>
      </c>
      <c r="J58" s="195"/>
      <c r="K58" s="195"/>
      <c r="L58" s="195"/>
      <c r="M58" s="196" t="s">
        <v>1808</v>
      </c>
      <c r="N58" s="196" t="s">
        <v>1809</v>
      </c>
      <c r="O58" s="195"/>
      <c r="P58" s="195"/>
      <c r="Q58" s="195"/>
      <c r="R58" s="195"/>
    </row>
    <row r="59" spans="1:18" ht="15.75">
      <c r="A59" s="197" t="s">
        <v>1794</v>
      </c>
      <c r="B59" s="197" t="s">
        <v>1795</v>
      </c>
      <c r="C59" s="197" t="s">
        <v>1796</v>
      </c>
      <c r="D59" s="198" t="s">
        <v>1797</v>
      </c>
      <c r="E59" s="197" t="s">
        <v>1798</v>
      </c>
      <c r="F59" s="195"/>
      <c r="G59" s="197" t="s">
        <v>1794</v>
      </c>
      <c r="H59" s="197" t="s">
        <v>1795</v>
      </c>
      <c r="I59" s="197" t="s">
        <v>1796</v>
      </c>
      <c r="J59" s="198" t="s">
        <v>1797</v>
      </c>
      <c r="K59" s="197" t="s">
        <v>1798</v>
      </c>
      <c r="L59" s="195"/>
      <c r="M59" s="195" t="s">
        <v>1799</v>
      </c>
      <c r="N59" s="195" t="s">
        <v>1800</v>
      </c>
      <c r="O59" s="195" t="s">
        <v>1801</v>
      </c>
      <c r="P59" s="195" t="s">
        <v>1802</v>
      </c>
      <c r="Q59" s="195" t="s">
        <v>1803</v>
      </c>
      <c r="R59" s="195"/>
    </row>
    <row r="60" spans="1:18" ht="15">
      <c r="A60" s="195">
        <v>1</v>
      </c>
      <c r="B60" s="195">
        <v>8</v>
      </c>
      <c r="C60" s="195">
        <f>4.52+0.7*2</f>
        <v>5.92</v>
      </c>
      <c r="D60" s="195">
        <v>40</v>
      </c>
      <c r="E60" s="195">
        <f>C60*D60*F34</f>
        <v>942.46400000000006</v>
      </c>
      <c r="F60" s="195"/>
      <c r="G60" s="195">
        <v>1</v>
      </c>
      <c r="H60" s="195">
        <v>8</v>
      </c>
      <c r="I60" s="195">
        <f>3.35+0.7*2</f>
        <v>4.75</v>
      </c>
      <c r="J60" s="195">
        <v>22</v>
      </c>
      <c r="K60" s="195">
        <f>I60*J60*N34</f>
        <v>415.91</v>
      </c>
      <c r="L60" s="195"/>
      <c r="M60" s="195"/>
      <c r="N60" s="195">
        <v>5</v>
      </c>
      <c r="O60" s="195">
        <f>7.7+6.9</f>
        <v>14.600000000000001</v>
      </c>
      <c r="P60" s="195">
        <f>2*18</f>
        <v>36</v>
      </c>
      <c r="Q60" s="195">
        <f>O60*P60*K34</f>
        <v>819.93600000000004</v>
      </c>
      <c r="R60" s="195"/>
    </row>
    <row r="61" spans="1:18" ht="15">
      <c r="A61" s="195">
        <v>2</v>
      </c>
      <c r="B61" s="195">
        <v>5</v>
      </c>
      <c r="C61" s="195">
        <f>4.5+2.7+1*2</f>
        <v>9.1999999999999993</v>
      </c>
      <c r="D61" s="195">
        <v>12</v>
      </c>
      <c r="E61" s="195">
        <f>C61*D61*C34</f>
        <v>172.22399999999999</v>
      </c>
      <c r="F61" s="195"/>
      <c r="G61" s="195">
        <v>2</v>
      </c>
      <c r="H61" s="195">
        <v>5</v>
      </c>
      <c r="I61" s="195">
        <f>3.3+1.3+1*2</f>
        <v>6.6</v>
      </c>
      <c r="J61" s="195">
        <v>12</v>
      </c>
      <c r="K61" s="195">
        <f>I61*J61*K34</f>
        <v>123.55199999999999</v>
      </c>
      <c r="L61" s="195"/>
      <c r="M61" s="195"/>
      <c r="N61" s="195">
        <v>5</v>
      </c>
      <c r="O61" s="195">
        <f>3.45+2.9+0.2*2</f>
        <v>6.75</v>
      </c>
      <c r="P61" s="195">
        <v>80</v>
      </c>
      <c r="Q61" s="195">
        <f>O61*P61*K34</f>
        <v>842.4</v>
      </c>
      <c r="R61" s="195"/>
    </row>
    <row r="62" spans="1:18" ht="15">
      <c r="A62" s="195">
        <v>3</v>
      </c>
      <c r="B62" s="195">
        <v>5</v>
      </c>
      <c r="C62" s="195">
        <f>2.73+1.02*2</f>
        <v>4.7699999999999996</v>
      </c>
      <c r="D62" s="195">
        <v>31</v>
      </c>
      <c r="E62" s="195">
        <f>C62*D62*C34</f>
        <v>230.67719999999997</v>
      </c>
      <c r="F62" s="195"/>
      <c r="G62" s="195">
        <v>3</v>
      </c>
      <c r="H62" s="195">
        <v>5</v>
      </c>
      <c r="I62" s="195">
        <f>1.35+1.02*2</f>
        <v>3.39</v>
      </c>
      <c r="J62" s="195">
        <v>23</v>
      </c>
      <c r="K62" s="195">
        <f>I62*J62*K34</f>
        <v>121.6332</v>
      </c>
      <c r="L62" s="195"/>
      <c r="M62" s="195"/>
      <c r="N62" s="195">
        <v>5</v>
      </c>
      <c r="O62" s="195">
        <f>3.45+0.2</f>
        <v>3.6500000000000004</v>
      </c>
      <c r="P62" s="195">
        <v>80</v>
      </c>
      <c r="Q62" s="195">
        <f>O62*P62*K34</f>
        <v>455.52000000000004</v>
      </c>
      <c r="R62" s="195"/>
    </row>
    <row r="63" spans="1:18" ht="15">
      <c r="A63" s="195"/>
      <c r="B63" s="195">
        <v>5</v>
      </c>
      <c r="C63" s="195">
        <f>2.73+0.15*2</f>
        <v>3.03</v>
      </c>
      <c r="D63" s="195">
        <v>31</v>
      </c>
      <c r="E63" s="195">
        <f>C63*D63*C34</f>
        <v>146.5308</v>
      </c>
      <c r="F63" s="195"/>
      <c r="G63" s="195"/>
      <c r="H63" s="195">
        <v>5</v>
      </c>
      <c r="I63" s="195">
        <f>2.73+0.15*2</f>
        <v>3.03</v>
      </c>
      <c r="J63" s="195">
        <v>23</v>
      </c>
      <c r="K63" s="195">
        <f>I63*J63*K34</f>
        <v>108.71640000000001</v>
      </c>
      <c r="L63" s="195"/>
      <c r="M63" s="195"/>
      <c r="N63" s="195">
        <v>5</v>
      </c>
      <c r="O63" s="195">
        <f>1.35+0.2*2</f>
        <v>1.75</v>
      </c>
      <c r="P63" s="195">
        <v>80</v>
      </c>
      <c r="Q63" s="195">
        <f>O63*P63*K34</f>
        <v>218.4</v>
      </c>
      <c r="R63" s="195"/>
    </row>
    <row r="64" spans="1:18" ht="15">
      <c r="A64" s="195">
        <v>4</v>
      </c>
      <c r="B64" s="195">
        <v>5</v>
      </c>
      <c r="C64" s="195">
        <v>2.8</v>
      </c>
      <c r="D64" s="195">
        <v>30</v>
      </c>
      <c r="E64" s="195">
        <f>C64*D64*C34</f>
        <v>131.04</v>
      </c>
      <c r="F64" s="195"/>
      <c r="G64" s="195">
        <v>4</v>
      </c>
      <c r="H64" s="195">
        <v>5</v>
      </c>
      <c r="I64" s="195">
        <v>2.8</v>
      </c>
      <c r="J64" s="195">
        <v>30</v>
      </c>
      <c r="K64" s="195">
        <f>I64*J64*K34</f>
        <v>131.04</v>
      </c>
      <c r="L64" s="195"/>
      <c r="M64" s="195"/>
      <c r="N64" s="195">
        <v>5</v>
      </c>
      <c r="O64" s="195">
        <v>14.6</v>
      </c>
      <c r="P64" s="195">
        <v>12</v>
      </c>
      <c r="Q64" s="195">
        <f>O64*P64*K34</f>
        <v>273.31200000000001</v>
      </c>
      <c r="R64" s="195"/>
    </row>
    <row r="65" spans="1:20" ht="15.75">
      <c r="A65" s="195"/>
      <c r="B65" s="195">
        <v>5</v>
      </c>
      <c r="C65" s="195">
        <v>4.7</v>
      </c>
      <c r="D65" s="195">
        <v>10</v>
      </c>
      <c r="E65" s="195">
        <f>C65*D65*C34</f>
        <v>73.320000000000007</v>
      </c>
      <c r="F65" s="195"/>
      <c r="G65" s="195"/>
      <c r="H65" s="195">
        <v>5</v>
      </c>
      <c r="I65" s="195">
        <v>3.5</v>
      </c>
      <c r="J65" s="195">
        <v>10</v>
      </c>
      <c r="K65" s="195">
        <f>I65*J65*K34</f>
        <v>54.6</v>
      </c>
      <c r="L65" s="195"/>
      <c r="M65" s="197"/>
      <c r="N65" s="195"/>
      <c r="O65" s="195"/>
      <c r="P65" s="195"/>
      <c r="Q65" s="195"/>
      <c r="R65" s="195"/>
    </row>
    <row r="66" spans="1:20" ht="15.75">
      <c r="A66" s="195"/>
      <c r="B66" s="195">
        <v>6</v>
      </c>
      <c r="C66" s="195">
        <f>0.25+0.95*2</f>
        <v>2.15</v>
      </c>
      <c r="D66" s="195">
        <v>8</v>
      </c>
      <c r="E66" s="195">
        <f>C66*D66*D34</f>
        <v>38.699999999999996</v>
      </c>
      <c r="F66" s="195"/>
      <c r="G66" s="195"/>
      <c r="H66" s="195">
        <v>6</v>
      </c>
      <c r="I66" s="195">
        <f>0.25+0.95*2</f>
        <v>2.15</v>
      </c>
      <c r="J66" s="195">
        <v>6</v>
      </c>
      <c r="K66" s="195">
        <f>I66*J66*L34</f>
        <v>29.024999999999999</v>
      </c>
      <c r="L66" s="195"/>
      <c r="M66" s="197"/>
      <c r="N66" s="195"/>
      <c r="O66" s="195"/>
      <c r="P66" s="195" t="s">
        <v>1806</v>
      </c>
      <c r="Q66" s="200">
        <f>SUM(Q60:Q65)</f>
        <v>2609.5680000000002</v>
      </c>
      <c r="R66" s="195"/>
    </row>
    <row r="67" spans="1:20" ht="15.75">
      <c r="A67" s="195">
        <v>5</v>
      </c>
      <c r="B67" s="195">
        <v>5</v>
      </c>
      <c r="C67" s="195">
        <f>1.82+0.25*2</f>
        <v>2.3200000000000003</v>
      </c>
      <c r="D67" s="195">
        <v>50</v>
      </c>
      <c r="E67" s="195">
        <f>C67*D67*C34</f>
        <v>180.96000000000004</v>
      </c>
      <c r="F67" s="195"/>
      <c r="G67" s="195">
        <v>5</v>
      </c>
      <c r="H67" s="195">
        <v>5</v>
      </c>
      <c r="I67" s="195">
        <f>1.82+0.25*2</f>
        <v>2.3200000000000003</v>
      </c>
      <c r="J67" s="195">
        <v>23</v>
      </c>
      <c r="K67" s="195">
        <f>I67*J67*K34</f>
        <v>83.24160000000002</v>
      </c>
      <c r="L67" s="195"/>
      <c r="M67" s="198"/>
      <c r="N67" s="195"/>
      <c r="O67" s="279" t="s">
        <v>2423</v>
      </c>
      <c r="P67" s="278" t="s">
        <v>2418</v>
      </c>
      <c r="Q67" s="195">
        <f>'數量計算(FOR4變)'!H196*3.2</f>
        <v>76.598400000000012</v>
      </c>
      <c r="R67" s="195"/>
    </row>
    <row r="68" spans="1:20" ht="15">
      <c r="A68" s="195">
        <v>6</v>
      </c>
      <c r="B68" s="195">
        <v>4</v>
      </c>
      <c r="C68" s="195">
        <f>1.82+0.4</f>
        <v>2.2200000000000002</v>
      </c>
      <c r="D68" s="195">
        <v>50</v>
      </c>
      <c r="E68" s="195">
        <f>C68*D68*B34</f>
        <v>110.33400000000002</v>
      </c>
      <c r="F68" s="195"/>
      <c r="G68" s="195">
        <v>6</v>
      </c>
      <c r="H68" s="195">
        <v>4</v>
      </c>
      <c r="I68" s="195">
        <f>1.82+0.4</f>
        <v>2.2200000000000002</v>
      </c>
      <c r="J68" s="195">
        <v>23</v>
      </c>
      <c r="K68" s="195">
        <f>I68*J68*J34</f>
        <v>50.753640000000004</v>
      </c>
      <c r="L68" s="195"/>
      <c r="M68" s="195"/>
      <c r="N68" s="195"/>
      <c r="O68" s="195"/>
      <c r="P68" s="195"/>
      <c r="Q68" s="398">
        <f>Q66+Q67</f>
        <v>2686.1664000000001</v>
      </c>
      <c r="R68" s="195"/>
    </row>
    <row r="69" spans="1:20" ht="15">
      <c r="A69" s="195">
        <v>7</v>
      </c>
      <c r="B69" s="195">
        <v>4</v>
      </c>
      <c r="C69" s="195">
        <f>2.22+0.4</f>
        <v>2.62</v>
      </c>
      <c r="D69" s="195">
        <v>40</v>
      </c>
      <c r="E69" s="195">
        <f>C69*D69*B34</f>
        <v>104.17120000000001</v>
      </c>
      <c r="F69" s="195"/>
      <c r="G69" s="195">
        <v>7</v>
      </c>
      <c r="H69" s="195">
        <v>4</v>
      </c>
      <c r="I69" s="195">
        <f>3.35+0.4</f>
        <v>3.75</v>
      </c>
      <c r="J69" s="195">
        <v>24</v>
      </c>
      <c r="K69" s="195">
        <f>I69*J69*J34</f>
        <v>89.46</v>
      </c>
      <c r="L69" s="195"/>
      <c r="M69" s="195"/>
      <c r="N69" s="195"/>
      <c r="O69" s="195"/>
      <c r="P69" s="195"/>
      <c r="Q69" s="195"/>
      <c r="R69" s="195"/>
    </row>
    <row r="70" spans="1:20" ht="15">
      <c r="A70" s="195">
        <v>8</v>
      </c>
      <c r="B70" s="195">
        <v>4</v>
      </c>
      <c r="C70" s="195">
        <f>3.52+0.2*2</f>
        <v>3.92</v>
      </c>
      <c r="D70" s="195">
        <v>20</v>
      </c>
      <c r="E70" s="195">
        <f>C70*D70*B34</f>
        <v>77.929600000000008</v>
      </c>
      <c r="F70" s="195"/>
      <c r="G70" s="195">
        <v>8</v>
      </c>
      <c r="H70" s="195">
        <v>4</v>
      </c>
      <c r="I70" s="195">
        <v>0.9</v>
      </c>
      <c r="J70" s="195">
        <v>4</v>
      </c>
      <c r="K70" s="195">
        <f>I70*J70*J34</f>
        <v>3.5784000000000002</v>
      </c>
      <c r="L70" s="195"/>
      <c r="M70" s="195"/>
      <c r="N70" s="195"/>
      <c r="O70" s="195"/>
      <c r="P70" s="195"/>
      <c r="Q70" s="195"/>
      <c r="R70" s="195"/>
    </row>
    <row r="71" spans="1:20" ht="15">
      <c r="A71" s="195">
        <v>9</v>
      </c>
      <c r="B71" s="195">
        <v>4</v>
      </c>
      <c r="C71" s="195">
        <f>0.3*3</f>
        <v>0.89999999999999991</v>
      </c>
      <c r="D71" s="195">
        <v>8</v>
      </c>
      <c r="E71" s="195">
        <f>C71*D71*B34</f>
        <v>7.1567999999999996</v>
      </c>
      <c r="F71" s="195"/>
      <c r="G71" s="195">
        <v>9</v>
      </c>
      <c r="H71" s="195">
        <v>4</v>
      </c>
      <c r="I71" s="195">
        <f>0.85+0.77+0.15*2</f>
        <v>1.9200000000000002</v>
      </c>
      <c r="J71" s="195">
        <v>23</v>
      </c>
      <c r="K71" s="195">
        <f>I71*J71*J34</f>
        <v>43.895040000000002</v>
      </c>
      <c r="L71" s="195"/>
      <c r="M71" s="195"/>
      <c r="N71" s="195"/>
      <c r="O71" s="195"/>
      <c r="P71" s="195"/>
      <c r="Q71" s="195"/>
      <c r="R71" s="195"/>
    </row>
    <row r="72" spans="1:20" ht="15">
      <c r="A72" s="195"/>
      <c r="B72" s="195"/>
      <c r="C72" s="195"/>
      <c r="D72" s="195"/>
      <c r="E72" s="195"/>
      <c r="F72" s="195"/>
      <c r="G72" s="195">
        <v>10</v>
      </c>
      <c r="H72" s="195">
        <v>6</v>
      </c>
      <c r="I72" s="195">
        <f>0.18+0.85*2</f>
        <v>1.88</v>
      </c>
      <c r="J72" s="195">
        <v>14</v>
      </c>
      <c r="K72" s="195">
        <f>I72*J72*L34</f>
        <v>59.22</v>
      </c>
      <c r="L72" s="195"/>
      <c r="M72" s="195"/>
      <c r="N72" s="195"/>
      <c r="O72" s="195"/>
      <c r="P72" s="195"/>
      <c r="Q72" s="195"/>
      <c r="R72" s="195"/>
    </row>
    <row r="73" spans="1:20" ht="15">
      <c r="A73" s="195"/>
      <c r="B73" s="195"/>
      <c r="C73" s="195"/>
      <c r="D73" s="195"/>
      <c r="E73" s="195"/>
      <c r="F73" s="195"/>
      <c r="G73" s="195">
        <v>11</v>
      </c>
      <c r="H73" s="195">
        <v>5</v>
      </c>
      <c r="I73" s="195">
        <f>0.9+0.18*2</f>
        <v>1.26</v>
      </c>
      <c r="J73" s="195">
        <v>16</v>
      </c>
      <c r="K73" s="195">
        <f>I73*J73*K34</f>
        <v>31.4496</v>
      </c>
      <c r="L73" s="195"/>
      <c r="M73" s="195"/>
      <c r="N73" s="195"/>
      <c r="O73" s="195"/>
      <c r="P73" s="195"/>
      <c r="Q73" s="195"/>
      <c r="R73" s="195"/>
    </row>
    <row r="74" spans="1:20" ht="15">
      <c r="A74" s="195"/>
      <c r="B74" s="195"/>
      <c r="C74" s="195"/>
      <c r="D74" s="195"/>
      <c r="E74" s="199">
        <f>SUM(E60:E73)</f>
        <v>2215.5076000000004</v>
      </c>
      <c r="F74" s="195"/>
      <c r="G74" s="195"/>
      <c r="H74" s="195"/>
      <c r="I74" s="195"/>
      <c r="J74" s="195"/>
      <c r="K74" s="199">
        <f>SUM(K60:K73)</f>
        <v>1346.0748800000001</v>
      </c>
      <c r="L74" s="195"/>
      <c r="M74" s="195"/>
      <c r="N74" s="195"/>
      <c r="O74" s="195"/>
      <c r="P74" s="195"/>
      <c r="Q74" s="195"/>
      <c r="R74" s="195"/>
    </row>
    <row r="75" spans="1:20" ht="15.75">
      <c r="A75" s="195"/>
      <c r="B75" s="195"/>
      <c r="C75" s="195"/>
      <c r="D75" s="195"/>
      <c r="E75" s="195"/>
      <c r="F75" s="195"/>
      <c r="G75" s="195"/>
      <c r="H75" s="195"/>
      <c r="I75" s="195"/>
      <c r="J75" s="195"/>
      <c r="K75" s="195"/>
      <c r="L75" s="197" t="s">
        <v>1807</v>
      </c>
      <c r="M75" s="200">
        <f>E74+K74</f>
        <v>3561.5824800000005</v>
      </c>
      <c r="N75" s="195"/>
      <c r="O75" s="195"/>
      <c r="P75" s="195"/>
      <c r="Q75" s="195"/>
      <c r="R75" s="195"/>
      <c r="S75" s="195"/>
      <c r="T75" s="195"/>
    </row>
    <row r="76" spans="1:20" ht="15">
      <c r="A76" s="195"/>
      <c r="B76" s="195"/>
      <c r="C76" s="195"/>
      <c r="D76" s="195"/>
      <c r="E76" s="195"/>
      <c r="F76" s="195"/>
      <c r="G76" s="195"/>
      <c r="H76" s="195"/>
      <c r="I76" s="195"/>
      <c r="J76" s="195"/>
      <c r="K76" s="279" t="s">
        <v>2423</v>
      </c>
      <c r="L76" s="278" t="s">
        <v>2418</v>
      </c>
      <c r="M76" s="195">
        <f>'數量計算(FOR4變)'!H195*3.2</f>
        <v>99.518528000000003</v>
      </c>
      <c r="N76" s="195"/>
      <c r="O76" s="195"/>
      <c r="P76" s="195"/>
      <c r="Q76" s="195"/>
      <c r="R76" s="195"/>
      <c r="S76" s="195"/>
      <c r="T76" s="195"/>
    </row>
    <row r="77" spans="1:20">
      <c r="M77" s="399">
        <f>M75+M76</f>
        <v>3661.1010080000005</v>
      </c>
    </row>
    <row r="78" spans="1:20">
      <c r="B78" s="81" t="s">
        <v>1813</v>
      </c>
      <c r="E78" s="82">
        <v>246.3</v>
      </c>
      <c r="F78" s="82" t="s">
        <v>8</v>
      </c>
      <c r="J78" s="82" t="s">
        <v>1814</v>
      </c>
      <c r="K78" s="82" t="s">
        <v>1815</v>
      </c>
    </row>
    <row r="79" spans="1:20">
      <c r="A79" s="81" t="s">
        <v>1799</v>
      </c>
      <c r="B79" s="81" t="s">
        <v>1800</v>
      </c>
      <c r="C79" s="81" t="s">
        <v>1801</v>
      </c>
      <c r="D79" s="82" t="s">
        <v>1802</v>
      </c>
      <c r="E79" s="82" t="s">
        <v>1816</v>
      </c>
      <c r="I79" s="82" t="s">
        <v>1799</v>
      </c>
      <c r="J79" s="82" t="s">
        <v>1800</v>
      </c>
      <c r="K79" s="82" t="s">
        <v>1801</v>
      </c>
      <c r="L79" s="82" t="s">
        <v>1802</v>
      </c>
      <c r="M79" s="82" t="s">
        <v>1803</v>
      </c>
    </row>
    <row r="80" spans="1:20">
      <c r="B80" s="81">
        <v>5</v>
      </c>
      <c r="C80" s="81">
        <v>4.66</v>
      </c>
      <c r="D80" s="82">
        <v>334</v>
      </c>
      <c r="E80" s="82">
        <v>5980.2782832000003</v>
      </c>
      <c r="J80" s="82">
        <v>8</v>
      </c>
      <c r="K80" s="82">
        <v>2.95</v>
      </c>
      <c r="L80" s="82">
        <v>228</v>
      </c>
      <c r="M80" s="82">
        <v>2676.9479999999999</v>
      </c>
    </row>
    <row r="81" spans="1:14">
      <c r="B81" s="81">
        <v>4</v>
      </c>
      <c r="C81" s="81">
        <v>5</v>
      </c>
      <c r="D81" s="82">
        <v>16</v>
      </c>
      <c r="E81" s="82">
        <v>195.85775999999998</v>
      </c>
      <c r="J81" s="82">
        <v>4</v>
      </c>
      <c r="K81" s="82">
        <v>5</v>
      </c>
      <c r="L81" s="82">
        <v>16</v>
      </c>
      <c r="M81" s="82">
        <v>79.52</v>
      </c>
    </row>
    <row r="82" spans="1:14">
      <c r="B82" s="81">
        <v>4</v>
      </c>
      <c r="C82" s="81">
        <v>6</v>
      </c>
      <c r="D82" s="82">
        <v>250</v>
      </c>
      <c r="E82" s="82">
        <v>3672.3330000000001</v>
      </c>
      <c r="J82" s="82">
        <v>4</v>
      </c>
      <c r="K82" s="82">
        <v>6</v>
      </c>
      <c r="L82" s="82">
        <v>112</v>
      </c>
      <c r="M82" s="82">
        <v>667.96799999999996</v>
      </c>
    </row>
    <row r="83" spans="1:14">
      <c r="B83" s="81">
        <v>5</v>
      </c>
      <c r="C83" s="81">
        <v>1.8</v>
      </c>
      <c r="D83" s="82">
        <v>60</v>
      </c>
      <c r="E83" s="82">
        <v>414.96624000000008</v>
      </c>
      <c r="J83" s="82">
        <v>4</v>
      </c>
      <c r="K83" s="82">
        <v>1.1499999999999999</v>
      </c>
      <c r="L83" s="82">
        <v>45</v>
      </c>
      <c r="M83" s="82">
        <v>51.439499999999995</v>
      </c>
    </row>
    <row r="84" spans="1:14">
      <c r="J84" s="82">
        <v>4</v>
      </c>
      <c r="K84" s="82">
        <v>0.45</v>
      </c>
      <c r="L84" s="82">
        <v>25</v>
      </c>
      <c r="M84" s="82">
        <v>11.182499999999999</v>
      </c>
    </row>
    <row r="85" spans="1:14">
      <c r="D85" s="82" t="s">
        <v>1781</v>
      </c>
      <c r="E85" s="82">
        <v>10263.4352832</v>
      </c>
      <c r="J85" s="82">
        <v>4</v>
      </c>
      <c r="K85" s="82">
        <v>6</v>
      </c>
      <c r="L85" s="82">
        <v>20</v>
      </c>
      <c r="M85" s="82">
        <v>119.28</v>
      </c>
    </row>
    <row r="86" spans="1:14" ht="13.5">
      <c r="C86" s="81" t="s">
        <v>2420</v>
      </c>
      <c r="D86" s="178" t="s">
        <v>2419</v>
      </c>
      <c r="E86" s="82">
        <f>'數量計算(FOR4變)'!H326*3.2</f>
        <v>886.68000000000018</v>
      </c>
      <c r="J86" s="82">
        <v>8</v>
      </c>
      <c r="K86" s="82">
        <v>2.4</v>
      </c>
      <c r="L86" s="82">
        <v>15</v>
      </c>
      <c r="M86" s="82">
        <v>143.28</v>
      </c>
    </row>
    <row r="87" spans="1:14">
      <c r="E87" s="399">
        <f>E85+E86</f>
        <v>11150.115283200001</v>
      </c>
      <c r="J87" s="82">
        <v>8</v>
      </c>
      <c r="K87" s="82">
        <v>4.3500000000000005</v>
      </c>
      <c r="L87" s="82">
        <v>228</v>
      </c>
      <c r="M87" s="82">
        <v>3947.364</v>
      </c>
    </row>
    <row r="88" spans="1:14">
      <c r="B88" s="81" t="s">
        <v>1817</v>
      </c>
      <c r="C88" s="81" t="s">
        <v>1818</v>
      </c>
      <c r="J88" s="82">
        <v>4</v>
      </c>
      <c r="K88" s="82">
        <v>5</v>
      </c>
      <c r="L88" s="82">
        <v>22</v>
      </c>
      <c r="M88" s="82">
        <v>109.34</v>
      </c>
    </row>
    <row r="89" spans="1:14">
      <c r="A89" s="81" t="s">
        <v>1799</v>
      </c>
      <c r="B89" s="81" t="s">
        <v>1800</v>
      </c>
      <c r="C89" s="81" t="s">
        <v>1801</v>
      </c>
      <c r="D89" s="82" t="s">
        <v>1802</v>
      </c>
      <c r="E89" s="82" t="s">
        <v>1803</v>
      </c>
      <c r="J89" s="82">
        <v>4</v>
      </c>
      <c r="K89" s="82">
        <v>6</v>
      </c>
      <c r="L89" s="82">
        <v>162</v>
      </c>
      <c r="M89" s="82">
        <v>966.16800000000001</v>
      </c>
    </row>
    <row r="90" spans="1:14">
      <c r="B90" s="81">
        <v>6</v>
      </c>
      <c r="C90" s="81">
        <v>2.35</v>
      </c>
      <c r="D90" s="82">
        <v>122</v>
      </c>
      <c r="E90" s="82">
        <v>645.07499999999993</v>
      </c>
      <c r="J90" s="82">
        <v>5</v>
      </c>
      <c r="K90" s="82">
        <v>3.5</v>
      </c>
      <c r="L90" s="82">
        <v>30</v>
      </c>
      <c r="M90" s="82">
        <v>163.80000000000001</v>
      </c>
    </row>
    <row r="91" spans="1:14">
      <c r="B91" s="81">
        <v>4</v>
      </c>
      <c r="C91" s="81">
        <v>5</v>
      </c>
      <c r="D91" s="82">
        <v>21</v>
      </c>
      <c r="E91" s="82">
        <v>104.37</v>
      </c>
      <c r="J91" s="82">
        <v>4</v>
      </c>
      <c r="K91" s="82">
        <v>0.6</v>
      </c>
      <c r="L91" s="82">
        <v>15</v>
      </c>
      <c r="M91" s="82">
        <v>8.9459999999999997</v>
      </c>
    </row>
    <row r="92" spans="1:14">
      <c r="B92" s="81">
        <v>4</v>
      </c>
      <c r="C92" s="81">
        <v>6</v>
      </c>
      <c r="D92" s="82">
        <v>114</v>
      </c>
      <c r="E92" s="82">
        <v>679.89599999999996</v>
      </c>
    </row>
    <row r="93" spans="1:14" ht="13.5">
      <c r="B93" s="81">
        <v>4</v>
      </c>
      <c r="C93" s="81">
        <v>1.5899999999999999</v>
      </c>
      <c r="D93" s="82">
        <v>30</v>
      </c>
      <c r="E93" s="82">
        <v>47.413799999999995</v>
      </c>
      <c r="K93" s="81" t="s">
        <v>2420</v>
      </c>
      <c r="L93" s="178" t="s">
        <v>2419</v>
      </c>
      <c r="M93" s="82">
        <f>'數量計算(FOR4變)'!H327*3.2</f>
        <v>220.97279999999998</v>
      </c>
      <c r="N93" s="399">
        <f>M93+M94</f>
        <v>2398.6167999999998</v>
      </c>
    </row>
    <row r="94" spans="1:14">
      <c r="B94" s="81">
        <v>4</v>
      </c>
      <c r="C94" s="81">
        <v>0.6</v>
      </c>
      <c r="D94" s="82">
        <v>20</v>
      </c>
      <c r="E94" s="82">
        <v>11.928000000000001</v>
      </c>
      <c r="L94" s="82" t="s">
        <v>1781</v>
      </c>
      <c r="M94" s="82">
        <v>2177.6439999999998</v>
      </c>
    </row>
    <row r="95" spans="1:14">
      <c r="B95" s="81">
        <v>4</v>
      </c>
      <c r="C95" s="81">
        <v>6</v>
      </c>
      <c r="D95" s="82">
        <v>10</v>
      </c>
      <c r="E95" s="82">
        <v>59.64</v>
      </c>
      <c r="L95" s="82" t="s">
        <v>1782</v>
      </c>
      <c r="M95" s="82">
        <v>6767.5920000000006</v>
      </c>
    </row>
    <row r="96" spans="1:14">
      <c r="B96" s="81">
        <v>6</v>
      </c>
      <c r="C96" s="81">
        <v>1.65</v>
      </c>
      <c r="D96" s="82">
        <v>10</v>
      </c>
      <c r="E96" s="82">
        <v>37.125</v>
      </c>
    </row>
    <row r="97" spans="1:13">
      <c r="B97" s="81">
        <v>4</v>
      </c>
      <c r="C97" s="81">
        <v>5</v>
      </c>
      <c r="D97" s="82">
        <v>2</v>
      </c>
      <c r="E97" s="82">
        <v>9.94</v>
      </c>
    </row>
    <row r="98" spans="1:13">
      <c r="B98" s="81">
        <v>4</v>
      </c>
      <c r="C98" s="81">
        <v>6</v>
      </c>
      <c r="D98" s="82">
        <v>10</v>
      </c>
      <c r="E98" s="82">
        <v>59.64</v>
      </c>
      <c r="J98" s="82" t="s">
        <v>1819</v>
      </c>
      <c r="M98" s="82" t="s">
        <v>1820</v>
      </c>
    </row>
    <row r="99" spans="1:13">
      <c r="B99" s="81">
        <v>6</v>
      </c>
      <c r="C99" s="81">
        <v>6.15</v>
      </c>
      <c r="D99" s="82">
        <v>61</v>
      </c>
      <c r="E99" s="82">
        <v>844.08750000000009</v>
      </c>
      <c r="I99" s="82" t="s">
        <v>1799</v>
      </c>
      <c r="J99" s="82" t="s">
        <v>1800</v>
      </c>
      <c r="K99" s="82" t="s">
        <v>1801</v>
      </c>
      <c r="L99" s="82" t="s">
        <v>1802</v>
      </c>
      <c r="M99" s="82" t="s">
        <v>1803</v>
      </c>
    </row>
    <row r="100" spans="1:13">
      <c r="B100" s="81">
        <v>5</v>
      </c>
      <c r="C100" s="81">
        <v>3.5</v>
      </c>
      <c r="D100" s="82">
        <v>10</v>
      </c>
      <c r="E100" s="82">
        <v>54.6</v>
      </c>
      <c r="J100" s="82">
        <v>6</v>
      </c>
      <c r="K100" s="82">
        <v>2.35</v>
      </c>
      <c r="L100" s="82">
        <v>202</v>
      </c>
      <c r="M100" s="82">
        <v>2194.8941250000003</v>
      </c>
    </row>
    <row r="101" spans="1:13">
      <c r="J101" s="82">
        <v>4</v>
      </c>
      <c r="K101" s="82">
        <v>5</v>
      </c>
      <c r="L101" s="82">
        <v>10</v>
      </c>
      <c r="M101" s="82">
        <v>102.13350000000001</v>
      </c>
    </row>
    <row r="102" spans="1:13" ht="13.5">
      <c r="B102" s="179" t="s">
        <v>2421</v>
      </c>
      <c r="C102" s="81" t="s">
        <v>2420</v>
      </c>
      <c r="D102" s="178" t="s">
        <v>2419</v>
      </c>
      <c r="E102" s="82">
        <f>'數量計算(FOR4變)'!H328*3.2</f>
        <v>678.04848000000015</v>
      </c>
      <c r="J102" s="82">
        <v>4</v>
      </c>
      <c r="K102" s="82">
        <v>6</v>
      </c>
      <c r="L102" s="82">
        <v>78</v>
      </c>
      <c r="M102" s="82">
        <v>955.96956000000011</v>
      </c>
    </row>
    <row r="103" spans="1:13">
      <c r="D103" s="82" t="s">
        <v>1781</v>
      </c>
      <c r="E103" s="82">
        <v>1027.4277999999999</v>
      </c>
      <c r="F103" s="399">
        <f>E102+E103</f>
        <v>1705.4762800000001</v>
      </c>
      <c r="J103" s="82">
        <v>4</v>
      </c>
      <c r="K103" s="82">
        <v>1.55</v>
      </c>
      <c r="L103" s="82">
        <v>45</v>
      </c>
      <c r="M103" s="82">
        <v>142.47623250000001</v>
      </c>
    </row>
    <row r="104" spans="1:13">
      <c r="D104" s="82" t="s">
        <v>1782</v>
      </c>
      <c r="E104" s="82">
        <v>1526.2874999999999</v>
      </c>
      <c r="J104" s="82">
        <v>4</v>
      </c>
      <c r="K104" s="82">
        <v>0.6</v>
      </c>
      <c r="L104" s="82">
        <v>40</v>
      </c>
      <c r="M104" s="82">
        <v>23.856000000000002</v>
      </c>
    </row>
    <row r="105" spans="1:13">
      <c r="J105" s="82">
        <v>4</v>
      </c>
      <c r="K105" s="82">
        <v>6</v>
      </c>
      <c r="L105" s="82">
        <v>12</v>
      </c>
      <c r="M105" s="82">
        <v>147.07223999999999</v>
      </c>
    </row>
    <row r="106" spans="1:13">
      <c r="J106" s="82">
        <v>6</v>
      </c>
      <c r="K106" s="82">
        <v>1.65</v>
      </c>
      <c r="L106" s="82">
        <v>15</v>
      </c>
      <c r="M106" s="82">
        <v>55.6875</v>
      </c>
    </row>
    <row r="107" spans="1:13">
      <c r="B107" s="81" t="s">
        <v>1821</v>
      </c>
      <c r="E107" s="82" t="s">
        <v>1822</v>
      </c>
      <c r="J107" s="82">
        <v>4</v>
      </c>
      <c r="K107" s="82">
        <v>5</v>
      </c>
      <c r="L107" s="82">
        <v>10</v>
      </c>
      <c r="M107" s="82">
        <v>102.13350000000001</v>
      </c>
    </row>
    <row r="108" spans="1:13">
      <c r="A108" s="81" t="s">
        <v>1799</v>
      </c>
      <c r="B108" s="81" t="s">
        <v>1800</v>
      </c>
      <c r="C108" s="81" t="s">
        <v>1801</v>
      </c>
      <c r="D108" s="82" t="s">
        <v>1802</v>
      </c>
      <c r="E108" s="82" t="s">
        <v>1803</v>
      </c>
      <c r="J108" s="82">
        <v>4</v>
      </c>
      <c r="K108" s="82">
        <v>6</v>
      </c>
      <c r="L108" s="82">
        <v>74</v>
      </c>
      <c r="M108" s="82">
        <v>906.94548000000009</v>
      </c>
    </row>
    <row r="109" spans="1:13">
      <c r="B109" s="81">
        <v>6</v>
      </c>
      <c r="C109" s="81">
        <v>3.9000000000000004</v>
      </c>
      <c r="D109" s="82">
        <v>168</v>
      </c>
      <c r="E109" s="82">
        <v>1474.2</v>
      </c>
      <c r="G109" s="82">
        <v>83.5</v>
      </c>
      <c r="J109" s="82">
        <v>6</v>
      </c>
      <c r="K109" s="82">
        <v>4.95</v>
      </c>
      <c r="L109" s="82">
        <v>101</v>
      </c>
      <c r="M109" s="82">
        <v>2311.6438125000004</v>
      </c>
    </row>
    <row r="110" spans="1:13">
      <c r="B110" s="81">
        <v>4</v>
      </c>
      <c r="C110" s="81">
        <v>5</v>
      </c>
      <c r="D110" s="82">
        <v>36</v>
      </c>
      <c r="E110" s="82">
        <v>178.92</v>
      </c>
      <c r="J110" s="82">
        <v>5</v>
      </c>
      <c r="K110" s="82">
        <v>3.5</v>
      </c>
      <c r="L110" s="82">
        <v>15</v>
      </c>
      <c r="M110" s="82">
        <v>168.30450000000002</v>
      </c>
    </row>
    <row r="111" spans="1:13">
      <c r="B111" s="81">
        <v>4</v>
      </c>
      <c r="C111" s="81">
        <v>6</v>
      </c>
      <c r="D111" s="82">
        <v>72</v>
      </c>
      <c r="E111" s="82">
        <v>429.40800000000002</v>
      </c>
    </row>
    <row r="112" spans="1:13">
      <c r="B112" s="81">
        <v>4</v>
      </c>
      <c r="C112" s="81">
        <v>1.55</v>
      </c>
      <c r="D112" s="82">
        <v>32</v>
      </c>
      <c r="E112" s="82">
        <v>49.302399999999999</v>
      </c>
    </row>
    <row r="113" spans="1:15">
      <c r="B113" s="81">
        <v>4</v>
      </c>
      <c r="C113" s="81">
        <v>0.6</v>
      </c>
      <c r="D113" s="82">
        <v>28</v>
      </c>
      <c r="E113" s="82">
        <v>16.699200000000001</v>
      </c>
      <c r="L113" s="82" t="s">
        <v>1781</v>
      </c>
      <c r="M113" s="82">
        <v>2548.8910125000002</v>
      </c>
    </row>
    <row r="114" spans="1:15">
      <c r="B114" s="81">
        <v>6</v>
      </c>
      <c r="C114" s="81">
        <v>1.65</v>
      </c>
      <c r="D114" s="82">
        <v>12</v>
      </c>
      <c r="E114" s="82">
        <v>44.55</v>
      </c>
      <c r="L114" s="82" t="s">
        <v>1782</v>
      </c>
      <c r="M114" s="82">
        <v>4562.2254375000011</v>
      </c>
    </row>
    <row r="115" spans="1:15">
      <c r="B115" s="81">
        <v>6</v>
      </c>
      <c r="C115" s="81">
        <v>6.3</v>
      </c>
      <c r="D115" s="82">
        <v>84</v>
      </c>
      <c r="E115" s="82">
        <v>1190.6999999999998</v>
      </c>
    </row>
    <row r="116" spans="1:15">
      <c r="B116" s="81">
        <v>5</v>
      </c>
      <c r="C116" s="81">
        <v>3.5</v>
      </c>
      <c r="D116" s="82">
        <v>8</v>
      </c>
      <c r="E116" s="82">
        <v>43.68</v>
      </c>
    </row>
    <row r="117" spans="1:15">
      <c r="I117" s="394"/>
      <c r="J117" s="394" t="s">
        <v>1823</v>
      </c>
      <c r="K117" s="394"/>
      <c r="L117" s="394"/>
      <c r="M117" s="394" t="s">
        <v>1824</v>
      </c>
    </row>
    <row r="118" spans="1:15">
      <c r="I118" s="394" t="s">
        <v>1799</v>
      </c>
      <c r="J118" s="394" t="s">
        <v>1800</v>
      </c>
      <c r="K118" s="394" t="s">
        <v>1801</v>
      </c>
      <c r="L118" s="394" t="s">
        <v>1802</v>
      </c>
      <c r="M118" s="394" t="s">
        <v>1803</v>
      </c>
    </row>
    <row r="119" spans="1:15">
      <c r="D119" s="82" t="s">
        <v>1781</v>
      </c>
      <c r="E119" s="82">
        <v>718.00959999999998</v>
      </c>
      <c r="I119" s="394"/>
      <c r="J119" s="394">
        <v>5</v>
      </c>
      <c r="K119" s="394">
        <v>14.55</v>
      </c>
      <c r="L119" s="394">
        <v>44</v>
      </c>
      <c r="M119" s="394">
        <v>998.7120000000001</v>
      </c>
      <c r="O119" s="82">
        <v>14.25</v>
      </c>
    </row>
    <row r="120" spans="1:15">
      <c r="D120" s="82" t="s">
        <v>1782</v>
      </c>
      <c r="E120" s="82">
        <v>2709.45</v>
      </c>
      <c r="I120" s="394"/>
      <c r="J120" s="394">
        <v>5</v>
      </c>
      <c r="K120" s="394">
        <v>4.8499999999999996</v>
      </c>
      <c r="L120" s="394">
        <v>71</v>
      </c>
      <c r="M120" s="394">
        <v>537.18599999999992</v>
      </c>
      <c r="O120" s="82">
        <v>69.749999999999986</v>
      </c>
    </row>
    <row r="121" spans="1:15" ht="13.5">
      <c r="I121" s="395"/>
      <c r="J121" s="394">
        <v>5</v>
      </c>
      <c r="K121" s="394">
        <v>3.75</v>
      </c>
      <c r="L121" s="394">
        <v>71</v>
      </c>
      <c r="M121" s="394">
        <v>415.35</v>
      </c>
    </row>
    <row r="122" spans="1:15">
      <c r="I122" s="394"/>
      <c r="J122" s="394">
        <v>5</v>
      </c>
      <c r="K122" s="394">
        <v>2.2000000000000002</v>
      </c>
      <c r="L122" s="394">
        <v>71</v>
      </c>
      <c r="M122" s="394">
        <v>243.67200000000003</v>
      </c>
    </row>
    <row r="123" spans="1:15">
      <c r="I123" s="394"/>
      <c r="J123" s="394"/>
      <c r="K123" s="394"/>
      <c r="L123" s="394"/>
      <c r="M123" s="394"/>
    </row>
    <row r="124" spans="1:15" ht="13.5">
      <c r="I124" s="394"/>
      <c r="J124" s="394"/>
      <c r="K124" s="396" t="s">
        <v>2422</v>
      </c>
      <c r="L124" s="397" t="s">
        <v>2418</v>
      </c>
      <c r="M124" s="394">
        <f>'數量計算(FOR4變)'!H197*3.2</f>
        <v>71.647199999999998</v>
      </c>
    </row>
    <row r="125" spans="1:15">
      <c r="I125" s="394"/>
      <c r="J125" s="394"/>
      <c r="K125" s="394"/>
      <c r="L125" s="394" t="s">
        <v>1781</v>
      </c>
      <c r="M125" s="394">
        <v>2194.92</v>
      </c>
      <c r="N125" s="399">
        <f>M124+M125</f>
        <v>2266.5672</v>
      </c>
    </row>
    <row r="127" spans="1:15" ht="13.5">
      <c r="A127" s="179" t="s">
        <v>1983</v>
      </c>
      <c r="B127" s="81" t="s">
        <v>1985</v>
      </c>
      <c r="C127" s="275">
        <v>14</v>
      </c>
      <c r="H127" s="178" t="s">
        <v>1982</v>
      </c>
      <c r="I127" s="82" t="s">
        <v>1992</v>
      </c>
      <c r="J127" s="275">
        <v>15</v>
      </c>
    </row>
    <row r="128" spans="1:15" ht="13.5">
      <c r="A128" s="81" t="s">
        <v>1800</v>
      </c>
      <c r="C128" s="81" t="s">
        <v>1802</v>
      </c>
      <c r="D128" s="81" t="s">
        <v>1801</v>
      </c>
      <c r="E128" s="179" t="s">
        <v>1984</v>
      </c>
      <c r="H128" s="81" t="s">
        <v>1800</v>
      </c>
      <c r="I128" s="81"/>
      <c r="J128" s="81" t="s">
        <v>1802</v>
      </c>
      <c r="K128" s="81" t="s">
        <v>1801</v>
      </c>
      <c r="L128" s="179" t="s">
        <v>1984</v>
      </c>
    </row>
    <row r="129" spans="1:16">
      <c r="A129" s="81">
        <v>4</v>
      </c>
      <c r="B129" s="81" t="s">
        <v>1969</v>
      </c>
      <c r="C129" s="81">
        <v>100</v>
      </c>
      <c r="D129" s="81">
        <f>680/100</f>
        <v>6.8</v>
      </c>
      <c r="E129" s="276">
        <f>C129*D129*$C$127*0.994</f>
        <v>9462.8799999999992</v>
      </c>
      <c r="F129" s="82" t="s">
        <v>1970</v>
      </c>
      <c r="H129" s="81">
        <v>5</v>
      </c>
      <c r="I129" s="81" t="s">
        <v>1969</v>
      </c>
      <c r="J129" s="81">
        <v>135</v>
      </c>
      <c r="K129" s="81">
        <v>1.65</v>
      </c>
      <c r="L129" s="82">
        <f>J129*K129*$J$127*1.56</f>
        <v>5212.3500000000004</v>
      </c>
      <c r="M129" s="82" t="s">
        <v>1970</v>
      </c>
      <c r="N129" s="82">
        <v>5</v>
      </c>
      <c r="O129" s="82">
        <v>2.15</v>
      </c>
      <c r="P129" s="82">
        <v>268</v>
      </c>
    </row>
    <row r="130" spans="1:16">
      <c r="A130" s="81">
        <v>4</v>
      </c>
      <c r="B130" s="81" t="s">
        <v>1969</v>
      </c>
      <c r="C130" s="81">
        <v>126</v>
      </c>
      <c r="D130" s="81">
        <f>600/100</f>
        <v>6</v>
      </c>
      <c r="E130" s="276">
        <f t="shared" ref="E130:E137" si="7">C130*D130*$C$127*0.994</f>
        <v>10520.495999999999</v>
      </c>
      <c r="F130" s="82" t="s">
        <v>1971</v>
      </c>
      <c r="H130" s="81">
        <v>4</v>
      </c>
      <c r="I130" s="81" t="s">
        <v>1969</v>
      </c>
      <c r="J130" s="81">
        <v>30</v>
      </c>
      <c r="K130" s="81">
        <v>6</v>
      </c>
      <c r="L130" s="82">
        <f>J130*K130*$J$127*0.994</f>
        <v>2683.8</v>
      </c>
      <c r="M130" s="82" t="s">
        <v>1971</v>
      </c>
      <c r="N130" s="82">
        <v>4</v>
      </c>
      <c r="O130" s="82">
        <v>5</v>
      </c>
      <c r="P130" s="82">
        <v>26</v>
      </c>
    </row>
    <row r="131" spans="1:16">
      <c r="A131" s="81">
        <v>4</v>
      </c>
      <c r="B131" s="81" t="s">
        <v>1969</v>
      </c>
      <c r="C131" s="81">
        <v>18</v>
      </c>
      <c r="D131" s="81">
        <f>500/100</f>
        <v>5</v>
      </c>
      <c r="E131" s="276">
        <f t="shared" si="7"/>
        <v>1252.44</v>
      </c>
      <c r="F131" s="82" t="s">
        <v>1971</v>
      </c>
      <c r="H131" s="81">
        <v>4</v>
      </c>
      <c r="I131" s="81" t="s">
        <v>1969</v>
      </c>
      <c r="J131" s="81">
        <v>5</v>
      </c>
      <c r="K131" s="81">
        <v>5</v>
      </c>
      <c r="L131" s="82">
        <f>J131*K131*$J$127*0.994</f>
        <v>372.75</v>
      </c>
      <c r="M131" s="82" t="s">
        <v>1971</v>
      </c>
      <c r="N131" s="82">
        <v>4</v>
      </c>
      <c r="O131" s="82">
        <v>6</v>
      </c>
      <c r="P131" s="82">
        <v>182</v>
      </c>
    </row>
    <row r="132" spans="1:16">
      <c r="A132" s="81">
        <v>7</v>
      </c>
      <c r="B132" s="81" t="s">
        <v>1969</v>
      </c>
      <c r="C132" s="81">
        <v>100</v>
      </c>
      <c r="D132" s="81">
        <f>340/100</f>
        <v>3.4</v>
      </c>
      <c r="E132" s="276">
        <f>C132*D132*$C$127*3.04</f>
        <v>14470.4</v>
      </c>
      <c r="F132" s="82" t="s">
        <v>1972</v>
      </c>
      <c r="H132" s="81">
        <v>5</v>
      </c>
      <c r="I132" s="81" t="s">
        <v>1969</v>
      </c>
      <c r="J132" s="81">
        <v>135</v>
      </c>
      <c r="K132" s="81">
        <v>2.15</v>
      </c>
      <c r="L132" s="82">
        <f t="shared" ref="L132:L141" si="8">J132*K132*$J$127*1.56</f>
        <v>6791.85</v>
      </c>
      <c r="M132" s="82" t="s">
        <v>1972</v>
      </c>
      <c r="N132" s="82">
        <v>5</v>
      </c>
      <c r="O132" s="82">
        <v>1.65</v>
      </c>
      <c r="P132" s="82">
        <v>268</v>
      </c>
    </row>
    <row r="133" spans="1:16">
      <c r="A133" s="81">
        <v>7</v>
      </c>
      <c r="B133" s="81" t="s">
        <v>1969</v>
      </c>
      <c r="C133" s="81">
        <v>100</v>
      </c>
      <c r="D133" s="81">
        <f>520/100</f>
        <v>5.2</v>
      </c>
      <c r="E133" s="276">
        <f>C133*D133*$C$127*3.04</f>
        <v>22131.200000000001</v>
      </c>
      <c r="F133" s="82" t="s">
        <v>1972</v>
      </c>
      <c r="H133" s="81">
        <v>4</v>
      </c>
      <c r="I133" s="81" t="s">
        <v>1969</v>
      </c>
      <c r="J133" s="81">
        <v>30</v>
      </c>
      <c r="K133" s="81">
        <v>6</v>
      </c>
      <c r="L133" s="82">
        <f>J133*K133*$J$127*0.994</f>
        <v>2683.8</v>
      </c>
      <c r="M133" s="82" t="s">
        <v>1973</v>
      </c>
      <c r="N133" s="82">
        <v>5</v>
      </c>
      <c r="O133" s="82">
        <v>3</v>
      </c>
      <c r="P133" s="82">
        <v>268</v>
      </c>
    </row>
    <row r="134" spans="1:16">
      <c r="A134" s="81">
        <v>4</v>
      </c>
      <c r="B134" s="81" t="s">
        <v>1969</v>
      </c>
      <c r="C134" s="81">
        <v>126</v>
      </c>
      <c r="D134" s="81">
        <f>600/100</f>
        <v>6</v>
      </c>
      <c r="E134" s="276">
        <f t="shared" si="7"/>
        <v>10520.495999999999</v>
      </c>
      <c r="F134" s="82" t="s">
        <v>1973</v>
      </c>
      <c r="H134" s="81">
        <v>4</v>
      </c>
      <c r="I134" s="81" t="s">
        <v>1969</v>
      </c>
      <c r="J134" s="81">
        <v>5</v>
      </c>
      <c r="K134" s="81">
        <v>5</v>
      </c>
      <c r="L134" s="82">
        <f>J134*K134*$J$127*0.994</f>
        <v>372.75</v>
      </c>
      <c r="M134" s="82" t="s">
        <v>1973</v>
      </c>
      <c r="N134" s="82">
        <v>5</v>
      </c>
      <c r="O134" s="82">
        <v>2.1</v>
      </c>
      <c r="P134" s="82">
        <v>268</v>
      </c>
    </row>
    <row r="135" spans="1:16">
      <c r="A135" s="81">
        <v>4</v>
      </c>
      <c r="B135" s="81" t="s">
        <v>1969</v>
      </c>
      <c r="C135" s="81">
        <v>18</v>
      </c>
      <c r="D135" s="81">
        <f>500/100</f>
        <v>5</v>
      </c>
      <c r="E135" s="276">
        <f t="shared" si="7"/>
        <v>1252.44</v>
      </c>
      <c r="F135" s="82" t="s">
        <v>1973</v>
      </c>
      <c r="H135" s="81">
        <v>5</v>
      </c>
      <c r="I135" s="81" t="s">
        <v>1976</v>
      </c>
      <c r="J135" s="81">
        <v>270</v>
      </c>
      <c r="K135" s="81">
        <v>3</v>
      </c>
      <c r="L135" s="82">
        <f t="shared" si="8"/>
        <v>18954</v>
      </c>
      <c r="M135" s="82" t="s">
        <v>1977</v>
      </c>
      <c r="N135" s="82">
        <v>4</v>
      </c>
      <c r="O135" s="82">
        <v>6</v>
      </c>
      <c r="P135" s="82">
        <v>24</v>
      </c>
    </row>
    <row r="136" spans="1:16">
      <c r="A136" s="81">
        <v>7</v>
      </c>
      <c r="B136" s="81" t="s">
        <v>1969</v>
      </c>
      <c r="C136" s="81">
        <v>68</v>
      </c>
      <c r="D136" s="81">
        <f>590/100</f>
        <v>5.9</v>
      </c>
      <c r="E136" s="276">
        <f>C136*D136*$C$127*3.04</f>
        <v>17075.072000000004</v>
      </c>
      <c r="F136" s="82" t="s">
        <v>1974</v>
      </c>
      <c r="H136" s="81">
        <v>5</v>
      </c>
      <c r="I136" s="81" t="s">
        <v>1976</v>
      </c>
      <c r="J136" s="81">
        <v>270</v>
      </c>
      <c r="K136" s="81">
        <v>2.1</v>
      </c>
      <c r="L136" s="82">
        <f t="shared" si="8"/>
        <v>13267.800000000001</v>
      </c>
      <c r="M136" s="82" t="s">
        <v>1978</v>
      </c>
      <c r="N136" s="82">
        <v>5</v>
      </c>
      <c r="O136" s="82">
        <v>1.7</v>
      </c>
      <c r="P136" s="82">
        <v>30</v>
      </c>
    </row>
    <row r="137" spans="1:16">
      <c r="A137" s="81">
        <v>4</v>
      </c>
      <c r="B137" s="81" t="s">
        <v>1969</v>
      </c>
      <c r="C137" s="81">
        <v>400</v>
      </c>
      <c r="D137" s="81">
        <v>1.5</v>
      </c>
      <c r="E137" s="276">
        <f t="shared" si="7"/>
        <v>8349.6</v>
      </c>
      <c r="F137" s="82" t="s">
        <v>1975</v>
      </c>
      <c r="H137" s="81">
        <v>4</v>
      </c>
      <c r="I137" s="81" t="s">
        <v>1976</v>
      </c>
      <c r="J137" s="81">
        <v>70</v>
      </c>
      <c r="K137" s="81">
        <v>6</v>
      </c>
      <c r="L137" s="82">
        <f>J137*K137*$J$127*0.994</f>
        <v>6262.2</v>
      </c>
      <c r="M137" s="82" t="s">
        <v>1979</v>
      </c>
      <c r="N137" s="82">
        <v>5</v>
      </c>
      <c r="O137" s="82">
        <v>2</v>
      </c>
      <c r="P137" s="82">
        <v>30</v>
      </c>
    </row>
    <row r="138" spans="1:16">
      <c r="A138" s="81">
        <v>7</v>
      </c>
      <c r="B138" s="81" t="s">
        <v>1976</v>
      </c>
      <c r="C138" s="81">
        <v>200</v>
      </c>
      <c r="D138" s="81">
        <v>5.0999999999999996</v>
      </c>
      <c r="E138" s="276">
        <f>C138*D138*$C$127*3.04</f>
        <v>43411.199999999997</v>
      </c>
      <c r="F138" s="82" t="s">
        <v>1977</v>
      </c>
      <c r="H138" s="81">
        <v>4</v>
      </c>
      <c r="I138" s="81" t="s">
        <v>1976</v>
      </c>
      <c r="J138" s="81">
        <v>10</v>
      </c>
      <c r="K138" s="81">
        <v>5</v>
      </c>
      <c r="L138" s="82">
        <f>J138*K138*$J$127*0.994</f>
        <v>745.5</v>
      </c>
      <c r="M138" s="82" t="s">
        <v>1979</v>
      </c>
    </row>
    <row r="139" spans="1:16">
      <c r="A139" s="81">
        <v>5</v>
      </c>
      <c r="B139" s="81" t="s">
        <v>1976</v>
      </c>
      <c r="C139" s="81">
        <v>200</v>
      </c>
      <c r="D139" s="81">
        <v>3</v>
      </c>
      <c r="E139" s="276">
        <f>C139*D139*$C$127*1.56</f>
        <v>13104</v>
      </c>
      <c r="F139" s="82" t="s">
        <v>1978</v>
      </c>
      <c r="H139" s="81">
        <v>5</v>
      </c>
      <c r="I139" s="81" t="s">
        <v>1986</v>
      </c>
      <c r="J139" s="81">
        <v>135</v>
      </c>
      <c r="K139" s="81">
        <v>1.65</v>
      </c>
      <c r="L139" s="82">
        <f t="shared" si="8"/>
        <v>5212.3500000000004</v>
      </c>
      <c r="M139" s="82" t="s">
        <v>1972</v>
      </c>
    </row>
    <row r="140" spans="1:16">
      <c r="A140" s="81">
        <v>4</v>
      </c>
      <c r="B140" s="81" t="s">
        <v>1976</v>
      </c>
      <c r="C140" s="81">
        <v>156</v>
      </c>
      <c r="D140" s="81">
        <v>6</v>
      </c>
      <c r="E140" s="276">
        <f t="shared" ref="E140:E142" si="9">C140*D140*$C$127*0.994</f>
        <v>13025.376</v>
      </c>
      <c r="F140" s="82" t="s">
        <v>1979</v>
      </c>
      <c r="H140" s="81">
        <v>4</v>
      </c>
      <c r="I140" s="81" t="s">
        <v>1986</v>
      </c>
      <c r="J140" s="81">
        <v>35</v>
      </c>
      <c r="K140" s="81">
        <v>6</v>
      </c>
      <c r="L140" s="82">
        <f>J140*K140*$J$127*0.994</f>
        <v>3131.1</v>
      </c>
      <c r="M140" s="82" t="s">
        <v>1973</v>
      </c>
    </row>
    <row r="141" spans="1:16">
      <c r="A141" s="81">
        <v>4</v>
      </c>
      <c r="B141" s="81" t="s">
        <v>1976</v>
      </c>
      <c r="C141" s="81">
        <v>20</v>
      </c>
      <c r="D141" s="81">
        <v>5</v>
      </c>
      <c r="E141" s="276">
        <f t="shared" si="9"/>
        <v>1391.6</v>
      </c>
      <c r="F141" s="82" t="s">
        <v>1979</v>
      </c>
      <c r="H141" s="81">
        <v>5</v>
      </c>
      <c r="I141" s="81" t="s">
        <v>1986</v>
      </c>
      <c r="J141" s="81">
        <v>135</v>
      </c>
      <c r="K141" s="81">
        <v>2.15</v>
      </c>
      <c r="L141" s="82">
        <f t="shared" si="8"/>
        <v>6791.85</v>
      </c>
      <c r="M141" s="82" t="s">
        <v>1970</v>
      </c>
    </row>
    <row r="142" spans="1:16">
      <c r="A142" s="81">
        <v>4</v>
      </c>
      <c r="B142" s="81" t="s">
        <v>1976</v>
      </c>
      <c r="C142" s="81">
        <v>200</v>
      </c>
      <c r="D142" s="81">
        <v>1.5</v>
      </c>
      <c r="E142" s="276">
        <f t="shared" si="9"/>
        <v>4174.8</v>
      </c>
      <c r="F142" s="82" t="s">
        <v>1975</v>
      </c>
      <c r="H142" s="81">
        <v>4</v>
      </c>
      <c r="I142" s="81" t="s">
        <v>1986</v>
      </c>
      <c r="J142" s="81">
        <v>35</v>
      </c>
      <c r="K142" s="81">
        <v>6</v>
      </c>
      <c r="L142" s="82">
        <f>J142*K142*$J$127*0.994</f>
        <v>3131.1</v>
      </c>
      <c r="M142" s="82" t="s">
        <v>1971</v>
      </c>
    </row>
    <row r="143" spans="1:16">
      <c r="A143" s="81">
        <v>5</v>
      </c>
      <c r="B143" s="81" t="s">
        <v>1980</v>
      </c>
      <c r="C143" s="81">
        <v>200</v>
      </c>
      <c r="D143" s="81">
        <v>3</v>
      </c>
      <c r="E143" s="276">
        <f>C143*D143*$C$127*1.56</f>
        <v>13104</v>
      </c>
      <c r="F143" s="82" t="s">
        <v>1981</v>
      </c>
      <c r="H143" s="81"/>
      <c r="I143" s="81"/>
      <c r="J143" s="81"/>
      <c r="K143" s="81" t="s">
        <v>1989</v>
      </c>
      <c r="L143" s="82">
        <f>SUM(L129:L142)</f>
        <v>75613.200000000012</v>
      </c>
    </row>
    <row r="144" spans="1:16" ht="13.5">
      <c r="A144" s="81">
        <v>4</v>
      </c>
      <c r="B144" s="81" t="s">
        <v>1980</v>
      </c>
      <c r="C144" s="81">
        <v>78</v>
      </c>
      <c r="D144" s="81">
        <v>6</v>
      </c>
      <c r="E144" s="276">
        <f t="shared" ref="E144:E146" si="10">C144*D144*$C$127*0.994</f>
        <v>6512.6880000000001</v>
      </c>
      <c r="F144" s="82" t="s">
        <v>1979</v>
      </c>
      <c r="H144" s="81"/>
      <c r="I144" s="81"/>
      <c r="J144" s="279" t="s">
        <v>2422</v>
      </c>
      <c r="K144" s="278" t="s">
        <v>2418</v>
      </c>
      <c r="L144" s="82">
        <f>'數量計算(FOR4變)'!H338*3.2</f>
        <v>1728</v>
      </c>
    </row>
    <row r="145" spans="1:13">
      <c r="A145" s="81">
        <v>4</v>
      </c>
      <c r="B145" s="81" t="s">
        <v>1980</v>
      </c>
      <c r="C145" s="81">
        <v>10</v>
      </c>
      <c r="D145" s="81">
        <v>5</v>
      </c>
      <c r="E145" s="276">
        <f t="shared" si="10"/>
        <v>695.8</v>
      </c>
      <c r="F145" s="82" t="s">
        <v>1979</v>
      </c>
      <c r="H145" s="81"/>
      <c r="I145" s="81"/>
      <c r="J145" s="81"/>
      <c r="K145" s="81"/>
      <c r="L145" s="399">
        <f>L143+L144</f>
        <v>77341.200000000012</v>
      </c>
    </row>
    <row r="146" spans="1:13" ht="13.5">
      <c r="A146" s="81">
        <v>4</v>
      </c>
      <c r="B146" s="81" t="s">
        <v>1980</v>
      </c>
      <c r="C146" s="81">
        <v>200</v>
      </c>
      <c r="D146" s="81">
        <v>1.5</v>
      </c>
      <c r="E146" s="276">
        <f t="shared" si="10"/>
        <v>4174.8</v>
      </c>
      <c r="F146" s="82" t="s">
        <v>1975</v>
      </c>
      <c r="H146" s="178" t="s">
        <v>1993</v>
      </c>
    </row>
    <row r="147" spans="1:13" ht="13.5">
      <c r="A147" s="81">
        <v>7</v>
      </c>
      <c r="B147" s="81" t="s">
        <v>1986</v>
      </c>
      <c r="C147" s="81">
        <v>100</v>
      </c>
      <c r="D147" s="81">
        <v>3.4</v>
      </c>
      <c r="E147" s="276">
        <f>C147*D147*$C$127*3.04</f>
        <v>14470.4</v>
      </c>
      <c r="F147" s="82" t="s">
        <v>1970</v>
      </c>
      <c r="H147" s="81" t="s">
        <v>1800</v>
      </c>
      <c r="J147" s="179" t="s">
        <v>1995</v>
      </c>
      <c r="K147" s="279" t="s">
        <v>1996</v>
      </c>
      <c r="L147" s="179" t="s">
        <v>1984</v>
      </c>
    </row>
    <row r="148" spans="1:13">
      <c r="A148" s="81">
        <v>7</v>
      </c>
      <c r="B148" s="81" t="s">
        <v>1986</v>
      </c>
      <c r="C148" s="81">
        <v>100</v>
      </c>
      <c r="D148" s="81">
        <v>5.2</v>
      </c>
      <c r="E148" s="276">
        <f>C148*D148*$C$127*3.04</f>
        <v>22131.200000000001</v>
      </c>
      <c r="F148" s="82" t="s">
        <v>1970</v>
      </c>
      <c r="H148" s="81">
        <v>8</v>
      </c>
      <c r="I148" s="81" t="s">
        <v>1969</v>
      </c>
      <c r="J148" s="81">
        <v>5.35</v>
      </c>
      <c r="K148" s="81">
        <v>34</v>
      </c>
      <c r="L148" s="82">
        <f>J148*K148*3.98</f>
        <v>723.96199999999988</v>
      </c>
      <c r="M148" s="82" t="s">
        <v>1997</v>
      </c>
    </row>
    <row r="149" spans="1:13">
      <c r="A149" s="81">
        <v>4</v>
      </c>
      <c r="B149" s="81" t="s">
        <v>1986</v>
      </c>
      <c r="C149" s="81">
        <v>126</v>
      </c>
      <c r="D149" s="81">
        <v>6</v>
      </c>
      <c r="E149" s="276">
        <f t="shared" ref="E149:E154" si="11">C149*D149*$C$127*0.994</f>
        <v>10520.495999999999</v>
      </c>
      <c r="F149" s="82" t="s">
        <v>1971</v>
      </c>
      <c r="H149" s="81">
        <v>8</v>
      </c>
      <c r="I149" s="81" t="s">
        <v>1969</v>
      </c>
      <c r="J149" s="81">
        <v>4.05</v>
      </c>
      <c r="K149" s="81">
        <v>46</v>
      </c>
      <c r="L149" s="82">
        <f t="shared" ref="L149:L160" si="12">J149*K149*3.98</f>
        <v>741.47399999999993</v>
      </c>
      <c r="M149" s="82" t="s">
        <v>1998</v>
      </c>
    </row>
    <row r="150" spans="1:13">
      <c r="A150" s="81">
        <v>4</v>
      </c>
      <c r="B150" s="81" t="s">
        <v>1986</v>
      </c>
      <c r="C150" s="81">
        <v>18</v>
      </c>
      <c r="D150" s="81">
        <v>5</v>
      </c>
      <c r="E150" s="276">
        <f t="shared" si="11"/>
        <v>1252.44</v>
      </c>
      <c r="F150" s="82" t="s">
        <v>1971</v>
      </c>
      <c r="H150" s="81">
        <v>8</v>
      </c>
      <c r="I150" s="81" t="s">
        <v>1976</v>
      </c>
      <c r="J150" s="81">
        <v>3.9</v>
      </c>
      <c r="K150" s="81">
        <v>164</v>
      </c>
      <c r="L150" s="82">
        <f t="shared" si="12"/>
        <v>2545.6080000000002</v>
      </c>
      <c r="M150" s="82" t="s">
        <v>1999</v>
      </c>
    </row>
    <row r="151" spans="1:13">
      <c r="A151" s="81">
        <v>7</v>
      </c>
      <c r="B151" s="81" t="s">
        <v>1986</v>
      </c>
      <c r="C151" s="81">
        <v>68</v>
      </c>
      <c r="D151" s="81">
        <v>5.9</v>
      </c>
      <c r="E151" s="276">
        <f>C151*D151*$C$127*3.04</f>
        <v>17075.072000000004</v>
      </c>
      <c r="F151" s="82" t="s">
        <v>1987</v>
      </c>
      <c r="H151" s="81">
        <v>4</v>
      </c>
      <c r="I151" s="81" t="s">
        <v>1976</v>
      </c>
      <c r="J151" s="81">
        <v>2.9</v>
      </c>
      <c r="K151" s="81">
        <v>44</v>
      </c>
      <c r="L151" s="82">
        <f>J151*K151*0.994</f>
        <v>126.83439999999999</v>
      </c>
      <c r="M151" s="82" t="s">
        <v>2000</v>
      </c>
    </row>
    <row r="152" spans="1:13">
      <c r="A152" s="81">
        <v>4</v>
      </c>
      <c r="B152" s="81" t="s">
        <v>1986</v>
      </c>
      <c r="C152" s="81">
        <v>100</v>
      </c>
      <c r="D152" s="81">
        <v>6.8</v>
      </c>
      <c r="E152" s="276">
        <f t="shared" si="11"/>
        <v>9462.8799999999992</v>
      </c>
      <c r="F152" s="82" t="s">
        <v>1972</v>
      </c>
      <c r="H152" s="81">
        <v>4</v>
      </c>
      <c r="I152" s="81" t="s">
        <v>1976</v>
      </c>
      <c r="J152" s="81">
        <v>2.2999999999999998</v>
      </c>
      <c r="K152" s="81">
        <v>44</v>
      </c>
      <c r="L152" s="82">
        <f>J152*K152*0.994</f>
        <v>100.59279999999998</v>
      </c>
      <c r="M152" s="82" t="s">
        <v>2000</v>
      </c>
    </row>
    <row r="153" spans="1:13">
      <c r="A153" s="81">
        <v>4</v>
      </c>
      <c r="B153" s="81" t="s">
        <v>1986</v>
      </c>
      <c r="C153" s="81">
        <v>126</v>
      </c>
      <c r="D153" s="81">
        <v>6</v>
      </c>
      <c r="E153" s="276">
        <f t="shared" si="11"/>
        <v>10520.495999999999</v>
      </c>
      <c r="F153" s="82" t="s">
        <v>1973</v>
      </c>
      <c r="H153" s="81">
        <v>8</v>
      </c>
      <c r="I153" s="81" t="s">
        <v>1994</v>
      </c>
      <c r="J153" s="81">
        <v>2.1</v>
      </c>
      <c r="K153" s="81">
        <v>15</v>
      </c>
      <c r="L153" s="82">
        <f t="shared" si="12"/>
        <v>125.37</v>
      </c>
      <c r="M153" s="82" t="s">
        <v>2001</v>
      </c>
    </row>
    <row r="154" spans="1:13">
      <c r="A154" s="81">
        <v>4</v>
      </c>
      <c r="B154" s="81" t="s">
        <v>1986</v>
      </c>
      <c r="C154" s="81">
        <v>18</v>
      </c>
      <c r="D154" s="81">
        <v>5</v>
      </c>
      <c r="E154" s="276">
        <f t="shared" si="11"/>
        <v>1252.44</v>
      </c>
      <c r="F154" s="82" t="s">
        <v>1973</v>
      </c>
      <c r="H154" s="81">
        <v>4</v>
      </c>
      <c r="I154" s="81" t="s">
        <v>1994</v>
      </c>
      <c r="J154" s="81">
        <v>2.2999999999999998</v>
      </c>
      <c r="K154" s="81">
        <v>7</v>
      </c>
      <c r="L154" s="82">
        <f>J154*K154*0.994</f>
        <v>16.003399999999999</v>
      </c>
      <c r="M154" s="82" t="s">
        <v>2002</v>
      </c>
    </row>
    <row r="155" spans="1:13">
      <c r="A155" s="81">
        <v>9</v>
      </c>
      <c r="B155" s="81" t="s">
        <v>1986</v>
      </c>
      <c r="C155" s="81">
        <v>68</v>
      </c>
      <c r="D155" s="81">
        <v>2.5</v>
      </c>
      <c r="E155" s="276">
        <f>C155*D155*$C$127*5.08</f>
        <v>12090.4</v>
      </c>
      <c r="F155" s="82" t="s">
        <v>1988</v>
      </c>
      <c r="H155" s="81">
        <v>8</v>
      </c>
      <c r="I155" s="81" t="s">
        <v>1986</v>
      </c>
      <c r="J155" s="81">
        <v>4</v>
      </c>
      <c r="K155" s="81">
        <v>9</v>
      </c>
      <c r="L155" s="82">
        <f t="shared" si="12"/>
        <v>143.28</v>
      </c>
    </row>
    <row r="156" spans="1:13">
      <c r="D156" s="81" t="s">
        <v>1989</v>
      </c>
      <c r="E156" s="276">
        <f>E129+E130+E131+E134+E135+E137+E139+E140+E141+E142+E143+E144+E145+E146+E149+E150+E152+E153+E154</f>
        <v>130550.16800000001</v>
      </c>
      <c r="F156" s="400">
        <f>E158+E156</f>
        <v>137292.568</v>
      </c>
      <c r="H156" s="81">
        <v>8</v>
      </c>
      <c r="I156" s="81" t="s">
        <v>1986</v>
      </c>
      <c r="J156" s="81">
        <v>3.4</v>
      </c>
      <c r="K156" s="81">
        <f>18+2</f>
        <v>20</v>
      </c>
      <c r="L156" s="82">
        <f t="shared" si="12"/>
        <v>270.64</v>
      </c>
    </row>
    <row r="157" spans="1:13">
      <c r="D157" s="81" t="s">
        <v>1990</v>
      </c>
      <c r="E157" s="277">
        <f>E132+E133+E136+E138+E147+E148+E151+E155</f>
        <v>162854.94400000002</v>
      </c>
      <c r="H157" s="81">
        <v>8</v>
      </c>
      <c r="I157" s="81" t="s">
        <v>1986</v>
      </c>
      <c r="J157" s="81">
        <v>2.7</v>
      </c>
      <c r="K157" s="81">
        <f>9+2</f>
        <v>11</v>
      </c>
      <c r="L157" s="82">
        <f t="shared" si="12"/>
        <v>118.20600000000002</v>
      </c>
    </row>
    <row r="158" spans="1:13" ht="13.5">
      <c r="C158" s="279" t="s">
        <v>2422</v>
      </c>
      <c r="D158" s="278" t="s">
        <v>2418</v>
      </c>
      <c r="E158" s="82">
        <f>'數量計算(FOR4變)'!H340*3.2</f>
        <v>6742.4000000000005</v>
      </c>
      <c r="H158" s="81">
        <v>8</v>
      </c>
      <c r="I158" s="81" t="s">
        <v>1986</v>
      </c>
      <c r="J158" s="81">
        <v>2.2000000000000002</v>
      </c>
      <c r="K158" s="81">
        <v>20</v>
      </c>
      <c r="L158" s="82">
        <f t="shared" si="12"/>
        <v>175.12</v>
      </c>
    </row>
    <row r="159" spans="1:13">
      <c r="D159" s="81"/>
      <c r="H159" s="81">
        <v>8</v>
      </c>
      <c r="I159" s="81" t="s">
        <v>1986</v>
      </c>
      <c r="J159" s="81">
        <v>1.45</v>
      </c>
      <c r="K159" s="81">
        <v>26</v>
      </c>
      <c r="L159" s="82">
        <f t="shared" si="12"/>
        <v>150.04599999999999</v>
      </c>
    </row>
    <row r="160" spans="1:13">
      <c r="D160" s="81"/>
      <c r="H160" s="81">
        <v>8</v>
      </c>
      <c r="I160" s="81" t="s">
        <v>1986</v>
      </c>
      <c r="J160" s="81">
        <v>4</v>
      </c>
      <c r="K160" s="81">
        <v>24</v>
      </c>
      <c r="L160" s="82">
        <f t="shared" si="12"/>
        <v>382.08</v>
      </c>
    </row>
    <row r="161" spans="4:13" ht="13.5">
      <c r="D161" s="81"/>
      <c r="H161" s="81">
        <v>4</v>
      </c>
      <c r="I161" s="81" t="s">
        <v>1986</v>
      </c>
      <c r="J161" s="81">
        <v>0.9</v>
      </c>
      <c r="K161" s="81">
        <f>10+11</f>
        <v>21</v>
      </c>
      <c r="L161" s="82">
        <f>J161*K161*0.994</f>
        <v>18.786600000000004</v>
      </c>
      <c r="M161" s="278" t="s">
        <v>2138</v>
      </c>
    </row>
    <row r="162" spans="4:13">
      <c r="D162" s="81"/>
      <c r="H162" s="81"/>
      <c r="I162" s="81"/>
      <c r="J162" s="81"/>
      <c r="K162" s="81" t="s">
        <v>1989</v>
      </c>
      <c r="L162" s="82">
        <f>L151+L152+L154+L161</f>
        <v>262.21719999999999</v>
      </c>
      <c r="M162" s="399">
        <f>L162+L164</f>
        <v>333.08439999999996</v>
      </c>
    </row>
    <row r="163" spans="4:13">
      <c r="D163" s="81"/>
      <c r="H163" s="81"/>
      <c r="I163" s="81"/>
      <c r="J163" s="81"/>
      <c r="K163" s="81" t="s">
        <v>1990</v>
      </c>
      <c r="L163" s="82">
        <f>L148+L149+L150+L153+L155+L156+L157+L158+L159+L160</f>
        <v>5375.7860000000001</v>
      </c>
    </row>
    <row r="164" spans="4:13" ht="13.5">
      <c r="D164" s="81"/>
      <c r="H164" s="81"/>
      <c r="I164" s="81"/>
      <c r="J164" s="279" t="s">
        <v>2422</v>
      </c>
      <c r="K164" s="278" t="s">
        <v>2418</v>
      </c>
      <c r="L164" s="82">
        <f>'數量計算(FOR4變)'!H339*3.2</f>
        <v>70.867199999999997</v>
      </c>
    </row>
    <row r="165" spans="4:13">
      <c r="D165" s="81"/>
    </row>
    <row r="166" spans="4:13">
      <c r="D166" s="81"/>
    </row>
    <row r="167" spans="4:13">
      <c r="D167" s="81"/>
    </row>
    <row r="168" spans="4:13">
      <c r="D168" s="81"/>
    </row>
    <row r="169" spans="4:13">
      <c r="D169" s="81"/>
    </row>
    <row r="170" spans="4:13">
      <c r="D170" s="81"/>
    </row>
    <row r="171" spans="4:13">
      <c r="D171" s="81"/>
    </row>
  </sheetData>
  <mergeCells count="3">
    <mergeCell ref="A1:N1"/>
    <mergeCell ref="C16:C17"/>
    <mergeCell ref="B27:C27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5230-C75D-4D00-85FC-DC95D3239AAF}">
  <dimension ref="A1:H19"/>
  <sheetViews>
    <sheetView workbookViewId="0">
      <selection activeCell="G26" sqref="G26"/>
    </sheetView>
  </sheetViews>
  <sheetFormatPr defaultRowHeight="12.75"/>
  <cols>
    <col min="1" max="2" width="9.140625" style="81"/>
    <col min="3" max="4" width="10.85546875" style="82" customWidth="1"/>
    <col min="5" max="6" width="11.5703125" style="82" customWidth="1"/>
    <col min="7" max="7" width="14.7109375" style="82" customWidth="1"/>
    <col min="8" max="8" width="14.140625" style="82" customWidth="1"/>
    <col min="9" max="16384" width="9.140625" style="82"/>
  </cols>
  <sheetData>
    <row r="1" spans="1:8">
      <c r="A1" s="188" t="s">
        <v>1741</v>
      </c>
      <c r="B1" s="188"/>
      <c r="C1" s="188"/>
      <c r="D1" s="188"/>
      <c r="E1" s="188"/>
      <c r="F1" s="188"/>
    </row>
    <row r="2" spans="1:8">
      <c r="A2" s="189" t="s">
        <v>1591</v>
      </c>
      <c r="B2" s="189" t="s">
        <v>1742</v>
      </c>
      <c r="C2" s="189" t="s">
        <v>1743</v>
      </c>
      <c r="D2" s="189" t="s">
        <v>1744</v>
      </c>
      <c r="E2" s="189" t="s">
        <v>1745</v>
      </c>
      <c r="F2" s="189" t="s">
        <v>1746</v>
      </c>
      <c r="G2" s="189" t="s">
        <v>1747</v>
      </c>
      <c r="H2" s="189" t="s">
        <v>1748</v>
      </c>
    </row>
    <row r="3" spans="1:8">
      <c r="A3" s="189" t="s">
        <v>1749</v>
      </c>
      <c r="B3" s="189">
        <v>0</v>
      </c>
      <c r="C3" s="190">
        <v>34.590000000000003</v>
      </c>
      <c r="D3" s="190">
        <v>0</v>
      </c>
      <c r="E3" s="190">
        <v>25.61</v>
      </c>
      <c r="F3" s="190">
        <v>0</v>
      </c>
      <c r="G3" s="190">
        <v>15.12</v>
      </c>
      <c r="H3" s="190">
        <v>0</v>
      </c>
    </row>
    <row r="4" spans="1:8">
      <c r="A4" s="189" t="s">
        <v>1750</v>
      </c>
      <c r="B4" s="189">
        <v>20</v>
      </c>
      <c r="C4" s="190">
        <v>364.27</v>
      </c>
      <c r="D4" s="190">
        <f>ROUND((C3+C4)/2*B4,2)</f>
        <v>3988.6</v>
      </c>
      <c r="E4" s="190">
        <v>83.57</v>
      </c>
      <c r="F4" s="190">
        <f>ROUND((E3+E4)/2*B4,2)</f>
        <v>1091.8</v>
      </c>
      <c r="G4" s="190">
        <v>0.23</v>
      </c>
      <c r="H4" s="190">
        <f>ROUND((G3+G4)/2*B4,2)</f>
        <v>153.5</v>
      </c>
    </row>
    <row r="5" spans="1:8">
      <c r="A5" s="189" t="s">
        <v>1751</v>
      </c>
      <c r="B5" s="189">
        <v>20</v>
      </c>
      <c r="C5" s="190">
        <v>73.819999999999993</v>
      </c>
      <c r="D5" s="190">
        <f t="shared" ref="D5:D18" si="0">ROUND((C4+C5)/2*B5,2)</f>
        <v>4380.8999999999996</v>
      </c>
      <c r="E5" s="190">
        <v>43.75</v>
      </c>
      <c r="F5" s="190">
        <f t="shared" ref="F5:F18" si="1">ROUND((E4+E5)/2*B5,2)</f>
        <v>1273.2</v>
      </c>
      <c r="G5" s="190">
        <v>0.23</v>
      </c>
      <c r="H5" s="190">
        <f t="shared" ref="H5:H18" si="2">ROUND((G4+G5)/2*B5,2)</f>
        <v>4.5999999999999996</v>
      </c>
    </row>
    <row r="6" spans="1:8">
      <c r="A6" s="189" t="s">
        <v>1752</v>
      </c>
      <c r="B6" s="189">
        <v>20</v>
      </c>
      <c r="C6" s="190">
        <v>56.39</v>
      </c>
      <c r="D6" s="190">
        <f t="shared" si="0"/>
        <v>1302.0999999999999</v>
      </c>
      <c r="E6" s="190">
        <v>34.270000000000003</v>
      </c>
      <c r="F6" s="190">
        <f t="shared" si="1"/>
        <v>780.2</v>
      </c>
      <c r="G6" s="190">
        <v>0.23</v>
      </c>
      <c r="H6" s="190">
        <f t="shared" si="2"/>
        <v>4.5999999999999996</v>
      </c>
    </row>
    <row r="7" spans="1:8">
      <c r="A7" s="189" t="s">
        <v>1753</v>
      </c>
      <c r="B7" s="189">
        <v>20</v>
      </c>
      <c r="C7" s="190">
        <v>104.29</v>
      </c>
      <c r="D7" s="190">
        <f t="shared" si="0"/>
        <v>1606.8</v>
      </c>
      <c r="E7" s="190">
        <v>82.09</v>
      </c>
      <c r="F7" s="190">
        <f t="shared" si="1"/>
        <v>1163.5999999999999</v>
      </c>
      <c r="G7" s="190">
        <v>0.23</v>
      </c>
      <c r="H7" s="190">
        <f t="shared" si="2"/>
        <v>4.5999999999999996</v>
      </c>
    </row>
    <row r="8" spans="1:8">
      <c r="A8" s="189" t="s">
        <v>1754</v>
      </c>
      <c r="B8" s="189">
        <v>20</v>
      </c>
      <c r="C8" s="190">
        <v>71.33</v>
      </c>
      <c r="D8" s="190">
        <f t="shared" si="0"/>
        <v>1756.2</v>
      </c>
      <c r="E8" s="190">
        <v>15.24</v>
      </c>
      <c r="F8" s="190">
        <f t="shared" si="1"/>
        <v>973.3</v>
      </c>
      <c r="G8" s="190">
        <v>0.23</v>
      </c>
      <c r="H8" s="190">
        <f t="shared" si="2"/>
        <v>4.5999999999999996</v>
      </c>
    </row>
    <row r="9" spans="1:8">
      <c r="A9" s="189" t="s">
        <v>1755</v>
      </c>
      <c r="B9" s="189">
        <v>20</v>
      </c>
      <c r="C9" s="190">
        <v>87</v>
      </c>
      <c r="D9" s="190">
        <f t="shared" si="0"/>
        <v>1583.3</v>
      </c>
      <c r="E9" s="190">
        <v>25.29</v>
      </c>
      <c r="F9" s="190">
        <f t="shared" si="1"/>
        <v>405.3</v>
      </c>
      <c r="G9" s="190">
        <v>0.23</v>
      </c>
      <c r="H9" s="190">
        <f t="shared" si="2"/>
        <v>4.5999999999999996</v>
      </c>
    </row>
    <row r="10" spans="1:8">
      <c r="A10" s="189" t="s">
        <v>1756</v>
      </c>
      <c r="B10" s="189">
        <v>20</v>
      </c>
      <c r="C10" s="190">
        <v>89.99</v>
      </c>
      <c r="D10" s="190">
        <f t="shared" si="0"/>
        <v>1769.9</v>
      </c>
      <c r="E10" s="190">
        <v>13.35</v>
      </c>
      <c r="F10" s="190">
        <f t="shared" si="1"/>
        <v>386.4</v>
      </c>
      <c r="G10" s="190">
        <v>0.23</v>
      </c>
      <c r="H10" s="190">
        <f t="shared" si="2"/>
        <v>4.5999999999999996</v>
      </c>
    </row>
    <row r="11" spans="1:8">
      <c r="A11" s="189" t="s">
        <v>1757</v>
      </c>
      <c r="B11" s="189">
        <v>20</v>
      </c>
      <c r="C11" s="190">
        <v>83.84</v>
      </c>
      <c r="D11" s="190">
        <f t="shared" si="0"/>
        <v>1738.3</v>
      </c>
      <c r="E11" s="190">
        <v>12.74</v>
      </c>
      <c r="F11" s="190">
        <f t="shared" si="1"/>
        <v>260.89999999999998</v>
      </c>
      <c r="G11" s="190">
        <v>0.23</v>
      </c>
      <c r="H11" s="190">
        <f t="shared" si="2"/>
        <v>4.5999999999999996</v>
      </c>
    </row>
    <row r="12" spans="1:8">
      <c r="A12" s="189" t="s">
        <v>1758</v>
      </c>
      <c r="B12" s="189">
        <v>20</v>
      </c>
      <c r="C12" s="190">
        <v>56.64</v>
      </c>
      <c r="D12" s="190">
        <f t="shared" si="0"/>
        <v>1404.8</v>
      </c>
      <c r="E12" s="190">
        <v>13.21</v>
      </c>
      <c r="F12" s="190">
        <f t="shared" si="1"/>
        <v>259.5</v>
      </c>
      <c r="G12" s="190">
        <v>0.23</v>
      </c>
      <c r="H12" s="190">
        <f t="shared" si="2"/>
        <v>4.5999999999999996</v>
      </c>
    </row>
    <row r="13" spans="1:8">
      <c r="A13" s="189" t="s">
        <v>1759</v>
      </c>
      <c r="B13" s="189">
        <v>20</v>
      </c>
      <c r="C13" s="190">
        <v>64.95</v>
      </c>
      <c r="D13" s="190">
        <f t="shared" si="0"/>
        <v>1215.9000000000001</v>
      </c>
      <c r="E13" s="190">
        <v>12.8</v>
      </c>
      <c r="F13" s="190">
        <f t="shared" si="1"/>
        <v>260.10000000000002</v>
      </c>
      <c r="G13" s="190">
        <v>0.23</v>
      </c>
      <c r="H13" s="190">
        <f t="shared" si="2"/>
        <v>4.5999999999999996</v>
      </c>
    </row>
    <row r="14" spans="1:8">
      <c r="A14" s="189" t="s">
        <v>1760</v>
      </c>
      <c r="B14" s="189">
        <v>20</v>
      </c>
      <c r="C14" s="190">
        <v>68.47</v>
      </c>
      <c r="D14" s="190">
        <f t="shared" si="0"/>
        <v>1334.2</v>
      </c>
      <c r="E14" s="190">
        <v>11.21</v>
      </c>
      <c r="F14" s="190">
        <f t="shared" si="1"/>
        <v>240.1</v>
      </c>
      <c r="G14" s="190">
        <v>0.23</v>
      </c>
      <c r="H14" s="190">
        <f t="shared" si="2"/>
        <v>4.5999999999999996</v>
      </c>
    </row>
    <row r="15" spans="1:8">
      <c r="A15" s="189" t="s">
        <v>1761</v>
      </c>
      <c r="B15" s="189">
        <v>20</v>
      </c>
      <c r="C15" s="190">
        <v>58.08</v>
      </c>
      <c r="D15" s="190">
        <f t="shared" si="0"/>
        <v>1265.5</v>
      </c>
      <c r="E15" s="190">
        <v>22.53</v>
      </c>
      <c r="F15" s="190">
        <f t="shared" si="1"/>
        <v>337.4</v>
      </c>
      <c r="G15" s="190">
        <v>0.23</v>
      </c>
      <c r="H15" s="190">
        <f t="shared" si="2"/>
        <v>4.5999999999999996</v>
      </c>
    </row>
    <row r="16" spans="1:8">
      <c r="A16" s="189" t="s">
        <v>1762</v>
      </c>
      <c r="B16" s="189">
        <v>20</v>
      </c>
      <c r="C16" s="190">
        <v>55.23</v>
      </c>
      <c r="D16" s="190">
        <f t="shared" si="0"/>
        <v>1133.0999999999999</v>
      </c>
      <c r="E16" s="190">
        <v>20.84</v>
      </c>
      <c r="F16" s="190">
        <f t="shared" si="1"/>
        <v>433.7</v>
      </c>
      <c r="G16" s="190">
        <v>0.23</v>
      </c>
      <c r="H16" s="190">
        <f t="shared" si="2"/>
        <v>4.5999999999999996</v>
      </c>
    </row>
    <row r="17" spans="1:8">
      <c r="A17" s="189" t="s">
        <v>1763</v>
      </c>
      <c r="B17" s="189">
        <v>20</v>
      </c>
      <c r="C17" s="190">
        <v>55.79</v>
      </c>
      <c r="D17" s="190">
        <f t="shared" si="0"/>
        <v>1110.2</v>
      </c>
      <c r="E17" s="190">
        <v>30.11</v>
      </c>
      <c r="F17" s="190">
        <f t="shared" si="1"/>
        <v>509.5</v>
      </c>
      <c r="G17" s="190">
        <v>0.23</v>
      </c>
      <c r="H17" s="190">
        <f t="shared" si="2"/>
        <v>4.5999999999999996</v>
      </c>
    </row>
    <row r="18" spans="1:8">
      <c r="A18" s="189" t="s">
        <v>1764</v>
      </c>
      <c r="B18" s="189">
        <v>20</v>
      </c>
      <c r="C18" s="190">
        <v>22.26</v>
      </c>
      <c r="D18" s="190">
        <f t="shared" si="0"/>
        <v>780.5</v>
      </c>
      <c r="E18" s="190">
        <v>40.74</v>
      </c>
      <c r="F18" s="190">
        <f t="shared" si="1"/>
        <v>708.5</v>
      </c>
      <c r="G18" s="190">
        <v>0</v>
      </c>
      <c r="H18" s="190">
        <f t="shared" si="2"/>
        <v>2.2999999999999998</v>
      </c>
    </row>
    <row r="19" spans="1:8">
      <c r="A19" s="189" t="s">
        <v>1734</v>
      </c>
      <c r="B19" s="189"/>
      <c r="C19" s="190">
        <f>SUM(C3:C18)</f>
        <v>1346.94</v>
      </c>
      <c r="D19" s="190">
        <f>SUM(D3:D18)</f>
        <v>26370.3</v>
      </c>
      <c r="E19" s="190">
        <f t="shared" ref="E19:H19" si="3">SUM(E3:E18)</f>
        <v>487.35000000000008</v>
      </c>
      <c r="F19" s="190">
        <f t="shared" si="3"/>
        <v>9083.5</v>
      </c>
      <c r="G19" s="190">
        <f t="shared" si="3"/>
        <v>18.340000000000003</v>
      </c>
      <c r="H19" s="190">
        <f t="shared" si="3"/>
        <v>215.59999999999994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54B6-C51B-4AEA-B531-49FD63832374}">
  <dimension ref="A1:AA59"/>
  <sheetViews>
    <sheetView topLeftCell="C1" workbookViewId="0">
      <selection activeCell="G27" sqref="G27"/>
    </sheetView>
  </sheetViews>
  <sheetFormatPr defaultRowHeight="12.75"/>
  <cols>
    <col min="1" max="1" width="6.140625" style="82" customWidth="1"/>
    <col min="2" max="2" width="5" style="111" customWidth="1"/>
    <col min="3" max="3" width="9.7109375" style="81" customWidth="1"/>
    <col min="4" max="4" width="8.5703125" style="82" customWidth="1"/>
    <col min="5" max="5" width="8.140625" style="82" customWidth="1"/>
    <col min="6" max="6" width="9.140625" style="82"/>
    <col min="7" max="8" width="9.28515625" style="82" customWidth="1"/>
    <col min="9" max="15" width="9.42578125" style="82" customWidth="1"/>
    <col min="16" max="16" width="7.28515625" style="82" customWidth="1"/>
    <col min="17" max="17" width="5.42578125" style="82" customWidth="1"/>
    <col min="18" max="18" width="9.140625" style="82"/>
    <col min="19" max="19" width="9.42578125" style="82" customWidth="1"/>
    <col min="20" max="20" width="9.140625" style="82"/>
    <col min="21" max="21" width="8.140625" style="82" customWidth="1"/>
    <col min="22" max="22" width="9" style="82" customWidth="1"/>
    <col min="23" max="23" width="9.28515625" style="82" customWidth="1"/>
    <col min="24" max="24" width="9.140625" style="82"/>
    <col min="25" max="25" width="12.5703125" style="82" bestFit="1" customWidth="1"/>
    <col min="26" max="16384" width="9.140625" style="82"/>
  </cols>
  <sheetData>
    <row r="1" spans="1:27">
      <c r="A1" s="720" t="s">
        <v>1590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  <c r="R1" s="720"/>
      <c r="S1" s="720"/>
      <c r="T1" s="720"/>
      <c r="U1" s="720"/>
      <c r="V1" s="720"/>
      <c r="W1" s="720"/>
    </row>
    <row r="2" spans="1:27" ht="42.75">
      <c r="A2" s="233" t="s">
        <v>1591</v>
      </c>
      <c r="B2" s="234" t="s">
        <v>1592</v>
      </c>
      <c r="C2" s="235" t="s">
        <v>1593</v>
      </c>
      <c r="D2" s="235" t="s">
        <v>1594</v>
      </c>
      <c r="E2" s="236" t="s">
        <v>1595</v>
      </c>
      <c r="F2" s="235" t="s">
        <v>1596</v>
      </c>
      <c r="G2" s="235" t="s">
        <v>1597</v>
      </c>
      <c r="H2" s="235" t="s">
        <v>1594</v>
      </c>
      <c r="I2" s="237" t="s">
        <v>1596</v>
      </c>
      <c r="J2" s="238" t="s">
        <v>1598</v>
      </c>
      <c r="K2" s="235" t="s">
        <v>1594</v>
      </c>
      <c r="L2" s="235" t="s">
        <v>1596</v>
      </c>
      <c r="M2" s="239" t="s">
        <v>1599</v>
      </c>
      <c r="N2" s="235" t="s">
        <v>1594</v>
      </c>
      <c r="O2" s="237" t="s">
        <v>1596</v>
      </c>
      <c r="P2" s="240" t="s">
        <v>1591</v>
      </c>
      <c r="Q2" s="234" t="s">
        <v>1600</v>
      </c>
      <c r="R2" s="235" t="s">
        <v>1593</v>
      </c>
      <c r="S2" s="235" t="s">
        <v>1594</v>
      </c>
      <c r="T2" s="235" t="s">
        <v>1596</v>
      </c>
      <c r="U2" s="236" t="s">
        <v>1595</v>
      </c>
      <c r="V2" s="235" t="s">
        <v>1597</v>
      </c>
      <c r="W2" s="235" t="s">
        <v>1594</v>
      </c>
      <c r="X2" s="237" t="s">
        <v>1596</v>
      </c>
    </row>
    <row r="3" spans="1:27">
      <c r="A3" s="241" t="s">
        <v>1601</v>
      </c>
      <c r="B3" s="242">
        <v>0</v>
      </c>
      <c r="C3" s="236"/>
      <c r="D3" s="236">
        <v>2.8</v>
      </c>
      <c r="E3" s="236">
        <f>ROUNDUP(D3/0.3,0)</f>
        <v>10</v>
      </c>
      <c r="F3" s="243"/>
      <c r="G3" s="243"/>
      <c r="H3" s="236">
        <f>[2]高程及工密!K2-[2]高程及工密!H2</f>
        <v>2.7</v>
      </c>
      <c r="I3" s="244"/>
      <c r="J3" s="245"/>
      <c r="K3" s="243">
        <f>[2]高程及工密!L2</f>
        <v>2.7</v>
      </c>
      <c r="L3" s="243"/>
      <c r="M3" s="243"/>
      <c r="N3" s="241">
        <f>[2]高程及工密!M2</f>
        <v>3.5</v>
      </c>
      <c r="O3" s="244"/>
      <c r="P3" s="240" t="s">
        <v>1602</v>
      </c>
      <c r="Q3" s="242">
        <v>0</v>
      </c>
      <c r="R3" s="243"/>
      <c r="S3" s="236">
        <v>1.9</v>
      </c>
      <c r="T3" s="236">
        <f>ROUND(R3*S3,2)</f>
        <v>0</v>
      </c>
      <c r="U3" s="243"/>
      <c r="V3" s="243"/>
      <c r="W3" s="243"/>
      <c r="X3" s="243"/>
    </row>
    <row r="4" spans="1:27">
      <c r="A4" s="241"/>
      <c r="B4" s="242">
        <v>20</v>
      </c>
      <c r="C4" s="246">
        <v>90.51</v>
      </c>
      <c r="D4" s="236">
        <v>2.8</v>
      </c>
      <c r="E4" s="236">
        <f>ROUNDUP(D4/0.3,0)</f>
        <v>10</v>
      </c>
      <c r="F4" s="243">
        <f>ROUND(C4*(D3+D4)/2,2)</f>
        <v>253.43</v>
      </c>
      <c r="G4" s="243">
        <v>26.08</v>
      </c>
      <c r="H4" s="236">
        <f>[2]高程及工密!K3-[2]高程及工密!H3</f>
        <v>2.7499999999999991</v>
      </c>
      <c r="I4" s="247">
        <f>ROUND(G4*(H3+H4)/2,2)</f>
        <v>71.069999999999993</v>
      </c>
      <c r="J4" s="248">
        <f>(3*2+0.35*3)*20</f>
        <v>141</v>
      </c>
      <c r="K4" s="243">
        <f>[2]高程及工密!L3</f>
        <v>2.7499999999999991</v>
      </c>
      <c r="L4" s="236">
        <f>ROUND(J4*(K3+K4)/2,2)</f>
        <v>384.23</v>
      </c>
      <c r="M4" s="236">
        <v>0</v>
      </c>
      <c r="N4" s="241">
        <f>[2]高程及工密!M3</f>
        <v>3.55</v>
      </c>
      <c r="O4" s="247">
        <f>ROUND(M4*(N3+N4)/2,2)</f>
        <v>0</v>
      </c>
      <c r="P4" s="249"/>
      <c r="Q4" s="242">
        <v>20</v>
      </c>
      <c r="R4" s="243">
        <v>18</v>
      </c>
      <c r="S4" s="236">
        <f>1.2+0.3*2+0.1</f>
        <v>1.9</v>
      </c>
      <c r="T4" s="236">
        <f>ROUND(R4*S4,2)</f>
        <v>34.200000000000003</v>
      </c>
      <c r="U4" s="236">
        <v>7</v>
      </c>
      <c r="V4" s="243">
        <v>20.62</v>
      </c>
      <c r="W4" s="236">
        <f>1.2+0.3*2+0.1</f>
        <v>1.9</v>
      </c>
      <c r="X4" s="243">
        <f>ROUND(V4*W4,2)</f>
        <v>39.18</v>
      </c>
      <c r="Y4" s="82">
        <f>H3+H4</f>
        <v>5.4499999999999993</v>
      </c>
      <c r="Z4" s="82">
        <f>Y4/2</f>
        <v>2.7249999999999996</v>
      </c>
      <c r="AA4" s="82">
        <f>G4*Z4</f>
        <v>71.067999999999984</v>
      </c>
    </row>
    <row r="5" spans="1:27">
      <c r="A5" s="241"/>
      <c r="B5" s="242">
        <v>40</v>
      </c>
      <c r="C5" s="246">
        <v>128.71</v>
      </c>
      <c r="D5" s="236">
        <v>2.8</v>
      </c>
      <c r="E5" s="236">
        <f>ROUNDUP(D4/0.3,0)</f>
        <v>10</v>
      </c>
      <c r="F5" s="243">
        <f>ROUND(C5*(D4+D5)/2,2)</f>
        <v>360.39</v>
      </c>
      <c r="G5" s="243">
        <v>124.71</v>
      </c>
      <c r="H5" s="236">
        <f>[2]高程及工密!K4-[2]高程及工密!H4</f>
        <v>2.1099999999999994</v>
      </c>
      <c r="I5" s="247">
        <f t="shared" ref="I5:I6" si="0">ROUND(G5*(H4+H5)/2,2)</f>
        <v>303.05</v>
      </c>
      <c r="J5" s="248">
        <f t="shared" ref="J5:J17" si="1">(3*2+0.35*3)*20</f>
        <v>141</v>
      </c>
      <c r="K5" s="243">
        <f>[2]高程及工密!L4</f>
        <v>2.1099999999999994</v>
      </c>
      <c r="L5" s="236">
        <f t="shared" ref="L5:L17" si="2">ROUND(J5*(K4+K5)/2,2)</f>
        <v>342.63</v>
      </c>
      <c r="M5" s="236">
        <v>0</v>
      </c>
      <c r="N5" s="241">
        <f>[2]高程及工密!M4</f>
        <v>2.7099999999999995</v>
      </c>
      <c r="O5" s="247">
        <f t="shared" ref="O5:O18" si="3">ROUND(M5*(N4+N5)/2,2)</f>
        <v>0</v>
      </c>
      <c r="P5" s="249"/>
      <c r="Q5" s="242">
        <v>40</v>
      </c>
      <c r="R5" s="243">
        <v>19.22</v>
      </c>
      <c r="S5" s="236">
        <f t="shared" ref="S5:S6" si="4">1.2+0.3*2+0.1</f>
        <v>1.9</v>
      </c>
      <c r="T5" s="236">
        <f t="shared" ref="T5:T6" si="5">ROUND(R5*S5,2)</f>
        <v>36.520000000000003</v>
      </c>
      <c r="U5" s="236">
        <v>7</v>
      </c>
      <c r="V5" s="243">
        <v>20.100000000000001</v>
      </c>
      <c r="W5" s="236">
        <f t="shared" ref="W5:W6" si="6">1.2+0.3*2+0.1</f>
        <v>1.9</v>
      </c>
      <c r="X5" s="243">
        <f t="shared" ref="X5:X6" si="7">ROUND(V5*W5,2)</f>
        <v>38.19</v>
      </c>
    </row>
    <row r="6" spans="1:27">
      <c r="A6" s="241"/>
      <c r="B6" s="242">
        <v>60</v>
      </c>
      <c r="C6" s="246">
        <v>75</v>
      </c>
      <c r="D6" s="236">
        <f>2+0.35*2</f>
        <v>2.7</v>
      </c>
      <c r="E6" s="236">
        <f>D6/0.3</f>
        <v>9.0000000000000018</v>
      </c>
      <c r="F6" s="243">
        <f t="shared" ref="F6:F17" si="8">ROUND(C6*(D5+D6)/2,2)</f>
        <v>206.25</v>
      </c>
      <c r="G6" s="243">
        <v>52.76</v>
      </c>
      <c r="H6" s="236">
        <f>[2]高程及工密!K5-[2]高程及工密!H5</f>
        <v>1.21</v>
      </c>
      <c r="I6" s="247">
        <f t="shared" si="0"/>
        <v>87.58</v>
      </c>
      <c r="J6" s="248">
        <f t="shared" si="1"/>
        <v>141</v>
      </c>
      <c r="K6" s="243">
        <f>[2]高程及工密!L5</f>
        <v>1.21</v>
      </c>
      <c r="L6" s="236">
        <f t="shared" si="2"/>
        <v>234.06</v>
      </c>
      <c r="M6" s="236">
        <v>0</v>
      </c>
      <c r="N6" s="241">
        <f>[2]高程及工密!M5</f>
        <v>1.7600000000000002</v>
      </c>
      <c r="O6" s="247">
        <f t="shared" si="3"/>
        <v>0</v>
      </c>
      <c r="P6" s="249"/>
      <c r="Q6" s="242">
        <v>64.739999999999995</v>
      </c>
      <c r="R6" s="243">
        <v>24.61</v>
      </c>
      <c r="S6" s="236">
        <f t="shared" si="4"/>
        <v>1.9</v>
      </c>
      <c r="T6" s="236">
        <f t="shared" si="5"/>
        <v>46.76</v>
      </c>
      <c r="U6" s="236">
        <v>7</v>
      </c>
      <c r="V6" s="243">
        <v>25.08</v>
      </c>
      <c r="W6" s="236">
        <f t="shared" si="6"/>
        <v>1.9</v>
      </c>
      <c r="X6" s="243">
        <f t="shared" si="7"/>
        <v>47.65</v>
      </c>
    </row>
    <row r="7" spans="1:27">
      <c r="A7" s="241"/>
      <c r="B7" s="242">
        <v>80</v>
      </c>
      <c r="C7" s="246">
        <v>74.38</v>
      </c>
      <c r="D7" s="236">
        <f t="shared" ref="D7:D17" si="9">2+0.35*2</f>
        <v>2.7</v>
      </c>
      <c r="E7" s="236">
        <f t="shared" ref="E7:E17" si="10">D7/0.3</f>
        <v>9.0000000000000018</v>
      </c>
      <c r="F7" s="243">
        <f t="shared" si="8"/>
        <v>200.83</v>
      </c>
      <c r="G7" s="243"/>
      <c r="H7" s="236"/>
      <c r="I7" s="247"/>
      <c r="J7" s="248">
        <f t="shared" si="1"/>
        <v>141</v>
      </c>
      <c r="K7" s="243">
        <f>[2]高程及工密!L6</f>
        <v>0.47000000000000064</v>
      </c>
      <c r="L7" s="236">
        <f t="shared" si="2"/>
        <v>118.44</v>
      </c>
      <c r="M7" s="236">
        <f>((1.2+0.3*2)+1.075)*(80-64.7)</f>
        <v>43.98749999999999</v>
      </c>
      <c r="N7" s="241">
        <f>[2]高程及工密!M6</f>
        <v>0.87000000000000099</v>
      </c>
      <c r="O7" s="247">
        <f t="shared" si="3"/>
        <v>57.84</v>
      </c>
      <c r="P7" s="249"/>
      <c r="Q7" s="242"/>
      <c r="R7" s="243"/>
      <c r="S7" s="236"/>
      <c r="T7" s="236"/>
      <c r="U7" s="236"/>
      <c r="V7" s="243"/>
      <c r="W7" s="243"/>
      <c r="X7" s="243"/>
    </row>
    <row r="8" spans="1:27" ht="16.5">
      <c r="A8" s="241"/>
      <c r="B8" s="242">
        <v>100</v>
      </c>
      <c r="C8" s="246">
        <v>75.010000000000005</v>
      </c>
      <c r="D8" s="236">
        <f t="shared" si="9"/>
        <v>2.7</v>
      </c>
      <c r="E8" s="236">
        <f t="shared" si="10"/>
        <v>9.0000000000000018</v>
      </c>
      <c r="F8" s="243">
        <f t="shared" si="8"/>
        <v>202.53</v>
      </c>
      <c r="G8" s="243"/>
      <c r="H8" s="236"/>
      <c r="I8" s="247"/>
      <c r="J8" s="248">
        <f t="shared" si="1"/>
        <v>141</v>
      </c>
      <c r="K8" s="250">
        <v>0.3</v>
      </c>
      <c r="L8" s="236">
        <f t="shared" si="2"/>
        <v>54.29</v>
      </c>
      <c r="M8" s="236">
        <f t="shared" ref="M8:M18" si="11">((1.2+0.3*2)+1.075)*20</f>
        <v>57.5</v>
      </c>
      <c r="N8" s="241">
        <f>[2]高程及工密!M7</f>
        <v>0.37999999999999989</v>
      </c>
      <c r="O8" s="247">
        <f t="shared" si="3"/>
        <v>35.94</v>
      </c>
      <c r="P8" s="249"/>
      <c r="Q8" s="251">
        <v>0</v>
      </c>
      <c r="R8" s="252"/>
      <c r="S8" s="253">
        <f>5.18-S3</f>
        <v>3.28</v>
      </c>
      <c r="T8" s="253">
        <f>ROUND(R8*S8,2)</f>
        <v>0</v>
      </c>
      <c r="U8" s="236"/>
      <c r="V8" s="243"/>
      <c r="W8" s="243"/>
      <c r="X8" s="243"/>
    </row>
    <row r="9" spans="1:27" ht="16.5">
      <c r="A9" s="241"/>
      <c r="B9" s="242">
        <v>120</v>
      </c>
      <c r="C9" s="246">
        <v>73.239999999999995</v>
      </c>
      <c r="D9" s="236">
        <f t="shared" si="9"/>
        <v>2.7</v>
      </c>
      <c r="E9" s="236">
        <f t="shared" si="10"/>
        <v>9.0000000000000018</v>
      </c>
      <c r="F9" s="243">
        <f t="shared" si="8"/>
        <v>197.75</v>
      </c>
      <c r="G9" s="243"/>
      <c r="H9" s="236"/>
      <c r="I9" s="247"/>
      <c r="J9" s="248">
        <f t="shared" si="1"/>
        <v>141</v>
      </c>
      <c r="K9" s="250">
        <v>0.3</v>
      </c>
      <c r="L9" s="236">
        <f t="shared" si="2"/>
        <v>42.3</v>
      </c>
      <c r="M9" s="236">
        <f t="shared" si="11"/>
        <v>57.5</v>
      </c>
      <c r="N9" s="241">
        <f>[2]高程及工密!M8</f>
        <v>0.27999999999999936</v>
      </c>
      <c r="O9" s="247">
        <f t="shared" si="3"/>
        <v>18.98</v>
      </c>
      <c r="P9" s="249"/>
      <c r="Q9" s="251">
        <v>20</v>
      </c>
      <c r="R9" s="252">
        <f>R4+(1.2+0.3+0.3)*20</f>
        <v>54</v>
      </c>
      <c r="S9" s="253">
        <f t="shared" ref="S9:S10" si="12">5.18-S4</f>
        <v>3.28</v>
      </c>
      <c r="T9" s="253">
        <f t="shared" ref="T9:T11" si="13">ROUND(R9*S9,2)</f>
        <v>177.12</v>
      </c>
      <c r="U9" s="236"/>
      <c r="V9" s="243"/>
      <c r="W9" s="243"/>
      <c r="X9" s="243"/>
      <c r="Y9" s="82">
        <f>1.8*20</f>
        <v>36</v>
      </c>
    </row>
    <row r="10" spans="1:27" ht="16.5">
      <c r="A10" s="241"/>
      <c r="B10" s="242">
        <v>140</v>
      </c>
      <c r="C10" s="246">
        <v>76.86</v>
      </c>
      <c r="D10" s="236">
        <f t="shared" si="9"/>
        <v>2.7</v>
      </c>
      <c r="E10" s="236">
        <f t="shared" si="10"/>
        <v>9.0000000000000018</v>
      </c>
      <c r="F10" s="243">
        <f t="shared" si="8"/>
        <v>207.52</v>
      </c>
      <c r="G10" s="243"/>
      <c r="H10" s="236"/>
      <c r="I10" s="247"/>
      <c r="J10" s="248">
        <f t="shared" si="1"/>
        <v>141</v>
      </c>
      <c r="K10" s="250">
        <v>0.3</v>
      </c>
      <c r="L10" s="236">
        <f t="shared" si="2"/>
        <v>42.3</v>
      </c>
      <c r="M10" s="236">
        <f t="shared" si="11"/>
        <v>57.5</v>
      </c>
      <c r="N10" s="241">
        <f>[2]高程及工密!M9</f>
        <v>0.29999999999999982</v>
      </c>
      <c r="O10" s="247">
        <f t="shared" si="3"/>
        <v>16.68</v>
      </c>
      <c r="P10" s="249"/>
      <c r="Q10" s="251">
        <v>40</v>
      </c>
      <c r="R10" s="252">
        <f t="shared" ref="R10:R11" si="14">R5+(1.2+0.3+0.3)*20</f>
        <v>55.22</v>
      </c>
      <c r="S10" s="253">
        <f t="shared" si="12"/>
        <v>3.28</v>
      </c>
      <c r="T10" s="253">
        <f t="shared" si="13"/>
        <v>181.12</v>
      </c>
      <c r="U10" s="236"/>
      <c r="V10" s="243"/>
      <c r="W10" s="243"/>
      <c r="X10" s="243"/>
    </row>
    <row r="11" spans="1:27" ht="16.5">
      <c r="A11" s="241"/>
      <c r="B11" s="242">
        <v>160</v>
      </c>
      <c r="C11" s="246">
        <v>77.34</v>
      </c>
      <c r="D11" s="236">
        <f t="shared" si="9"/>
        <v>2.7</v>
      </c>
      <c r="E11" s="236">
        <f t="shared" si="10"/>
        <v>9.0000000000000018</v>
      </c>
      <c r="F11" s="243">
        <f t="shared" si="8"/>
        <v>208.82</v>
      </c>
      <c r="G11" s="243"/>
      <c r="H11" s="236"/>
      <c r="I11" s="247"/>
      <c r="J11" s="248">
        <f t="shared" si="1"/>
        <v>141</v>
      </c>
      <c r="K11" s="250">
        <v>0.3</v>
      </c>
      <c r="L11" s="236">
        <f t="shared" si="2"/>
        <v>42.3</v>
      </c>
      <c r="M11" s="236">
        <f t="shared" si="11"/>
        <v>57.5</v>
      </c>
      <c r="N11" s="241">
        <f>[2]高程及工密!M10</f>
        <v>0.29000000000000004</v>
      </c>
      <c r="O11" s="247">
        <f t="shared" si="3"/>
        <v>16.96</v>
      </c>
      <c r="P11" s="249"/>
      <c r="Q11" s="251">
        <v>64.739999999999995</v>
      </c>
      <c r="R11" s="252">
        <f t="shared" si="14"/>
        <v>60.61</v>
      </c>
      <c r="S11" s="253">
        <f>6.53-S6</f>
        <v>4.6300000000000008</v>
      </c>
      <c r="T11" s="253">
        <f t="shared" si="13"/>
        <v>280.62</v>
      </c>
      <c r="U11" s="236"/>
      <c r="V11" s="243"/>
      <c r="W11" s="243"/>
      <c r="X11" s="243"/>
    </row>
    <row r="12" spans="1:27">
      <c r="A12" s="241"/>
      <c r="B12" s="242">
        <v>180</v>
      </c>
      <c r="C12" s="246">
        <v>73.69</v>
      </c>
      <c r="D12" s="236">
        <f t="shared" si="9"/>
        <v>2.7</v>
      </c>
      <c r="E12" s="236">
        <f t="shared" si="10"/>
        <v>9.0000000000000018</v>
      </c>
      <c r="F12" s="243">
        <f t="shared" si="8"/>
        <v>198.96</v>
      </c>
      <c r="G12" s="243"/>
      <c r="H12" s="236"/>
      <c r="I12" s="247"/>
      <c r="J12" s="248">
        <f t="shared" si="1"/>
        <v>141</v>
      </c>
      <c r="K12" s="250">
        <v>0.3</v>
      </c>
      <c r="L12" s="236">
        <f t="shared" si="2"/>
        <v>42.3</v>
      </c>
      <c r="M12" s="236">
        <f t="shared" si="11"/>
        <v>57.5</v>
      </c>
      <c r="N12" s="241">
        <f>[2]高程及工密!M11</f>
        <v>0.29999999999999982</v>
      </c>
      <c r="O12" s="247">
        <f t="shared" si="3"/>
        <v>16.96</v>
      </c>
      <c r="P12" s="249"/>
      <c r="Q12" s="242"/>
      <c r="R12" s="243"/>
      <c r="S12" s="236"/>
      <c r="T12" s="236"/>
      <c r="U12" s="236"/>
      <c r="V12" s="243"/>
      <c r="W12" s="243"/>
      <c r="X12" s="243"/>
    </row>
    <row r="13" spans="1:27">
      <c r="A13" s="241"/>
      <c r="B13" s="242">
        <v>200</v>
      </c>
      <c r="C13" s="246">
        <v>74.25</v>
      </c>
      <c r="D13" s="236">
        <f t="shared" si="9"/>
        <v>2.7</v>
      </c>
      <c r="E13" s="236">
        <f t="shared" si="10"/>
        <v>9.0000000000000018</v>
      </c>
      <c r="F13" s="243">
        <f t="shared" si="8"/>
        <v>200.48</v>
      </c>
      <c r="G13" s="243"/>
      <c r="H13" s="236"/>
      <c r="I13" s="247"/>
      <c r="J13" s="248">
        <f t="shared" si="1"/>
        <v>141</v>
      </c>
      <c r="K13" s="250">
        <v>0.3</v>
      </c>
      <c r="L13" s="236">
        <f t="shared" si="2"/>
        <v>42.3</v>
      </c>
      <c r="M13" s="236">
        <f t="shared" si="11"/>
        <v>57.5</v>
      </c>
      <c r="N13" s="241">
        <f>[2]高程及工密!M12</f>
        <v>0.33999999999999986</v>
      </c>
      <c r="O13" s="247">
        <f t="shared" si="3"/>
        <v>18.399999999999999</v>
      </c>
      <c r="P13" s="249"/>
      <c r="Q13" s="242"/>
      <c r="R13" s="243"/>
      <c r="S13" s="236"/>
      <c r="T13" s="236"/>
      <c r="U13" s="236"/>
      <c r="V13" s="243"/>
      <c r="W13" s="243"/>
      <c r="X13" s="243"/>
    </row>
    <row r="14" spans="1:27">
      <c r="A14" s="241"/>
      <c r="B14" s="242">
        <v>220</v>
      </c>
      <c r="C14" s="246">
        <v>79.05</v>
      </c>
      <c r="D14" s="236">
        <f t="shared" si="9"/>
        <v>2.7</v>
      </c>
      <c r="E14" s="236">
        <f t="shared" si="10"/>
        <v>9.0000000000000018</v>
      </c>
      <c r="F14" s="243">
        <f t="shared" si="8"/>
        <v>213.44</v>
      </c>
      <c r="G14" s="243"/>
      <c r="H14" s="236"/>
      <c r="I14" s="247"/>
      <c r="J14" s="248">
        <f t="shared" si="1"/>
        <v>141</v>
      </c>
      <c r="K14" s="250">
        <v>0.3</v>
      </c>
      <c r="L14" s="236">
        <f t="shared" si="2"/>
        <v>42.3</v>
      </c>
      <c r="M14" s="236">
        <f t="shared" si="11"/>
        <v>57.5</v>
      </c>
      <c r="N14" s="241">
        <f>[2]高程及工密!M13</f>
        <v>0.25999999999999979</v>
      </c>
      <c r="O14" s="247">
        <f t="shared" si="3"/>
        <v>17.25</v>
      </c>
      <c r="P14" s="249"/>
      <c r="Q14" s="242"/>
      <c r="R14" s="243"/>
      <c r="S14" s="236"/>
      <c r="T14" s="236"/>
      <c r="U14" s="236"/>
      <c r="V14" s="243"/>
      <c r="W14" s="243"/>
      <c r="X14" s="243"/>
    </row>
    <row r="15" spans="1:27">
      <c r="A15" s="241"/>
      <c r="B15" s="242">
        <v>240</v>
      </c>
      <c r="C15" s="246">
        <v>81.41</v>
      </c>
      <c r="D15" s="236">
        <f t="shared" si="9"/>
        <v>2.7</v>
      </c>
      <c r="E15" s="236">
        <f t="shared" si="10"/>
        <v>9.0000000000000018</v>
      </c>
      <c r="F15" s="243">
        <f t="shared" si="8"/>
        <v>219.81</v>
      </c>
      <c r="G15" s="243"/>
      <c r="H15" s="236"/>
      <c r="I15" s="247"/>
      <c r="J15" s="248">
        <f t="shared" si="1"/>
        <v>141</v>
      </c>
      <c r="K15" s="250">
        <v>0.3</v>
      </c>
      <c r="L15" s="236">
        <f t="shared" si="2"/>
        <v>42.3</v>
      </c>
      <c r="M15" s="236">
        <f t="shared" si="11"/>
        <v>57.5</v>
      </c>
      <c r="N15" s="241">
        <f>[2]高程及工密!M14</f>
        <v>0.5</v>
      </c>
      <c r="O15" s="247">
        <f t="shared" si="3"/>
        <v>21.85</v>
      </c>
      <c r="P15" s="249"/>
      <c r="Q15" s="242"/>
      <c r="R15" s="243"/>
      <c r="S15" s="236"/>
      <c r="T15" s="236"/>
      <c r="U15" s="236"/>
      <c r="V15" s="243"/>
      <c r="W15" s="243"/>
      <c r="X15" s="243"/>
    </row>
    <row r="16" spans="1:27">
      <c r="A16" s="241"/>
      <c r="B16" s="242">
        <v>260</v>
      </c>
      <c r="C16" s="246">
        <v>78.83</v>
      </c>
      <c r="D16" s="236">
        <f t="shared" si="9"/>
        <v>2.7</v>
      </c>
      <c r="E16" s="236">
        <f t="shared" si="10"/>
        <v>9.0000000000000018</v>
      </c>
      <c r="F16" s="243">
        <f t="shared" si="8"/>
        <v>212.84</v>
      </c>
      <c r="G16" s="243"/>
      <c r="H16" s="236"/>
      <c r="I16" s="247"/>
      <c r="J16" s="248">
        <f t="shared" si="1"/>
        <v>141</v>
      </c>
      <c r="K16" s="243">
        <f>[2]高程及工密!L15</f>
        <v>0.55000000000000071</v>
      </c>
      <c r="L16" s="236">
        <f t="shared" si="2"/>
        <v>59.93</v>
      </c>
      <c r="M16" s="236">
        <f t="shared" si="11"/>
        <v>57.5</v>
      </c>
      <c r="N16" s="241">
        <f>[2]高程及工密!M15</f>
        <v>0.76999999999999957</v>
      </c>
      <c r="O16" s="247">
        <f t="shared" si="3"/>
        <v>36.51</v>
      </c>
      <c r="P16" s="249"/>
      <c r="Q16" s="242"/>
      <c r="R16" s="243"/>
      <c r="S16" s="236"/>
      <c r="T16" s="236"/>
      <c r="U16" s="236"/>
      <c r="V16" s="243"/>
      <c r="W16" s="243"/>
      <c r="X16" s="243"/>
    </row>
    <row r="17" spans="1:27">
      <c r="A17" s="241"/>
      <c r="B17" s="242">
        <v>280</v>
      </c>
      <c r="C17" s="246">
        <v>77.06</v>
      </c>
      <c r="D17" s="236">
        <f t="shared" si="9"/>
        <v>2.7</v>
      </c>
      <c r="E17" s="236">
        <f t="shared" si="10"/>
        <v>9.0000000000000018</v>
      </c>
      <c r="F17" s="243">
        <f t="shared" si="8"/>
        <v>208.06</v>
      </c>
      <c r="G17" s="243"/>
      <c r="H17" s="236"/>
      <c r="I17" s="247"/>
      <c r="J17" s="248">
        <f t="shared" si="1"/>
        <v>141</v>
      </c>
      <c r="K17" s="243">
        <f>[2]高程及工密!L16</f>
        <v>1.1200000000000001</v>
      </c>
      <c r="L17" s="236">
        <f t="shared" si="2"/>
        <v>117.74</v>
      </c>
      <c r="M17" s="236">
        <f t="shared" si="11"/>
        <v>57.5</v>
      </c>
      <c r="N17" s="241">
        <f>[2]高程及工密!M16</f>
        <v>1.3100000000000005</v>
      </c>
      <c r="O17" s="247">
        <f t="shared" si="3"/>
        <v>59.8</v>
      </c>
      <c r="P17" s="249"/>
      <c r="Q17" s="242"/>
      <c r="R17" s="243"/>
      <c r="S17" s="236"/>
      <c r="T17" s="236"/>
      <c r="U17" s="236"/>
      <c r="V17" s="243"/>
      <c r="W17" s="243"/>
      <c r="X17" s="243"/>
      <c r="Y17" s="104"/>
    </row>
    <row r="18" spans="1:27">
      <c r="A18" s="241"/>
      <c r="B18" s="242">
        <v>300</v>
      </c>
      <c r="C18" s="246">
        <v>13.04</v>
      </c>
      <c r="D18" s="236"/>
      <c r="E18" s="236"/>
      <c r="F18" s="243">
        <f t="shared" ref="F18" si="15">ROUND(C18*D18,2)</f>
        <v>0</v>
      </c>
      <c r="G18" s="243"/>
      <c r="H18" s="236"/>
      <c r="I18" s="247"/>
      <c r="J18" s="248"/>
      <c r="K18" s="236"/>
      <c r="L18" s="236"/>
      <c r="M18" s="236">
        <f t="shared" si="11"/>
        <v>57.5</v>
      </c>
      <c r="N18" s="241">
        <f>[2]高程及工密!M17</f>
        <v>0.82000000000000028</v>
      </c>
      <c r="O18" s="247">
        <f t="shared" si="3"/>
        <v>61.24</v>
      </c>
      <c r="P18" s="249"/>
      <c r="Q18" s="242"/>
      <c r="R18" s="243"/>
      <c r="S18" s="236"/>
      <c r="T18" s="236"/>
      <c r="U18" s="236"/>
      <c r="V18" s="243"/>
      <c r="W18" s="243"/>
      <c r="X18" s="243"/>
      <c r="Y18" s="105">
        <f>C19+G19+J19+M19+R19+V19</f>
        <v>4299.8774999999996</v>
      </c>
      <c r="Z18" s="82">
        <f>Y18*0.3</f>
        <v>1289.9632499999998</v>
      </c>
      <c r="AA18" s="82">
        <f>Y18/1000</f>
        <v>4.2998775</v>
      </c>
    </row>
    <row r="19" spans="1:27">
      <c r="A19" s="241" t="s">
        <v>1603</v>
      </c>
      <c r="B19" s="242"/>
      <c r="C19" s="254">
        <f>SUM(C4:C18)</f>
        <v>1148.3799999999999</v>
      </c>
      <c r="D19" s="243"/>
      <c r="E19" s="243"/>
      <c r="F19" s="255">
        <f>SUM(F4:F18)</f>
        <v>3091.11</v>
      </c>
      <c r="G19" s="254">
        <f>SUM(G4:G18)</f>
        <v>203.54999999999998</v>
      </c>
      <c r="H19" s="243"/>
      <c r="I19" s="256">
        <f>SUM(I4:I18)</f>
        <v>461.7</v>
      </c>
      <c r="J19" s="254">
        <f>SUM(J4:J18)</f>
        <v>1974</v>
      </c>
      <c r="K19" s="257"/>
      <c r="L19" s="255">
        <f>SUM(L4:L18)</f>
        <v>1607.4199999999998</v>
      </c>
      <c r="M19" s="254">
        <f>SUM(M4:M18)</f>
        <v>676.48749999999995</v>
      </c>
      <c r="N19" s="258"/>
      <c r="O19" s="256">
        <f>SUM(O4:O18)</f>
        <v>378.41</v>
      </c>
      <c r="P19" s="249"/>
      <c r="Q19" s="234"/>
      <c r="R19" s="254">
        <f>SUM(R4:R18)</f>
        <v>231.66000000000003</v>
      </c>
      <c r="S19" s="243"/>
      <c r="T19" s="255">
        <f>SUM(T4:T18)</f>
        <v>756.34</v>
      </c>
      <c r="U19" s="257"/>
      <c r="V19" s="254">
        <f>SUM(V4:V18)</f>
        <v>65.8</v>
      </c>
      <c r="W19" s="243"/>
      <c r="X19" s="255">
        <f>SUM(X4:X18)</f>
        <v>125.02000000000001</v>
      </c>
      <c r="Y19" s="104">
        <f>F19+I19+L19+O19+T19+X19</f>
        <v>6420</v>
      </c>
      <c r="Z19" s="104">
        <f>Y19-T19</f>
        <v>5663.66</v>
      </c>
    </row>
    <row r="20" spans="1:27">
      <c r="A20" s="82" t="s">
        <v>1604</v>
      </c>
      <c r="C20" s="112"/>
      <c r="E20" s="113" t="s">
        <v>1605</v>
      </c>
      <c r="F20" s="114">
        <f>F19+I19+L19+O19+T19+X19</f>
        <v>6420</v>
      </c>
      <c r="G20" s="112"/>
      <c r="I20" s="112"/>
      <c r="J20" s="112"/>
      <c r="K20" s="112"/>
      <c r="L20" s="112"/>
      <c r="M20" s="112"/>
      <c r="N20" s="112"/>
      <c r="O20" s="112"/>
      <c r="R20" s="112"/>
      <c r="T20" s="112"/>
      <c r="U20" s="112"/>
      <c r="V20" s="112"/>
      <c r="X20" s="112"/>
      <c r="Y20" s="104"/>
    </row>
    <row r="21" spans="1:27">
      <c r="B21" s="111" t="s">
        <v>1606</v>
      </c>
      <c r="C21" s="111" t="s">
        <v>1607</v>
      </c>
      <c r="Y21" s="82">
        <f>Y19/0.3</f>
        <v>21400</v>
      </c>
      <c r="Z21" s="82">
        <f>Z19/0.3</f>
        <v>18878.866666666669</v>
      </c>
    </row>
    <row r="22" spans="1:27">
      <c r="C22" s="115" t="s">
        <v>1608</v>
      </c>
      <c r="Y22" s="82">
        <f>Y21/1000</f>
        <v>21.4</v>
      </c>
      <c r="Z22" s="82">
        <f>Z21/1000</f>
        <v>18.878866666666667</v>
      </c>
    </row>
    <row r="23" spans="1:27">
      <c r="B23" s="111">
        <v>0</v>
      </c>
    </row>
    <row r="24" spans="1:27">
      <c r="B24" s="111">
        <v>20</v>
      </c>
      <c r="C24" s="113">
        <v>159.36000000000001</v>
      </c>
    </row>
    <row r="25" spans="1:27">
      <c r="B25" s="111">
        <v>40</v>
      </c>
      <c r="C25" s="113">
        <v>265.83999999999997</v>
      </c>
    </row>
    <row r="26" spans="1:27">
      <c r="B26" s="111">
        <v>52.9</v>
      </c>
      <c r="C26" s="113">
        <v>179.14</v>
      </c>
    </row>
    <row r="27" spans="1:27">
      <c r="B27" s="111">
        <v>60</v>
      </c>
      <c r="C27" s="113">
        <v>68.510000000000005</v>
      </c>
    </row>
    <row r="28" spans="1:27">
      <c r="B28" s="111">
        <v>80</v>
      </c>
      <c r="C28" s="113">
        <v>194.04</v>
      </c>
    </row>
    <row r="29" spans="1:27">
      <c r="B29" s="111">
        <v>100</v>
      </c>
      <c r="C29" s="113">
        <v>190.45</v>
      </c>
    </row>
    <row r="30" spans="1:27">
      <c r="B30" s="111">
        <v>120</v>
      </c>
      <c r="C30" s="113">
        <v>192.1</v>
      </c>
    </row>
    <row r="31" spans="1:27">
      <c r="B31" s="111">
        <v>140</v>
      </c>
      <c r="C31" s="113">
        <v>19.190000000000001</v>
      </c>
    </row>
    <row r="32" spans="1:27">
      <c r="B32" s="111">
        <v>160</v>
      </c>
      <c r="C32" s="113">
        <v>185.3</v>
      </c>
    </row>
    <row r="33" spans="1:19">
      <c r="B33" s="111">
        <v>180</v>
      </c>
      <c r="C33" s="113">
        <v>187.59</v>
      </c>
    </row>
    <row r="34" spans="1:19">
      <c r="B34" s="111">
        <v>200</v>
      </c>
      <c r="C34" s="113">
        <v>188.95</v>
      </c>
    </row>
    <row r="35" spans="1:19">
      <c r="B35" s="111">
        <v>220</v>
      </c>
      <c r="C35" s="113">
        <v>191.47</v>
      </c>
    </row>
    <row r="36" spans="1:19">
      <c r="B36" s="111">
        <v>240</v>
      </c>
      <c r="C36" s="113">
        <v>186.59</v>
      </c>
    </row>
    <row r="37" spans="1:19">
      <c r="B37" s="111">
        <v>260</v>
      </c>
      <c r="C37" s="113">
        <v>190.67</v>
      </c>
    </row>
    <row r="38" spans="1:19">
      <c r="B38" s="111">
        <v>280</v>
      </c>
      <c r="C38" s="113">
        <v>195.31</v>
      </c>
    </row>
    <row r="39" spans="1:19">
      <c r="B39" s="111" t="s">
        <v>1609</v>
      </c>
      <c r="C39" s="113">
        <v>63.66</v>
      </c>
    </row>
    <row r="41" spans="1:19">
      <c r="C41" s="81" t="s">
        <v>1610</v>
      </c>
      <c r="D41" s="81" t="s">
        <v>1611</v>
      </c>
      <c r="R41" s="81" t="s">
        <v>1610</v>
      </c>
      <c r="S41" s="81" t="s">
        <v>1611</v>
      </c>
    </row>
    <row r="42" spans="1:19">
      <c r="A42" s="82" t="s">
        <v>1601</v>
      </c>
      <c r="B42" s="111">
        <v>0</v>
      </c>
      <c r="C42" s="81">
        <v>1.75</v>
      </c>
      <c r="D42" s="81">
        <f>C42+2+0.35</f>
        <v>4.0999999999999996</v>
      </c>
      <c r="P42" s="82" t="s">
        <v>1602</v>
      </c>
      <c r="Q42" s="111">
        <v>0</v>
      </c>
      <c r="R42" s="82">
        <v>1.8</v>
      </c>
      <c r="S42" s="81">
        <f>R42+1.2+0.3</f>
        <v>3.3</v>
      </c>
    </row>
    <row r="43" spans="1:19">
      <c r="B43" s="111">
        <v>20</v>
      </c>
      <c r="C43" s="81">
        <v>1.79</v>
      </c>
      <c r="D43" s="81">
        <f t="shared" ref="D43:D56" si="16">C43+2+0.35</f>
        <v>4.1399999999999997</v>
      </c>
      <c r="Q43" s="111">
        <v>20</v>
      </c>
      <c r="R43" s="82">
        <v>1.84</v>
      </c>
      <c r="S43" s="81">
        <f t="shared" ref="S43:S57" si="17">R43+1.2+0.3</f>
        <v>3.34</v>
      </c>
    </row>
    <row r="44" spans="1:19">
      <c r="B44" s="111">
        <v>40</v>
      </c>
      <c r="C44" s="81">
        <v>2.1</v>
      </c>
      <c r="D44" s="81">
        <f t="shared" si="16"/>
        <v>4.4499999999999993</v>
      </c>
      <c r="Q44" s="111">
        <v>40</v>
      </c>
      <c r="R44" s="82">
        <v>2.35</v>
      </c>
      <c r="S44" s="81">
        <f t="shared" si="17"/>
        <v>3.8499999999999996</v>
      </c>
    </row>
    <row r="45" spans="1:19">
      <c r="B45" s="111">
        <v>60</v>
      </c>
      <c r="C45" s="81">
        <v>2.14</v>
      </c>
      <c r="D45" s="81">
        <f t="shared" si="16"/>
        <v>4.49</v>
      </c>
      <c r="Q45" s="111">
        <v>64.739999999999995</v>
      </c>
      <c r="R45" s="82">
        <v>2.44</v>
      </c>
      <c r="S45" s="81">
        <f t="shared" si="17"/>
        <v>3.9399999999999995</v>
      </c>
    </row>
    <row r="46" spans="1:19">
      <c r="B46" s="111">
        <v>80</v>
      </c>
      <c r="C46" s="81">
        <v>2.16</v>
      </c>
      <c r="D46" s="81">
        <f t="shared" si="16"/>
        <v>4.51</v>
      </c>
      <c r="Q46" s="111">
        <v>80</v>
      </c>
      <c r="R46" s="82">
        <v>2.61</v>
      </c>
      <c r="S46" s="81">
        <f t="shared" si="17"/>
        <v>4.1099999999999994</v>
      </c>
    </row>
    <row r="47" spans="1:19">
      <c r="B47" s="111">
        <v>100</v>
      </c>
      <c r="C47" s="81">
        <v>2.1800000000000002</v>
      </c>
      <c r="D47" s="81">
        <f t="shared" si="16"/>
        <v>4.5299999999999994</v>
      </c>
      <c r="Q47" s="111">
        <v>100</v>
      </c>
      <c r="R47" s="82">
        <v>2.68</v>
      </c>
      <c r="S47" s="81">
        <f t="shared" si="17"/>
        <v>4.18</v>
      </c>
    </row>
    <row r="48" spans="1:19">
      <c r="B48" s="111">
        <v>120</v>
      </c>
      <c r="C48" s="81">
        <v>2.21</v>
      </c>
      <c r="D48" s="81">
        <f t="shared" si="16"/>
        <v>4.5599999999999996</v>
      </c>
      <c r="Q48" s="111">
        <v>120</v>
      </c>
      <c r="R48" s="82">
        <v>2.74</v>
      </c>
      <c r="S48" s="81">
        <f t="shared" si="17"/>
        <v>4.24</v>
      </c>
    </row>
    <row r="49" spans="2:19">
      <c r="B49" s="111">
        <v>140</v>
      </c>
      <c r="C49" s="81">
        <v>2.23</v>
      </c>
      <c r="D49" s="81">
        <f t="shared" si="16"/>
        <v>4.58</v>
      </c>
      <c r="Q49" s="111">
        <v>140</v>
      </c>
      <c r="R49" s="82">
        <v>2.76</v>
      </c>
      <c r="S49" s="81">
        <f t="shared" si="17"/>
        <v>4.26</v>
      </c>
    </row>
    <row r="50" spans="2:19">
      <c r="B50" s="111">
        <v>160</v>
      </c>
      <c r="C50" s="81">
        <v>2.25</v>
      </c>
      <c r="D50" s="81">
        <f t="shared" si="16"/>
        <v>4.5999999999999996</v>
      </c>
      <c r="Q50" s="111">
        <v>160</v>
      </c>
      <c r="R50" s="82">
        <v>2.79</v>
      </c>
      <c r="S50" s="81">
        <f t="shared" si="17"/>
        <v>4.29</v>
      </c>
    </row>
    <row r="51" spans="2:19">
      <c r="B51" s="111">
        <v>180</v>
      </c>
      <c r="C51" s="81">
        <v>2.27</v>
      </c>
      <c r="D51" s="81">
        <f t="shared" si="16"/>
        <v>4.6199999999999992</v>
      </c>
      <c r="Q51" s="111">
        <v>180</v>
      </c>
      <c r="R51" s="82">
        <v>2.81</v>
      </c>
      <c r="S51" s="81">
        <f t="shared" si="17"/>
        <v>4.3099999999999996</v>
      </c>
    </row>
    <row r="52" spans="2:19">
      <c r="B52" s="111">
        <v>200</v>
      </c>
      <c r="C52" s="81">
        <v>2.29</v>
      </c>
      <c r="D52" s="81">
        <f t="shared" si="16"/>
        <v>4.6399999999999997</v>
      </c>
      <c r="Q52" s="111">
        <v>200</v>
      </c>
      <c r="R52" s="82">
        <v>2.87</v>
      </c>
      <c r="S52" s="81">
        <f t="shared" si="17"/>
        <v>4.37</v>
      </c>
    </row>
    <row r="53" spans="2:19">
      <c r="B53" s="111">
        <v>220</v>
      </c>
      <c r="C53" s="81">
        <v>2.31</v>
      </c>
      <c r="D53" s="81">
        <f t="shared" si="16"/>
        <v>4.66</v>
      </c>
      <c r="Q53" s="111">
        <v>220</v>
      </c>
      <c r="R53" s="82">
        <v>2.89</v>
      </c>
      <c r="S53" s="81">
        <f t="shared" si="17"/>
        <v>4.3899999999999997</v>
      </c>
    </row>
    <row r="54" spans="2:19">
      <c r="B54" s="111">
        <v>240</v>
      </c>
      <c r="C54" s="81">
        <v>2.33</v>
      </c>
      <c r="D54" s="81">
        <f t="shared" si="16"/>
        <v>4.68</v>
      </c>
      <c r="Q54" s="111">
        <v>240</v>
      </c>
      <c r="R54" s="82">
        <v>2.93</v>
      </c>
      <c r="S54" s="81">
        <f t="shared" si="17"/>
        <v>4.43</v>
      </c>
    </row>
    <row r="55" spans="2:19">
      <c r="B55" s="111">
        <v>260</v>
      </c>
      <c r="C55" s="81">
        <v>2.34</v>
      </c>
      <c r="D55" s="81">
        <f t="shared" si="16"/>
        <v>4.6899999999999995</v>
      </c>
      <c r="Q55" s="111">
        <v>260</v>
      </c>
      <c r="R55" s="82">
        <v>2.97</v>
      </c>
      <c r="S55" s="81">
        <f t="shared" si="17"/>
        <v>4.47</v>
      </c>
    </row>
    <row r="56" spans="2:19">
      <c r="B56" s="111">
        <v>280</v>
      </c>
      <c r="C56" s="81">
        <v>2.36</v>
      </c>
      <c r="D56" s="81">
        <f t="shared" si="16"/>
        <v>4.7099999999999991</v>
      </c>
      <c r="Q56" s="111">
        <v>280</v>
      </c>
      <c r="R56" s="82">
        <v>3.02</v>
      </c>
      <c r="S56" s="81">
        <f t="shared" si="17"/>
        <v>4.5199999999999996</v>
      </c>
    </row>
    <row r="57" spans="2:19">
      <c r="B57" s="111">
        <v>300</v>
      </c>
      <c r="Q57" s="111">
        <v>300</v>
      </c>
      <c r="R57" s="82">
        <v>3.04</v>
      </c>
      <c r="S57" s="81">
        <f t="shared" si="17"/>
        <v>4.54</v>
      </c>
    </row>
    <row r="59" spans="2:19">
      <c r="C59" s="111"/>
    </row>
  </sheetData>
  <mergeCells count="1">
    <mergeCell ref="A1:W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7FD5-0517-4A4B-8C2F-D9B24EAC1449}">
  <dimension ref="A1:I19"/>
  <sheetViews>
    <sheetView zoomScale="115" zoomScaleNormal="115" workbookViewId="0">
      <selection activeCell="F28" sqref="F28"/>
    </sheetView>
  </sheetViews>
  <sheetFormatPr defaultRowHeight="12.75"/>
  <cols>
    <col min="1" max="1" width="5.7109375" style="81" customWidth="1"/>
    <col min="2" max="2" width="5.85546875" style="81" customWidth="1"/>
    <col min="3" max="3" width="9.140625" style="81"/>
    <col min="4" max="4" width="9.42578125" style="82" customWidth="1"/>
    <col min="5" max="5" width="8.85546875" style="82" customWidth="1"/>
    <col min="6" max="6" width="8.5703125" style="82" customWidth="1"/>
    <col min="7" max="7" width="11.5703125" style="82" customWidth="1"/>
    <col min="8" max="8" width="11.42578125" style="82" customWidth="1"/>
    <col min="9" max="9" width="14.140625" style="82" customWidth="1"/>
    <col min="10" max="16384" width="9.140625" style="82"/>
  </cols>
  <sheetData>
    <row r="1" spans="1:9" ht="13.5">
      <c r="A1" s="188" t="s">
        <v>1830</v>
      </c>
      <c r="B1" s="188"/>
      <c r="C1" s="188"/>
      <c r="D1" s="188"/>
      <c r="E1" s="188"/>
      <c r="F1" s="188"/>
      <c r="G1" s="188"/>
    </row>
    <row r="2" spans="1:9" ht="13.5">
      <c r="A2" s="724" t="s">
        <v>1591</v>
      </c>
      <c r="B2" s="725"/>
      <c r="C2" s="180" t="s">
        <v>1742</v>
      </c>
      <c r="D2" s="215" t="s">
        <v>1831</v>
      </c>
      <c r="E2" s="215" t="s">
        <v>1834</v>
      </c>
      <c r="F2" s="180" t="s">
        <v>1833</v>
      </c>
      <c r="G2" s="215" t="s">
        <v>1835</v>
      </c>
      <c r="H2" s="215" t="s">
        <v>1836</v>
      </c>
      <c r="I2" s="180"/>
    </row>
    <row r="3" spans="1:9">
      <c r="A3" s="180" t="s">
        <v>1832</v>
      </c>
      <c r="B3" s="189">
        <v>29</v>
      </c>
      <c r="C3" s="180">
        <v>0</v>
      </c>
      <c r="D3" s="182">
        <v>0.08</v>
      </c>
      <c r="E3" s="180">
        <v>0.2</v>
      </c>
      <c r="F3" s="182">
        <f>C3*D3*E3</f>
        <v>0</v>
      </c>
      <c r="G3" s="182">
        <f>(D3+D4)/2*2*C3</f>
        <v>0</v>
      </c>
      <c r="H3" s="182"/>
      <c r="I3" s="182"/>
    </row>
    <row r="4" spans="1:9">
      <c r="A4" s="180" t="s">
        <v>1832</v>
      </c>
      <c r="B4" s="189">
        <v>40</v>
      </c>
      <c r="C4" s="180">
        <f>B4-B3</f>
        <v>11</v>
      </c>
      <c r="D4" s="182">
        <v>0.46</v>
      </c>
      <c r="E4" s="180">
        <v>0.2</v>
      </c>
      <c r="F4" s="182">
        <f>C4*((D4+D3)/2)*E4</f>
        <v>0.59400000000000008</v>
      </c>
      <c r="G4" s="182">
        <f>(D3+D4)/2*2*C4</f>
        <v>5.94</v>
      </c>
      <c r="H4" s="182">
        <f>(C4/0.5*0.6+2*C4)*0.994</f>
        <v>34.988800000000005</v>
      </c>
      <c r="I4" s="182"/>
    </row>
    <row r="5" spans="1:9">
      <c r="A5" s="180" t="s">
        <v>1832</v>
      </c>
      <c r="B5" s="189">
        <v>60</v>
      </c>
      <c r="C5" s="180">
        <f t="shared" ref="C5:C16" si="0">B5-B4</f>
        <v>20</v>
      </c>
      <c r="D5" s="182">
        <v>0.44</v>
      </c>
      <c r="E5" s="180">
        <v>0.2</v>
      </c>
      <c r="F5" s="182">
        <f t="shared" ref="F5:F16" si="1">C5*((D5+D4)/2)*E5</f>
        <v>1.8</v>
      </c>
      <c r="G5" s="182">
        <f t="shared" ref="G5:G16" si="2">(D4+D5)/2*2*C5</f>
        <v>18</v>
      </c>
      <c r="H5" s="182">
        <f t="shared" ref="H5:H8" si="3">(C5/0.5*0.6+2*C5)*0.994</f>
        <v>63.616</v>
      </c>
      <c r="I5" s="182"/>
    </row>
    <row r="6" spans="1:9">
      <c r="A6" s="180" t="s">
        <v>1832</v>
      </c>
      <c r="B6" s="189">
        <v>80</v>
      </c>
      <c r="C6" s="180">
        <f t="shared" si="0"/>
        <v>20</v>
      </c>
      <c r="D6" s="182">
        <v>0.42</v>
      </c>
      <c r="E6" s="180">
        <v>0.2</v>
      </c>
      <c r="F6" s="182">
        <f t="shared" si="1"/>
        <v>1.72</v>
      </c>
      <c r="G6" s="182">
        <f t="shared" si="2"/>
        <v>17.2</v>
      </c>
      <c r="H6" s="182">
        <f t="shared" si="3"/>
        <v>63.616</v>
      </c>
      <c r="I6" s="182"/>
    </row>
    <row r="7" spans="1:9">
      <c r="A7" s="180" t="s">
        <v>1832</v>
      </c>
      <c r="B7" s="189">
        <v>100</v>
      </c>
      <c r="C7" s="180">
        <f t="shared" si="0"/>
        <v>20</v>
      </c>
      <c r="D7" s="182">
        <v>0.39</v>
      </c>
      <c r="E7" s="180">
        <v>0.2</v>
      </c>
      <c r="F7" s="182">
        <f t="shared" si="1"/>
        <v>1.6200000000000003</v>
      </c>
      <c r="G7" s="182">
        <f t="shared" si="2"/>
        <v>16.200000000000003</v>
      </c>
      <c r="H7" s="182">
        <f t="shared" si="3"/>
        <v>63.616</v>
      </c>
      <c r="I7" s="182"/>
    </row>
    <row r="8" spans="1:9">
      <c r="A8" s="180" t="s">
        <v>1832</v>
      </c>
      <c r="B8" s="189">
        <v>120</v>
      </c>
      <c r="C8" s="180">
        <f t="shared" si="0"/>
        <v>20</v>
      </c>
      <c r="D8" s="182">
        <v>0.3</v>
      </c>
      <c r="E8" s="180">
        <v>0.2</v>
      </c>
      <c r="F8" s="182">
        <f t="shared" si="1"/>
        <v>1.38</v>
      </c>
      <c r="G8" s="182">
        <f t="shared" si="2"/>
        <v>13.799999999999999</v>
      </c>
      <c r="H8" s="182">
        <f t="shared" si="3"/>
        <v>63.616</v>
      </c>
      <c r="I8" s="182"/>
    </row>
    <row r="9" spans="1:9">
      <c r="A9" s="180" t="s">
        <v>1832</v>
      </c>
      <c r="B9" s="189">
        <v>140</v>
      </c>
      <c r="C9" s="180">
        <f t="shared" si="0"/>
        <v>20</v>
      </c>
      <c r="D9" s="182">
        <v>0.24</v>
      </c>
      <c r="E9" s="180">
        <v>0.2</v>
      </c>
      <c r="F9" s="182">
        <f t="shared" si="1"/>
        <v>1.08</v>
      </c>
      <c r="G9" s="182">
        <f t="shared" si="2"/>
        <v>10.8</v>
      </c>
      <c r="H9" s="182">
        <f>(C9/0.5*0.6+1*C9)*0.994</f>
        <v>43.735999999999997</v>
      </c>
      <c r="I9" s="182"/>
    </row>
    <row r="10" spans="1:9">
      <c r="A10" s="180" t="s">
        <v>1832</v>
      </c>
      <c r="B10" s="189">
        <v>160</v>
      </c>
      <c r="C10" s="180">
        <f t="shared" si="0"/>
        <v>20</v>
      </c>
      <c r="D10" s="182">
        <v>0.18</v>
      </c>
      <c r="E10" s="180">
        <v>0.2</v>
      </c>
      <c r="F10" s="182">
        <f t="shared" si="1"/>
        <v>0.84000000000000008</v>
      </c>
      <c r="G10" s="182">
        <f t="shared" si="2"/>
        <v>8.4</v>
      </c>
      <c r="H10" s="182">
        <f t="shared" ref="H10:H14" si="4">(C10/0.5*0.6+1*C10)*0.994</f>
        <v>43.735999999999997</v>
      </c>
      <c r="I10" s="182"/>
    </row>
    <row r="11" spans="1:9">
      <c r="A11" s="180" t="s">
        <v>1832</v>
      </c>
      <c r="B11" s="189">
        <v>180</v>
      </c>
      <c r="C11" s="180">
        <f t="shared" si="0"/>
        <v>20</v>
      </c>
      <c r="D11" s="182">
        <v>0.13</v>
      </c>
      <c r="E11" s="180">
        <v>0.2</v>
      </c>
      <c r="F11" s="182">
        <f t="shared" si="1"/>
        <v>0.62000000000000011</v>
      </c>
      <c r="G11" s="182">
        <f t="shared" si="2"/>
        <v>6.2</v>
      </c>
      <c r="H11" s="182">
        <f t="shared" si="4"/>
        <v>43.735999999999997</v>
      </c>
      <c r="I11" s="182"/>
    </row>
    <row r="12" spans="1:9">
      <c r="A12" s="180" t="s">
        <v>1832</v>
      </c>
      <c r="B12" s="189">
        <v>200</v>
      </c>
      <c r="C12" s="180">
        <f t="shared" si="0"/>
        <v>20</v>
      </c>
      <c r="D12" s="182">
        <v>0.13</v>
      </c>
      <c r="E12" s="180">
        <v>0.2</v>
      </c>
      <c r="F12" s="182">
        <f t="shared" si="1"/>
        <v>0.52</v>
      </c>
      <c r="G12" s="182">
        <f t="shared" si="2"/>
        <v>5.2</v>
      </c>
      <c r="H12" s="182">
        <f t="shared" si="4"/>
        <v>43.735999999999997</v>
      </c>
      <c r="I12" s="182"/>
    </row>
    <row r="13" spans="1:9">
      <c r="A13" s="180" t="s">
        <v>1832</v>
      </c>
      <c r="B13" s="189">
        <v>220</v>
      </c>
      <c r="C13" s="180">
        <f t="shared" si="0"/>
        <v>20</v>
      </c>
      <c r="D13" s="182">
        <v>0.12</v>
      </c>
      <c r="E13" s="180">
        <v>0.2</v>
      </c>
      <c r="F13" s="182">
        <f t="shared" si="1"/>
        <v>0.5</v>
      </c>
      <c r="G13" s="182">
        <f t="shared" si="2"/>
        <v>5</v>
      </c>
      <c r="H13" s="182">
        <f t="shared" si="4"/>
        <v>43.735999999999997</v>
      </c>
      <c r="I13" s="182"/>
    </row>
    <row r="14" spans="1:9">
      <c r="A14" s="180" t="s">
        <v>1832</v>
      </c>
      <c r="B14" s="189">
        <v>240</v>
      </c>
      <c r="C14" s="180">
        <f t="shared" si="0"/>
        <v>20</v>
      </c>
      <c r="D14" s="182">
        <v>0.1</v>
      </c>
      <c r="E14" s="180">
        <v>0.2</v>
      </c>
      <c r="F14" s="182">
        <f t="shared" si="1"/>
        <v>0.44000000000000006</v>
      </c>
      <c r="G14" s="182">
        <f t="shared" si="2"/>
        <v>4.4000000000000004</v>
      </c>
      <c r="H14" s="182">
        <f t="shared" si="4"/>
        <v>43.735999999999997</v>
      </c>
      <c r="I14" s="182"/>
    </row>
    <row r="15" spans="1:9">
      <c r="A15" s="180" t="s">
        <v>1832</v>
      </c>
      <c r="B15" s="189">
        <v>260</v>
      </c>
      <c r="C15" s="180">
        <f t="shared" si="0"/>
        <v>20</v>
      </c>
      <c r="D15" s="182">
        <v>0.05</v>
      </c>
      <c r="E15" s="180">
        <v>0.2</v>
      </c>
      <c r="F15" s="182">
        <f t="shared" si="1"/>
        <v>0.30000000000000004</v>
      </c>
      <c r="G15" s="182">
        <f t="shared" si="2"/>
        <v>3.0000000000000004</v>
      </c>
      <c r="H15" s="182">
        <f>(C15/0.5*0.6+0*C15)*0.994</f>
        <v>23.856000000000002</v>
      </c>
      <c r="I15" s="182"/>
    </row>
    <row r="16" spans="1:9">
      <c r="A16" s="180" t="s">
        <v>1832</v>
      </c>
      <c r="B16" s="189">
        <v>280</v>
      </c>
      <c r="C16" s="180">
        <f t="shared" si="0"/>
        <v>20</v>
      </c>
      <c r="D16" s="182">
        <v>0.02</v>
      </c>
      <c r="E16" s="180">
        <v>0.2</v>
      </c>
      <c r="F16" s="182">
        <f t="shared" si="1"/>
        <v>0.14000000000000001</v>
      </c>
      <c r="G16" s="182">
        <f t="shared" si="2"/>
        <v>1.4000000000000001</v>
      </c>
      <c r="H16" s="182">
        <f>(C16/0.5*0.6+0*C16)*0.994</f>
        <v>23.856000000000002</v>
      </c>
      <c r="I16" s="182"/>
    </row>
    <row r="17" spans="1:9">
      <c r="A17" s="180"/>
      <c r="B17" s="189"/>
      <c r="C17" s="180"/>
      <c r="D17" s="182"/>
      <c r="E17" s="182"/>
      <c r="F17" s="182"/>
      <c r="G17" s="182"/>
      <c r="H17" s="182"/>
      <c r="I17" s="182"/>
    </row>
    <row r="18" spans="1:9">
      <c r="A18" s="180"/>
      <c r="B18" s="189"/>
      <c r="C18" s="180"/>
      <c r="D18" s="182"/>
      <c r="E18" s="182"/>
      <c r="F18" s="182"/>
      <c r="G18" s="182"/>
      <c r="H18" s="182"/>
      <c r="I18" s="182"/>
    </row>
    <row r="19" spans="1:9">
      <c r="A19" s="180" t="s">
        <v>1734</v>
      </c>
      <c r="B19" s="189"/>
      <c r="C19" s="180">
        <f>SUM(C3:C18)</f>
        <v>251</v>
      </c>
      <c r="D19" s="180">
        <f>SUM(D3:D18)</f>
        <v>3.06</v>
      </c>
      <c r="E19" s="182"/>
      <c r="F19" s="182">
        <f>SUM(F3:F18)</f>
        <v>11.554</v>
      </c>
      <c r="G19" s="182">
        <f>SUM(G3:G18)</f>
        <v>115.54000000000002</v>
      </c>
      <c r="H19" s="182">
        <f>SUM(H3:H18)</f>
        <v>599.58079999999995</v>
      </c>
      <c r="I19" s="182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CA51-A6C6-48BE-B0DD-E0F889B54746}">
  <dimension ref="A1:U54"/>
  <sheetViews>
    <sheetView topLeftCell="A4" workbookViewId="0">
      <selection activeCell="J29" sqref="J29"/>
    </sheetView>
  </sheetViews>
  <sheetFormatPr defaultRowHeight="12.75"/>
  <cols>
    <col min="1" max="1" width="20.7109375" style="220" customWidth="1"/>
    <col min="2" max="2" width="19.140625" style="220" customWidth="1"/>
    <col min="5" max="5" width="23.5703125" style="220" customWidth="1"/>
  </cols>
  <sheetData>
    <row r="1" spans="1:20" ht="25.5" customHeight="1">
      <c r="A1" s="726" t="s">
        <v>1853</v>
      </c>
      <c r="B1" s="726"/>
      <c r="C1" s="726"/>
      <c r="D1" s="726"/>
      <c r="E1" s="726"/>
      <c r="F1" s="726"/>
      <c r="G1" s="726"/>
      <c r="H1" s="726"/>
      <c r="I1" s="726"/>
      <c r="J1" s="726"/>
    </row>
    <row r="2" spans="1:20">
      <c r="A2" s="220" t="s">
        <v>1854</v>
      </c>
      <c r="B2" s="220" t="s">
        <v>1855</v>
      </c>
      <c r="C2" t="s">
        <v>1856</v>
      </c>
      <c r="D2" t="s">
        <v>238</v>
      </c>
      <c r="E2" s="220" t="s">
        <v>1857</v>
      </c>
      <c r="F2" t="s">
        <v>1858</v>
      </c>
      <c r="G2" t="s">
        <v>1859</v>
      </c>
      <c r="H2" t="s">
        <v>1860</v>
      </c>
      <c r="I2" t="s">
        <v>1861</v>
      </c>
      <c r="J2" t="s">
        <v>1862</v>
      </c>
    </row>
    <row r="3" spans="1:20" ht="25.5">
      <c r="A3" s="220" t="s">
        <v>1863</v>
      </c>
      <c r="B3" s="220" t="s">
        <v>597</v>
      </c>
      <c r="C3" t="s">
        <v>13</v>
      </c>
      <c r="D3">
        <v>776</v>
      </c>
      <c r="F3">
        <v>2510.64</v>
      </c>
      <c r="G3">
        <v>775.88499999999999</v>
      </c>
      <c r="J3">
        <v>0.11500000000000909</v>
      </c>
    </row>
    <row r="4" spans="1:20" ht="25.5">
      <c r="A4" s="220" t="s">
        <v>1864</v>
      </c>
      <c r="B4" s="220" t="s">
        <v>599</v>
      </c>
      <c r="C4" t="s">
        <v>223</v>
      </c>
      <c r="D4">
        <v>235</v>
      </c>
      <c r="F4">
        <v>3297.86</v>
      </c>
      <c r="G4">
        <v>251.85000000000002</v>
      </c>
      <c r="J4">
        <v>-16.850000000000023</v>
      </c>
    </row>
    <row r="5" spans="1:20" ht="38.25">
      <c r="A5" s="220" t="s">
        <v>1865</v>
      </c>
      <c r="B5" s="220" t="s">
        <v>601</v>
      </c>
      <c r="C5" t="s">
        <v>13</v>
      </c>
      <c r="D5">
        <v>102</v>
      </c>
      <c r="E5" s="220" t="s">
        <v>1866</v>
      </c>
      <c r="F5">
        <v>2952.01</v>
      </c>
      <c r="G5">
        <v>173.82</v>
      </c>
      <c r="J5">
        <v>-71.819999999999993</v>
      </c>
    </row>
    <row r="6" spans="1:20" ht="38.25">
      <c r="A6" s="220" t="s">
        <v>1867</v>
      </c>
      <c r="B6" s="220" t="s">
        <v>1868</v>
      </c>
      <c r="C6" t="s">
        <v>8</v>
      </c>
      <c r="D6">
        <v>31.2</v>
      </c>
      <c r="E6" s="220" t="s">
        <v>1869</v>
      </c>
      <c r="F6">
        <v>8355.11</v>
      </c>
      <c r="G6">
        <v>35.200000000000003</v>
      </c>
      <c r="H6">
        <v>170.83</v>
      </c>
      <c r="I6">
        <v>2.82</v>
      </c>
    </row>
    <row r="7" spans="1:20" ht="38.25">
      <c r="A7" s="220" t="s">
        <v>1870</v>
      </c>
      <c r="B7" s="220" t="s">
        <v>1871</v>
      </c>
      <c r="C7" t="s">
        <v>8</v>
      </c>
      <c r="D7">
        <v>17.899999999999999</v>
      </c>
      <c r="E7" s="220" t="s">
        <v>1872</v>
      </c>
      <c r="F7">
        <v>5394.64</v>
      </c>
      <c r="G7">
        <v>24.3</v>
      </c>
      <c r="H7">
        <v>153.09</v>
      </c>
      <c r="I7">
        <v>2.52</v>
      </c>
    </row>
    <row r="8" spans="1:20" ht="25.5">
      <c r="A8" s="220" t="s">
        <v>1873</v>
      </c>
      <c r="B8" s="220" t="s">
        <v>1372</v>
      </c>
      <c r="C8" t="s">
        <v>13</v>
      </c>
      <c r="D8">
        <v>634.14</v>
      </c>
      <c r="G8">
        <v>559.71499999999992</v>
      </c>
      <c r="J8">
        <v>74.425000000000068</v>
      </c>
    </row>
    <row r="11" spans="1:20">
      <c r="A11" s="220" t="s">
        <v>1875</v>
      </c>
      <c r="C11" t="s">
        <v>1876</v>
      </c>
    </row>
    <row r="12" spans="1:20">
      <c r="A12" s="220" t="s">
        <v>1877</v>
      </c>
      <c r="B12" s="220" t="s">
        <v>1878</v>
      </c>
      <c r="C12" t="s">
        <v>1879</v>
      </c>
      <c r="D12" t="s">
        <v>1874</v>
      </c>
      <c r="E12" s="220" t="s">
        <v>1880</v>
      </c>
      <c r="F12" t="s">
        <v>1878</v>
      </c>
      <c r="G12" t="s">
        <v>1879</v>
      </c>
      <c r="H12" t="s">
        <v>1874</v>
      </c>
      <c r="I12" t="s">
        <v>1881</v>
      </c>
      <c r="J12" t="s">
        <v>1878</v>
      </c>
      <c r="K12" t="s">
        <v>1879</v>
      </c>
      <c r="L12" t="s">
        <v>1874</v>
      </c>
      <c r="M12" t="s">
        <v>1882</v>
      </c>
      <c r="N12" t="s">
        <v>1878</v>
      </c>
      <c r="O12" t="s">
        <v>1879</v>
      </c>
      <c r="P12" t="s">
        <v>1874</v>
      </c>
      <c r="Q12" t="s">
        <v>1883</v>
      </c>
      <c r="R12" t="s">
        <v>1884</v>
      </c>
      <c r="S12" t="s">
        <v>1885</v>
      </c>
      <c r="T12" t="s">
        <v>1874</v>
      </c>
    </row>
    <row r="13" spans="1:20">
      <c r="A13" s="220" t="s">
        <v>1886</v>
      </c>
      <c r="B13" s="220">
        <v>0</v>
      </c>
      <c r="C13">
        <v>1.5</v>
      </c>
      <c r="D13">
        <v>0</v>
      </c>
      <c r="E13" s="220" t="s">
        <v>1886</v>
      </c>
      <c r="F13">
        <v>0</v>
      </c>
      <c r="G13">
        <v>3.3</v>
      </c>
      <c r="H13">
        <v>0</v>
      </c>
      <c r="I13" t="s">
        <v>1887</v>
      </c>
      <c r="J13">
        <v>43.9</v>
      </c>
      <c r="K13">
        <v>2.1</v>
      </c>
      <c r="L13">
        <v>92.19</v>
      </c>
      <c r="M13" t="s">
        <v>1888</v>
      </c>
      <c r="N13">
        <v>49</v>
      </c>
      <c r="O13">
        <v>3.3</v>
      </c>
      <c r="P13">
        <v>161.69999999999999</v>
      </c>
      <c r="Q13" t="s">
        <v>1889</v>
      </c>
      <c r="R13">
        <v>4.4000000000000004</v>
      </c>
      <c r="S13">
        <v>3.3</v>
      </c>
      <c r="T13">
        <v>7.26</v>
      </c>
    </row>
    <row r="14" spans="1:20">
      <c r="A14" s="220" t="s">
        <v>1890</v>
      </c>
      <c r="B14" s="220">
        <v>20</v>
      </c>
      <c r="C14">
        <v>1.6</v>
      </c>
      <c r="D14">
        <v>31</v>
      </c>
      <c r="E14" s="220" t="s">
        <v>1890</v>
      </c>
      <c r="F14">
        <v>20</v>
      </c>
      <c r="G14">
        <v>2.1</v>
      </c>
      <c r="H14">
        <v>54</v>
      </c>
    </row>
    <row r="15" spans="1:20">
      <c r="A15" s="220" t="s">
        <v>1891</v>
      </c>
      <c r="B15" s="220">
        <v>20</v>
      </c>
      <c r="C15">
        <v>1.5</v>
      </c>
      <c r="D15">
        <v>31</v>
      </c>
      <c r="E15" s="220" t="s">
        <v>1891</v>
      </c>
      <c r="F15">
        <v>20</v>
      </c>
      <c r="G15">
        <v>2.1</v>
      </c>
      <c r="H15">
        <v>42</v>
      </c>
      <c r="M15" t="s">
        <v>1892</v>
      </c>
      <c r="N15">
        <v>4.8</v>
      </c>
      <c r="O15">
        <v>1.5</v>
      </c>
      <c r="P15">
        <v>7.1999999999999993</v>
      </c>
    </row>
    <row r="16" spans="1:20">
      <c r="A16" s="220" t="s">
        <v>1893</v>
      </c>
      <c r="B16" s="220">
        <v>20</v>
      </c>
      <c r="C16">
        <v>1.53</v>
      </c>
      <c r="D16">
        <v>30.300000000000004</v>
      </c>
      <c r="E16" s="220" t="s">
        <v>1893</v>
      </c>
      <c r="F16">
        <v>20</v>
      </c>
      <c r="G16">
        <v>2.2000000000000002</v>
      </c>
      <c r="H16">
        <v>43.000000000000007</v>
      </c>
    </row>
    <row r="17" spans="1:21">
      <c r="A17" s="220" t="s">
        <v>1894</v>
      </c>
      <c r="B17" s="220">
        <v>20</v>
      </c>
      <c r="C17">
        <v>1.6</v>
      </c>
      <c r="D17">
        <v>31.299999999999997</v>
      </c>
      <c r="E17" s="220" t="s">
        <v>1894</v>
      </c>
      <c r="F17">
        <v>20</v>
      </c>
      <c r="G17">
        <v>2.15</v>
      </c>
      <c r="H17">
        <v>43.5</v>
      </c>
    </row>
    <row r="18" spans="1:21">
      <c r="A18" s="220" t="s">
        <v>1895</v>
      </c>
      <c r="B18" s="220">
        <v>20</v>
      </c>
      <c r="C18">
        <v>1.59</v>
      </c>
      <c r="D18">
        <v>31.900000000000006</v>
      </c>
      <c r="E18" s="220" t="s">
        <v>1895</v>
      </c>
      <c r="F18">
        <v>20</v>
      </c>
      <c r="G18">
        <v>2.2000000000000002</v>
      </c>
      <c r="H18">
        <v>43.5</v>
      </c>
    </row>
    <row r="19" spans="1:21">
      <c r="A19" s="220" t="s">
        <v>1896</v>
      </c>
      <c r="B19" s="220">
        <v>20</v>
      </c>
      <c r="C19">
        <v>1.53</v>
      </c>
      <c r="D19">
        <v>31.200000000000003</v>
      </c>
      <c r="E19" s="220" t="s">
        <v>1896</v>
      </c>
      <c r="F19">
        <v>20</v>
      </c>
      <c r="G19">
        <v>2.2000000000000002</v>
      </c>
      <c r="H19">
        <v>44</v>
      </c>
    </row>
    <row r="20" spans="1:21">
      <c r="A20" s="220" t="s">
        <v>1897</v>
      </c>
      <c r="B20" s="220">
        <v>20</v>
      </c>
      <c r="C20">
        <v>1.58</v>
      </c>
      <c r="D20">
        <v>31.1</v>
      </c>
      <c r="E20" s="220" t="s">
        <v>1897</v>
      </c>
      <c r="F20">
        <v>20</v>
      </c>
      <c r="G20">
        <v>2.2000000000000002</v>
      </c>
      <c r="H20">
        <v>44</v>
      </c>
    </row>
    <row r="21" spans="1:21">
      <c r="A21" s="220" t="s">
        <v>1898</v>
      </c>
      <c r="B21" s="220">
        <v>20</v>
      </c>
      <c r="C21">
        <v>1.53</v>
      </c>
      <c r="D21">
        <v>31.1</v>
      </c>
      <c r="E21" s="220" t="s">
        <v>1898</v>
      </c>
      <c r="F21">
        <v>20</v>
      </c>
      <c r="G21">
        <v>2.2000000000000002</v>
      </c>
      <c r="H21">
        <v>44</v>
      </c>
    </row>
    <row r="22" spans="1:21">
      <c r="A22" s="220" t="s">
        <v>1899</v>
      </c>
      <c r="B22" s="220">
        <v>20</v>
      </c>
      <c r="C22">
        <v>1.5</v>
      </c>
      <c r="D22">
        <v>30.300000000000004</v>
      </c>
      <c r="E22" s="220" t="s">
        <v>1899</v>
      </c>
      <c r="F22">
        <v>20</v>
      </c>
      <c r="G22">
        <v>2.2000000000000002</v>
      </c>
      <c r="H22">
        <v>44</v>
      </c>
    </row>
    <row r="23" spans="1:21">
      <c r="A23" s="220" t="s">
        <v>1900</v>
      </c>
      <c r="B23" s="220">
        <v>20</v>
      </c>
      <c r="C23">
        <v>1.6</v>
      </c>
      <c r="D23">
        <v>31</v>
      </c>
      <c r="E23" s="220" t="s">
        <v>1900</v>
      </c>
      <c r="F23">
        <v>20</v>
      </c>
      <c r="G23">
        <v>2.25</v>
      </c>
      <c r="H23">
        <v>44.5</v>
      </c>
    </row>
    <row r="24" spans="1:21">
      <c r="A24" s="220" t="s">
        <v>1901</v>
      </c>
      <c r="B24" s="220">
        <v>20</v>
      </c>
      <c r="C24">
        <v>1.6</v>
      </c>
      <c r="D24">
        <v>32</v>
      </c>
      <c r="E24" s="220" t="s">
        <v>1901</v>
      </c>
      <c r="F24">
        <v>20</v>
      </c>
      <c r="G24">
        <v>2.25</v>
      </c>
      <c r="H24">
        <v>45</v>
      </c>
    </row>
    <row r="25" spans="1:21">
      <c r="A25" s="220" t="s">
        <v>1902</v>
      </c>
      <c r="B25" s="220">
        <v>20</v>
      </c>
      <c r="C25">
        <v>1.7</v>
      </c>
      <c r="D25">
        <v>33</v>
      </c>
      <c r="E25" s="220" t="s">
        <v>1902</v>
      </c>
      <c r="F25">
        <v>20</v>
      </c>
      <c r="G25">
        <v>2.25</v>
      </c>
      <c r="H25">
        <v>45</v>
      </c>
    </row>
    <row r="26" spans="1:21">
      <c r="A26" s="220" t="s">
        <v>1903</v>
      </c>
      <c r="B26" s="220">
        <v>20</v>
      </c>
      <c r="C26">
        <v>1.95</v>
      </c>
      <c r="D26">
        <v>36.5</v>
      </c>
      <c r="E26" s="220" t="s">
        <v>1903</v>
      </c>
      <c r="F26">
        <v>20</v>
      </c>
      <c r="G26">
        <v>2.25</v>
      </c>
      <c r="H26">
        <v>45</v>
      </c>
    </row>
    <row r="27" spans="1:21">
      <c r="A27" s="220" t="s">
        <v>1904</v>
      </c>
      <c r="B27" s="220">
        <v>29</v>
      </c>
      <c r="C27">
        <v>1.9</v>
      </c>
      <c r="D27">
        <v>55.824999999999996</v>
      </c>
      <c r="E27" s="220" t="s">
        <v>1905</v>
      </c>
      <c r="F27">
        <v>14.5</v>
      </c>
      <c r="G27">
        <v>2.25</v>
      </c>
      <c r="H27">
        <v>32.625</v>
      </c>
    </row>
    <row r="28" spans="1:21">
      <c r="A28" s="220" t="s">
        <v>1906</v>
      </c>
      <c r="D28">
        <v>467.52499999999998</v>
      </c>
      <c r="H28" s="18">
        <v>614.125</v>
      </c>
      <c r="L28">
        <v>92.19</v>
      </c>
      <c r="P28" s="18">
        <v>154.5</v>
      </c>
      <c r="T28" s="18">
        <v>7.26</v>
      </c>
      <c r="U28">
        <v>1335.6000000000001</v>
      </c>
    </row>
    <row r="29" spans="1:21">
      <c r="B29" s="294"/>
      <c r="C29" t="s">
        <v>1907</v>
      </c>
      <c r="D29">
        <v>559.71499999999992</v>
      </c>
      <c r="H29" t="s">
        <v>1908</v>
      </c>
      <c r="I29" s="18">
        <v>775.88499999999999</v>
      </c>
    </row>
    <row r="31" spans="1:21">
      <c r="A31" s="220" t="s">
        <v>1864</v>
      </c>
      <c r="B31" s="220" t="s">
        <v>1909</v>
      </c>
      <c r="G31" t="s">
        <v>1912</v>
      </c>
      <c r="L31" t="s">
        <v>1914</v>
      </c>
    </row>
    <row r="32" spans="1:21">
      <c r="A32" s="220" t="s">
        <v>1883</v>
      </c>
      <c r="B32" s="220" t="s">
        <v>1878</v>
      </c>
      <c r="C32" t="s">
        <v>1910</v>
      </c>
      <c r="D32" t="s">
        <v>1874</v>
      </c>
      <c r="E32" s="220" t="s">
        <v>223</v>
      </c>
      <c r="G32" t="s">
        <v>1883</v>
      </c>
      <c r="H32" t="s">
        <v>1913</v>
      </c>
      <c r="I32" t="s">
        <v>1910</v>
      </c>
      <c r="J32" t="s">
        <v>1874</v>
      </c>
      <c r="L32" t="s">
        <v>1883</v>
      </c>
      <c r="M32" t="s">
        <v>1913</v>
      </c>
      <c r="N32" t="s">
        <v>1910</v>
      </c>
      <c r="O32" t="s">
        <v>1874</v>
      </c>
    </row>
    <row r="33" spans="1:15">
      <c r="A33" s="220" t="s">
        <v>1891</v>
      </c>
      <c r="B33" s="220">
        <v>0</v>
      </c>
      <c r="C33">
        <v>2</v>
      </c>
      <c r="D33">
        <v>0</v>
      </c>
      <c r="E33" s="221">
        <v>0</v>
      </c>
      <c r="G33" t="s">
        <v>1895</v>
      </c>
      <c r="H33">
        <v>9.1</v>
      </c>
      <c r="I33">
        <v>8</v>
      </c>
      <c r="J33">
        <v>72.8</v>
      </c>
      <c r="L33" t="s">
        <v>1915</v>
      </c>
      <c r="M33">
        <v>2</v>
      </c>
      <c r="N33">
        <v>3</v>
      </c>
      <c r="O33">
        <v>6</v>
      </c>
    </row>
    <row r="34" spans="1:15">
      <c r="A34" s="220" t="s">
        <v>1893</v>
      </c>
      <c r="B34" s="220">
        <v>20</v>
      </c>
      <c r="C34">
        <v>2</v>
      </c>
      <c r="D34">
        <v>40</v>
      </c>
      <c r="E34" s="221">
        <v>20</v>
      </c>
      <c r="G34" t="s">
        <v>1899</v>
      </c>
      <c r="H34">
        <v>4.5</v>
      </c>
      <c r="I34">
        <v>4.9000000000000004</v>
      </c>
      <c r="J34">
        <v>22.05</v>
      </c>
      <c r="L34" t="s">
        <v>1890</v>
      </c>
      <c r="M34">
        <v>2</v>
      </c>
      <c r="N34">
        <v>3</v>
      </c>
      <c r="O34">
        <v>6</v>
      </c>
    </row>
    <row r="35" spans="1:15">
      <c r="A35" s="220" t="s">
        <v>1894</v>
      </c>
      <c r="B35" s="220">
        <v>20</v>
      </c>
      <c r="C35">
        <v>2.2999999999999998</v>
      </c>
      <c r="D35">
        <v>43</v>
      </c>
      <c r="E35" s="221">
        <v>21.5</v>
      </c>
      <c r="L35" t="s">
        <v>1916</v>
      </c>
      <c r="M35">
        <v>3.3</v>
      </c>
      <c r="N35">
        <v>2.1</v>
      </c>
      <c r="O35">
        <v>6.93</v>
      </c>
    </row>
    <row r="36" spans="1:15">
      <c r="A36" s="220" t="s">
        <v>1895</v>
      </c>
      <c r="B36" s="220">
        <v>20</v>
      </c>
      <c r="C36">
        <v>2</v>
      </c>
      <c r="D36">
        <v>43</v>
      </c>
      <c r="E36" s="221">
        <v>21.5</v>
      </c>
      <c r="G36" t="s">
        <v>1906</v>
      </c>
      <c r="J36" s="18">
        <v>94.85</v>
      </c>
      <c r="L36" t="s">
        <v>1917</v>
      </c>
      <c r="M36">
        <v>2.2999999999999998</v>
      </c>
      <c r="N36">
        <v>2.5</v>
      </c>
      <c r="O36">
        <v>5.75</v>
      </c>
    </row>
    <row r="37" spans="1:15">
      <c r="A37" s="220" t="s">
        <v>1896</v>
      </c>
      <c r="B37" s="220">
        <v>20</v>
      </c>
      <c r="C37">
        <v>2.2000000000000002</v>
      </c>
      <c r="D37">
        <v>42</v>
      </c>
      <c r="E37" s="221">
        <v>21</v>
      </c>
      <c r="L37" t="s">
        <v>1918</v>
      </c>
      <c r="M37">
        <v>2</v>
      </c>
      <c r="N37">
        <v>2.8</v>
      </c>
      <c r="O37">
        <v>5.6</v>
      </c>
    </row>
    <row r="38" spans="1:15">
      <c r="A38" s="220" t="s">
        <v>1897</v>
      </c>
      <c r="B38" s="220">
        <v>20</v>
      </c>
      <c r="C38">
        <v>2</v>
      </c>
      <c r="D38">
        <v>42</v>
      </c>
      <c r="E38" s="221">
        <v>21</v>
      </c>
      <c r="J38" s="18">
        <f>J36+O46</f>
        <v>173.82</v>
      </c>
      <c r="L38" t="s">
        <v>1919</v>
      </c>
      <c r="M38">
        <v>2.2999999999999998</v>
      </c>
      <c r="N38">
        <v>3.1</v>
      </c>
      <c r="O38">
        <v>7.13</v>
      </c>
    </row>
    <row r="39" spans="1:15">
      <c r="A39" s="220" t="s">
        <v>1898</v>
      </c>
      <c r="B39" s="220">
        <v>20</v>
      </c>
      <c r="C39">
        <v>2.4</v>
      </c>
      <c r="D39">
        <v>44</v>
      </c>
      <c r="E39" s="221">
        <v>22</v>
      </c>
      <c r="L39" t="s">
        <v>1920</v>
      </c>
      <c r="M39">
        <v>2</v>
      </c>
      <c r="N39">
        <v>2.6</v>
      </c>
      <c r="O39">
        <v>5.2</v>
      </c>
    </row>
    <row r="40" spans="1:15">
      <c r="A40" s="220" t="s">
        <v>1899</v>
      </c>
      <c r="B40" s="220">
        <v>20</v>
      </c>
      <c r="C40">
        <v>2</v>
      </c>
      <c r="D40">
        <v>44</v>
      </c>
      <c r="E40" s="221">
        <v>22</v>
      </c>
      <c r="L40" t="s">
        <v>1921</v>
      </c>
      <c r="M40">
        <v>2</v>
      </c>
      <c r="N40">
        <v>2.6</v>
      </c>
      <c r="O40">
        <v>5.2</v>
      </c>
    </row>
    <row r="41" spans="1:15">
      <c r="A41" s="220" t="s">
        <v>1900</v>
      </c>
      <c r="B41" s="220">
        <v>20</v>
      </c>
      <c r="C41">
        <v>2.5</v>
      </c>
      <c r="D41">
        <v>45</v>
      </c>
      <c r="E41" s="221">
        <v>22.5</v>
      </c>
      <c r="L41" t="s">
        <v>1896</v>
      </c>
      <c r="M41">
        <v>2</v>
      </c>
      <c r="N41">
        <v>4.0999999999999996</v>
      </c>
      <c r="O41">
        <v>8.1999999999999993</v>
      </c>
    </row>
    <row r="42" spans="1:15">
      <c r="A42" s="220" t="s">
        <v>1901</v>
      </c>
      <c r="B42" s="220">
        <v>20</v>
      </c>
      <c r="C42">
        <v>1.75</v>
      </c>
      <c r="D42">
        <v>42.5</v>
      </c>
      <c r="E42" s="221">
        <v>21.25</v>
      </c>
      <c r="L42" t="s">
        <v>1922</v>
      </c>
      <c r="M42">
        <v>2.2000000000000002</v>
      </c>
      <c r="N42">
        <v>3.4</v>
      </c>
      <c r="O42">
        <v>7.48</v>
      </c>
    </row>
    <row r="43" spans="1:15">
      <c r="A43" s="220" t="s">
        <v>1902</v>
      </c>
      <c r="B43" s="220">
        <v>20</v>
      </c>
      <c r="C43">
        <v>2.06</v>
      </c>
      <c r="D43">
        <v>38.1</v>
      </c>
      <c r="E43" s="221">
        <v>19.05</v>
      </c>
      <c r="L43" t="s">
        <v>1923</v>
      </c>
      <c r="M43">
        <v>3.2</v>
      </c>
      <c r="N43">
        <v>2.5</v>
      </c>
      <c r="O43">
        <v>8</v>
      </c>
    </row>
    <row r="44" spans="1:15">
      <c r="A44" s="220" t="s">
        <v>1903</v>
      </c>
      <c r="B44" s="220">
        <v>20</v>
      </c>
      <c r="C44">
        <v>2.0499999999999998</v>
      </c>
      <c r="D44">
        <v>41.099999999999994</v>
      </c>
      <c r="E44" s="221">
        <v>20.55</v>
      </c>
      <c r="L44" t="s">
        <v>1924</v>
      </c>
      <c r="M44">
        <v>1.2</v>
      </c>
      <c r="N44">
        <v>1.4</v>
      </c>
      <c r="O44">
        <v>1.68</v>
      </c>
    </row>
    <row r="45" spans="1:15">
      <c r="A45" s="220" t="s">
        <v>1911</v>
      </c>
      <c r="B45" s="220">
        <v>20</v>
      </c>
      <c r="C45">
        <v>1.85</v>
      </c>
      <c r="D45">
        <v>39</v>
      </c>
      <c r="E45" s="221">
        <v>19.5</v>
      </c>
      <c r="L45" t="s">
        <v>1925</v>
      </c>
      <c r="M45">
        <v>2</v>
      </c>
      <c r="N45">
        <v>2.9</v>
      </c>
      <c r="O45">
        <v>5.8</v>
      </c>
    </row>
    <row r="46" spans="1:15">
      <c r="A46" s="220" t="s">
        <v>1906</v>
      </c>
      <c r="D46">
        <v>503.70000000000005</v>
      </c>
      <c r="E46" s="221">
        <v>251.85000000000002</v>
      </c>
      <c r="L46" t="s">
        <v>1906</v>
      </c>
      <c r="O46" s="18">
        <v>78.970000000000013</v>
      </c>
    </row>
    <row r="48" spans="1:15">
      <c r="A48" s="220" t="s">
        <v>1926</v>
      </c>
    </row>
    <row r="49" spans="1:11">
      <c r="A49" s="220" t="s">
        <v>1883</v>
      </c>
      <c r="B49" s="220" t="s">
        <v>1913</v>
      </c>
      <c r="C49" t="s">
        <v>1927</v>
      </c>
      <c r="D49" t="s">
        <v>1928</v>
      </c>
      <c r="E49" s="220" t="s">
        <v>1929</v>
      </c>
      <c r="F49" t="s">
        <v>1874</v>
      </c>
      <c r="G49" t="s">
        <v>1930</v>
      </c>
      <c r="H49" t="s">
        <v>1931</v>
      </c>
      <c r="I49" t="s">
        <v>1932</v>
      </c>
      <c r="J49" t="s">
        <v>1933</v>
      </c>
    </row>
    <row r="50" spans="1:11">
      <c r="A50" s="220" t="s">
        <v>1934</v>
      </c>
      <c r="B50" s="220">
        <v>35.200000000000003</v>
      </c>
      <c r="C50">
        <v>2</v>
      </c>
      <c r="D50">
        <v>2</v>
      </c>
      <c r="E50" s="220">
        <v>2</v>
      </c>
      <c r="F50">
        <v>70.400000000000006</v>
      </c>
      <c r="G50">
        <v>2</v>
      </c>
      <c r="H50">
        <v>0.44999999999999996</v>
      </c>
      <c r="I50">
        <v>0.89999999999999991</v>
      </c>
      <c r="J50" t="s">
        <v>1935</v>
      </c>
      <c r="K50">
        <v>2.82</v>
      </c>
    </row>
    <row r="51" spans="1:11">
      <c r="A51" s="220" t="s">
        <v>1936</v>
      </c>
      <c r="B51" s="220">
        <v>26.2</v>
      </c>
      <c r="C51">
        <v>3.8</v>
      </c>
      <c r="D51">
        <v>3.7</v>
      </c>
      <c r="E51" s="220">
        <v>4</v>
      </c>
      <c r="F51">
        <v>100.43333333333334</v>
      </c>
      <c r="G51">
        <v>3.83</v>
      </c>
      <c r="H51">
        <v>0.5</v>
      </c>
      <c r="I51">
        <v>1.92</v>
      </c>
      <c r="J51" t="s">
        <v>1937</v>
      </c>
    </row>
    <row r="52" spans="1:11">
      <c r="A52" s="220" t="s">
        <v>1938</v>
      </c>
      <c r="B52" s="220">
        <v>24.3</v>
      </c>
      <c r="C52">
        <v>8.1</v>
      </c>
      <c r="D52">
        <v>4.3</v>
      </c>
      <c r="E52" s="220">
        <v>6.5</v>
      </c>
      <c r="F52">
        <v>153.09</v>
      </c>
      <c r="G52">
        <v>6.3</v>
      </c>
      <c r="H52">
        <v>0.4</v>
      </c>
      <c r="I52">
        <v>2.52</v>
      </c>
      <c r="J52" t="s">
        <v>1939</v>
      </c>
      <c r="K52">
        <v>2.52</v>
      </c>
    </row>
    <row r="54" spans="1:11">
      <c r="A54" s="220" t="s">
        <v>1906</v>
      </c>
      <c r="F54">
        <v>323.92333333333335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2354-BDB9-4982-9737-3D4408612591}">
  <dimension ref="A36:G36"/>
  <sheetViews>
    <sheetView topLeftCell="A7" zoomScale="142" zoomScaleNormal="142" workbookViewId="0">
      <selection activeCell="I17" sqref="I17"/>
    </sheetView>
  </sheetViews>
  <sheetFormatPr defaultRowHeight="12.75"/>
  <sheetData>
    <row r="36" spans="1:7" ht="21.75">
      <c r="A36" s="727" t="s">
        <v>1561</v>
      </c>
      <c r="B36" s="727"/>
      <c r="C36" s="727"/>
      <c r="D36" s="727"/>
      <c r="E36" s="727"/>
      <c r="F36" s="727"/>
      <c r="G36" s="727"/>
    </row>
  </sheetData>
  <mergeCells count="1">
    <mergeCell ref="A36:G36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135" orientation="portrait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CBA5-BF96-41D6-9614-8DACBC934E63}">
  <dimension ref="A1:AA59"/>
  <sheetViews>
    <sheetView workbookViewId="0">
      <selection activeCell="S21" sqref="S21:T21"/>
    </sheetView>
  </sheetViews>
  <sheetFormatPr defaultRowHeight="12.75"/>
  <cols>
    <col min="1" max="1" width="6.140625" style="82" customWidth="1"/>
    <col min="2" max="2" width="5" style="111" customWidth="1"/>
    <col min="3" max="3" width="9.7109375" style="81" customWidth="1"/>
    <col min="4" max="4" width="8.5703125" style="82" customWidth="1"/>
    <col min="5" max="5" width="8.140625" style="82" customWidth="1"/>
    <col min="6" max="6" width="9.140625" style="82"/>
    <col min="7" max="8" width="9.28515625" style="82" customWidth="1"/>
    <col min="9" max="15" width="9.42578125" style="82" customWidth="1"/>
    <col min="16" max="16" width="7.28515625" style="82" customWidth="1"/>
    <col min="17" max="17" width="5.42578125" style="82" customWidth="1"/>
    <col min="18" max="18" width="9.140625" style="82"/>
    <col min="19" max="19" width="9.42578125" style="82" customWidth="1"/>
    <col min="20" max="20" width="9.140625" style="82"/>
    <col min="21" max="21" width="8.140625" style="82" customWidth="1"/>
    <col min="22" max="22" width="9" style="82" customWidth="1"/>
    <col min="23" max="23" width="9.28515625" style="82" customWidth="1"/>
    <col min="24" max="24" width="9.140625" style="82"/>
    <col min="25" max="25" width="12.5703125" style="82" bestFit="1" customWidth="1"/>
    <col min="26" max="16384" width="9.140625" style="82"/>
  </cols>
  <sheetData>
    <row r="1" spans="1:27">
      <c r="A1" s="720" t="s">
        <v>1590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  <c r="R1" s="720"/>
      <c r="S1" s="720"/>
      <c r="T1" s="720"/>
      <c r="U1" s="720"/>
      <c r="V1" s="720"/>
      <c r="W1" s="720"/>
    </row>
    <row r="2" spans="1:27" ht="42.75">
      <c r="A2" s="83" t="s">
        <v>1591</v>
      </c>
      <c r="B2" s="84" t="s">
        <v>1592</v>
      </c>
      <c r="C2" s="85" t="s">
        <v>1593</v>
      </c>
      <c r="D2" s="85" t="s">
        <v>1594</v>
      </c>
      <c r="E2" s="86" t="s">
        <v>1595</v>
      </c>
      <c r="F2" s="85" t="s">
        <v>1596</v>
      </c>
      <c r="G2" s="85" t="s">
        <v>1597</v>
      </c>
      <c r="H2" s="85" t="s">
        <v>1594</v>
      </c>
      <c r="I2" s="87" t="s">
        <v>1596</v>
      </c>
      <c r="J2" s="88" t="s">
        <v>1598</v>
      </c>
      <c r="K2" s="85" t="s">
        <v>1594</v>
      </c>
      <c r="L2" s="85" t="s">
        <v>1596</v>
      </c>
      <c r="M2" s="89" t="s">
        <v>1599</v>
      </c>
      <c r="N2" s="85" t="s">
        <v>1594</v>
      </c>
      <c r="O2" s="87" t="s">
        <v>1596</v>
      </c>
      <c r="P2" s="90" t="s">
        <v>1591</v>
      </c>
      <c r="Q2" s="84" t="s">
        <v>1600</v>
      </c>
      <c r="R2" s="85" t="s">
        <v>1593</v>
      </c>
      <c r="S2" s="85" t="s">
        <v>1594</v>
      </c>
      <c r="T2" s="85" t="s">
        <v>1596</v>
      </c>
      <c r="U2" s="86" t="s">
        <v>1595</v>
      </c>
      <c r="V2" s="85" t="s">
        <v>1597</v>
      </c>
      <c r="W2" s="85" t="s">
        <v>1594</v>
      </c>
      <c r="X2" s="87" t="s">
        <v>1596</v>
      </c>
    </row>
    <row r="3" spans="1:27">
      <c r="A3" s="91" t="s">
        <v>1601</v>
      </c>
      <c r="B3" s="92">
        <v>0</v>
      </c>
      <c r="C3" s="86"/>
      <c r="D3" s="86">
        <v>2.8</v>
      </c>
      <c r="E3" s="86">
        <f>ROUNDUP(D3/0.3,0)</f>
        <v>10</v>
      </c>
      <c r="F3" s="93"/>
      <c r="G3" s="93"/>
      <c r="H3" s="86" t="e">
        <f>#REF!-#REF!</f>
        <v>#REF!</v>
      </c>
      <c r="I3" s="94"/>
      <c r="J3" s="95"/>
      <c r="K3" s="93" t="e">
        <f>#REF!</f>
        <v>#REF!</v>
      </c>
      <c r="L3" s="93"/>
      <c r="M3" s="93"/>
      <c r="N3" s="91" t="e">
        <f>#REF!</f>
        <v>#REF!</v>
      </c>
      <c r="O3" s="94"/>
      <c r="P3" s="90" t="s">
        <v>1602</v>
      </c>
      <c r="Q3" s="92">
        <v>0</v>
      </c>
      <c r="R3" s="93"/>
      <c r="S3" s="86">
        <v>1.9</v>
      </c>
      <c r="T3" s="86">
        <f>ROUND(R3*S3,2)</f>
        <v>0</v>
      </c>
      <c r="U3" s="93"/>
      <c r="V3" s="93"/>
      <c r="W3" s="93"/>
      <c r="X3" s="93"/>
    </row>
    <row r="4" spans="1:27">
      <c r="A4" s="91"/>
      <c r="B4" s="92">
        <v>20</v>
      </c>
      <c r="C4" s="96">
        <v>90.51</v>
      </c>
      <c r="D4" s="86">
        <v>2.8</v>
      </c>
      <c r="E4" s="86">
        <f>ROUNDUP(D4/0.3,0)</f>
        <v>10</v>
      </c>
      <c r="F4" s="93">
        <f>ROUND(C4*(D3+D4)/2,2)</f>
        <v>253.43</v>
      </c>
      <c r="G4" s="93">
        <v>26.08</v>
      </c>
      <c r="H4" s="86" t="e">
        <f>#REF!-#REF!</f>
        <v>#REF!</v>
      </c>
      <c r="I4" s="97" t="e">
        <f>ROUND(G4*(H3+H4)/2,2)</f>
        <v>#REF!</v>
      </c>
      <c r="J4" s="98">
        <f>(3*2+0.35*3)*20</f>
        <v>141</v>
      </c>
      <c r="K4" s="93" t="e">
        <f>#REF!</f>
        <v>#REF!</v>
      </c>
      <c r="L4" s="86" t="e">
        <f>ROUND(J4*(K3+K4)/2,2)</f>
        <v>#REF!</v>
      </c>
      <c r="M4" s="86">
        <v>0</v>
      </c>
      <c r="N4" s="91" t="e">
        <f>#REF!</f>
        <v>#REF!</v>
      </c>
      <c r="O4" s="97" t="e">
        <f>ROUND(M4*(N3+N4)/2,2)</f>
        <v>#REF!</v>
      </c>
      <c r="P4" s="99"/>
      <c r="Q4" s="92">
        <v>20</v>
      </c>
      <c r="R4" s="93">
        <v>18</v>
      </c>
      <c r="S4" s="86">
        <f>1.2+0.3*2+0.1</f>
        <v>1.9</v>
      </c>
      <c r="T4" s="86">
        <f>ROUND(R4*S4,2)</f>
        <v>34.200000000000003</v>
      </c>
      <c r="U4" s="86">
        <v>7</v>
      </c>
      <c r="V4" s="93">
        <v>20.62</v>
      </c>
      <c r="W4" s="86">
        <f>1.2+0.3*2+0.1</f>
        <v>1.9</v>
      </c>
      <c r="X4" s="93">
        <f>ROUND(V4*W4,2)</f>
        <v>39.18</v>
      </c>
      <c r="Y4" s="82" t="e">
        <f>H3+H4</f>
        <v>#REF!</v>
      </c>
      <c r="Z4" s="82" t="e">
        <f>Y4/2</f>
        <v>#REF!</v>
      </c>
      <c r="AA4" s="82" t="e">
        <f>G4*Z4</f>
        <v>#REF!</v>
      </c>
    </row>
    <row r="5" spans="1:27">
      <c r="A5" s="91"/>
      <c r="B5" s="92">
        <v>40</v>
      </c>
      <c r="C5" s="96">
        <v>128.71</v>
      </c>
      <c r="D5" s="86">
        <v>2.8</v>
      </c>
      <c r="E5" s="86">
        <f>ROUNDUP(D4/0.3,0)</f>
        <v>10</v>
      </c>
      <c r="F5" s="93">
        <f>ROUND(C5*(D4+D5)/2,2)</f>
        <v>360.39</v>
      </c>
      <c r="G5" s="93">
        <v>124.71</v>
      </c>
      <c r="H5" s="86" t="e">
        <f>#REF!-#REF!</f>
        <v>#REF!</v>
      </c>
      <c r="I5" s="97" t="e">
        <f t="shared" ref="I5:I6" si="0">ROUND(G5*(H4+H5)/2,2)</f>
        <v>#REF!</v>
      </c>
      <c r="J5" s="98">
        <f t="shared" ref="J5:J17" si="1">(3*2+0.35*3)*20</f>
        <v>141</v>
      </c>
      <c r="K5" s="93" t="e">
        <f>#REF!</f>
        <v>#REF!</v>
      </c>
      <c r="L5" s="86" t="e">
        <f t="shared" ref="L5:L17" si="2">ROUND(J5*(K4+K5)/2,2)</f>
        <v>#REF!</v>
      </c>
      <c r="M5" s="86">
        <v>0</v>
      </c>
      <c r="N5" s="91" t="e">
        <f>#REF!</f>
        <v>#REF!</v>
      </c>
      <c r="O5" s="97" t="e">
        <f t="shared" ref="O5:O18" si="3">ROUND(M5*(N4+N5)/2,2)</f>
        <v>#REF!</v>
      </c>
      <c r="P5" s="99"/>
      <c r="Q5" s="92">
        <v>40</v>
      </c>
      <c r="R5" s="93">
        <v>19.22</v>
      </c>
      <c r="S5" s="86">
        <f t="shared" ref="S5:S6" si="4">1.2+0.3*2+0.1</f>
        <v>1.9</v>
      </c>
      <c r="T5" s="86">
        <f t="shared" ref="T5:T6" si="5">ROUND(R5*S5,2)</f>
        <v>36.520000000000003</v>
      </c>
      <c r="U5" s="86">
        <v>7</v>
      </c>
      <c r="V5" s="93">
        <v>20.100000000000001</v>
      </c>
      <c r="W5" s="86">
        <f t="shared" ref="W5:W6" si="6">1.2+0.3*2+0.1</f>
        <v>1.9</v>
      </c>
      <c r="X5" s="93">
        <f t="shared" ref="X5:X6" si="7">ROUND(V5*W5,2)</f>
        <v>38.19</v>
      </c>
    </row>
    <row r="6" spans="1:27">
      <c r="A6" s="91"/>
      <c r="B6" s="92">
        <v>60</v>
      </c>
      <c r="C6" s="96">
        <v>75</v>
      </c>
      <c r="D6" s="86">
        <f>2+0.35*2</f>
        <v>2.7</v>
      </c>
      <c r="E6" s="86">
        <f>D6/0.3</f>
        <v>9.0000000000000018</v>
      </c>
      <c r="F6" s="93">
        <f t="shared" ref="F6:F17" si="8">ROUND(C6*(D5+D6)/2,2)</f>
        <v>206.25</v>
      </c>
      <c r="G6" s="93">
        <v>52.76</v>
      </c>
      <c r="H6" s="86" t="e">
        <f>#REF!-#REF!</f>
        <v>#REF!</v>
      </c>
      <c r="I6" s="97" t="e">
        <f t="shared" si="0"/>
        <v>#REF!</v>
      </c>
      <c r="J6" s="98">
        <f t="shared" si="1"/>
        <v>141</v>
      </c>
      <c r="K6" s="93" t="e">
        <f>#REF!</f>
        <v>#REF!</v>
      </c>
      <c r="L6" s="86" t="e">
        <f t="shared" si="2"/>
        <v>#REF!</v>
      </c>
      <c r="M6" s="86">
        <v>0</v>
      </c>
      <c r="N6" s="91" t="e">
        <f>#REF!</f>
        <v>#REF!</v>
      </c>
      <c r="O6" s="97" t="e">
        <f t="shared" si="3"/>
        <v>#REF!</v>
      </c>
      <c r="P6" s="99"/>
      <c r="Q6" s="92">
        <v>64.739999999999995</v>
      </c>
      <c r="R6" s="93">
        <v>24.61</v>
      </c>
      <c r="S6" s="86">
        <f t="shared" si="4"/>
        <v>1.9</v>
      </c>
      <c r="T6" s="86">
        <f t="shared" si="5"/>
        <v>46.76</v>
      </c>
      <c r="U6" s="86">
        <v>7</v>
      </c>
      <c r="V6" s="93">
        <v>25.08</v>
      </c>
      <c r="W6" s="86">
        <f t="shared" si="6"/>
        <v>1.9</v>
      </c>
      <c r="X6" s="93">
        <f t="shared" si="7"/>
        <v>47.65</v>
      </c>
    </row>
    <row r="7" spans="1:27">
      <c r="A7" s="91"/>
      <c r="B7" s="92">
        <v>80</v>
      </c>
      <c r="C7" s="96">
        <v>74.38</v>
      </c>
      <c r="D7" s="86">
        <f t="shared" ref="D7:D17" si="9">2+0.35*2</f>
        <v>2.7</v>
      </c>
      <c r="E7" s="86">
        <f t="shared" ref="E7:E17" si="10">D7/0.3</f>
        <v>9.0000000000000018</v>
      </c>
      <c r="F7" s="93">
        <f t="shared" si="8"/>
        <v>200.83</v>
      </c>
      <c r="G7" s="93"/>
      <c r="H7" s="86"/>
      <c r="I7" s="97"/>
      <c r="J7" s="98">
        <f t="shared" si="1"/>
        <v>141</v>
      </c>
      <c r="K7" s="93" t="e">
        <f>#REF!</f>
        <v>#REF!</v>
      </c>
      <c r="L7" s="86" t="e">
        <f t="shared" si="2"/>
        <v>#REF!</v>
      </c>
      <c r="M7" s="86">
        <f>((1.2+0.3*2)+1.075)*(80-64.7)</f>
        <v>43.98749999999999</v>
      </c>
      <c r="N7" s="91" t="e">
        <f>#REF!</f>
        <v>#REF!</v>
      </c>
      <c r="O7" s="97" t="e">
        <f t="shared" si="3"/>
        <v>#REF!</v>
      </c>
      <c r="P7" s="99"/>
      <c r="Q7" s="92"/>
      <c r="R7" s="93"/>
      <c r="S7" s="86"/>
      <c r="T7" s="86"/>
      <c r="U7" s="86"/>
      <c r="V7" s="93"/>
      <c r="W7" s="93"/>
      <c r="X7" s="93"/>
    </row>
    <row r="8" spans="1:27" ht="16.5">
      <c r="A8" s="91"/>
      <c r="B8" s="92">
        <v>100</v>
      </c>
      <c r="C8" s="96">
        <v>75.010000000000005</v>
      </c>
      <c r="D8" s="86">
        <f t="shared" si="9"/>
        <v>2.7</v>
      </c>
      <c r="E8" s="86">
        <f t="shared" si="10"/>
        <v>9.0000000000000018</v>
      </c>
      <c r="F8" s="93">
        <f t="shared" si="8"/>
        <v>202.53</v>
      </c>
      <c r="G8" s="93"/>
      <c r="H8" s="86"/>
      <c r="I8" s="97"/>
      <c r="J8" s="98">
        <f t="shared" si="1"/>
        <v>141</v>
      </c>
      <c r="K8" s="100">
        <v>0.3</v>
      </c>
      <c r="L8" s="86" t="e">
        <f t="shared" si="2"/>
        <v>#REF!</v>
      </c>
      <c r="M8" s="86">
        <f t="shared" ref="M8:M18" si="11">((1.2+0.3*2)+1.075)*20</f>
        <v>57.5</v>
      </c>
      <c r="N8" s="91" t="e">
        <f>#REF!</f>
        <v>#REF!</v>
      </c>
      <c r="O8" s="97" t="e">
        <f t="shared" si="3"/>
        <v>#REF!</v>
      </c>
      <c r="P8" s="99"/>
      <c r="Q8" s="101">
        <v>0</v>
      </c>
      <c r="R8" s="102"/>
      <c r="S8" s="103">
        <f>5.18-S3</f>
        <v>3.28</v>
      </c>
      <c r="T8" s="103">
        <f>ROUND(R8*S8,2)</f>
        <v>0</v>
      </c>
      <c r="U8" s="86"/>
      <c r="V8" s="93"/>
      <c r="W8" s="93"/>
      <c r="X8" s="93"/>
    </row>
    <row r="9" spans="1:27" ht="16.5">
      <c r="A9" s="91"/>
      <c r="B9" s="92">
        <v>120</v>
      </c>
      <c r="C9" s="96">
        <v>73.239999999999995</v>
      </c>
      <c r="D9" s="86">
        <f t="shared" si="9"/>
        <v>2.7</v>
      </c>
      <c r="E9" s="86">
        <f t="shared" si="10"/>
        <v>9.0000000000000018</v>
      </c>
      <c r="F9" s="93">
        <f t="shared" si="8"/>
        <v>197.75</v>
      </c>
      <c r="G9" s="93"/>
      <c r="H9" s="86"/>
      <c r="I9" s="97"/>
      <c r="J9" s="98">
        <f t="shared" si="1"/>
        <v>141</v>
      </c>
      <c r="K9" s="100">
        <v>0.3</v>
      </c>
      <c r="L9" s="86">
        <f t="shared" si="2"/>
        <v>42.3</v>
      </c>
      <c r="M9" s="86">
        <f t="shared" si="11"/>
        <v>57.5</v>
      </c>
      <c r="N9" s="91" t="e">
        <f>#REF!</f>
        <v>#REF!</v>
      </c>
      <c r="O9" s="97" t="e">
        <f t="shared" si="3"/>
        <v>#REF!</v>
      </c>
      <c r="P9" s="99"/>
      <c r="Q9" s="101">
        <v>20</v>
      </c>
      <c r="R9" s="102">
        <f>R4+(1.2+0.3+0.3)*20</f>
        <v>54</v>
      </c>
      <c r="S9" s="103">
        <f t="shared" ref="S9:S10" si="12">5.18-S4</f>
        <v>3.28</v>
      </c>
      <c r="T9" s="103">
        <f t="shared" ref="T9:T11" si="13">ROUND(R9*S9,2)</f>
        <v>177.12</v>
      </c>
      <c r="U9" s="86"/>
      <c r="V9" s="93"/>
      <c r="W9" s="93"/>
      <c r="X9" s="93"/>
      <c r="Y9" s="82">
        <f>1.8*20</f>
        <v>36</v>
      </c>
    </row>
    <row r="10" spans="1:27" ht="16.5">
      <c r="A10" s="91"/>
      <c r="B10" s="92">
        <v>140</v>
      </c>
      <c r="C10" s="96">
        <v>76.86</v>
      </c>
      <c r="D10" s="86">
        <f t="shared" si="9"/>
        <v>2.7</v>
      </c>
      <c r="E10" s="86">
        <f t="shared" si="10"/>
        <v>9.0000000000000018</v>
      </c>
      <c r="F10" s="93">
        <f t="shared" si="8"/>
        <v>207.52</v>
      </c>
      <c r="G10" s="93"/>
      <c r="H10" s="86"/>
      <c r="I10" s="97"/>
      <c r="J10" s="98">
        <f t="shared" si="1"/>
        <v>141</v>
      </c>
      <c r="K10" s="100">
        <v>0.3</v>
      </c>
      <c r="L10" s="86">
        <f t="shared" si="2"/>
        <v>42.3</v>
      </c>
      <c r="M10" s="86">
        <f t="shared" si="11"/>
        <v>57.5</v>
      </c>
      <c r="N10" s="91" t="e">
        <f>#REF!</f>
        <v>#REF!</v>
      </c>
      <c r="O10" s="97" t="e">
        <f t="shared" si="3"/>
        <v>#REF!</v>
      </c>
      <c r="P10" s="99"/>
      <c r="Q10" s="101">
        <v>40</v>
      </c>
      <c r="R10" s="102">
        <f t="shared" ref="R10:R11" si="14">R5+(1.2+0.3+0.3)*20</f>
        <v>55.22</v>
      </c>
      <c r="S10" s="103">
        <f t="shared" si="12"/>
        <v>3.28</v>
      </c>
      <c r="T10" s="103">
        <f t="shared" si="13"/>
        <v>181.12</v>
      </c>
      <c r="U10" s="86"/>
      <c r="V10" s="93"/>
      <c r="W10" s="93"/>
      <c r="X10" s="93"/>
    </row>
    <row r="11" spans="1:27" ht="16.5">
      <c r="A11" s="91"/>
      <c r="B11" s="92">
        <v>160</v>
      </c>
      <c r="C11" s="96">
        <v>77.34</v>
      </c>
      <c r="D11" s="86">
        <f t="shared" si="9"/>
        <v>2.7</v>
      </c>
      <c r="E11" s="86">
        <f t="shared" si="10"/>
        <v>9.0000000000000018</v>
      </c>
      <c r="F11" s="93">
        <f t="shared" si="8"/>
        <v>208.82</v>
      </c>
      <c r="G11" s="93"/>
      <c r="H11" s="86"/>
      <c r="I11" s="97"/>
      <c r="J11" s="98">
        <f t="shared" si="1"/>
        <v>141</v>
      </c>
      <c r="K11" s="100">
        <v>0.3</v>
      </c>
      <c r="L11" s="86">
        <f t="shared" si="2"/>
        <v>42.3</v>
      </c>
      <c r="M11" s="86">
        <f t="shared" si="11"/>
        <v>57.5</v>
      </c>
      <c r="N11" s="91" t="e">
        <f>#REF!</f>
        <v>#REF!</v>
      </c>
      <c r="O11" s="97" t="e">
        <f t="shared" si="3"/>
        <v>#REF!</v>
      </c>
      <c r="P11" s="99"/>
      <c r="Q11" s="101">
        <v>64.739999999999995</v>
      </c>
      <c r="R11" s="102">
        <f t="shared" si="14"/>
        <v>60.61</v>
      </c>
      <c r="S11" s="103">
        <f>6.53-S6</f>
        <v>4.6300000000000008</v>
      </c>
      <c r="T11" s="103">
        <f t="shared" si="13"/>
        <v>280.62</v>
      </c>
      <c r="U11" s="86"/>
      <c r="V11" s="93"/>
      <c r="W11" s="93"/>
      <c r="X11" s="93"/>
    </row>
    <row r="12" spans="1:27">
      <c r="A12" s="91"/>
      <c r="B12" s="92">
        <v>180</v>
      </c>
      <c r="C12" s="96">
        <v>73.69</v>
      </c>
      <c r="D12" s="86">
        <f t="shared" si="9"/>
        <v>2.7</v>
      </c>
      <c r="E12" s="86">
        <f t="shared" si="10"/>
        <v>9.0000000000000018</v>
      </c>
      <c r="F12" s="93">
        <f t="shared" si="8"/>
        <v>198.96</v>
      </c>
      <c r="G12" s="93"/>
      <c r="H12" s="86"/>
      <c r="I12" s="97"/>
      <c r="J12" s="98">
        <f t="shared" si="1"/>
        <v>141</v>
      </c>
      <c r="K12" s="100">
        <v>0.3</v>
      </c>
      <c r="L12" s="86">
        <f t="shared" si="2"/>
        <v>42.3</v>
      </c>
      <c r="M12" s="86">
        <f t="shared" si="11"/>
        <v>57.5</v>
      </c>
      <c r="N12" s="91" t="e">
        <f>#REF!</f>
        <v>#REF!</v>
      </c>
      <c r="O12" s="97" t="e">
        <f t="shared" si="3"/>
        <v>#REF!</v>
      </c>
      <c r="P12" s="99"/>
      <c r="Q12" s="92"/>
      <c r="R12" s="93"/>
      <c r="S12" s="86"/>
      <c r="T12" s="86"/>
      <c r="U12" s="86"/>
      <c r="V12" s="93"/>
      <c r="W12" s="93"/>
      <c r="X12" s="93"/>
    </row>
    <row r="13" spans="1:27">
      <c r="A13" s="91"/>
      <c r="B13" s="92">
        <v>200</v>
      </c>
      <c r="C13" s="96">
        <v>74.25</v>
      </c>
      <c r="D13" s="86">
        <f t="shared" si="9"/>
        <v>2.7</v>
      </c>
      <c r="E13" s="86">
        <f t="shared" si="10"/>
        <v>9.0000000000000018</v>
      </c>
      <c r="F13" s="93">
        <f t="shared" si="8"/>
        <v>200.48</v>
      </c>
      <c r="G13" s="93"/>
      <c r="H13" s="86"/>
      <c r="I13" s="97"/>
      <c r="J13" s="98">
        <f t="shared" si="1"/>
        <v>141</v>
      </c>
      <c r="K13" s="100">
        <v>0.3</v>
      </c>
      <c r="L13" s="86">
        <f t="shared" si="2"/>
        <v>42.3</v>
      </c>
      <c r="M13" s="86">
        <f t="shared" si="11"/>
        <v>57.5</v>
      </c>
      <c r="N13" s="91" t="e">
        <f>#REF!</f>
        <v>#REF!</v>
      </c>
      <c r="O13" s="97" t="e">
        <f t="shared" si="3"/>
        <v>#REF!</v>
      </c>
      <c r="P13" s="99"/>
      <c r="Q13" s="92"/>
      <c r="R13" s="93"/>
      <c r="S13" s="86"/>
      <c r="T13" s="86"/>
      <c r="U13" s="86"/>
      <c r="V13" s="93"/>
      <c r="W13" s="93"/>
      <c r="X13" s="93"/>
    </row>
    <row r="14" spans="1:27">
      <c r="A14" s="91"/>
      <c r="B14" s="92">
        <v>220</v>
      </c>
      <c r="C14" s="96">
        <v>79.05</v>
      </c>
      <c r="D14" s="86">
        <f t="shared" si="9"/>
        <v>2.7</v>
      </c>
      <c r="E14" s="86">
        <f t="shared" si="10"/>
        <v>9.0000000000000018</v>
      </c>
      <c r="F14" s="93">
        <f t="shared" si="8"/>
        <v>213.44</v>
      </c>
      <c r="G14" s="93"/>
      <c r="H14" s="86"/>
      <c r="I14" s="97"/>
      <c r="J14" s="98">
        <f t="shared" si="1"/>
        <v>141</v>
      </c>
      <c r="K14" s="100">
        <v>0.3</v>
      </c>
      <c r="L14" s="86">
        <f t="shared" si="2"/>
        <v>42.3</v>
      </c>
      <c r="M14" s="86">
        <f t="shared" si="11"/>
        <v>57.5</v>
      </c>
      <c r="N14" s="91" t="e">
        <f>#REF!</f>
        <v>#REF!</v>
      </c>
      <c r="O14" s="97" t="e">
        <f t="shared" si="3"/>
        <v>#REF!</v>
      </c>
      <c r="P14" s="99"/>
      <c r="Q14" s="92"/>
      <c r="R14" s="93"/>
      <c r="S14" s="86"/>
      <c r="T14" s="86"/>
      <c r="U14" s="86"/>
      <c r="V14" s="93"/>
      <c r="W14" s="93"/>
      <c r="X14" s="93"/>
    </row>
    <row r="15" spans="1:27">
      <c r="A15" s="91"/>
      <c r="B15" s="92">
        <v>240</v>
      </c>
      <c r="C15" s="96">
        <v>81.41</v>
      </c>
      <c r="D15" s="86">
        <f t="shared" si="9"/>
        <v>2.7</v>
      </c>
      <c r="E15" s="86">
        <f t="shared" si="10"/>
        <v>9.0000000000000018</v>
      </c>
      <c r="F15" s="93">
        <f t="shared" si="8"/>
        <v>219.81</v>
      </c>
      <c r="G15" s="93"/>
      <c r="H15" s="86"/>
      <c r="I15" s="97"/>
      <c r="J15" s="98">
        <f t="shared" si="1"/>
        <v>141</v>
      </c>
      <c r="K15" s="100">
        <v>0.3</v>
      </c>
      <c r="L15" s="86">
        <f t="shared" si="2"/>
        <v>42.3</v>
      </c>
      <c r="M15" s="86">
        <f t="shared" si="11"/>
        <v>57.5</v>
      </c>
      <c r="N15" s="91" t="e">
        <f>#REF!</f>
        <v>#REF!</v>
      </c>
      <c r="O15" s="97" t="e">
        <f t="shared" si="3"/>
        <v>#REF!</v>
      </c>
      <c r="P15" s="99"/>
      <c r="Q15" s="92"/>
      <c r="R15" s="93"/>
      <c r="S15" s="86"/>
      <c r="T15" s="86"/>
      <c r="U15" s="86"/>
      <c r="V15" s="93"/>
      <c r="W15" s="93"/>
      <c r="X15" s="93"/>
    </row>
    <row r="16" spans="1:27">
      <c r="A16" s="91"/>
      <c r="B16" s="92">
        <v>260</v>
      </c>
      <c r="C16" s="96">
        <v>78.83</v>
      </c>
      <c r="D16" s="86">
        <f t="shared" si="9"/>
        <v>2.7</v>
      </c>
      <c r="E16" s="86">
        <f t="shared" si="10"/>
        <v>9.0000000000000018</v>
      </c>
      <c r="F16" s="93">
        <f t="shared" si="8"/>
        <v>212.84</v>
      </c>
      <c r="G16" s="93"/>
      <c r="H16" s="86"/>
      <c r="I16" s="97"/>
      <c r="J16" s="98">
        <f t="shared" si="1"/>
        <v>141</v>
      </c>
      <c r="K16" s="93" t="e">
        <f>#REF!</f>
        <v>#REF!</v>
      </c>
      <c r="L16" s="86" t="e">
        <f t="shared" si="2"/>
        <v>#REF!</v>
      </c>
      <c r="M16" s="86">
        <f t="shared" si="11"/>
        <v>57.5</v>
      </c>
      <c r="N16" s="91" t="e">
        <f>#REF!</f>
        <v>#REF!</v>
      </c>
      <c r="O16" s="97" t="e">
        <f t="shared" si="3"/>
        <v>#REF!</v>
      </c>
      <c r="P16" s="99"/>
      <c r="Q16" s="92"/>
      <c r="R16" s="93"/>
      <c r="S16" s="86"/>
      <c r="T16" s="86"/>
      <c r="U16" s="86"/>
      <c r="V16" s="93"/>
      <c r="W16" s="93"/>
      <c r="X16" s="93"/>
    </row>
    <row r="17" spans="1:27">
      <c r="A17" s="91"/>
      <c r="B17" s="92">
        <v>280</v>
      </c>
      <c r="C17" s="96">
        <v>77.06</v>
      </c>
      <c r="D17" s="86">
        <f t="shared" si="9"/>
        <v>2.7</v>
      </c>
      <c r="E17" s="86">
        <f t="shared" si="10"/>
        <v>9.0000000000000018</v>
      </c>
      <c r="F17" s="93">
        <f t="shared" si="8"/>
        <v>208.06</v>
      </c>
      <c r="G17" s="93"/>
      <c r="H17" s="86"/>
      <c r="I17" s="97"/>
      <c r="J17" s="98">
        <f t="shared" si="1"/>
        <v>141</v>
      </c>
      <c r="K17" s="93" t="e">
        <f>#REF!</f>
        <v>#REF!</v>
      </c>
      <c r="L17" s="86" t="e">
        <f t="shared" si="2"/>
        <v>#REF!</v>
      </c>
      <c r="M17" s="86">
        <f t="shared" si="11"/>
        <v>57.5</v>
      </c>
      <c r="N17" s="91" t="e">
        <f>#REF!</f>
        <v>#REF!</v>
      </c>
      <c r="O17" s="97" t="e">
        <f t="shared" si="3"/>
        <v>#REF!</v>
      </c>
      <c r="P17" s="99"/>
      <c r="Q17" s="92"/>
      <c r="R17" s="93"/>
      <c r="S17" s="86"/>
      <c r="T17" s="86"/>
      <c r="U17" s="86"/>
      <c r="V17" s="93"/>
      <c r="W17" s="93"/>
      <c r="X17" s="93"/>
      <c r="Y17" s="104"/>
    </row>
    <row r="18" spans="1:27">
      <c r="A18" s="91"/>
      <c r="B18" s="92">
        <v>300</v>
      </c>
      <c r="C18" s="96">
        <v>13.04</v>
      </c>
      <c r="D18" s="86"/>
      <c r="E18" s="86"/>
      <c r="F18" s="93">
        <f t="shared" ref="F18" si="15">ROUND(C18*D18,2)</f>
        <v>0</v>
      </c>
      <c r="G18" s="93"/>
      <c r="H18" s="86"/>
      <c r="I18" s="97"/>
      <c r="J18" s="98"/>
      <c r="K18" s="86"/>
      <c r="L18" s="86"/>
      <c r="M18" s="86">
        <f t="shared" si="11"/>
        <v>57.5</v>
      </c>
      <c r="N18" s="91" t="e">
        <f>#REF!</f>
        <v>#REF!</v>
      </c>
      <c r="O18" s="97" t="e">
        <f t="shared" si="3"/>
        <v>#REF!</v>
      </c>
      <c r="P18" s="99"/>
      <c r="Q18" s="92"/>
      <c r="R18" s="93"/>
      <c r="S18" s="86"/>
      <c r="T18" s="86"/>
      <c r="U18" s="86"/>
      <c r="V18" s="93"/>
      <c r="W18" s="93"/>
      <c r="X18" s="93"/>
      <c r="Y18" s="105">
        <f>C19+G19+J19+M19+R19+V19</f>
        <v>4299.8774999999996</v>
      </c>
      <c r="Z18" s="82">
        <f>Y18*0.3</f>
        <v>1289.9632499999998</v>
      </c>
      <c r="AA18" s="82">
        <f>Y18/1000</f>
        <v>4.2998775</v>
      </c>
    </row>
    <row r="19" spans="1:27">
      <c r="A19" s="91" t="s">
        <v>1603</v>
      </c>
      <c r="B19" s="92"/>
      <c r="C19" s="106">
        <f>SUM(C4:C18)</f>
        <v>1148.3799999999999</v>
      </c>
      <c r="D19" s="93"/>
      <c r="E19" s="93"/>
      <c r="F19" s="107">
        <f>SUM(F4:F18)</f>
        <v>3091.11</v>
      </c>
      <c r="G19" s="106">
        <f>SUM(G4:G18)</f>
        <v>203.54999999999998</v>
      </c>
      <c r="H19" s="93"/>
      <c r="I19" s="108" t="e">
        <f>SUM(I4:I18)</f>
        <v>#REF!</v>
      </c>
      <c r="J19" s="106">
        <f>SUM(J4:J18)</f>
        <v>1974</v>
      </c>
      <c r="K19" s="109"/>
      <c r="L19" s="107" t="e">
        <f>SUM(L4:L18)</f>
        <v>#REF!</v>
      </c>
      <c r="M19" s="106">
        <f>SUM(M4:M18)</f>
        <v>676.48749999999995</v>
      </c>
      <c r="N19" s="110"/>
      <c r="O19" s="108" t="e">
        <f>SUM(O4:O18)</f>
        <v>#REF!</v>
      </c>
      <c r="P19" s="99"/>
      <c r="Q19" s="84"/>
      <c r="R19" s="106">
        <f>SUM(R4:R18)</f>
        <v>231.66000000000003</v>
      </c>
      <c r="S19" s="93"/>
      <c r="T19" s="107">
        <f>SUM(T4:T18)</f>
        <v>756.34</v>
      </c>
      <c r="U19" s="109"/>
      <c r="V19" s="106">
        <f>SUM(V4:V18)</f>
        <v>65.8</v>
      </c>
      <c r="W19" s="93"/>
      <c r="X19" s="107">
        <f>SUM(X4:X18)</f>
        <v>125.02000000000001</v>
      </c>
      <c r="Y19" s="104" t="e">
        <f>F19+I19+L19+O19+T19+X19</f>
        <v>#REF!</v>
      </c>
      <c r="Z19" s="104" t="e">
        <f>Y19-T19</f>
        <v>#REF!</v>
      </c>
    </row>
    <row r="20" spans="1:27">
      <c r="A20" s="82" t="s">
        <v>1604</v>
      </c>
      <c r="C20" s="112"/>
      <c r="E20" s="113" t="s">
        <v>1605</v>
      </c>
      <c r="F20" s="114" t="e">
        <f>F19+I19+L19+O19+T19+X19</f>
        <v>#REF!</v>
      </c>
      <c r="G20" s="112"/>
      <c r="I20" s="112"/>
      <c r="J20" s="112"/>
      <c r="K20" s="112"/>
      <c r="L20" s="112"/>
      <c r="M20" s="112"/>
      <c r="N20" s="112"/>
      <c r="O20" s="112"/>
      <c r="R20" s="112"/>
      <c r="T20" s="112"/>
      <c r="U20" s="112"/>
      <c r="V20" s="112"/>
      <c r="X20" s="112"/>
      <c r="Y20" s="104"/>
    </row>
    <row r="21" spans="1:27" ht="13.5">
      <c r="B21" s="111" t="s">
        <v>1606</v>
      </c>
      <c r="C21" s="111" t="s">
        <v>1607</v>
      </c>
      <c r="R21" s="178" t="s">
        <v>1695</v>
      </c>
      <c r="S21" s="728">
        <f>C19+G19+J19+M19</f>
        <v>4002.4174999999996</v>
      </c>
      <c r="T21" s="728"/>
      <c r="Y21" s="82" t="e">
        <f>Y19/0.3</f>
        <v>#REF!</v>
      </c>
      <c r="Z21" s="82" t="e">
        <f>Z19/0.3</f>
        <v>#REF!</v>
      </c>
    </row>
    <row r="22" spans="1:27">
      <c r="C22" s="115" t="s">
        <v>1608</v>
      </c>
      <c r="Y22" s="82" t="e">
        <f>Y21/1000</f>
        <v>#REF!</v>
      </c>
      <c r="Z22" s="82" t="e">
        <f>Z21/1000</f>
        <v>#REF!</v>
      </c>
    </row>
    <row r="23" spans="1:27">
      <c r="B23" s="111">
        <v>0</v>
      </c>
    </row>
    <row r="24" spans="1:27">
      <c r="B24" s="111">
        <v>20</v>
      </c>
      <c r="C24" s="113">
        <v>159.36000000000001</v>
      </c>
    </row>
    <row r="25" spans="1:27">
      <c r="B25" s="111">
        <v>40</v>
      </c>
      <c r="C25" s="113">
        <v>265.83999999999997</v>
      </c>
    </row>
    <row r="26" spans="1:27">
      <c r="B26" s="111">
        <v>52.9</v>
      </c>
      <c r="C26" s="113">
        <v>179.14</v>
      </c>
    </row>
    <row r="27" spans="1:27">
      <c r="B27" s="111">
        <v>60</v>
      </c>
      <c r="C27" s="113">
        <v>68.510000000000005</v>
      </c>
    </row>
    <row r="28" spans="1:27">
      <c r="B28" s="111">
        <v>80</v>
      </c>
      <c r="C28" s="113">
        <v>194.04</v>
      </c>
    </row>
    <row r="29" spans="1:27">
      <c r="B29" s="111">
        <v>100</v>
      </c>
      <c r="C29" s="113">
        <v>190.45</v>
      </c>
    </row>
    <row r="30" spans="1:27">
      <c r="B30" s="111">
        <v>120</v>
      </c>
      <c r="C30" s="113">
        <v>192.1</v>
      </c>
    </row>
    <row r="31" spans="1:27">
      <c r="B31" s="111">
        <v>140</v>
      </c>
      <c r="C31" s="113">
        <v>19.190000000000001</v>
      </c>
    </row>
    <row r="32" spans="1:27">
      <c r="B32" s="111">
        <v>160</v>
      </c>
      <c r="C32" s="113">
        <v>185.3</v>
      </c>
    </row>
    <row r="33" spans="1:19">
      <c r="B33" s="111">
        <v>180</v>
      </c>
      <c r="C33" s="113">
        <v>187.59</v>
      </c>
    </row>
    <row r="34" spans="1:19">
      <c r="B34" s="111">
        <v>200</v>
      </c>
      <c r="C34" s="113">
        <v>188.95</v>
      </c>
    </row>
    <row r="35" spans="1:19">
      <c r="B35" s="111">
        <v>220</v>
      </c>
      <c r="C35" s="113">
        <v>191.47</v>
      </c>
    </row>
    <row r="36" spans="1:19">
      <c r="B36" s="111">
        <v>240</v>
      </c>
      <c r="C36" s="113">
        <v>186.59</v>
      </c>
    </row>
    <row r="37" spans="1:19">
      <c r="B37" s="111">
        <v>260</v>
      </c>
      <c r="C37" s="113">
        <v>190.67</v>
      </c>
    </row>
    <row r="38" spans="1:19">
      <c r="B38" s="111">
        <v>280</v>
      </c>
      <c r="C38" s="113">
        <v>195.31</v>
      </c>
    </row>
    <row r="39" spans="1:19">
      <c r="B39" s="111" t="s">
        <v>1609</v>
      </c>
      <c r="C39" s="113">
        <v>63.66</v>
      </c>
    </row>
    <row r="41" spans="1:19">
      <c r="C41" s="81" t="s">
        <v>1610</v>
      </c>
      <c r="D41" s="81" t="s">
        <v>1611</v>
      </c>
      <c r="R41" s="81" t="s">
        <v>1610</v>
      </c>
      <c r="S41" s="81" t="s">
        <v>1611</v>
      </c>
    </row>
    <row r="42" spans="1:19">
      <c r="A42" s="82" t="s">
        <v>1601</v>
      </c>
      <c r="B42" s="111">
        <v>0</v>
      </c>
      <c r="C42" s="81">
        <v>1.75</v>
      </c>
      <c r="D42" s="81">
        <f>C42+2+0.35</f>
        <v>4.0999999999999996</v>
      </c>
      <c r="P42" s="82" t="s">
        <v>1602</v>
      </c>
      <c r="Q42" s="111">
        <v>0</v>
      </c>
      <c r="R42" s="82">
        <v>1.8</v>
      </c>
      <c r="S42" s="81">
        <f>R42+1.2+0.3</f>
        <v>3.3</v>
      </c>
    </row>
    <row r="43" spans="1:19">
      <c r="B43" s="111">
        <v>20</v>
      </c>
      <c r="C43" s="81">
        <v>1.79</v>
      </c>
      <c r="D43" s="81">
        <f t="shared" ref="D43:D56" si="16">C43+2+0.35</f>
        <v>4.1399999999999997</v>
      </c>
      <c r="Q43" s="111">
        <v>20</v>
      </c>
      <c r="R43" s="82">
        <v>1.84</v>
      </c>
      <c r="S43" s="81">
        <f t="shared" ref="S43:S57" si="17">R43+1.2+0.3</f>
        <v>3.34</v>
      </c>
    </row>
    <row r="44" spans="1:19">
      <c r="B44" s="111">
        <v>40</v>
      </c>
      <c r="C44" s="81">
        <v>2.1</v>
      </c>
      <c r="D44" s="81">
        <f t="shared" si="16"/>
        <v>4.4499999999999993</v>
      </c>
      <c r="Q44" s="111">
        <v>40</v>
      </c>
      <c r="R44" s="82">
        <v>2.35</v>
      </c>
      <c r="S44" s="81">
        <f t="shared" si="17"/>
        <v>3.8499999999999996</v>
      </c>
    </row>
    <row r="45" spans="1:19">
      <c r="B45" s="111">
        <v>60</v>
      </c>
      <c r="C45" s="81">
        <v>2.14</v>
      </c>
      <c r="D45" s="81">
        <f t="shared" si="16"/>
        <v>4.49</v>
      </c>
      <c r="Q45" s="111">
        <v>64.739999999999995</v>
      </c>
      <c r="R45" s="82">
        <v>2.44</v>
      </c>
      <c r="S45" s="81">
        <f t="shared" si="17"/>
        <v>3.9399999999999995</v>
      </c>
    </row>
    <row r="46" spans="1:19">
      <c r="B46" s="111">
        <v>80</v>
      </c>
      <c r="C46" s="81">
        <v>2.16</v>
      </c>
      <c r="D46" s="81">
        <f t="shared" si="16"/>
        <v>4.51</v>
      </c>
      <c r="Q46" s="111">
        <v>80</v>
      </c>
      <c r="R46" s="82">
        <v>2.61</v>
      </c>
      <c r="S46" s="81">
        <f t="shared" si="17"/>
        <v>4.1099999999999994</v>
      </c>
    </row>
    <row r="47" spans="1:19">
      <c r="B47" s="111">
        <v>100</v>
      </c>
      <c r="C47" s="81">
        <v>2.1800000000000002</v>
      </c>
      <c r="D47" s="81">
        <f t="shared" si="16"/>
        <v>4.5299999999999994</v>
      </c>
      <c r="Q47" s="111">
        <v>100</v>
      </c>
      <c r="R47" s="82">
        <v>2.68</v>
      </c>
      <c r="S47" s="81">
        <f t="shared" si="17"/>
        <v>4.18</v>
      </c>
    </row>
    <row r="48" spans="1:19">
      <c r="B48" s="111">
        <v>120</v>
      </c>
      <c r="C48" s="81">
        <v>2.21</v>
      </c>
      <c r="D48" s="81">
        <f t="shared" si="16"/>
        <v>4.5599999999999996</v>
      </c>
      <c r="Q48" s="111">
        <v>120</v>
      </c>
      <c r="R48" s="82">
        <v>2.74</v>
      </c>
      <c r="S48" s="81">
        <f t="shared" si="17"/>
        <v>4.24</v>
      </c>
    </row>
    <row r="49" spans="2:19">
      <c r="B49" s="111">
        <v>140</v>
      </c>
      <c r="C49" s="81">
        <v>2.23</v>
      </c>
      <c r="D49" s="81">
        <f t="shared" si="16"/>
        <v>4.58</v>
      </c>
      <c r="Q49" s="111">
        <v>140</v>
      </c>
      <c r="R49" s="82">
        <v>2.76</v>
      </c>
      <c r="S49" s="81">
        <f t="shared" si="17"/>
        <v>4.26</v>
      </c>
    </row>
    <row r="50" spans="2:19">
      <c r="B50" s="111">
        <v>160</v>
      </c>
      <c r="C50" s="81">
        <v>2.25</v>
      </c>
      <c r="D50" s="81">
        <f t="shared" si="16"/>
        <v>4.5999999999999996</v>
      </c>
      <c r="Q50" s="111">
        <v>160</v>
      </c>
      <c r="R50" s="82">
        <v>2.79</v>
      </c>
      <c r="S50" s="81">
        <f t="shared" si="17"/>
        <v>4.29</v>
      </c>
    </row>
    <row r="51" spans="2:19">
      <c r="B51" s="111">
        <v>180</v>
      </c>
      <c r="C51" s="81">
        <v>2.27</v>
      </c>
      <c r="D51" s="81">
        <f t="shared" si="16"/>
        <v>4.6199999999999992</v>
      </c>
      <c r="Q51" s="111">
        <v>180</v>
      </c>
      <c r="R51" s="82">
        <v>2.81</v>
      </c>
      <c r="S51" s="81">
        <f t="shared" si="17"/>
        <v>4.3099999999999996</v>
      </c>
    </row>
    <row r="52" spans="2:19">
      <c r="B52" s="111">
        <v>200</v>
      </c>
      <c r="C52" s="81">
        <v>2.29</v>
      </c>
      <c r="D52" s="81">
        <f t="shared" si="16"/>
        <v>4.6399999999999997</v>
      </c>
      <c r="Q52" s="111">
        <v>200</v>
      </c>
      <c r="R52" s="82">
        <v>2.87</v>
      </c>
      <c r="S52" s="81">
        <f t="shared" si="17"/>
        <v>4.37</v>
      </c>
    </row>
    <row r="53" spans="2:19">
      <c r="B53" s="111">
        <v>220</v>
      </c>
      <c r="C53" s="81">
        <v>2.31</v>
      </c>
      <c r="D53" s="81">
        <f t="shared" si="16"/>
        <v>4.66</v>
      </c>
      <c r="Q53" s="111">
        <v>220</v>
      </c>
      <c r="R53" s="82">
        <v>2.89</v>
      </c>
      <c r="S53" s="81">
        <f t="shared" si="17"/>
        <v>4.3899999999999997</v>
      </c>
    </row>
    <row r="54" spans="2:19">
      <c r="B54" s="111">
        <v>240</v>
      </c>
      <c r="C54" s="81">
        <v>2.33</v>
      </c>
      <c r="D54" s="81">
        <f t="shared" si="16"/>
        <v>4.68</v>
      </c>
      <c r="Q54" s="111">
        <v>240</v>
      </c>
      <c r="R54" s="82">
        <v>2.93</v>
      </c>
      <c r="S54" s="81">
        <f t="shared" si="17"/>
        <v>4.43</v>
      </c>
    </row>
    <row r="55" spans="2:19">
      <c r="B55" s="111">
        <v>260</v>
      </c>
      <c r="C55" s="81">
        <v>2.34</v>
      </c>
      <c r="D55" s="81">
        <f t="shared" si="16"/>
        <v>4.6899999999999995</v>
      </c>
      <c r="Q55" s="111">
        <v>260</v>
      </c>
      <c r="R55" s="82">
        <v>2.97</v>
      </c>
      <c r="S55" s="81">
        <f t="shared" si="17"/>
        <v>4.47</v>
      </c>
    </row>
    <row r="56" spans="2:19">
      <c r="B56" s="111">
        <v>280</v>
      </c>
      <c r="C56" s="81">
        <v>2.36</v>
      </c>
      <c r="D56" s="81">
        <f t="shared" si="16"/>
        <v>4.7099999999999991</v>
      </c>
      <c r="Q56" s="111">
        <v>280</v>
      </c>
      <c r="R56" s="82">
        <v>3.02</v>
      </c>
      <c r="S56" s="81">
        <f t="shared" si="17"/>
        <v>4.5199999999999996</v>
      </c>
    </row>
    <row r="57" spans="2:19">
      <c r="B57" s="111">
        <v>300</v>
      </c>
      <c r="Q57" s="111">
        <v>300</v>
      </c>
      <c r="R57" s="82">
        <v>3.04</v>
      </c>
      <c r="S57" s="81">
        <f t="shared" si="17"/>
        <v>4.54</v>
      </c>
    </row>
    <row r="59" spans="2:19">
      <c r="C59" s="111"/>
    </row>
  </sheetData>
  <mergeCells count="2">
    <mergeCell ref="A1:W1"/>
    <mergeCell ref="S21:T21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A9E2-5BDE-4FAD-8FCE-339BE9F91F11}">
  <dimension ref="A1:N504"/>
  <sheetViews>
    <sheetView topLeftCell="A400" workbookViewId="0">
      <selection activeCell="N415" sqref="N415"/>
    </sheetView>
  </sheetViews>
  <sheetFormatPr defaultRowHeight="12.75"/>
  <cols>
    <col min="1" max="1" width="13" style="82" customWidth="1"/>
    <col min="2" max="4" width="17.85546875" style="81" customWidth="1"/>
    <col min="5" max="5" width="59.5703125" style="81" customWidth="1"/>
    <col min="6" max="6" width="7.5703125" style="81" customWidth="1"/>
    <col min="7" max="7" width="17.85546875" style="81" customWidth="1"/>
    <col min="8" max="8" width="7.5703125" style="82" customWidth="1"/>
    <col min="9" max="13" width="9.140625" style="82"/>
    <col min="14" max="14" width="11" style="82" bestFit="1" customWidth="1"/>
    <col min="15" max="16384" width="9.140625" style="82"/>
  </cols>
  <sheetData>
    <row r="1" spans="1:14" ht="19.5">
      <c r="A1" s="729" t="s">
        <v>1613</v>
      </c>
      <c r="B1" s="730"/>
      <c r="C1" s="730"/>
      <c r="D1" s="730"/>
      <c r="E1" s="730"/>
      <c r="N1" s="403">
        <v>45243</v>
      </c>
    </row>
    <row r="2" spans="1:14">
      <c r="A2" s="116" t="s">
        <v>1614</v>
      </c>
      <c r="B2" s="116" t="s">
        <v>1615</v>
      </c>
      <c r="C2" s="116" t="s">
        <v>1616</v>
      </c>
      <c r="D2" s="116" t="s">
        <v>1617</v>
      </c>
      <c r="E2" s="116" t="s">
        <v>1618</v>
      </c>
      <c r="F2" s="82"/>
      <c r="G2" s="82"/>
      <c r="N2" s="403">
        <v>45244</v>
      </c>
    </row>
    <row r="3" spans="1:14">
      <c r="A3" s="117" t="s">
        <v>1619</v>
      </c>
      <c r="B3" s="118">
        <v>412.5</v>
      </c>
      <c r="C3" s="118">
        <v>32</v>
      </c>
      <c r="D3" s="118">
        <f>B3+C3</f>
        <v>444.5</v>
      </c>
      <c r="E3" s="116" t="s">
        <v>1620</v>
      </c>
      <c r="G3" s="119">
        <f>D3</f>
        <v>444.5</v>
      </c>
      <c r="N3" s="403">
        <v>45245</v>
      </c>
    </row>
    <row r="4" spans="1:14">
      <c r="A4" s="117" t="s">
        <v>1621</v>
      </c>
      <c r="B4" s="120">
        <v>1409</v>
      </c>
      <c r="C4" s="120">
        <v>240</v>
      </c>
      <c r="D4" s="118">
        <f t="shared" ref="D4:D13" si="0">B4+C4</f>
        <v>1649</v>
      </c>
      <c r="E4" s="116" t="s">
        <v>1620</v>
      </c>
      <c r="G4" s="119">
        <f>G3+D4</f>
        <v>2093.5</v>
      </c>
      <c r="N4" s="403">
        <v>45246</v>
      </c>
    </row>
    <row r="5" spans="1:14">
      <c r="A5" s="117" t="s">
        <v>1622</v>
      </c>
      <c r="B5" s="120">
        <f>1456+451</f>
        <v>1907</v>
      </c>
      <c r="C5" s="120">
        <f>344+192</f>
        <v>536</v>
      </c>
      <c r="D5" s="118">
        <f t="shared" si="0"/>
        <v>2443</v>
      </c>
      <c r="E5" s="116" t="s">
        <v>1620</v>
      </c>
      <c r="G5" s="119">
        <f t="shared" ref="G5:G10" si="1">G4+D5</f>
        <v>4536.5</v>
      </c>
      <c r="N5" s="403">
        <v>45247</v>
      </c>
    </row>
    <row r="6" spans="1:14">
      <c r="A6" s="117" t="s">
        <v>1623</v>
      </c>
      <c r="B6" s="120">
        <v>1456</v>
      </c>
      <c r="C6" s="120">
        <v>248</v>
      </c>
      <c r="D6" s="118">
        <f t="shared" si="0"/>
        <v>1704</v>
      </c>
      <c r="E6" s="116" t="s">
        <v>1620</v>
      </c>
      <c r="G6" s="119">
        <f t="shared" si="1"/>
        <v>6240.5</v>
      </c>
      <c r="N6" s="403">
        <v>45248</v>
      </c>
    </row>
    <row r="7" spans="1:14">
      <c r="A7" s="117" t="s">
        <v>1624</v>
      </c>
      <c r="B7" s="120">
        <v>1377</v>
      </c>
      <c r="C7" s="120">
        <v>344</v>
      </c>
      <c r="D7" s="118">
        <f t="shared" si="0"/>
        <v>1721</v>
      </c>
      <c r="E7" s="116" t="s">
        <v>1625</v>
      </c>
      <c r="G7" s="119">
        <f t="shared" si="1"/>
        <v>7961.5</v>
      </c>
      <c r="N7" s="403">
        <v>45249</v>
      </c>
    </row>
    <row r="8" spans="1:14">
      <c r="A8" s="117" t="s">
        <v>1626</v>
      </c>
      <c r="B8" s="120">
        <v>1457</v>
      </c>
      <c r="C8" s="120">
        <v>248</v>
      </c>
      <c r="D8" s="118">
        <f t="shared" si="0"/>
        <v>1705</v>
      </c>
      <c r="E8" s="116" t="s">
        <v>1620</v>
      </c>
      <c r="G8" s="119">
        <f t="shared" si="1"/>
        <v>9666.5</v>
      </c>
      <c r="N8" s="403">
        <v>45250</v>
      </c>
    </row>
    <row r="9" spans="1:14">
      <c r="A9" s="117" t="s">
        <v>1627</v>
      </c>
      <c r="B9" s="120">
        <f>3*30*16+30*0.5</f>
        <v>1455</v>
      </c>
      <c r="C9" s="120">
        <f>30*8+30*0.5</f>
        <v>255</v>
      </c>
      <c r="D9" s="118">
        <f t="shared" si="0"/>
        <v>1710</v>
      </c>
      <c r="E9" s="116" t="s">
        <v>1620</v>
      </c>
      <c r="G9" s="119">
        <f t="shared" si="1"/>
        <v>11376.5</v>
      </c>
      <c r="N9" s="403">
        <v>45251</v>
      </c>
    </row>
    <row r="10" spans="1:14">
      <c r="A10" s="117" t="s">
        <v>1628</v>
      </c>
      <c r="B10" s="120">
        <v>1457</v>
      </c>
      <c r="C10" s="120">
        <v>248</v>
      </c>
      <c r="D10" s="118">
        <f t="shared" si="0"/>
        <v>1705</v>
      </c>
      <c r="E10" s="116" t="s">
        <v>1620</v>
      </c>
      <c r="G10" s="119">
        <f t="shared" si="1"/>
        <v>13081.5</v>
      </c>
      <c r="N10" s="403">
        <v>45252</v>
      </c>
    </row>
    <row r="11" spans="1:14">
      <c r="A11" s="117" t="s">
        <v>1629</v>
      </c>
      <c r="B11" s="120">
        <v>1410</v>
      </c>
      <c r="C11" s="120">
        <f>1*8*30</f>
        <v>240</v>
      </c>
      <c r="D11" s="118">
        <f t="shared" si="0"/>
        <v>1650</v>
      </c>
      <c r="E11" s="116" t="s">
        <v>1620</v>
      </c>
      <c r="I11" s="82" t="s">
        <v>1630</v>
      </c>
      <c r="N11" s="403">
        <v>45253</v>
      </c>
    </row>
    <row r="12" spans="1:14">
      <c r="A12" s="117" t="s">
        <v>1631</v>
      </c>
      <c r="B12" s="120">
        <v>1361</v>
      </c>
      <c r="C12" s="120">
        <v>226</v>
      </c>
      <c r="D12" s="118">
        <f t="shared" si="0"/>
        <v>1587</v>
      </c>
      <c r="E12" s="116" t="s">
        <v>1632</v>
      </c>
      <c r="N12" s="403">
        <v>45254</v>
      </c>
    </row>
    <row r="13" spans="1:14">
      <c r="A13" s="117" t="s">
        <v>1633</v>
      </c>
      <c r="B13" s="120">
        <v>1457</v>
      </c>
      <c r="C13" s="120">
        <v>248</v>
      </c>
      <c r="D13" s="120">
        <f t="shared" si="0"/>
        <v>1705</v>
      </c>
      <c r="E13" s="116"/>
      <c r="N13" s="403">
        <v>45255</v>
      </c>
    </row>
    <row r="14" spans="1:14">
      <c r="A14" s="117" t="s">
        <v>1634</v>
      </c>
      <c r="B14" s="120"/>
      <c r="C14" s="120"/>
      <c r="D14" s="120"/>
      <c r="E14" s="116"/>
      <c r="N14" s="403">
        <v>45256</v>
      </c>
    </row>
    <row r="15" spans="1:14">
      <c r="A15" s="117" t="s">
        <v>1635</v>
      </c>
      <c r="B15" s="120"/>
      <c r="C15" s="120"/>
      <c r="D15" s="120"/>
      <c r="E15" s="116"/>
      <c r="N15" s="403">
        <v>45257</v>
      </c>
    </row>
    <row r="16" spans="1:14">
      <c r="A16" s="117" t="s">
        <v>1636</v>
      </c>
      <c r="B16" s="120"/>
      <c r="C16" s="120"/>
      <c r="D16" s="120"/>
      <c r="E16" s="116"/>
      <c r="N16" s="403">
        <v>45258</v>
      </c>
    </row>
    <row r="17" spans="1:14">
      <c r="A17" s="117" t="s">
        <v>1637</v>
      </c>
      <c r="B17" s="120"/>
      <c r="C17" s="120"/>
      <c r="D17" s="120"/>
      <c r="E17" s="116"/>
      <c r="N17" s="403">
        <v>45259</v>
      </c>
    </row>
    <row r="18" spans="1:14">
      <c r="A18" s="117"/>
      <c r="B18" s="120"/>
      <c r="C18" s="120"/>
      <c r="D18" s="120"/>
      <c r="E18" s="116"/>
      <c r="N18" s="403">
        <v>45260</v>
      </c>
    </row>
    <row r="19" spans="1:14">
      <c r="A19" s="117"/>
      <c r="B19" s="120"/>
      <c r="C19" s="120"/>
      <c r="D19" s="120"/>
      <c r="E19" s="116"/>
      <c r="N19" s="403">
        <v>45261</v>
      </c>
    </row>
    <row r="20" spans="1:14">
      <c r="A20" s="117" t="s">
        <v>1638</v>
      </c>
      <c r="B20" s="120">
        <f>SUM(B3:B19)</f>
        <v>15158.5</v>
      </c>
      <c r="C20" s="120">
        <f>SUM(C3:C19)</f>
        <v>2865</v>
      </c>
      <c r="D20" s="120">
        <f>SUM(D3:D19)</f>
        <v>18023.5</v>
      </c>
      <c r="E20" s="116"/>
      <c r="N20" s="403">
        <v>45262</v>
      </c>
    </row>
    <row r="21" spans="1:14">
      <c r="B21" s="121"/>
      <c r="C21" s="121"/>
      <c r="D21" s="121"/>
      <c r="N21" s="403">
        <v>45263</v>
      </c>
    </row>
    <row r="22" spans="1:14">
      <c r="B22" s="121"/>
      <c r="C22" s="121"/>
      <c r="D22" s="121">
        <f>D20+1767</f>
        <v>19790.5</v>
      </c>
      <c r="N22" s="403">
        <v>45264</v>
      </c>
    </row>
    <row r="23" spans="1:14">
      <c r="N23" s="403">
        <v>45265</v>
      </c>
    </row>
    <row r="24" spans="1:14">
      <c r="N24" s="403">
        <v>45266</v>
      </c>
    </row>
    <row r="25" spans="1:14">
      <c r="N25" s="403">
        <v>45267</v>
      </c>
    </row>
    <row r="26" spans="1:14">
      <c r="N26" s="403">
        <v>45268</v>
      </c>
    </row>
    <row r="27" spans="1:14">
      <c r="N27" s="403">
        <v>45269</v>
      </c>
    </row>
    <row r="28" spans="1:14">
      <c r="N28" s="403">
        <v>45270</v>
      </c>
    </row>
    <row r="29" spans="1:14">
      <c r="N29" s="403">
        <v>45271</v>
      </c>
    </row>
    <row r="30" spans="1:14">
      <c r="N30" s="403">
        <v>45272</v>
      </c>
    </row>
    <row r="31" spans="1:14">
      <c r="N31" s="403">
        <v>45273</v>
      </c>
    </row>
    <row r="32" spans="1:14">
      <c r="N32" s="403">
        <v>45274</v>
      </c>
    </row>
    <row r="33" spans="14:14">
      <c r="N33" s="403">
        <v>45275</v>
      </c>
    </row>
    <row r="34" spans="14:14">
      <c r="N34" s="403">
        <v>45276</v>
      </c>
    </row>
    <row r="35" spans="14:14">
      <c r="N35" s="403">
        <v>45277</v>
      </c>
    </row>
    <row r="36" spans="14:14">
      <c r="N36" s="403">
        <v>45278</v>
      </c>
    </row>
    <row r="37" spans="14:14">
      <c r="N37" s="403">
        <v>45279</v>
      </c>
    </row>
    <row r="38" spans="14:14">
      <c r="N38" s="403">
        <v>45280</v>
      </c>
    </row>
    <row r="39" spans="14:14">
      <c r="N39" s="403">
        <v>45281</v>
      </c>
    </row>
    <row r="40" spans="14:14">
      <c r="N40" s="403">
        <v>45282</v>
      </c>
    </row>
    <row r="41" spans="14:14">
      <c r="N41" s="403">
        <v>45283</v>
      </c>
    </row>
    <row r="42" spans="14:14">
      <c r="N42" s="403">
        <v>45284</v>
      </c>
    </row>
    <row r="43" spans="14:14">
      <c r="N43" s="403">
        <v>45285</v>
      </c>
    </row>
    <row r="44" spans="14:14">
      <c r="N44" s="403">
        <v>45286</v>
      </c>
    </row>
    <row r="45" spans="14:14">
      <c r="N45" s="403">
        <v>45287</v>
      </c>
    </row>
    <row r="46" spans="14:14">
      <c r="N46" s="403">
        <v>45288</v>
      </c>
    </row>
    <row r="47" spans="14:14">
      <c r="N47" s="403">
        <v>45289</v>
      </c>
    </row>
    <row r="48" spans="14:14">
      <c r="N48" s="403">
        <v>45290</v>
      </c>
    </row>
    <row r="49" spans="14:14">
      <c r="N49" s="403">
        <v>45291</v>
      </c>
    </row>
    <row r="50" spans="14:14">
      <c r="N50" s="403">
        <v>45292</v>
      </c>
    </row>
    <row r="51" spans="14:14">
      <c r="N51" s="403">
        <v>45293</v>
      </c>
    </row>
    <row r="52" spans="14:14">
      <c r="N52" s="403">
        <v>45294</v>
      </c>
    </row>
    <row r="53" spans="14:14">
      <c r="N53" s="403">
        <v>45295</v>
      </c>
    </row>
    <row r="54" spans="14:14">
      <c r="N54" s="403">
        <v>45296</v>
      </c>
    </row>
    <row r="55" spans="14:14">
      <c r="N55" s="403">
        <v>45297</v>
      </c>
    </row>
    <row r="56" spans="14:14">
      <c r="N56" s="403">
        <v>45298</v>
      </c>
    </row>
    <row r="57" spans="14:14">
      <c r="N57" s="403">
        <v>45299</v>
      </c>
    </row>
    <row r="58" spans="14:14">
      <c r="N58" s="403">
        <v>45300</v>
      </c>
    </row>
    <row r="59" spans="14:14">
      <c r="N59" s="403">
        <v>45301</v>
      </c>
    </row>
    <row r="60" spans="14:14">
      <c r="N60" s="403">
        <v>45302</v>
      </c>
    </row>
    <row r="61" spans="14:14">
      <c r="N61" s="403">
        <v>45303</v>
      </c>
    </row>
    <row r="62" spans="14:14">
      <c r="N62" s="403">
        <v>45304</v>
      </c>
    </row>
    <row r="63" spans="14:14">
      <c r="N63" s="403">
        <v>45305</v>
      </c>
    </row>
    <row r="64" spans="14:14">
      <c r="N64" s="403">
        <v>45306</v>
      </c>
    </row>
    <row r="65" spans="14:14">
      <c r="N65" s="403">
        <v>45307</v>
      </c>
    </row>
    <row r="66" spans="14:14">
      <c r="N66" s="403">
        <v>45308</v>
      </c>
    </row>
    <row r="67" spans="14:14">
      <c r="N67" s="403">
        <v>45309</v>
      </c>
    </row>
    <row r="68" spans="14:14">
      <c r="N68" s="403">
        <v>45310</v>
      </c>
    </row>
    <row r="69" spans="14:14">
      <c r="N69" s="403">
        <v>45311</v>
      </c>
    </row>
    <row r="70" spans="14:14">
      <c r="N70" s="403">
        <v>45312</v>
      </c>
    </row>
    <row r="71" spans="14:14">
      <c r="N71" s="403">
        <v>45313</v>
      </c>
    </row>
    <row r="72" spans="14:14">
      <c r="N72" s="403">
        <v>45314</v>
      </c>
    </row>
    <row r="73" spans="14:14">
      <c r="N73" s="403">
        <v>45315</v>
      </c>
    </row>
    <row r="74" spans="14:14">
      <c r="N74" s="403">
        <v>45316</v>
      </c>
    </row>
    <row r="75" spans="14:14">
      <c r="N75" s="403">
        <v>45317</v>
      </c>
    </row>
    <row r="76" spans="14:14">
      <c r="N76" s="403">
        <v>45318</v>
      </c>
    </row>
    <row r="77" spans="14:14">
      <c r="N77" s="403">
        <v>45319</v>
      </c>
    </row>
    <row r="78" spans="14:14">
      <c r="N78" s="403">
        <v>45320</v>
      </c>
    </row>
    <row r="79" spans="14:14">
      <c r="N79" s="403">
        <v>45321</v>
      </c>
    </row>
    <row r="80" spans="14:14">
      <c r="N80" s="403">
        <v>45322</v>
      </c>
    </row>
    <row r="81" spans="14:14">
      <c r="N81" s="403">
        <v>45323</v>
      </c>
    </row>
    <row r="82" spans="14:14">
      <c r="N82" s="403">
        <v>45324</v>
      </c>
    </row>
    <row r="83" spans="14:14">
      <c r="N83" s="403">
        <v>45325</v>
      </c>
    </row>
    <row r="84" spans="14:14">
      <c r="N84" s="403">
        <v>45326</v>
      </c>
    </row>
    <row r="85" spans="14:14">
      <c r="N85" s="403">
        <v>45327</v>
      </c>
    </row>
    <row r="86" spans="14:14">
      <c r="N86" s="403">
        <v>45328</v>
      </c>
    </row>
    <row r="87" spans="14:14">
      <c r="N87" s="403">
        <v>45329</v>
      </c>
    </row>
    <row r="88" spans="14:14">
      <c r="N88" s="403">
        <v>45330</v>
      </c>
    </row>
    <row r="89" spans="14:14">
      <c r="N89" s="403">
        <v>45331</v>
      </c>
    </row>
    <row r="90" spans="14:14">
      <c r="N90" s="403">
        <v>45332</v>
      </c>
    </row>
    <row r="91" spans="14:14">
      <c r="N91" s="403">
        <v>45333</v>
      </c>
    </row>
    <row r="92" spans="14:14">
      <c r="N92" s="403">
        <v>45334</v>
      </c>
    </row>
    <row r="93" spans="14:14">
      <c r="N93" s="403">
        <v>45335</v>
      </c>
    </row>
    <row r="94" spans="14:14">
      <c r="N94" s="403">
        <v>45336</v>
      </c>
    </row>
    <row r="95" spans="14:14">
      <c r="N95" s="403">
        <v>45337</v>
      </c>
    </row>
    <row r="96" spans="14:14">
      <c r="N96" s="403">
        <v>45338</v>
      </c>
    </row>
    <row r="97" spans="14:14">
      <c r="N97" s="403">
        <v>45339</v>
      </c>
    </row>
    <row r="98" spans="14:14">
      <c r="N98" s="403">
        <v>45340</v>
      </c>
    </row>
    <row r="99" spans="14:14">
      <c r="N99" s="403">
        <v>45341</v>
      </c>
    </row>
    <row r="100" spans="14:14">
      <c r="N100" s="403">
        <v>45342</v>
      </c>
    </row>
    <row r="101" spans="14:14">
      <c r="N101" s="403">
        <v>45343</v>
      </c>
    </row>
    <row r="102" spans="14:14">
      <c r="N102" s="403">
        <v>45344</v>
      </c>
    </row>
    <row r="103" spans="14:14">
      <c r="N103" s="403">
        <v>45345</v>
      </c>
    </row>
    <row r="104" spans="14:14">
      <c r="N104" s="403">
        <v>45346</v>
      </c>
    </row>
    <row r="105" spans="14:14">
      <c r="N105" s="403">
        <v>45347</v>
      </c>
    </row>
    <row r="106" spans="14:14">
      <c r="N106" s="403">
        <v>45348</v>
      </c>
    </row>
    <row r="107" spans="14:14">
      <c r="N107" s="403">
        <v>45349</v>
      </c>
    </row>
    <row r="108" spans="14:14">
      <c r="N108" s="403">
        <v>45350</v>
      </c>
    </row>
    <row r="109" spans="14:14">
      <c r="N109" s="403">
        <v>45351</v>
      </c>
    </row>
    <row r="110" spans="14:14">
      <c r="N110" s="403">
        <v>45352</v>
      </c>
    </row>
    <row r="111" spans="14:14">
      <c r="N111" s="403">
        <v>45353</v>
      </c>
    </row>
    <row r="112" spans="14:14">
      <c r="N112" s="403">
        <v>45354</v>
      </c>
    </row>
    <row r="113" spans="14:14">
      <c r="N113" s="403">
        <v>45355</v>
      </c>
    </row>
    <row r="114" spans="14:14">
      <c r="N114" s="403">
        <v>45356</v>
      </c>
    </row>
    <row r="115" spans="14:14">
      <c r="N115" s="403">
        <v>45357</v>
      </c>
    </row>
    <row r="116" spans="14:14">
      <c r="N116" s="403">
        <v>45358</v>
      </c>
    </row>
    <row r="117" spans="14:14">
      <c r="N117" s="403">
        <v>45359</v>
      </c>
    </row>
    <row r="118" spans="14:14">
      <c r="N118" s="403">
        <v>45360</v>
      </c>
    </row>
    <row r="119" spans="14:14">
      <c r="N119" s="403">
        <v>45361</v>
      </c>
    </row>
    <row r="120" spans="14:14">
      <c r="N120" s="403">
        <v>45362</v>
      </c>
    </row>
    <row r="121" spans="14:14">
      <c r="N121" s="403">
        <v>45363</v>
      </c>
    </row>
    <row r="122" spans="14:14">
      <c r="N122" s="403">
        <v>45364</v>
      </c>
    </row>
    <row r="123" spans="14:14">
      <c r="N123" s="403">
        <v>45365</v>
      </c>
    </row>
    <row r="124" spans="14:14">
      <c r="N124" s="403">
        <v>45366</v>
      </c>
    </row>
    <row r="125" spans="14:14">
      <c r="N125" s="403">
        <v>45367</v>
      </c>
    </row>
    <row r="126" spans="14:14">
      <c r="N126" s="403">
        <v>45368</v>
      </c>
    </row>
    <row r="127" spans="14:14">
      <c r="N127" s="403">
        <v>45369</v>
      </c>
    </row>
    <row r="128" spans="14:14">
      <c r="N128" s="403">
        <v>45370</v>
      </c>
    </row>
    <row r="129" spans="14:14">
      <c r="N129" s="403">
        <v>45371</v>
      </c>
    </row>
    <row r="130" spans="14:14">
      <c r="N130" s="403">
        <v>45372</v>
      </c>
    </row>
    <row r="131" spans="14:14">
      <c r="N131" s="403">
        <v>45373</v>
      </c>
    </row>
    <row r="132" spans="14:14">
      <c r="N132" s="403">
        <v>45374</v>
      </c>
    </row>
    <row r="133" spans="14:14">
      <c r="N133" s="403">
        <v>45375</v>
      </c>
    </row>
    <row r="134" spans="14:14">
      <c r="N134" s="403">
        <v>45376</v>
      </c>
    </row>
    <row r="135" spans="14:14">
      <c r="N135" s="403">
        <v>45377</v>
      </c>
    </row>
    <row r="136" spans="14:14">
      <c r="N136" s="403">
        <v>45378</v>
      </c>
    </row>
    <row r="137" spans="14:14">
      <c r="N137" s="403">
        <v>45379</v>
      </c>
    </row>
    <row r="138" spans="14:14">
      <c r="N138" s="403">
        <v>45380</v>
      </c>
    </row>
    <row r="139" spans="14:14">
      <c r="N139" s="403">
        <v>45381</v>
      </c>
    </row>
    <row r="140" spans="14:14">
      <c r="N140" s="403">
        <v>45382</v>
      </c>
    </row>
    <row r="141" spans="14:14">
      <c r="N141" s="403">
        <v>45383</v>
      </c>
    </row>
    <row r="142" spans="14:14">
      <c r="N142" s="403">
        <v>45384</v>
      </c>
    </row>
    <row r="143" spans="14:14">
      <c r="N143" s="403">
        <v>45385</v>
      </c>
    </row>
    <row r="144" spans="14:14">
      <c r="N144" s="403">
        <v>45386</v>
      </c>
    </row>
    <row r="145" spans="14:14">
      <c r="N145" s="403">
        <v>45387</v>
      </c>
    </row>
    <row r="146" spans="14:14">
      <c r="N146" s="403">
        <v>45388</v>
      </c>
    </row>
    <row r="147" spans="14:14">
      <c r="N147" s="403">
        <v>45389</v>
      </c>
    </row>
    <row r="148" spans="14:14">
      <c r="N148" s="403">
        <v>45390</v>
      </c>
    </row>
    <row r="149" spans="14:14">
      <c r="N149" s="403">
        <v>45391</v>
      </c>
    </row>
    <row r="150" spans="14:14">
      <c r="N150" s="403">
        <v>45392</v>
      </c>
    </row>
    <row r="151" spans="14:14">
      <c r="N151" s="403">
        <v>45393</v>
      </c>
    </row>
    <row r="152" spans="14:14">
      <c r="N152" s="403">
        <v>45394</v>
      </c>
    </row>
    <row r="153" spans="14:14">
      <c r="N153" s="403">
        <v>45395</v>
      </c>
    </row>
    <row r="154" spans="14:14">
      <c r="N154" s="403">
        <v>45396</v>
      </c>
    </row>
    <row r="155" spans="14:14">
      <c r="N155" s="403">
        <v>45397</v>
      </c>
    </row>
    <row r="156" spans="14:14">
      <c r="N156" s="403">
        <v>45398</v>
      </c>
    </row>
    <row r="157" spans="14:14">
      <c r="N157" s="403">
        <v>45399</v>
      </c>
    </row>
    <row r="158" spans="14:14">
      <c r="N158" s="403">
        <v>45400</v>
      </c>
    </row>
    <row r="159" spans="14:14">
      <c r="N159" s="403">
        <v>45401</v>
      </c>
    </row>
    <row r="160" spans="14:14">
      <c r="N160" s="403">
        <v>45402</v>
      </c>
    </row>
    <row r="161" spans="14:14">
      <c r="N161" s="403">
        <v>45403</v>
      </c>
    </row>
    <row r="162" spans="14:14">
      <c r="N162" s="403">
        <v>45404</v>
      </c>
    </row>
    <row r="163" spans="14:14">
      <c r="N163" s="403">
        <v>45405</v>
      </c>
    </row>
    <row r="164" spans="14:14">
      <c r="N164" s="403">
        <v>45406</v>
      </c>
    </row>
    <row r="165" spans="14:14">
      <c r="N165" s="403">
        <v>45407</v>
      </c>
    </row>
    <row r="166" spans="14:14">
      <c r="N166" s="403">
        <v>45408</v>
      </c>
    </row>
    <row r="167" spans="14:14">
      <c r="N167" s="403">
        <v>45409</v>
      </c>
    </row>
    <row r="168" spans="14:14">
      <c r="N168" s="403">
        <v>45410</v>
      </c>
    </row>
    <row r="169" spans="14:14">
      <c r="N169" s="403">
        <v>45411</v>
      </c>
    </row>
    <row r="170" spans="14:14">
      <c r="N170" s="403">
        <v>45412</v>
      </c>
    </row>
    <row r="171" spans="14:14">
      <c r="N171" s="403">
        <v>45413</v>
      </c>
    </row>
    <row r="172" spans="14:14">
      <c r="N172" s="403">
        <v>45414</v>
      </c>
    </row>
    <row r="173" spans="14:14">
      <c r="N173" s="403">
        <v>45415</v>
      </c>
    </row>
    <row r="174" spans="14:14">
      <c r="N174" s="403">
        <v>45416</v>
      </c>
    </row>
    <row r="175" spans="14:14">
      <c r="N175" s="403">
        <v>45417</v>
      </c>
    </row>
    <row r="176" spans="14:14">
      <c r="N176" s="403">
        <v>45418</v>
      </c>
    </row>
    <row r="177" spans="14:14">
      <c r="N177" s="403">
        <v>45419</v>
      </c>
    </row>
    <row r="178" spans="14:14">
      <c r="N178" s="403">
        <v>45420</v>
      </c>
    </row>
    <row r="179" spans="14:14">
      <c r="N179" s="403">
        <v>45421</v>
      </c>
    </row>
    <row r="180" spans="14:14">
      <c r="N180" s="403">
        <v>45422</v>
      </c>
    </row>
    <row r="181" spans="14:14">
      <c r="N181" s="403">
        <v>45423</v>
      </c>
    </row>
    <row r="182" spans="14:14">
      <c r="N182" s="403">
        <v>45424</v>
      </c>
    </row>
    <row r="183" spans="14:14">
      <c r="N183" s="403">
        <v>45425</v>
      </c>
    </row>
    <row r="184" spans="14:14">
      <c r="N184" s="403">
        <v>45426</v>
      </c>
    </row>
    <row r="185" spans="14:14">
      <c r="N185" s="403">
        <v>45427</v>
      </c>
    </row>
    <row r="186" spans="14:14">
      <c r="N186" s="403">
        <v>45428</v>
      </c>
    </row>
    <row r="187" spans="14:14">
      <c r="N187" s="403">
        <v>45429</v>
      </c>
    </row>
    <row r="188" spans="14:14">
      <c r="N188" s="403">
        <v>45430</v>
      </c>
    </row>
    <row r="189" spans="14:14">
      <c r="N189" s="403">
        <v>45431</v>
      </c>
    </row>
    <row r="190" spans="14:14">
      <c r="N190" s="403">
        <v>45432</v>
      </c>
    </row>
    <row r="191" spans="14:14">
      <c r="N191" s="403">
        <v>45433</v>
      </c>
    </row>
    <row r="192" spans="14:14">
      <c r="N192" s="403">
        <v>45434</v>
      </c>
    </row>
    <row r="193" spans="14:14">
      <c r="N193" s="403">
        <v>45435</v>
      </c>
    </row>
    <row r="194" spans="14:14">
      <c r="N194" s="403">
        <v>45436</v>
      </c>
    </row>
    <row r="195" spans="14:14">
      <c r="N195" s="403">
        <v>45437</v>
      </c>
    </row>
    <row r="196" spans="14:14">
      <c r="N196" s="403">
        <v>45438</v>
      </c>
    </row>
    <row r="197" spans="14:14">
      <c r="N197" s="403">
        <v>45439</v>
      </c>
    </row>
    <row r="198" spans="14:14">
      <c r="N198" s="403">
        <v>45440</v>
      </c>
    </row>
    <row r="199" spans="14:14">
      <c r="N199" s="403">
        <v>45441</v>
      </c>
    </row>
    <row r="200" spans="14:14">
      <c r="N200" s="403">
        <v>45442</v>
      </c>
    </row>
    <row r="201" spans="14:14">
      <c r="N201" s="403">
        <v>45443</v>
      </c>
    </row>
    <row r="202" spans="14:14">
      <c r="N202" s="403">
        <v>45444</v>
      </c>
    </row>
    <row r="203" spans="14:14">
      <c r="N203" s="403">
        <v>45445</v>
      </c>
    </row>
    <row r="204" spans="14:14">
      <c r="N204" s="403">
        <v>45446</v>
      </c>
    </row>
    <row r="205" spans="14:14">
      <c r="N205" s="403">
        <v>45447</v>
      </c>
    </row>
    <row r="206" spans="14:14">
      <c r="N206" s="403">
        <v>45448</v>
      </c>
    </row>
    <row r="207" spans="14:14">
      <c r="N207" s="403">
        <v>45449</v>
      </c>
    </row>
    <row r="208" spans="14:14">
      <c r="N208" s="403">
        <v>45450</v>
      </c>
    </row>
    <row r="209" spans="14:14">
      <c r="N209" s="403">
        <v>45451</v>
      </c>
    </row>
    <row r="210" spans="14:14">
      <c r="N210" s="403">
        <v>45452</v>
      </c>
    </row>
    <row r="211" spans="14:14">
      <c r="N211" s="403">
        <v>45453</v>
      </c>
    </row>
    <row r="212" spans="14:14">
      <c r="N212" s="403">
        <v>45454</v>
      </c>
    </row>
    <row r="213" spans="14:14">
      <c r="N213" s="403">
        <v>45455</v>
      </c>
    </row>
    <row r="214" spans="14:14">
      <c r="N214" s="403">
        <v>45456</v>
      </c>
    </row>
    <row r="215" spans="14:14">
      <c r="N215" s="403">
        <v>45457</v>
      </c>
    </row>
    <row r="216" spans="14:14">
      <c r="N216" s="403">
        <v>45458</v>
      </c>
    </row>
    <row r="217" spans="14:14">
      <c r="N217" s="403">
        <v>45459</v>
      </c>
    </row>
    <row r="218" spans="14:14">
      <c r="N218" s="403">
        <v>45460</v>
      </c>
    </row>
    <row r="219" spans="14:14">
      <c r="N219" s="403">
        <v>45461</v>
      </c>
    </row>
    <row r="220" spans="14:14">
      <c r="N220" s="403">
        <v>45462</v>
      </c>
    </row>
    <row r="221" spans="14:14">
      <c r="N221" s="403">
        <v>45463</v>
      </c>
    </row>
    <row r="222" spans="14:14">
      <c r="N222" s="403">
        <v>45464</v>
      </c>
    </row>
    <row r="223" spans="14:14">
      <c r="N223" s="403">
        <v>45465</v>
      </c>
    </row>
    <row r="224" spans="14:14">
      <c r="N224" s="403">
        <v>45466</v>
      </c>
    </row>
    <row r="225" spans="14:14">
      <c r="N225" s="403">
        <v>45467</v>
      </c>
    </row>
    <row r="226" spans="14:14">
      <c r="N226" s="403">
        <v>45468</v>
      </c>
    </row>
    <row r="227" spans="14:14">
      <c r="N227" s="403">
        <v>45469</v>
      </c>
    </row>
    <row r="228" spans="14:14">
      <c r="N228" s="403">
        <v>45470</v>
      </c>
    </row>
    <row r="229" spans="14:14">
      <c r="N229" s="403">
        <v>45471</v>
      </c>
    </row>
    <row r="230" spans="14:14">
      <c r="N230" s="403">
        <v>45472</v>
      </c>
    </row>
    <row r="231" spans="14:14">
      <c r="N231" s="403">
        <v>45473</v>
      </c>
    </row>
    <row r="232" spans="14:14">
      <c r="N232" s="403">
        <v>45474</v>
      </c>
    </row>
    <row r="233" spans="14:14">
      <c r="N233" s="403">
        <v>45475</v>
      </c>
    </row>
    <row r="234" spans="14:14">
      <c r="N234" s="403">
        <v>45476</v>
      </c>
    </row>
    <row r="235" spans="14:14">
      <c r="N235" s="403">
        <v>45477</v>
      </c>
    </row>
    <row r="236" spans="14:14">
      <c r="N236" s="403">
        <v>45478</v>
      </c>
    </row>
    <row r="237" spans="14:14">
      <c r="N237" s="403">
        <v>45479</v>
      </c>
    </row>
    <row r="238" spans="14:14">
      <c r="N238" s="403">
        <v>45480</v>
      </c>
    </row>
    <row r="239" spans="14:14">
      <c r="N239" s="403">
        <v>45481</v>
      </c>
    </row>
    <row r="240" spans="14:14">
      <c r="N240" s="403">
        <v>45482</v>
      </c>
    </row>
    <row r="241" spans="14:14">
      <c r="N241" s="403">
        <v>45483</v>
      </c>
    </row>
    <row r="242" spans="14:14">
      <c r="N242" s="403">
        <v>45484</v>
      </c>
    </row>
    <row r="243" spans="14:14">
      <c r="N243" s="403">
        <v>45485</v>
      </c>
    </row>
    <row r="244" spans="14:14">
      <c r="N244" s="403">
        <v>45486</v>
      </c>
    </row>
    <row r="245" spans="14:14">
      <c r="N245" s="403">
        <v>45487</v>
      </c>
    </row>
    <row r="246" spans="14:14">
      <c r="N246" s="403">
        <v>45488</v>
      </c>
    </row>
    <row r="247" spans="14:14">
      <c r="N247" s="403">
        <v>45489</v>
      </c>
    </row>
    <row r="248" spans="14:14">
      <c r="N248" s="403">
        <v>45490</v>
      </c>
    </row>
    <row r="249" spans="14:14">
      <c r="N249" s="403">
        <v>45491</v>
      </c>
    </row>
    <row r="250" spans="14:14">
      <c r="N250" s="403">
        <v>45492</v>
      </c>
    </row>
    <row r="251" spans="14:14">
      <c r="N251" s="403">
        <v>45493</v>
      </c>
    </row>
    <row r="252" spans="14:14">
      <c r="N252" s="403">
        <v>45494</v>
      </c>
    </row>
    <row r="253" spans="14:14">
      <c r="N253" s="403">
        <v>45495</v>
      </c>
    </row>
    <row r="254" spans="14:14">
      <c r="N254" s="403">
        <v>45496</v>
      </c>
    </row>
    <row r="255" spans="14:14">
      <c r="N255" s="403">
        <v>45497</v>
      </c>
    </row>
    <row r="256" spans="14:14">
      <c r="N256" s="403">
        <v>45498</v>
      </c>
    </row>
    <row r="257" spans="14:14">
      <c r="N257" s="403">
        <v>45499</v>
      </c>
    </row>
    <row r="258" spans="14:14">
      <c r="N258" s="403">
        <v>45500</v>
      </c>
    </row>
    <row r="259" spans="14:14">
      <c r="N259" s="403">
        <v>45501</v>
      </c>
    </row>
    <row r="260" spans="14:14">
      <c r="N260" s="403">
        <v>45502</v>
      </c>
    </row>
    <row r="261" spans="14:14">
      <c r="N261" s="403">
        <v>45503</v>
      </c>
    </row>
    <row r="262" spans="14:14">
      <c r="N262" s="403">
        <v>45504</v>
      </c>
    </row>
    <row r="263" spans="14:14">
      <c r="N263" s="403">
        <v>45505</v>
      </c>
    </row>
    <row r="264" spans="14:14">
      <c r="N264" s="403">
        <v>45506</v>
      </c>
    </row>
    <row r="265" spans="14:14">
      <c r="N265" s="403">
        <v>45507</v>
      </c>
    </row>
    <row r="266" spans="14:14">
      <c r="N266" s="403">
        <v>45508</v>
      </c>
    </row>
    <row r="267" spans="14:14">
      <c r="N267" s="403">
        <v>45509</v>
      </c>
    </row>
    <row r="268" spans="14:14">
      <c r="N268" s="403">
        <v>45510</v>
      </c>
    </row>
    <row r="269" spans="14:14">
      <c r="N269" s="403">
        <v>45511</v>
      </c>
    </row>
    <row r="270" spans="14:14">
      <c r="N270" s="403">
        <v>45512</v>
      </c>
    </row>
    <row r="271" spans="14:14">
      <c r="N271" s="403">
        <v>45513</v>
      </c>
    </row>
    <row r="272" spans="14:14">
      <c r="N272" s="403">
        <v>45514</v>
      </c>
    </row>
    <row r="273" spans="14:14">
      <c r="N273" s="403">
        <v>45515</v>
      </c>
    </row>
    <row r="274" spans="14:14">
      <c r="N274" s="403">
        <v>45516</v>
      </c>
    </row>
    <row r="275" spans="14:14">
      <c r="N275" s="403">
        <v>45517</v>
      </c>
    </row>
    <row r="276" spans="14:14">
      <c r="N276" s="403">
        <v>45518</v>
      </c>
    </row>
    <row r="277" spans="14:14">
      <c r="N277" s="403">
        <v>45519</v>
      </c>
    </row>
    <row r="278" spans="14:14">
      <c r="N278" s="403">
        <v>45520</v>
      </c>
    </row>
    <row r="279" spans="14:14">
      <c r="N279" s="403">
        <v>45521</v>
      </c>
    </row>
    <row r="280" spans="14:14">
      <c r="N280" s="403">
        <v>45522</v>
      </c>
    </row>
    <row r="281" spans="14:14">
      <c r="N281" s="403">
        <v>45523</v>
      </c>
    </row>
    <row r="282" spans="14:14">
      <c r="N282" s="403">
        <v>45524</v>
      </c>
    </row>
    <row r="283" spans="14:14">
      <c r="N283" s="403">
        <v>45525</v>
      </c>
    </row>
    <row r="284" spans="14:14">
      <c r="N284" s="403">
        <v>45526</v>
      </c>
    </row>
    <row r="285" spans="14:14">
      <c r="N285" s="403">
        <v>45527</v>
      </c>
    </row>
    <row r="286" spans="14:14">
      <c r="N286" s="403">
        <v>45528</v>
      </c>
    </row>
    <row r="287" spans="14:14">
      <c r="N287" s="403">
        <v>45529</v>
      </c>
    </row>
    <row r="288" spans="14:14">
      <c r="N288" s="403">
        <v>45530</v>
      </c>
    </row>
    <row r="289" spans="14:14">
      <c r="N289" s="403">
        <v>45531</v>
      </c>
    </row>
    <row r="290" spans="14:14">
      <c r="N290" s="403">
        <v>45532</v>
      </c>
    </row>
    <row r="291" spans="14:14">
      <c r="N291" s="403">
        <v>45533</v>
      </c>
    </row>
    <row r="292" spans="14:14">
      <c r="N292" s="403">
        <v>45534</v>
      </c>
    </row>
    <row r="293" spans="14:14">
      <c r="N293" s="403">
        <v>45535</v>
      </c>
    </row>
    <row r="294" spans="14:14">
      <c r="N294" s="403">
        <v>45536</v>
      </c>
    </row>
    <row r="295" spans="14:14">
      <c r="N295" s="403">
        <v>45537</v>
      </c>
    </row>
    <row r="296" spans="14:14">
      <c r="N296" s="403">
        <v>45538</v>
      </c>
    </row>
    <row r="297" spans="14:14">
      <c r="N297" s="403">
        <v>45539</v>
      </c>
    </row>
    <row r="298" spans="14:14">
      <c r="N298" s="403">
        <v>45540</v>
      </c>
    </row>
    <row r="299" spans="14:14">
      <c r="N299" s="403">
        <v>45541</v>
      </c>
    </row>
    <row r="300" spans="14:14">
      <c r="N300" s="403">
        <v>45542</v>
      </c>
    </row>
    <row r="301" spans="14:14">
      <c r="N301" s="403">
        <v>45543</v>
      </c>
    </row>
    <row r="302" spans="14:14">
      <c r="N302" s="403">
        <v>45544</v>
      </c>
    </row>
    <row r="303" spans="14:14">
      <c r="N303" s="403">
        <v>45545</v>
      </c>
    </row>
    <row r="304" spans="14:14">
      <c r="N304" s="403">
        <v>45546</v>
      </c>
    </row>
    <row r="305" spans="14:14">
      <c r="N305" s="403">
        <v>45547</v>
      </c>
    </row>
    <row r="306" spans="14:14">
      <c r="N306" s="403">
        <v>45548</v>
      </c>
    </row>
    <row r="307" spans="14:14">
      <c r="N307" s="403">
        <v>45549</v>
      </c>
    </row>
    <row r="308" spans="14:14">
      <c r="N308" s="403">
        <v>45550</v>
      </c>
    </row>
    <row r="309" spans="14:14">
      <c r="N309" s="403">
        <v>45551</v>
      </c>
    </row>
    <row r="310" spans="14:14">
      <c r="N310" s="403">
        <v>45552</v>
      </c>
    </row>
    <row r="311" spans="14:14">
      <c r="N311" s="403">
        <v>45553</v>
      </c>
    </row>
    <row r="312" spans="14:14">
      <c r="N312" s="403">
        <v>45554</v>
      </c>
    </row>
    <row r="313" spans="14:14">
      <c r="N313" s="403">
        <v>45555</v>
      </c>
    </row>
    <row r="314" spans="14:14">
      <c r="N314" s="403">
        <v>45556</v>
      </c>
    </row>
    <row r="315" spans="14:14">
      <c r="N315" s="403">
        <v>45557</v>
      </c>
    </row>
    <row r="316" spans="14:14">
      <c r="N316" s="403">
        <v>45558</v>
      </c>
    </row>
    <row r="317" spans="14:14">
      <c r="N317" s="403">
        <v>45559</v>
      </c>
    </row>
    <row r="318" spans="14:14">
      <c r="N318" s="403">
        <v>45560</v>
      </c>
    </row>
    <row r="319" spans="14:14">
      <c r="N319" s="403">
        <v>45561</v>
      </c>
    </row>
    <row r="320" spans="14:14">
      <c r="N320" s="403">
        <v>45562</v>
      </c>
    </row>
    <row r="321" spans="14:14">
      <c r="N321" s="403">
        <v>45563</v>
      </c>
    </row>
    <row r="322" spans="14:14">
      <c r="N322" s="403">
        <v>45564</v>
      </c>
    </row>
    <row r="323" spans="14:14">
      <c r="N323" s="403">
        <v>45565</v>
      </c>
    </row>
    <row r="324" spans="14:14">
      <c r="N324" s="403">
        <v>45566</v>
      </c>
    </row>
    <row r="325" spans="14:14">
      <c r="N325" s="403">
        <v>45567</v>
      </c>
    </row>
    <row r="326" spans="14:14">
      <c r="N326" s="403">
        <v>45568</v>
      </c>
    </row>
    <row r="327" spans="14:14">
      <c r="N327" s="403">
        <v>45569</v>
      </c>
    </row>
    <row r="328" spans="14:14">
      <c r="N328" s="403">
        <v>45570</v>
      </c>
    </row>
    <row r="329" spans="14:14">
      <c r="N329" s="403">
        <v>45571</v>
      </c>
    </row>
    <row r="330" spans="14:14">
      <c r="N330" s="403">
        <v>45572</v>
      </c>
    </row>
    <row r="331" spans="14:14">
      <c r="N331" s="403">
        <v>45573</v>
      </c>
    </row>
    <row r="332" spans="14:14">
      <c r="N332" s="403">
        <v>45574</v>
      </c>
    </row>
    <row r="333" spans="14:14">
      <c r="N333" s="403">
        <v>45575</v>
      </c>
    </row>
    <row r="334" spans="14:14">
      <c r="N334" s="403">
        <v>45576</v>
      </c>
    </row>
    <row r="335" spans="14:14">
      <c r="N335" s="403">
        <v>45577</v>
      </c>
    </row>
    <row r="336" spans="14:14">
      <c r="N336" s="403">
        <v>45578</v>
      </c>
    </row>
    <row r="337" spans="14:14">
      <c r="N337" s="403">
        <v>45579</v>
      </c>
    </row>
    <row r="338" spans="14:14">
      <c r="N338" s="403">
        <v>45580</v>
      </c>
    </row>
    <row r="339" spans="14:14">
      <c r="N339" s="403">
        <v>45581</v>
      </c>
    </row>
    <row r="340" spans="14:14">
      <c r="N340" s="403">
        <v>45582</v>
      </c>
    </row>
    <row r="341" spans="14:14">
      <c r="N341" s="403">
        <v>45583</v>
      </c>
    </row>
    <row r="342" spans="14:14">
      <c r="N342" s="403">
        <v>45584</v>
      </c>
    </row>
    <row r="343" spans="14:14">
      <c r="N343" s="403">
        <v>45585</v>
      </c>
    </row>
    <row r="344" spans="14:14">
      <c r="N344" s="403">
        <v>45586</v>
      </c>
    </row>
    <row r="345" spans="14:14">
      <c r="N345" s="403">
        <v>45587</v>
      </c>
    </row>
    <row r="346" spans="14:14">
      <c r="N346" s="403">
        <v>45588</v>
      </c>
    </row>
    <row r="347" spans="14:14">
      <c r="N347" s="403">
        <v>45589</v>
      </c>
    </row>
    <row r="348" spans="14:14">
      <c r="N348" s="403">
        <v>45590</v>
      </c>
    </row>
    <row r="349" spans="14:14">
      <c r="N349" s="403">
        <v>45591</v>
      </c>
    </row>
    <row r="350" spans="14:14">
      <c r="N350" s="403">
        <v>45592</v>
      </c>
    </row>
    <row r="351" spans="14:14">
      <c r="N351" s="403">
        <v>45593</v>
      </c>
    </row>
    <row r="352" spans="14:14">
      <c r="N352" s="403">
        <v>45594</v>
      </c>
    </row>
    <row r="353" spans="14:14">
      <c r="N353" s="403">
        <v>45595</v>
      </c>
    </row>
    <row r="354" spans="14:14">
      <c r="N354" s="403">
        <v>45596</v>
      </c>
    </row>
    <row r="355" spans="14:14">
      <c r="N355" s="403">
        <v>45597</v>
      </c>
    </row>
    <row r="356" spans="14:14">
      <c r="N356" s="403">
        <v>45598</v>
      </c>
    </row>
    <row r="357" spans="14:14">
      <c r="N357" s="403">
        <v>45599</v>
      </c>
    </row>
    <row r="358" spans="14:14">
      <c r="N358" s="403">
        <v>45600</v>
      </c>
    </row>
    <row r="359" spans="14:14">
      <c r="N359" s="403">
        <v>45601</v>
      </c>
    </row>
    <row r="360" spans="14:14">
      <c r="N360" s="403">
        <v>45602</v>
      </c>
    </row>
    <row r="361" spans="14:14">
      <c r="N361" s="403">
        <v>45603</v>
      </c>
    </row>
    <row r="362" spans="14:14">
      <c r="N362" s="403">
        <v>45604</v>
      </c>
    </row>
    <row r="363" spans="14:14">
      <c r="N363" s="403">
        <v>45605</v>
      </c>
    </row>
    <row r="364" spans="14:14">
      <c r="N364" s="403">
        <v>45606</v>
      </c>
    </row>
    <row r="365" spans="14:14">
      <c r="N365" s="403">
        <v>45607</v>
      </c>
    </row>
    <row r="366" spans="14:14">
      <c r="N366" s="403">
        <v>45608</v>
      </c>
    </row>
    <row r="367" spans="14:14">
      <c r="N367" s="403">
        <v>45609</v>
      </c>
    </row>
    <row r="368" spans="14:14">
      <c r="N368" s="403">
        <v>45610</v>
      </c>
    </row>
    <row r="369" spans="14:14">
      <c r="N369" s="403">
        <v>45611</v>
      </c>
    </row>
    <row r="370" spans="14:14">
      <c r="N370" s="403">
        <v>45612</v>
      </c>
    </row>
    <row r="371" spans="14:14">
      <c r="N371" s="403">
        <v>45613</v>
      </c>
    </row>
    <row r="372" spans="14:14">
      <c r="N372" s="403">
        <v>45614</v>
      </c>
    </row>
    <row r="373" spans="14:14">
      <c r="N373" s="403">
        <v>45615</v>
      </c>
    </row>
    <row r="374" spans="14:14">
      <c r="N374" s="403">
        <v>45616</v>
      </c>
    </row>
    <row r="375" spans="14:14">
      <c r="N375" s="403">
        <v>45617</v>
      </c>
    </row>
    <row r="376" spans="14:14">
      <c r="N376" s="403">
        <v>45618</v>
      </c>
    </row>
    <row r="377" spans="14:14">
      <c r="N377" s="403">
        <v>45619</v>
      </c>
    </row>
    <row r="378" spans="14:14">
      <c r="N378" s="403">
        <v>45620</v>
      </c>
    </row>
    <row r="379" spans="14:14">
      <c r="N379" s="403">
        <v>45621</v>
      </c>
    </row>
    <row r="380" spans="14:14">
      <c r="N380" s="403">
        <v>45622</v>
      </c>
    </row>
    <row r="381" spans="14:14">
      <c r="N381" s="403">
        <v>45623</v>
      </c>
    </row>
    <row r="382" spans="14:14">
      <c r="N382" s="403">
        <v>45624</v>
      </c>
    </row>
    <row r="383" spans="14:14">
      <c r="N383" s="403">
        <v>45625</v>
      </c>
    </row>
    <row r="384" spans="14:14">
      <c r="N384" s="403">
        <v>45626</v>
      </c>
    </row>
    <row r="385" spans="14:14">
      <c r="N385" s="403">
        <v>45627</v>
      </c>
    </row>
    <row r="386" spans="14:14">
      <c r="N386" s="403">
        <v>45628</v>
      </c>
    </row>
    <row r="387" spans="14:14">
      <c r="N387" s="403">
        <v>45629</v>
      </c>
    </row>
    <row r="388" spans="14:14">
      <c r="N388" s="403">
        <v>45630</v>
      </c>
    </row>
    <row r="389" spans="14:14">
      <c r="N389" s="403">
        <v>45631</v>
      </c>
    </row>
    <row r="390" spans="14:14">
      <c r="N390" s="403">
        <v>45632</v>
      </c>
    </row>
    <row r="391" spans="14:14">
      <c r="N391" s="403">
        <v>45633</v>
      </c>
    </row>
    <row r="392" spans="14:14">
      <c r="N392" s="403">
        <v>45634</v>
      </c>
    </row>
    <row r="393" spans="14:14">
      <c r="N393" s="403">
        <v>45635</v>
      </c>
    </row>
    <row r="394" spans="14:14">
      <c r="N394" s="403">
        <v>45636</v>
      </c>
    </row>
    <row r="395" spans="14:14">
      <c r="N395" s="403">
        <v>45637</v>
      </c>
    </row>
    <row r="396" spans="14:14">
      <c r="N396" s="403">
        <v>45638</v>
      </c>
    </row>
    <row r="397" spans="14:14">
      <c r="N397" s="403">
        <v>45639</v>
      </c>
    </row>
    <row r="398" spans="14:14">
      <c r="N398" s="403">
        <v>45640</v>
      </c>
    </row>
    <row r="399" spans="14:14">
      <c r="N399" s="403">
        <v>45641</v>
      </c>
    </row>
    <row r="400" spans="14:14">
      <c r="N400" s="403">
        <v>45642</v>
      </c>
    </row>
    <row r="401" spans="14:14">
      <c r="N401" s="403">
        <v>45643</v>
      </c>
    </row>
    <row r="402" spans="14:14">
      <c r="N402" s="403">
        <v>45644</v>
      </c>
    </row>
    <row r="403" spans="14:14">
      <c r="N403" s="403">
        <v>45645</v>
      </c>
    </row>
    <row r="404" spans="14:14">
      <c r="N404" s="403">
        <v>45646</v>
      </c>
    </row>
    <row r="405" spans="14:14">
      <c r="N405" s="403">
        <v>45647</v>
      </c>
    </row>
    <row r="406" spans="14:14">
      <c r="N406" s="403">
        <v>45648</v>
      </c>
    </row>
    <row r="407" spans="14:14">
      <c r="N407" s="403">
        <v>45649</v>
      </c>
    </row>
    <row r="408" spans="14:14">
      <c r="N408" s="403">
        <v>45650</v>
      </c>
    </row>
    <row r="409" spans="14:14">
      <c r="N409" s="403">
        <v>45651</v>
      </c>
    </row>
    <row r="410" spans="14:14">
      <c r="N410" s="403">
        <v>45652</v>
      </c>
    </row>
    <row r="411" spans="14:14">
      <c r="N411" s="403">
        <v>45653</v>
      </c>
    </row>
    <row r="412" spans="14:14">
      <c r="N412" s="403">
        <v>45654</v>
      </c>
    </row>
    <row r="413" spans="14:14">
      <c r="N413" s="403">
        <v>45655</v>
      </c>
    </row>
    <row r="414" spans="14:14">
      <c r="N414" s="403">
        <v>45656</v>
      </c>
    </row>
    <row r="415" spans="14:14">
      <c r="N415" s="403">
        <v>45657</v>
      </c>
    </row>
    <row r="416" spans="14:14">
      <c r="N416" s="403">
        <v>45658</v>
      </c>
    </row>
    <row r="417" spans="14:14">
      <c r="N417" s="403">
        <v>45659</v>
      </c>
    </row>
    <row r="418" spans="14:14">
      <c r="N418" s="403">
        <v>45660</v>
      </c>
    </row>
    <row r="419" spans="14:14">
      <c r="N419" s="403">
        <v>45661</v>
      </c>
    </row>
    <row r="420" spans="14:14">
      <c r="N420" s="403">
        <v>45662</v>
      </c>
    </row>
    <row r="421" spans="14:14">
      <c r="N421" s="403">
        <v>45663</v>
      </c>
    </row>
    <row r="422" spans="14:14">
      <c r="N422" s="403">
        <v>45664</v>
      </c>
    </row>
    <row r="423" spans="14:14">
      <c r="N423" s="403">
        <v>45665</v>
      </c>
    </row>
    <row r="424" spans="14:14">
      <c r="N424" s="403">
        <v>45666</v>
      </c>
    </row>
    <row r="425" spans="14:14">
      <c r="N425" s="403">
        <v>45667</v>
      </c>
    </row>
    <row r="426" spans="14:14">
      <c r="N426" s="403">
        <v>45668</v>
      </c>
    </row>
    <row r="427" spans="14:14">
      <c r="N427" s="403">
        <v>45669</v>
      </c>
    </row>
    <row r="428" spans="14:14">
      <c r="N428" s="403">
        <v>45670</v>
      </c>
    </row>
    <row r="429" spans="14:14">
      <c r="N429" s="403">
        <v>45671</v>
      </c>
    </row>
    <row r="430" spans="14:14">
      <c r="N430" s="403">
        <v>45672</v>
      </c>
    </row>
    <row r="431" spans="14:14">
      <c r="N431" s="403">
        <v>45673</v>
      </c>
    </row>
    <row r="432" spans="14:14">
      <c r="N432" s="403">
        <v>45674</v>
      </c>
    </row>
    <row r="433" spans="14:14">
      <c r="N433" s="403" t="s">
        <v>2431</v>
      </c>
    </row>
    <row r="434" spans="14:14">
      <c r="N434" s="403" t="s">
        <v>2432</v>
      </c>
    </row>
    <row r="435" spans="14:14">
      <c r="N435" s="403" t="s">
        <v>2433</v>
      </c>
    </row>
    <row r="436" spans="14:14">
      <c r="N436" s="403" t="s">
        <v>2434</v>
      </c>
    </row>
    <row r="437" spans="14:14">
      <c r="N437" s="403" t="s">
        <v>2435</v>
      </c>
    </row>
    <row r="438" spans="14:14">
      <c r="N438" s="403" t="s">
        <v>2436</v>
      </c>
    </row>
    <row r="439" spans="14:14">
      <c r="N439" s="403" t="s">
        <v>2437</v>
      </c>
    </row>
    <row r="440" spans="14:14">
      <c r="N440" s="403" t="s">
        <v>2438</v>
      </c>
    </row>
    <row r="441" spans="14:14">
      <c r="N441" s="403" t="s">
        <v>2439</v>
      </c>
    </row>
    <row r="442" spans="14:14">
      <c r="N442" s="403" t="s">
        <v>2440</v>
      </c>
    </row>
    <row r="443" spans="14:14">
      <c r="N443" s="403" t="s">
        <v>2441</v>
      </c>
    </row>
    <row r="444" spans="14:14">
      <c r="N444" s="403" t="s">
        <v>2442</v>
      </c>
    </row>
    <row r="445" spans="14:14">
      <c r="N445" s="403" t="s">
        <v>2443</v>
      </c>
    </row>
    <row r="446" spans="14:14">
      <c r="N446" s="403" t="s">
        <v>2444</v>
      </c>
    </row>
    <row r="447" spans="14:14">
      <c r="N447" s="403" t="s">
        <v>2445</v>
      </c>
    </row>
    <row r="448" spans="14:14">
      <c r="N448" s="403" t="s">
        <v>2446</v>
      </c>
    </row>
    <row r="449" spans="14:14">
      <c r="N449" s="403" t="s">
        <v>2447</v>
      </c>
    </row>
    <row r="450" spans="14:14">
      <c r="N450" s="403" t="s">
        <v>2448</v>
      </c>
    </row>
    <row r="451" spans="14:14">
      <c r="N451" s="403" t="s">
        <v>2449</v>
      </c>
    </row>
    <row r="452" spans="14:14">
      <c r="N452" s="403" t="s">
        <v>2450</v>
      </c>
    </row>
    <row r="453" spans="14:14">
      <c r="N453" s="403" t="s">
        <v>2451</v>
      </c>
    </row>
    <row r="454" spans="14:14">
      <c r="N454" s="403" t="s">
        <v>2452</v>
      </c>
    </row>
    <row r="455" spans="14:14">
      <c r="N455" s="403" t="s">
        <v>2453</v>
      </c>
    </row>
    <row r="456" spans="14:14">
      <c r="N456" s="403" t="s">
        <v>2454</v>
      </c>
    </row>
    <row r="457" spans="14:14">
      <c r="N457" s="403" t="s">
        <v>2455</v>
      </c>
    </row>
    <row r="458" spans="14:14">
      <c r="N458" s="403" t="s">
        <v>2456</v>
      </c>
    </row>
    <row r="459" spans="14:14">
      <c r="N459" s="403" t="s">
        <v>2457</v>
      </c>
    </row>
    <row r="460" spans="14:14">
      <c r="N460" s="403" t="s">
        <v>2458</v>
      </c>
    </row>
    <row r="461" spans="14:14">
      <c r="N461" s="403" t="s">
        <v>2459</v>
      </c>
    </row>
    <row r="462" spans="14:14">
      <c r="N462" s="403" t="s">
        <v>2460</v>
      </c>
    </row>
    <row r="463" spans="14:14">
      <c r="N463" s="403" t="s">
        <v>2461</v>
      </c>
    </row>
    <row r="464" spans="14:14">
      <c r="N464" s="403" t="s">
        <v>2462</v>
      </c>
    </row>
    <row r="465" spans="14:14">
      <c r="N465" s="403" t="s">
        <v>2463</v>
      </c>
    </row>
    <row r="466" spans="14:14">
      <c r="N466" s="403" t="s">
        <v>2464</v>
      </c>
    </row>
    <row r="467" spans="14:14">
      <c r="N467" s="403" t="s">
        <v>2465</v>
      </c>
    </row>
    <row r="468" spans="14:14">
      <c r="N468" s="403" t="s">
        <v>2466</v>
      </c>
    </row>
    <row r="469" spans="14:14">
      <c r="N469" s="403" t="s">
        <v>2467</v>
      </c>
    </row>
    <row r="470" spans="14:14">
      <c r="N470" s="403" t="s">
        <v>2468</v>
      </c>
    </row>
    <row r="471" spans="14:14">
      <c r="N471" s="403" t="s">
        <v>2469</v>
      </c>
    </row>
    <row r="472" spans="14:14">
      <c r="N472" s="403" t="s">
        <v>2470</v>
      </c>
    </row>
    <row r="473" spans="14:14">
      <c r="N473" s="403" t="s">
        <v>2471</v>
      </c>
    </row>
    <row r="474" spans="14:14">
      <c r="N474" s="403" t="s">
        <v>2472</v>
      </c>
    </row>
    <row r="475" spans="14:14">
      <c r="N475" s="403" t="s">
        <v>2473</v>
      </c>
    </row>
    <row r="476" spans="14:14">
      <c r="N476" s="403" t="s">
        <v>2474</v>
      </c>
    </row>
    <row r="477" spans="14:14">
      <c r="N477" s="403" t="s">
        <v>2475</v>
      </c>
    </row>
    <row r="478" spans="14:14">
      <c r="N478" s="403" t="s">
        <v>2476</v>
      </c>
    </row>
    <row r="479" spans="14:14">
      <c r="N479" s="403" t="s">
        <v>2477</v>
      </c>
    </row>
    <row r="480" spans="14:14">
      <c r="N480" s="403" t="s">
        <v>2478</v>
      </c>
    </row>
    <row r="481" spans="14:14">
      <c r="N481" s="403" t="s">
        <v>2479</v>
      </c>
    </row>
    <row r="482" spans="14:14">
      <c r="N482" s="403" t="s">
        <v>2480</v>
      </c>
    </row>
    <row r="483" spans="14:14">
      <c r="N483" s="403" t="s">
        <v>2481</v>
      </c>
    </row>
    <row r="484" spans="14:14">
      <c r="N484" s="403" t="s">
        <v>2482</v>
      </c>
    </row>
    <row r="485" spans="14:14">
      <c r="N485" s="403" t="s">
        <v>2483</v>
      </c>
    </row>
    <row r="486" spans="14:14">
      <c r="N486" s="403" t="s">
        <v>2484</v>
      </c>
    </row>
    <row r="487" spans="14:14">
      <c r="N487" s="403" t="s">
        <v>2485</v>
      </c>
    </row>
    <row r="488" spans="14:14">
      <c r="N488" s="403" t="s">
        <v>2486</v>
      </c>
    </row>
    <row r="489" spans="14:14">
      <c r="N489" s="403" t="s">
        <v>2487</v>
      </c>
    </row>
    <row r="490" spans="14:14">
      <c r="N490" s="403" t="s">
        <v>2488</v>
      </c>
    </row>
    <row r="491" spans="14:14">
      <c r="N491" s="403" t="s">
        <v>2489</v>
      </c>
    </row>
    <row r="492" spans="14:14">
      <c r="N492" s="403" t="s">
        <v>2490</v>
      </c>
    </row>
    <row r="493" spans="14:14">
      <c r="N493" s="403" t="s">
        <v>2491</v>
      </c>
    </row>
    <row r="494" spans="14:14">
      <c r="N494" s="403" t="s">
        <v>2492</v>
      </c>
    </row>
    <row r="495" spans="14:14">
      <c r="N495" s="403" t="s">
        <v>2493</v>
      </c>
    </row>
    <row r="496" spans="14:14">
      <c r="N496" s="403" t="s">
        <v>2494</v>
      </c>
    </row>
    <row r="497" spans="14:14">
      <c r="N497" s="403" t="s">
        <v>2495</v>
      </c>
    </row>
    <row r="498" spans="14:14">
      <c r="N498" s="403" t="s">
        <v>2496</v>
      </c>
    </row>
    <row r="499" spans="14:14">
      <c r="N499" s="403" t="s">
        <v>2497</v>
      </c>
    </row>
    <row r="500" spans="14:14">
      <c r="N500" s="403" t="s">
        <v>2498</v>
      </c>
    </row>
    <row r="501" spans="14:14">
      <c r="N501" s="403" t="s">
        <v>2499</v>
      </c>
    </row>
    <row r="502" spans="14:14">
      <c r="N502" s="403" t="s">
        <v>2500</v>
      </c>
    </row>
    <row r="503" spans="14:14">
      <c r="N503" s="403" t="s">
        <v>2501</v>
      </c>
    </row>
    <row r="504" spans="14:14">
      <c r="N504" s="403" t="s">
        <v>2502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1743-F499-472F-8E44-186D45EF4DC9}">
  <dimension ref="A1:F14"/>
  <sheetViews>
    <sheetView workbookViewId="0">
      <selection activeCell="B24" sqref="B24"/>
    </sheetView>
  </sheetViews>
  <sheetFormatPr defaultRowHeight="12.75"/>
  <cols>
    <col min="1" max="1" width="9.140625" style="82"/>
    <col min="2" max="2" width="58.85546875" style="82" customWidth="1"/>
    <col min="3" max="3" width="30.42578125" style="82" customWidth="1"/>
    <col min="4" max="4" width="28.28515625" style="82" customWidth="1"/>
    <col min="5" max="5" width="17.42578125" style="82" customWidth="1"/>
    <col min="6" max="6" width="17.7109375" style="82" customWidth="1"/>
    <col min="7" max="16384" width="9.140625" style="82"/>
  </cols>
  <sheetData>
    <row r="1" spans="1:6">
      <c r="A1" s="731" t="s">
        <v>1722</v>
      </c>
      <c r="B1" s="731"/>
      <c r="C1" s="731"/>
      <c r="D1" s="731"/>
      <c r="E1" s="731"/>
      <c r="F1" s="731"/>
    </row>
    <row r="2" spans="1:6" ht="25.5">
      <c r="A2" s="181" t="s">
        <v>1723</v>
      </c>
      <c r="B2" s="181" t="s">
        <v>1724</v>
      </c>
      <c r="C2" s="734" t="s">
        <v>1725</v>
      </c>
      <c r="D2" s="734"/>
      <c r="E2" s="181" t="s">
        <v>1726</v>
      </c>
      <c r="F2" s="181" t="s">
        <v>1618</v>
      </c>
    </row>
    <row r="3" spans="1:6">
      <c r="A3" s="735"/>
      <c r="B3" s="182" t="s">
        <v>1727</v>
      </c>
      <c r="C3" s="736" t="s">
        <v>1728</v>
      </c>
      <c r="D3" s="739">
        <f>ROUND(632.77*5+33.17+11.76,2)</f>
        <v>3208.78</v>
      </c>
      <c r="E3" s="742">
        <f>ROUND(D3*56,0)</f>
        <v>179692</v>
      </c>
      <c r="F3" s="745"/>
    </row>
    <row r="4" spans="1:6">
      <c r="A4" s="735"/>
      <c r="B4" s="182" t="s">
        <v>1729</v>
      </c>
      <c r="C4" s="737"/>
      <c r="D4" s="740"/>
      <c r="E4" s="743"/>
      <c r="F4" s="735"/>
    </row>
    <row r="5" spans="1:6">
      <c r="A5" s="735"/>
      <c r="B5" s="182" t="s">
        <v>1730</v>
      </c>
      <c r="C5" s="737"/>
      <c r="D5" s="740"/>
      <c r="E5" s="743"/>
      <c r="F5" s="735"/>
    </row>
    <row r="6" spans="1:6">
      <c r="A6" s="735"/>
      <c r="B6" s="182" t="s">
        <v>1731</v>
      </c>
      <c r="C6" s="737"/>
      <c r="D6" s="740"/>
      <c r="E6" s="743"/>
      <c r="F6" s="735"/>
    </row>
    <row r="7" spans="1:6">
      <c r="A7" s="735"/>
      <c r="B7" s="182" t="s">
        <v>1732</v>
      </c>
      <c r="C7" s="737"/>
      <c r="D7" s="740"/>
      <c r="E7" s="743"/>
      <c r="F7" s="735"/>
    </row>
    <row r="8" spans="1:6">
      <c r="A8" s="735"/>
      <c r="B8" s="182" t="s">
        <v>1733</v>
      </c>
      <c r="C8" s="738"/>
      <c r="D8" s="741"/>
      <c r="E8" s="744"/>
      <c r="F8" s="723"/>
    </row>
    <row r="9" spans="1:6">
      <c r="A9" s="731" t="s">
        <v>1734</v>
      </c>
      <c r="B9" s="731"/>
      <c r="C9" s="732">
        <f>SUM(D3:D8)</f>
        <v>3208.78</v>
      </c>
      <c r="D9" s="733"/>
      <c r="E9" s="183">
        <f>SUM(E3:E8)</f>
        <v>179692</v>
      </c>
      <c r="F9" s="132"/>
    </row>
    <row r="12" spans="1:6">
      <c r="C12" s="731" t="s">
        <v>1735</v>
      </c>
      <c r="D12" s="731"/>
      <c r="E12" s="731"/>
      <c r="F12" s="731"/>
    </row>
    <row r="13" spans="1:6">
      <c r="C13" s="182" t="s">
        <v>1736</v>
      </c>
      <c r="D13" s="184" t="s">
        <v>1737</v>
      </c>
      <c r="E13" s="185">
        <f>ROUND(C9/100,0)</f>
        <v>32</v>
      </c>
      <c r="F13" s="182"/>
    </row>
    <row r="14" spans="1:6" ht="63.75">
      <c r="C14" s="182" t="s">
        <v>1738</v>
      </c>
      <c r="D14" s="186" t="s">
        <v>1739</v>
      </c>
      <c r="E14" s="187">
        <f>ROUND(8000*20+7200*10+6400*20+5600*50+4800*(E13-100),0)</f>
        <v>313600</v>
      </c>
      <c r="F14" s="182"/>
    </row>
  </sheetData>
  <mergeCells count="10">
    <mergeCell ref="C12:F12"/>
    <mergeCell ref="A9:B9"/>
    <mergeCell ref="C9:D9"/>
    <mergeCell ref="A1:F1"/>
    <mergeCell ref="C2:D2"/>
    <mergeCell ref="A3:A8"/>
    <mergeCell ref="C3:C8"/>
    <mergeCell ref="D3:D8"/>
    <mergeCell ref="E3:E8"/>
    <mergeCell ref="F3:F8"/>
  </mergeCells>
  <phoneticPr fontId="1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3E4D-D09E-4960-B7A1-A13815C1F5A5}">
  <dimension ref="A1:I32"/>
  <sheetViews>
    <sheetView workbookViewId="0">
      <selection activeCell="D3" sqref="D3"/>
    </sheetView>
  </sheetViews>
  <sheetFormatPr defaultRowHeight="12.75"/>
  <cols>
    <col min="1" max="1" width="19.140625" style="81" customWidth="1"/>
    <col min="2" max="5" width="9.140625" style="81"/>
    <col min="6" max="6" width="35.42578125" style="82" customWidth="1"/>
    <col min="7" max="16384" width="9.140625" style="82"/>
  </cols>
  <sheetData>
    <row r="1" spans="1:9">
      <c r="A1" s="720" t="s">
        <v>1696</v>
      </c>
      <c r="B1" s="720"/>
      <c r="C1" s="720"/>
      <c r="D1" s="720"/>
      <c r="E1" s="720"/>
      <c r="F1" s="720"/>
      <c r="G1" s="720"/>
      <c r="H1" s="720"/>
      <c r="I1" s="720"/>
    </row>
    <row r="2" spans="1:9" ht="13.5">
      <c r="B2" s="81" t="s">
        <v>1697</v>
      </c>
      <c r="C2" s="179" t="s">
        <v>1719</v>
      </c>
      <c r="D2" s="179" t="s">
        <v>1721</v>
      </c>
      <c r="E2" s="179" t="s">
        <v>1719</v>
      </c>
      <c r="F2" s="179" t="s">
        <v>1720</v>
      </c>
      <c r="G2" s="81"/>
      <c r="H2" s="81"/>
      <c r="I2" s="81"/>
    </row>
    <row r="3" spans="1:9">
      <c r="A3" s="81" t="s">
        <v>1698</v>
      </c>
      <c r="B3" s="81">
        <v>12</v>
      </c>
      <c r="C3" s="81">
        <f>B3*6</f>
        <v>72</v>
      </c>
      <c r="D3" s="81">
        <v>4</v>
      </c>
      <c r="E3" s="81">
        <f>D3*6</f>
        <v>24</v>
      </c>
    </row>
    <row r="4" spans="1:9">
      <c r="A4" s="81">
        <v>140</v>
      </c>
      <c r="B4" s="81">
        <v>1</v>
      </c>
      <c r="C4" s="81">
        <f>B4*5</f>
        <v>5</v>
      </c>
    </row>
    <row r="5" spans="1:9" ht="13.5">
      <c r="A5" s="81">
        <v>210</v>
      </c>
      <c r="B5" s="81">
        <v>35</v>
      </c>
      <c r="C5" s="81">
        <f>B5*5</f>
        <v>175</v>
      </c>
      <c r="F5" s="178" t="s">
        <v>1844</v>
      </c>
    </row>
    <row r="6" spans="1:9">
      <c r="A6" s="81">
        <v>280</v>
      </c>
      <c r="B6" s="81">
        <v>8</v>
      </c>
      <c r="C6" s="81">
        <f>B6*5</f>
        <v>40</v>
      </c>
    </row>
    <row r="7" spans="1:9">
      <c r="A7" s="81" t="s">
        <v>1699</v>
      </c>
      <c r="B7" s="81">
        <v>13</v>
      </c>
      <c r="C7" s="81">
        <f>B7*5</f>
        <v>65</v>
      </c>
    </row>
    <row r="8" spans="1:9">
      <c r="A8" s="81" t="s">
        <v>1700</v>
      </c>
      <c r="B8" s="81">
        <v>9</v>
      </c>
      <c r="C8" s="81">
        <f>6*3+3*5</f>
        <v>33</v>
      </c>
      <c r="F8" s="82" t="s">
        <v>1701</v>
      </c>
    </row>
    <row r="9" spans="1:9" s="217" customFormat="1" ht="13.5">
      <c r="A9" s="216"/>
      <c r="B9" s="216" t="s">
        <v>1697</v>
      </c>
      <c r="C9" s="218"/>
      <c r="D9" s="216"/>
      <c r="E9" s="216"/>
      <c r="H9" s="219" t="s">
        <v>1845</v>
      </c>
    </row>
    <row r="10" spans="1:9" s="217" customFormat="1">
      <c r="A10" s="216" t="s">
        <v>1684</v>
      </c>
      <c r="B10" s="216">
        <v>22</v>
      </c>
      <c r="C10" s="216">
        <v>3</v>
      </c>
      <c r="D10" s="216"/>
      <c r="E10" s="216"/>
      <c r="H10" s="216">
        <f>SUM(B10:G10)</f>
        <v>25</v>
      </c>
    </row>
    <row r="11" spans="1:9" s="217" customFormat="1">
      <c r="A11" s="216" t="s">
        <v>1685</v>
      </c>
      <c r="B11" s="216">
        <v>30</v>
      </c>
      <c r="C11" s="216"/>
      <c r="D11" s="216"/>
      <c r="E11" s="216"/>
      <c r="H11" s="216">
        <f t="shared" ref="H11:H26" si="0">SUM(B11:G11)</f>
        <v>30</v>
      </c>
    </row>
    <row r="12" spans="1:9" s="217" customFormat="1">
      <c r="A12" s="216" t="s">
        <v>1702</v>
      </c>
      <c r="B12" s="216">
        <v>15</v>
      </c>
      <c r="C12" s="216">
        <v>3</v>
      </c>
      <c r="D12" s="216"/>
      <c r="E12" s="216"/>
      <c r="H12" s="216">
        <f t="shared" si="0"/>
        <v>18</v>
      </c>
    </row>
    <row r="13" spans="1:9" s="217" customFormat="1">
      <c r="A13" s="216" t="s">
        <v>1703</v>
      </c>
      <c r="B13" s="216">
        <v>1</v>
      </c>
      <c r="C13" s="216"/>
      <c r="D13" s="216"/>
      <c r="E13" s="216"/>
      <c r="H13" s="216">
        <f t="shared" si="0"/>
        <v>1</v>
      </c>
    </row>
    <row r="14" spans="1:9" s="217" customFormat="1">
      <c r="A14" s="216" t="s">
        <v>1704</v>
      </c>
      <c r="B14" s="216">
        <v>1</v>
      </c>
      <c r="C14" s="216"/>
      <c r="D14" s="216"/>
      <c r="E14" s="216"/>
      <c r="H14" s="216">
        <f t="shared" si="0"/>
        <v>1</v>
      </c>
    </row>
    <row r="15" spans="1:9" s="217" customFormat="1">
      <c r="A15" s="216" t="s">
        <v>1705</v>
      </c>
      <c r="B15" s="216">
        <v>1</v>
      </c>
      <c r="C15" s="216"/>
      <c r="D15" s="216"/>
      <c r="E15" s="216"/>
      <c r="H15" s="216">
        <f t="shared" si="0"/>
        <v>1</v>
      </c>
    </row>
    <row r="16" spans="1:9" s="217" customFormat="1">
      <c r="A16" s="216" t="s">
        <v>1706</v>
      </c>
      <c r="B16" s="216">
        <f>4+5</f>
        <v>9</v>
      </c>
      <c r="C16" s="216">
        <v>6</v>
      </c>
      <c r="D16" s="216"/>
      <c r="E16" s="216"/>
      <c r="H16" s="216">
        <f t="shared" si="0"/>
        <v>15</v>
      </c>
    </row>
    <row r="17" spans="1:8" s="217" customFormat="1">
      <c r="A17" s="216" t="s">
        <v>1707</v>
      </c>
      <c r="B17" s="216">
        <v>3</v>
      </c>
      <c r="C17" s="216"/>
      <c r="D17" s="216"/>
      <c r="E17" s="216"/>
      <c r="H17" s="216">
        <f t="shared" si="0"/>
        <v>3</v>
      </c>
    </row>
    <row r="18" spans="1:8" s="217" customFormat="1">
      <c r="A18" s="216" t="s">
        <v>1708</v>
      </c>
      <c r="B18" s="216">
        <f>27</f>
        <v>27</v>
      </c>
      <c r="C18" s="216">
        <f>40+10</f>
        <v>50</v>
      </c>
      <c r="D18" s="216"/>
      <c r="E18" s="216"/>
      <c r="H18" s="216">
        <f t="shared" si="0"/>
        <v>77</v>
      </c>
    </row>
    <row r="19" spans="1:8" s="217" customFormat="1">
      <c r="A19" s="216" t="s">
        <v>1709</v>
      </c>
      <c r="B19" s="216">
        <v>2</v>
      </c>
      <c r="C19" s="216"/>
      <c r="D19" s="216"/>
      <c r="E19" s="216"/>
      <c r="H19" s="216">
        <f t="shared" si="0"/>
        <v>2</v>
      </c>
    </row>
    <row r="20" spans="1:8" s="217" customFormat="1">
      <c r="A20" s="216" t="s">
        <v>1710</v>
      </c>
      <c r="B20" s="216">
        <v>2</v>
      </c>
      <c r="C20" s="216"/>
      <c r="D20" s="216"/>
      <c r="E20" s="216"/>
      <c r="H20" s="216">
        <f t="shared" si="0"/>
        <v>2</v>
      </c>
    </row>
    <row r="21" spans="1:8" s="217" customFormat="1">
      <c r="A21" s="216" t="s">
        <v>1711</v>
      </c>
      <c r="B21" s="216">
        <v>1</v>
      </c>
      <c r="C21" s="216"/>
      <c r="D21" s="216"/>
      <c r="E21" s="216"/>
      <c r="H21" s="216">
        <f t="shared" si="0"/>
        <v>1</v>
      </c>
    </row>
    <row r="22" spans="1:8" s="217" customFormat="1">
      <c r="A22" s="216" t="s">
        <v>1712</v>
      </c>
      <c r="B22" s="216">
        <v>2</v>
      </c>
      <c r="C22" s="216"/>
      <c r="D22" s="216"/>
      <c r="E22" s="216"/>
      <c r="H22" s="216">
        <f t="shared" si="0"/>
        <v>2</v>
      </c>
    </row>
    <row r="23" spans="1:8" s="217" customFormat="1" ht="13.5">
      <c r="A23" s="219" t="s">
        <v>1846</v>
      </c>
      <c r="B23" s="216"/>
      <c r="C23" s="216">
        <v>2</v>
      </c>
      <c r="D23" s="216"/>
      <c r="E23" s="216"/>
      <c r="H23" s="216">
        <f t="shared" si="0"/>
        <v>2</v>
      </c>
    </row>
    <row r="24" spans="1:8" s="217" customFormat="1" ht="13.5">
      <c r="A24" s="219" t="s">
        <v>1847</v>
      </c>
      <c r="B24" s="216"/>
      <c r="C24" s="216">
        <v>3</v>
      </c>
      <c r="D24" s="216"/>
      <c r="E24" s="216"/>
      <c r="H24" s="216">
        <f t="shared" si="0"/>
        <v>3</v>
      </c>
    </row>
    <row r="25" spans="1:8" s="217" customFormat="1" ht="13.5">
      <c r="A25" s="219"/>
      <c r="B25" s="216"/>
      <c r="C25" s="216"/>
      <c r="D25" s="216"/>
      <c r="E25" s="216"/>
      <c r="H25" s="216">
        <f t="shared" si="0"/>
        <v>0</v>
      </c>
    </row>
    <row r="26" spans="1:8" s="217" customFormat="1">
      <c r="A26" s="216"/>
      <c r="B26" s="216"/>
      <c r="C26" s="216"/>
      <c r="D26" s="216"/>
      <c r="E26" s="216"/>
      <c r="H26" s="216">
        <f t="shared" si="0"/>
        <v>0</v>
      </c>
    </row>
    <row r="27" spans="1:8">
      <c r="A27" s="81" t="s">
        <v>1713</v>
      </c>
      <c r="B27" s="81">
        <v>3</v>
      </c>
      <c r="C27" s="81">
        <f>B27*3</f>
        <v>9</v>
      </c>
    </row>
    <row r="28" spans="1:8">
      <c r="A28" s="81" t="s">
        <v>1714</v>
      </c>
      <c r="B28" s="81">
        <v>5</v>
      </c>
      <c r="C28" s="81">
        <f>B28*3</f>
        <v>15</v>
      </c>
    </row>
    <row r="29" spans="1:8">
      <c r="A29" s="81" t="s">
        <v>1715</v>
      </c>
      <c r="B29" s="81">
        <v>6</v>
      </c>
      <c r="C29" s="81">
        <f>B29*3</f>
        <v>18</v>
      </c>
    </row>
    <row r="30" spans="1:8">
      <c r="A30" s="81" t="s">
        <v>1716</v>
      </c>
      <c r="B30" s="81">
        <v>2</v>
      </c>
    </row>
    <row r="31" spans="1:8">
      <c r="A31" s="81" t="s">
        <v>1717</v>
      </c>
      <c r="B31" s="81">
        <v>1</v>
      </c>
    </row>
    <row r="32" spans="1:8">
      <c r="A32" s="81" t="s">
        <v>1718</v>
      </c>
      <c r="B32" s="81">
        <v>1</v>
      </c>
    </row>
  </sheetData>
  <mergeCells count="1">
    <mergeCell ref="A1:I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19</vt:i4>
      </vt:variant>
      <vt:variant>
        <vt:lpstr>具名範圍</vt:lpstr>
      </vt:variant>
      <vt:variant>
        <vt:i4>15</vt:i4>
      </vt:variant>
    </vt:vector>
  </HeadingPairs>
  <TitlesOfParts>
    <vt:vector size="34" baseType="lpstr">
      <vt:lpstr>估驗單</vt:lpstr>
      <vt:lpstr>契約</vt:lpstr>
      <vt:lpstr>數量計算(勇哥)</vt:lpstr>
      <vt:lpstr>數量計算(FOR4變)</vt:lpstr>
      <vt:lpstr>4變</vt:lpstr>
      <vt:lpstr>大宗資材</vt:lpstr>
      <vt:lpstr>變更說明</vt:lpstr>
      <vt:lpstr>水溝集水井</vt:lpstr>
      <vt:lpstr>希冀橋</vt:lpstr>
      <vt:lpstr>鋼筋</vt:lpstr>
      <vt:lpstr>土方挖填及拆除</vt:lpstr>
      <vt:lpstr>回填</vt:lpstr>
      <vt:lpstr>堤牆加高</vt:lpstr>
      <vt:lpstr>砌石</vt:lpstr>
      <vt:lpstr>圍籬</vt:lpstr>
      <vt:lpstr>土方回填</vt:lpstr>
      <vt:lpstr>義交</vt:lpstr>
      <vt:lpstr>鄰房</vt:lpstr>
      <vt:lpstr>試驗統計</vt:lpstr>
      <vt:lpstr>'數量計算(FOR4變)'!_290_2_0.15_0.2_12_5_0.15_0.2</vt:lpstr>
      <vt:lpstr>_290_2_0.15_0.2_12_5_0.15_0.2</vt:lpstr>
      <vt:lpstr>'4變'!Print_Area</vt:lpstr>
      <vt:lpstr>大宗資材!Print_Area</vt:lpstr>
      <vt:lpstr>估驗單!Print_Area</vt:lpstr>
      <vt:lpstr>圍籬!Print_Area</vt:lpstr>
      <vt:lpstr>'數量計算(FOR4變)'!Print_Area</vt:lpstr>
      <vt:lpstr>'數量計算(勇哥)'!Print_Area</vt:lpstr>
      <vt:lpstr>變更說明!Print_Area</vt:lpstr>
      <vt:lpstr>'4變'!Print_Titles</vt:lpstr>
      <vt:lpstr>大宗資材!Print_Titles</vt:lpstr>
      <vt:lpstr>'數量計算(FOR4變)'!Print_Titles</vt:lpstr>
      <vt:lpstr>'數量計算(勇哥)'!Print_Titles</vt:lpstr>
      <vt:lpstr>變更說明!Print_Titles</vt:lpstr>
      <vt:lpstr>鋼筋資料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User</cp:lastModifiedBy>
  <cp:lastPrinted>2024-12-27T02:43:54Z</cp:lastPrinted>
  <dcterms:created xsi:type="dcterms:W3CDTF">2019-04-12T03:29:34Z</dcterms:created>
  <dcterms:modified xsi:type="dcterms:W3CDTF">2024-12-27T02:43:56Z</dcterms:modified>
</cp:coreProperties>
</file>